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store.grupolucci.local\Carpetas Privadas\Finanzas\Cheques\"/>
    </mc:Choice>
  </mc:AlternateContent>
  <xr:revisionPtr revIDLastSave="0" documentId="13_ncr:1_{C029209E-3095-424C-8CFF-51A0376054E9}" xr6:coauthVersionLast="47" xr6:coauthVersionMax="47" xr10:uidLastSave="{00000000-0000-0000-0000-000000000000}"/>
  <bookViews>
    <workbookView xWindow="-21720" yWindow="-2895" windowWidth="21840" windowHeight="13020" tabRatio="859" activeTab="3" xr2:uid="{00000000-000D-0000-FFFF-FFFF00000000}"/>
  </bookViews>
  <sheets>
    <sheet name="sap nuevo" sheetId="23" r:id="rId1"/>
    <sheet name="extracto" sheetId="22" r:id="rId2"/>
    <sheet name="cheques a conf" sheetId="25" r:id="rId3"/>
    <sheet name="resumen viejo" sheetId="24" r:id="rId4"/>
    <sheet name="Hoja1" sheetId="28" r:id="rId5"/>
    <sheet name="RESUMEN" sheetId="26" r:id="rId6"/>
    <sheet name="ANALISIS" sheetId="27" r:id="rId7"/>
  </sheets>
  <definedNames>
    <definedName name="_xlnm._FilterDatabase" localSheetId="1" hidden="1">extracto!$A$1:$J$1</definedName>
    <definedName name="_xlnm._FilterDatabase" localSheetId="0" hidden="1">'sap nuevo'!$A$1:$R$2103</definedName>
  </definedNames>
  <calcPr calcId="191029"/>
  <pivotCaches>
    <pivotCache cacheId="28" r:id="rId8"/>
    <pivotCache cacheId="29" r:id="rId9"/>
    <pivotCache cacheId="3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4" l="1"/>
  <c r="F6" i="24"/>
  <c r="F5" i="24"/>
  <c r="I2364" i="22"/>
  <c r="J2364" i="22"/>
  <c r="I2365" i="22"/>
  <c r="J2365" i="22"/>
  <c r="I2366" i="22"/>
  <c r="J2366" i="22"/>
  <c r="I2367" i="22"/>
  <c r="J2367" i="22"/>
  <c r="I2368" i="22"/>
  <c r="J2368" i="22"/>
  <c r="I2369" i="22"/>
  <c r="J2369" i="22"/>
  <c r="I2370" i="22"/>
  <c r="J2370" i="22"/>
  <c r="I2371" i="22"/>
  <c r="J2371" i="22"/>
  <c r="I2372" i="22"/>
  <c r="J2372" i="22"/>
  <c r="I2373" i="22"/>
  <c r="J2373" i="22"/>
  <c r="I2453" i="23"/>
  <c r="M2453" i="23"/>
  <c r="N2453" i="23"/>
  <c r="O2453" i="23"/>
  <c r="P2453" i="23"/>
  <c r="I2454" i="23"/>
  <c r="N2454" i="23"/>
  <c r="O2454" i="23"/>
  <c r="P2454" i="23"/>
  <c r="I2455" i="23"/>
  <c r="M2455" i="23"/>
  <c r="N2455" i="23"/>
  <c r="O2455" i="23"/>
  <c r="P2455" i="23"/>
  <c r="I2456" i="23"/>
  <c r="M2456" i="23"/>
  <c r="N2456" i="23"/>
  <c r="O2456" i="23"/>
  <c r="P2456" i="23"/>
  <c r="I2457" i="23"/>
  <c r="M2457" i="23"/>
  <c r="N2457" i="23"/>
  <c r="O2457" i="23"/>
  <c r="P2457" i="23"/>
  <c r="I2458" i="23"/>
  <c r="M2458" i="23"/>
  <c r="N2458" i="23"/>
  <c r="O2458" i="23"/>
  <c r="P2458" i="23"/>
  <c r="I2459" i="23"/>
  <c r="M2459" i="23"/>
  <c r="N2459" i="23"/>
  <c r="O2459" i="23"/>
  <c r="P2459" i="23"/>
  <c r="I2460" i="23"/>
  <c r="M2460" i="23"/>
  <c r="N2460" i="23"/>
  <c r="O2460" i="23"/>
  <c r="P2460" i="23"/>
  <c r="I2461" i="23"/>
  <c r="M2461" i="23"/>
  <c r="N2461" i="23"/>
  <c r="O2461" i="23"/>
  <c r="P2461" i="23"/>
  <c r="I2462" i="23"/>
  <c r="M2462" i="23"/>
  <c r="N2462" i="23"/>
  <c r="O2462" i="23"/>
  <c r="P2462" i="23"/>
  <c r="I2439" i="23"/>
  <c r="N2439" i="23"/>
  <c r="O2439" i="23"/>
  <c r="P2439" i="23"/>
  <c r="I2440" i="23"/>
  <c r="N2440" i="23"/>
  <c r="O2440" i="23"/>
  <c r="P2440" i="23"/>
  <c r="I2441" i="23"/>
  <c r="M2441" i="23"/>
  <c r="N2441" i="23"/>
  <c r="O2441" i="23"/>
  <c r="P2441" i="23"/>
  <c r="I2442" i="23"/>
  <c r="M2442" i="23"/>
  <c r="N2442" i="23"/>
  <c r="O2442" i="23"/>
  <c r="P2442" i="23"/>
  <c r="I2443" i="23"/>
  <c r="N2443" i="23"/>
  <c r="O2443" i="23"/>
  <c r="P2443" i="23"/>
  <c r="I2444" i="23"/>
  <c r="M2444" i="23"/>
  <c r="N2444" i="23"/>
  <c r="O2444" i="23"/>
  <c r="P2444" i="23"/>
  <c r="I2445" i="23"/>
  <c r="N2445" i="23"/>
  <c r="O2445" i="23"/>
  <c r="P2445" i="23"/>
  <c r="I2446" i="23"/>
  <c r="M2446" i="23"/>
  <c r="N2446" i="23"/>
  <c r="O2446" i="23"/>
  <c r="P2446" i="23"/>
  <c r="I2447" i="23"/>
  <c r="N2447" i="23"/>
  <c r="O2447" i="23"/>
  <c r="P2447" i="23"/>
  <c r="I2448" i="23"/>
  <c r="N2448" i="23"/>
  <c r="O2448" i="23"/>
  <c r="P2448" i="23"/>
  <c r="I2449" i="23"/>
  <c r="N2449" i="23"/>
  <c r="O2449" i="23"/>
  <c r="P2449" i="23"/>
  <c r="I2450" i="23"/>
  <c r="M2450" i="23"/>
  <c r="N2450" i="23"/>
  <c r="O2450" i="23"/>
  <c r="P2450" i="23"/>
  <c r="I2451" i="23"/>
  <c r="M2451" i="23"/>
  <c r="N2451" i="23"/>
  <c r="O2451" i="23"/>
  <c r="P2451" i="23"/>
  <c r="I2452" i="23"/>
  <c r="N2452" i="23"/>
  <c r="O2452" i="23"/>
  <c r="P2452" i="23"/>
  <c r="I2408" i="23"/>
  <c r="M2408" i="23"/>
  <c r="N2408" i="23"/>
  <c r="O2408" i="23"/>
  <c r="P2408" i="23"/>
  <c r="I2409" i="23"/>
  <c r="M2409" i="23"/>
  <c r="N2409" i="23"/>
  <c r="O2409" i="23"/>
  <c r="P2409" i="23"/>
  <c r="I2410" i="23"/>
  <c r="M2410" i="23"/>
  <c r="N2410" i="23"/>
  <c r="O2410" i="23"/>
  <c r="P2410" i="23"/>
  <c r="I2411" i="23"/>
  <c r="M2411" i="23"/>
  <c r="N2411" i="23"/>
  <c r="O2411" i="23"/>
  <c r="P2411" i="23"/>
  <c r="I2412" i="23"/>
  <c r="N2412" i="23"/>
  <c r="O2412" i="23"/>
  <c r="P2412" i="23"/>
  <c r="I2413" i="23"/>
  <c r="N2413" i="23"/>
  <c r="O2413" i="23"/>
  <c r="P2413" i="23"/>
  <c r="I2414" i="23"/>
  <c r="N2414" i="23"/>
  <c r="O2414" i="23"/>
  <c r="P2414" i="23"/>
  <c r="I2415" i="23"/>
  <c r="N2415" i="23"/>
  <c r="O2415" i="23"/>
  <c r="P2415" i="23"/>
  <c r="I2416" i="23"/>
  <c r="N2416" i="23"/>
  <c r="O2416" i="23"/>
  <c r="P2416" i="23"/>
  <c r="I2417" i="23"/>
  <c r="N2417" i="23"/>
  <c r="O2417" i="23"/>
  <c r="P2417" i="23"/>
  <c r="I2418" i="23"/>
  <c r="M2418" i="23"/>
  <c r="N2418" i="23"/>
  <c r="O2418" i="23"/>
  <c r="P2418" i="23"/>
  <c r="I2419" i="23"/>
  <c r="M2419" i="23"/>
  <c r="N2419" i="23"/>
  <c r="O2419" i="23"/>
  <c r="P2419" i="23"/>
  <c r="I2420" i="23"/>
  <c r="N2420" i="23"/>
  <c r="O2420" i="23"/>
  <c r="P2420" i="23"/>
  <c r="I2421" i="23"/>
  <c r="N2421" i="23"/>
  <c r="O2421" i="23"/>
  <c r="P2421" i="23"/>
  <c r="I2422" i="23"/>
  <c r="N2422" i="23"/>
  <c r="O2422" i="23"/>
  <c r="P2422" i="23"/>
  <c r="I2423" i="23"/>
  <c r="M2423" i="23"/>
  <c r="N2423" i="23"/>
  <c r="O2423" i="23"/>
  <c r="P2423" i="23"/>
  <c r="I2424" i="23"/>
  <c r="M2424" i="23"/>
  <c r="N2424" i="23"/>
  <c r="O2424" i="23"/>
  <c r="P2424" i="23"/>
  <c r="I2425" i="23"/>
  <c r="N2425" i="23"/>
  <c r="O2425" i="23"/>
  <c r="P2425" i="23"/>
  <c r="I2426" i="23"/>
  <c r="N2426" i="23"/>
  <c r="O2426" i="23"/>
  <c r="P2426" i="23"/>
  <c r="I2427" i="23"/>
  <c r="N2427" i="23"/>
  <c r="O2427" i="23"/>
  <c r="P2427" i="23"/>
  <c r="I2428" i="23"/>
  <c r="N2428" i="23"/>
  <c r="O2428" i="23"/>
  <c r="P2428" i="23"/>
  <c r="I2429" i="23"/>
  <c r="N2429" i="23"/>
  <c r="O2429" i="23"/>
  <c r="P2429" i="23"/>
  <c r="I2430" i="23"/>
  <c r="M2430" i="23"/>
  <c r="N2430" i="23"/>
  <c r="O2430" i="23"/>
  <c r="P2430" i="23"/>
  <c r="I2431" i="23"/>
  <c r="N2431" i="23"/>
  <c r="O2431" i="23"/>
  <c r="P2431" i="23"/>
  <c r="I2432" i="23"/>
  <c r="N2432" i="23"/>
  <c r="O2432" i="23"/>
  <c r="P2432" i="23"/>
  <c r="I2433" i="23"/>
  <c r="N2433" i="23"/>
  <c r="O2433" i="23"/>
  <c r="P2433" i="23"/>
  <c r="I2434" i="23"/>
  <c r="M2434" i="23"/>
  <c r="N2434" i="23"/>
  <c r="O2434" i="23"/>
  <c r="P2434" i="23"/>
  <c r="I2435" i="23"/>
  <c r="N2435" i="23"/>
  <c r="O2435" i="23"/>
  <c r="P2435" i="23"/>
  <c r="I2436" i="23"/>
  <c r="N2436" i="23"/>
  <c r="O2436" i="23"/>
  <c r="P2436" i="23"/>
  <c r="I2437" i="23"/>
  <c r="N2437" i="23"/>
  <c r="O2437" i="23"/>
  <c r="P2437" i="23"/>
  <c r="I2438" i="23"/>
  <c r="N2438" i="23"/>
  <c r="O2438" i="23"/>
  <c r="P2438" i="23"/>
  <c r="I2371" i="23"/>
  <c r="M2371" i="23"/>
  <c r="N2371" i="23"/>
  <c r="O2371" i="23"/>
  <c r="P2371" i="23"/>
  <c r="I2372" i="23"/>
  <c r="N2372" i="23"/>
  <c r="O2372" i="23"/>
  <c r="P2372" i="23"/>
  <c r="I2373" i="23"/>
  <c r="N2373" i="23"/>
  <c r="O2373" i="23"/>
  <c r="P2373" i="23"/>
  <c r="I2374" i="23"/>
  <c r="N2374" i="23"/>
  <c r="O2374" i="23"/>
  <c r="P2374" i="23"/>
  <c r="I2375" i="23"/>
  <c r="M2375" i="23"/>
  <c r="N2375" i="23"/>
  <c r="O2375" i="23"/>
  <c r="P2375" i="23"/>
  <c r="I2376" i="23"/>
  <c r="N2376" i="23"/>
  <c r="O2376" i="23"/>
  <c r="P2376" i="23"/>
  <c r="I2377" i="23"/>
  <c r="N2377" i="23"/>
  <c r="O2377" i="23"/>
  <c r="P2377" i="23"/>
  <c r="I2378" i="23"/>
  <c r="N2378" i="23"/>
  <c r="O2378" i="23"/>
  <c r="P2378" i="23"/>
  <c r="I2379" i="23"/>
  <c r="N2379" i="23"/>
  <c r="O2379" i="23"/>
  <c r="P2379" i="23"/>
  <c r="I2380" i="23"/>
  <c r="N2380" i="23"/>
  <c r="O2380" i="23"/>
  <c r="P2380" i="23"/>
  <c r="I2381" i="23"/>
  <c r="N2381" i="23"/>
  <c r="O2381" i="23"/>
  <c r="P2381" i="23"/>
  <c r="I2382" i="23"/>
  <c r="M2382" i="23"/>
  <c r="N2382" i="23"/>
  <c r="O2382" i="23"/>
  <c r="P2382" i="23"/>
  <c r="I2383" i="23"/>
  <c r="M2383" i="23"/>
  <c r="N2383" i="23"/>
  <c r="O2383" i="23"/>
  <c r="P2383" i="23"/>
  <c r="I2384" i="23"/>
  <c r="M2384" i="23"/>
  <c r="N2384" i="23"/>
  <c r="O2384" i="23"/>
  <c r="P2384" i="23"/>
  <c r="I2385" i="23"/>
  <c r="M2385" i="23"/>
  <c r="N2385" i="23"/>
  <c r="O2385" i="23"/>
  <c r="P2385" i="23"/>
  <c r="I2386" i="23"/>
  <c r="M2386" i="23"/>
  <c r="N2386" i="23"/>
  <c r="O2386" i="23"/>
  <c r="P2386" i="23"/>
  <c r="I2387" i="23"/>
  <c r="M2387" i="23"/>
  <c r="N2387" i="23"/>
  <c r="O2387" i="23"/>
  <c r="P2387" i="23"/>
  <c r="I2388" i="23"/>
  <c r="M2388" i="23"/>
  <c r="N2388" i="23"/>
  <c r="O2388" i="23"/>
  <c r="P2388" i="23"/>
  <c r="I2389" i="23"/>
  <c r="M2389" i="23"/>
  <c r="N2389" i="23"/>
  <c r="O2389" i="23"/>
  <c r="P2389" i="23"/>
  <c r="I2390" i="23"/>
  <c r="M2390" i="23"/>
  <c r="N2390" i="23"/>
  <c r="O2390" i="23"/>
  <c r="P2390" i="23"/>
  <c r="I2391" i="23"/>
  <c r="M2391" i="23"/>
  <c r="N2391" i="23"/>
  <c r="O2391" i="23"/>
  <c r="P2391" i="23"/>
  <c r="I2392" i="23"/>
  <c r="M2392" i="23"/>
  <c r="N2392" i="23"/>
  <c r="O2392" i="23"/>
  <c r="P2392" i="23"/>
  <c r="I2393" i="23"/>
  <c r="M2393" i="23"/>
  <c r="N2393" i="23"/>
  <c r="O2393" i="23"/>
  <c r="P2393" i="23"/>
  <c r="I2394" i="23"/>
  <c r="M2394" i="23"/>
  <c r="N2394" i="23"/>
  <c r="O2394" i="23"/>
  <c r="P2394" i="23"/>
  <c r="I2395" i="23"/>
  <c r="N2395" i="23"/>
  <c r="O2395" i="23"/>
  <c r="P2395" i="23"/>
  <c r="I2396" i="23"/>
  <c r="M2396" i="23"/>
  <c r="N2396" i="23"/>
  <c r="O2396" i="23"/>
  <c r="P2396" i="23"/>
  <c r="I2397" i="23"/>
  <c r="M2397" i="23"/>
  <c r="N2397" i="23"/>
  <c r="O2397" i="23"/>
  <c r="P2397" i="23"/>
  <c r="I2398" i="23"/>
  <c r="M2398" i="23"/>
  <c r="N2398" i="23"/>
  <c r="O2398" i="23"/>
  <c r="P2398" i="23"/>
  <c r="I2399" i="23"/>
  <c r="M2399" i="23"/>
  <c r="N2399" i="23"/>
  <c r="O2399" i="23"/>
  <c r="P2399" i="23"/>
  <c r="I2400" i="23"/>
  <c r="M2400" i="23"/>
  <c r="N2400" i="23"/>
  <c r="O2400" i="23"/>
  <c r="P2400" i="23"/>
  <c r="I2401" i="23"/>
  <c r="M2401" i="23"/>
  <c r="N2401" i="23"/>
  <c r="O2401" i="23"/>
  <c r="P2401" i="23"/>
  <c r="I2402" i="23"/>
  <c r="M2402" i="23"/>
  <c r="N2402" i="23"/>
  <c r="O2402" i="23"/>
  <c r="P2402" i="23"/>
  <c r="I2403" i="23"/>
  <c r="M2403" i="23"/>
  <c r="N2403" i="23"/>
  <c r="O2403" i="23"/>
  <c r="P2403" i="23"/>
  <c r="I2404" i="23"/>
  <c r="M2404" i="23"/>
  <c r="N2404" i="23"/>
  <c r="O2404" i="23"/>
  <c r="P2404" i="23"/>
  <c r="I2405" i="23"/>
  <c r="N2405" i="23"/>
  <c r="O2405" i="23"/>
  <c r="P2405" i="23"/>
  <c r="I2406" i="23"/>
  <c r="M2406" i="23"/>
  <c r="N2406" i="23"/>
  <c r="O2406" i="23"/>
  <c r="P2406" i="23"/>
  <c r="I2407" i="23"/>
  <c r="M2407" i="23"/>
  <c r="N2407" i="23"/>
  <c r="O2407" i="23"/>
  <c r="P2407" i="23"/>
  <c r="I2183" i="23"/>
  <c r="J2183" i="23" s="1"/>
  <c r="M2183" i="23"/>
  <c r="N2183" i="23"/>
  <c r="O2183" i="23"/>
  <c r="P2183" i="23"/>
  <c r="I2184" i="23"/>
  <c r="J2184" i="23" s="1"/>
  <c r="M2184" i="23"/>
  <c r="N2184" i="23"/>
  <c r="O2184" i="23"/>
  <c r="P2184" i="23"/>
  <c r="I2185" i="23"/>
  <c r="J2185" i="23"/>
  <c r="M2185" i="23"/>
  <c r="N2185" i="23"/>
  <c r="O2185" i="23"/>
  <c r="P2185" i="23"/>
  <c r="I2186" i="23"/>
  <c r="J2186" i="23"/>
  <c r="M2186" i="23"/>
  <c r="N2186" i="23"/>
  <c r="O2186" i="23"/>
  <c r="P2186" i="23"/>
  <c r="I2187" i="23"/>
  <c r="J2187" i="23"/>
  <c r="M2187" i="23"/>
  <c r="N2187" i="23"/>
  <c r="O2187" i="23"/>
  <c r="P2187" i="23"/>
  <c r="I2188" i="23"/>
  <c r="J2188" i="23"/>
  <c r="M2188" i="23"/>
  <c r="N2188" i="23"/>
  <c r="O2188" i="23"/>
  <c r="P2188" i="23"/>
  <c r="I2189" i="23"/>
  <c r="J2189" i="23"/>
  <c r="M2189" i="23"/>
  <c r="N2189" i="23"/>
  <c r="O2189" i="23"/>
  <c r="P2189" i="23"/>
  <c r="I2190" i="23"/>
  <c r="J2190" i="23"/>
  <c r="M2190" i="23"/>
  <c r="N2190" i="23"/>
  <c r="O2190" i="23"/>
  <c r="P2190" i="23"/>
  <c r="I2191" i="23"/>
  <c r="J2191" i="23"/>
  <c r="M2191" i="23"/>
  <c r="N2191" i="23"/>
  <c r="O2191" i="23"/>
  <c r="P2191" i="23"/>
  <c r="I2192" i="23"/>
  <c r="J2192" i="23"/>
  <c r="M2192" i="23"/>
  <c r="N2192" i="23"/>
  <c r="O2192" i="23"/>
  <c r="P2192" i="23"/>
  <c r="I2193" i="23"/>
  <c r="J2193" i="23"/>
  <c r="M2193" i="23"/>
  <c r="N2193" i="23"/>
  <c r="O2193" i="23"/>
  <c r="P2193" i="23"/>
  <c r="I2194" i="23"/>
  <c r="J2194" i="23"/>
  <c r="M2194" i="23"/>
  <c r="N2194" i="23"/>
  <c r="O2194" i="23"/>
  <c r="P2194" i="23"/>
  <c r="I2195" i="23"/>
  <c r="J2195" i="23" s="1"/>
  <c r="M2195" i="23"/>
  <c r="N2195" i="23"/>
  <c r="O2195" i="23"/>
  <c r="P2195" i="23"/>
  <c r="I2196" i="23"/>
  <c r="J2196" i="23" s="1"/>
  <c r="M2196" i="23"/>
  <c r="N2196" i="23"/>
  <c r="O2196" i="23"/>
  <c r="P2196" i="23"/>
  <c r="I2197" i="23"/>
  <c r="J2197" i="23" s="1"/>
  <c r="M2197" i="23"/>
  <c r="N2197" i="23"/>
  <c r="O2197" i="23"/>
  <c r="P2197" i="23"/>
  <c r="I2198" i="23"/>
  <c r="J2198" i="23" s="1"/>
  <c r="M2198" i="23"/>
  <c r="N2198" i="23"/>
  <c r="O2198" i="23"/>
  <c r="P2198" i="23"/>
  <c r="I2199" i="23"/>
  <c r="M2199" i="23"/>
  <c r="N2199" i="23"/>
  <c r="O2199" i="23"/>
  <c r="P2199" i="23"/>
  <c r="I2200" i="23"/>
  <c r="J2200" i="23" s="1"/>
  <c r="M2200" i="23"/>
  <c r="N2200" i="23"/>
  <c r="O2200" i="23"/>
  <c r="P2200" i="23"/>
  <c r="I2201" i="23"/>
  <c r="J2201" i="23" s="1"/>
  <c r="M2201" i="23"/>
  <c r="N2201" i="23"/>
  <c r="O2201" i="23"/>
  <c r="P2201" i="23"/>
  <c r="I2202" i="23"/>
  <c r="J2202" i="23" s="1"/>
  <c r="M2202" i="23"/>
  <c r="N2202" i="23"/>
  <c r="O2202" i="23"/>
  <c r="P2202" i="23"/>
  <c r="I2203" i="23"/>
  <c r="J2203" i="23" s="1"/>
  <c r="M2203" i="23"/>
  <c r="N2203" i="23"/>
  <c r="O2203" i="23"/>
  <c r="P2203" i="23"/>
  <c r="I2204" i="23"/>
  <c r="J2204" i="23" s="1"/>
  <c r="M2204" i="23"/>
  <c r="N2204" i="23"/>
  <c r="O2204" i="23"/>
  <c r="P2204" i="23"/>
  <c r="I2205" i="23"/>
  <c r="J2205" i="23" s="1"/>
  <c r="M2205" i="23"/>
  <c r="N2205" i="23"/>
  <c r="O2205" i="23"/>
  <c r="P2205" i="23"/>
  <c r="I2206" i="23"/>
  <c r="J2206" i="23" s="1"/>
  <c r="M2206" i="23"/>
  <c r="N2206" i="23"/>
  <c r="O2206" i="23"/>
  <c r="P2206" i="23"/>
  <c r="I2207" i="23"/>
  <c r="J2207" i="23" s="1"/>
  <c r="M2207" i="23"/>
  <c r="N2207" i="23"/>
  <c r="O2207" i="23"/>
  <c r="P2207" i="23"/>
  <c r="I2208" i="23"/>
  <c r="J2208" i="23" s="1"/>
  <c r="M2208" i="23"/>
  <c r="N2208" i="23"/>
  <c r="O2208" i="23"/>
  <c r="P2208" i="23"/>
  <c r="I2209" i="23"/>
  <c r="J2209" i="23" s="1"/>
  <c r="M2209" i="23"/>
  <c r="N2209" i="23"/>
  <c r="O2209" i="23"/>
  <c r="P2209" i="23"/>
  <c r="I2210" i="23"/>
  <c r="J2210" i="23" s="1"/>
  <c r="M2210" i="23"/>
  <c r="N2210" i="23"/>
  <c r="O2210" i="23"/>
  <c r="P2210" i="23"/>
  <c r="I2211" i="23"/>
  <c r="J2211" i="23" s="1"/>
  <c r="M2211" i="23"/>
  <c r="N2211" i="23"/>
  <c r="O2211" i="23"/>
  <c r="P2211" i="23"/>
  <c r="I2212" i="23"/>
  <c r="J2212" i="23" s="1"/>
  <c r="M2212" i="23"/>
  <c r="N2212" i="23"/>
  <c r="O2212" i="23"/>
  <c r="P2212" i="23"/>
  <c r="I2213" i="23"/>
  <c r="J2213" i="23" s="1"/>
  <c r="M2213" i="23"/>
  <c r="N2213" i="23"/>
  <c r="O2213" i="23"/>
  <c r="P2213" i="23"/>
  <c r="I2214" i="23"/>
  <c r="J2214" i="23" s="1"/>
  <c r="M2214" i="23"/>
  <c r="N2214" i="23"/>
  <c r="O2214" i="23"/>
  <c r="P2214" i="23"/>
  <c r="I2215" i="23"/>
  <c r="J2215" i="23" s="1"/>
  <c r="M2215" i="23"/>
  <c r="N2215" i="23"/>
  <c r="O2215" i="23"/>
  <c r="P2215" i="23"/>
  <c r="I2216" i="23"/>
  <c r="J2216" i="23" s="1"/>
  <c r="M2216" i="23"/>
  <c r="N2216" i="23"/>
  <c r="O2216" i="23"/>
  <c r="P2216" i="23"/>
  <c r="I2217" i="23"/>
  <c r="J2217" i="23" s="1"/>
  <c r="M2217" i="23"/>
  <c r="N2217" i="23"/>
  <c r="O2217" i="23"/>
  <c r="P2217" i="23"/>
  <c r="I2218" i="23"/>
  <c r="J2218" i="23" s="1"/>
  <c r="M2218" i="23"/>
  <c r="N2218" i="23"/>
  <c r="O2218" i="23"/>
  <c r="P2218" i="23"/>
  <c r="I2219" i="23"/>
  <c r="J2219" i="23" s="1"/>
  <c r="M2219" i="23"/>
  <c r="N2219" i="23"/>
  <c r="O2219" i="23"/>
  <c r="P2219" i="23"/>
  <c r="I2220" i="23"/>
  <c r="J2220" i="23" s="1"/>
  <c r="M2220" i="23"/>
  <c r="N2220" i="23"/>
  <c r="O2220" i="23"/>
  <c r="P2220" i="23"/>
  <c r="I2221" i="23"/>
  <c r="J2221" i="23" s="1"/>
  <c r="M2221" i="23"/>
  <c r="N2221" i="23"/>
  <c r="O2221" i="23"/>
  <c r="P2221" i="23"/>
  <c r="I2222" i="23"/>
  <c r="J2222" i="23" s="1"/>
  <c r="M2222" i="23"/>
  <c r="N2222" i="23"/>
  <c r="O2222" i="23"/>
  <c r="P2222" i="23"/>
  <c r="I2223" i="23"/>
  <c r="J2223" i="23" s="1"/>
  <c r="M2223" i="23"/>
  <c r="N2223" i="23"/>
  <c r="O2223" i="23"/>
  <c r="P2223" i="23"/>
  <c r="I2224" i="23"/>
  <c r="J2224" i="23" s="1"/>
  <c r="M2224" i="23"/>
  <c r="N2224" i="23"/>
  <c r="O2224" i="23"/>
  <c r="P2224" i="23"/>
  <c r="I2225" i="23"/>
  <c r="J2225" i="23" s="1"/>
  <c r="M2225" i="23"/>
  <c r="N2225" i="23"/>
  <c r="O2225" i="23"/>
  <c r="P2225" i="23"/>
  <c r="I2226" i="23"/>
  <c r="J2226" i="23" s="1"/>
  <c r="M2226" i="23"/>
  <c r="N2226" i="23"/>
  <c r="O2226" i="23"/>
  <c r="P2226" i="23"/>
  <c r="I2227" i="23"/>
  <c r="J2227" i="23" s="1"/>
  <c r="M2227" i="23"/>
  <c r="N2227" i="23"/>
  <c r="O2227" i="23"/>
  <c r="P2227" i="23"/>
  <c r="I2228" i="23"/>
  <c r="J2228" i="23" s="1"/>
  <c r="M2228" i="23"/>
  <c r="N2228" i="23"/>
  <c r="O2228" i="23"/>
  <c r="P2228" i="23"/>
  <c r="I2229" i="23"/>
  <c r="J2229" i="23" s="1"/>
  <c r="M2229" i="23"/>
  <c r="N2229" i="23"/>
  <c r="O2229" i="23"/>
  <c r="P2229" i="23"/>
  <c r="I2230" i="23"/>
  <c r="J2230" i="23" s="1"/>
  <c r="M2230" i="23"/>
  <c r="N2230" i="23"/>
  <c r="O2230" i="23"/>
  <c r="P2230" i="23"/>
  <c r="I2231" i="23"/>
  <c r="J2231" i="23" s="1"/>
  <c r="M2231" i="23"/>
  <c r="N2231" i="23"/>
  <c r="O2231" i="23"/>
  <c r="P2231" i="23"/>
  <c r="I2232" i="23"/>
  <c r="J2232" i="23" s="1"/>
  <c r="M2232" i="23"/>
  <c r="N2232" i="23"/>
  <c r="O2232" i="23"/>
  <c r="P2232" i="23"/>
  <c r="I2233" i="23"/>
  <c r="J2233" i="23" s="1"/>
  <c r="M2233" i="23"/>
  <c r="N2233" i="23"/>
  <c r="O2233" i="23"/>
  <c r="P2233" i="23"/>
  <c r="I2234" i="23"/>
  <c r="J2234" i="23" s="1"/>
  <c r="M2234" i="23"/>
  <c r="N2234" i="23"/>
  <c r="O2234" i="23"/>
  <c r="P2234" i="23"/>
  <c r="I2235" i="23"/>
  <c r="J2235" i="23" s="1"/>
  <c r="M2235" i="23"/>
  <c r="N2235" i="23"/>
  <c r="O2235" i="23"/>
  <c r="P2235" i="23"/>
  <c r="I2236" i="23"/>
  <c r="J2236" i="23" s="1"/>
  <c r="M2236" i="23"/>
  <c r="N2236" i="23"/>
  <c r="O2236" i="23"/>
  <c r="P2236" i="23"/>
  <c r="I2237" i="23"/>
  <c r="J2237" i="23" s="1"/>
  <c r="M2237" i="23"/>
  <c r="N2237" i="23"/>
  <c r="O2237" i="23"/>
  <c r="P2237" i="23"/>
  <c r="I2238" i="23"/>
  <c r="J2238" i="23" s="1"/>
  <c r="M2238" i="23"/>
  <c r="N2238" i="23"/>
  <c r="O2238" i="23"/>
  <c r="P2238" i="23"/>
  <c r="I2239" i="23"/>
  <c r="J2239" i="23" s="1"/>
  <c r="M2239" i="23"/>
  <c r="N2239" i="23"/>
  <c r="O2239" i="23"/>
  <c r="P2239" i="23"/>
  <c r="I2240" i="23"/>
  <c r="J2240" i="23" s="1"/>
  <c r="M2240" i="23"/>
  <c r="N2240" i="23"/>
  <c r="O2240" i="23"/>
  <c r="P2240" i="23"/>
  <c r="I2241" i="23"/>
  <c r="J2241" i="23" s="1"/>
  <c r="M2241" i="23"/>
  <c r="N2241" i="23"/>
  <c r="O2241" i="23"/>
  <c r="P2241" i="23"/>
  <c r="I2242" i="23"/>
  <c r="J2242" i="23" s="1"/>
  <c r="M2242" i="23"/>
  <c r="N2242" i="23"/>
  <c r="O2242" i="23"/>
  <c r="P2242" i="23"/>
  <c r="I2243" i="23"/>
  <c r="J2243" i="23" s="1"/>
  <c r="M2243" i="23"/>
  <c r="N2243" i="23"/>
  <c r="O2243" i="23"/>
  <c r="P2243" i="23"/>
  <c r="I2244" i="23"/>
  <c r="J2244" i="23" s="1"/>
  <c r="M2244" i="23"/>
  <c r="N2244" i="23"/>
  <c r="O2244" i="23"/>
  <c r="P2244" i="23"/>
  <c r="I2245" i="23"/>
  <c r="J2245" i="23" s="1"/>
  <c r="M2245" i="23"/>
  <c r="N2245" i="23"/>
  <c r="O2245" i="23"/>
  <c r="P2245" i="23"/>
  <c r="I2246" i="23"/>
  <c r="J2246" i="23" s="1"/>
  <c r="M2246" i="23"/>
  <c r="N2246" i="23"/>
  <c r="O2246" i="23"/>
  <c r="P2246" i="23"/>
  <c r="I2247" i="23"/>
  <c r="J2247" i="23" s="1"/>
  <c r="M2247" i="23"/>
  <c r="N2247" i="23"/>
  <c r="O2247" i="23"/>
  <c r="P2247" i="23"/>
  <c r="I2248" i="23"/>
  <c r="J2248" i="23" s="1"/>
  <c r="M2248" i="23"/>
  <c r="N2248" i="23"/>
  <c r="O2248" i="23"/>
  <c r="P2248" i="23"/>
  <c r="I2249" i="23"/>
  <c r="J2249" i="23" s="1"/>
  <c r="M2249" i="23"/>
  <c r="N2249" i="23"/>
  <c r="O2249" i="23"/>
  <c r="P2249" i="23"/>
  <c r="I2250" i="23"/>
  <c r="J2250" i="23" s="1"/>
  <c r="M2250" i="23"/>
  <c r="N2250" i="23"/>
  <c r="O2250" i="23"/>
  <c r="P2250" i="23"/>
  <c r="I2251" i="23"/>
  <c r="J2251" i="23" s="1"/>
  <c r="M2251" i="23"/>
  <c r="N2251" i="23"/>
  <c r="O2251" i="23"/>
  <c r="P2251" i="23"/>
  <c r="I2252" i="23"/>
  <c r="M2252" i="23"/>
  <c r="N2252" i="23"/>
  <c r="O2252" i="23"/>
  <c r="P2252" i="23"/>
  <c r="I2253" i="23"/>
  <c r="M2253" i="23"/>
  <c r="N2253" i="23"/>
  <c r="O2253" i="23"/>
  <c r="P2253" i="23"/>
  <c r="I2254" i="23"/>
  <c r="J2254" i="23" s="1"/>
  <c r="M2254" i="23"/>
  <c r="N2254" i="23"/>
  <c r="O2254" i="23"/>
  <c r="P2254" i="23"/>
  <c r="I2255" i="23"/>
  <c r="J2255" i="23" s="1"/>
  <c r="M2255" i="23"/>
  <c r="N2255" i="23"/>
  <c r="O2255" i="23"/>
  <c r="P2255" i="23"/>
  <c r="I2256" i="23"/>
  <c r="J2256" i="23" s="1"/>
  <c r="M2256" i="23"/>
  <c r="N2256" i="23"/>
  <c r="O2256" i="23"/>
  <c r="P2256" i="23"/>
  <c r="I2257" i="23"/>
  <c r="J2257" i="23" s="1"/>
  <c r="M2257" i="23"/>
  <c r="N2257" i="23"/>
  <c r="O2257" i="23"/>
  <c r="P2257" i="23"/>
  <c r="I2258" i="23"/>
  <c r="M2258" i="23"/>
  <c r="N2258" i="23"/>
  <c r="O2258" i="23"/>
  <c r="P2258" i="23"/>
  <c r="I2259" i="23"/>
  <c r="J2259" i="23"/>
  <c r="M2259" i="23"/>
  <c r="N2259" i="23"/>
  <c r="O2259" i="23"/>
  <c r="P2259" i="23"/>
  <c r="I2260" i="23"/>
  <c r="J2260" i="23"/>
  <c r="M2260" i="23"/>
  <c r="N2260" i="23"/>
  <c r="O2260" i="23"/>
  <c r="P2260" i="23"/>
  <c r="I2261" i="23"/>
  <c r="J2261" i="23"/>
  <c r="M2261" i="23"/>
  <c r="N2261" i="23"/>
  <c r="O2261" i="23"/>
  <c r="P2261" i="23"/>
  <c r="I2262" i="23"/>
  <c r="J2262" i="23" s="1"/>
  <c r="M2262" i="23"/>
  <c r="N2262" i="23"/>
  <c r="O2262" i="23"/>
  <c r="P2262" i="23"/>
  <c r="I2263" i="23"/>
  <c r="J2263" i="23"/>
  <c r="M2263" i="23"/>
  <c r="N2263" i="23"/>
  <c r="O2263" i="23"/>
  <c r="P2263" i="23"/>
  <c r="I2264" i="23"/>
  <c r="J2264" i="23" s="1"/>
  <c r="M2264" i="23"/>
  <c r="N2264" i="23"/>
  <c r="O2264" i="23"/>
  <c r="P2264" i="23"/>
  <c r="I2265" i="23"/>
  <c r="J2265" i="23" s="1"/>
  <c r="M2265" i="23"/>
  <c r="N2265" i="23"/>
  <c r="O2265" i="23"/>
  <c r="P2265" i="23"/>
  <c r="I2266" i="23"/>
  <c r="J2266" i="23"/>
  <c r="M2266" i="23"/>
  <c r="N2266" i="23"/>
  <c r="O2266" i="23"/>
  <c r="P2266" i="23"/>
  <c r="I2267" i="23"/>
  <c r="J2267" i="23"/>
  <c r="M2267" i="23"/>
  <c r="N2267" i="23"/>
  <c r="O2267" i="23"/>
  <c r="P2267" i="23"/>
  <c r="I2268" i="23"/>
  <c r="J2268" i="23"/>
  <c r="M2268" i="23"/>
  <c r="N2268" i="23"/>
  <c r="O2268" i="23"/>
  <c r="P2268" i="23"/>
  <c r="I2269" i="23"/>
  <c r="J2269" i="23"/>
  <c r="M2269" i="23"/>
  <c r="N2269" i="23"/>
  <c r="O2269" i="23"/>
  <c r="P2269" i="23"/>
  <c r="I2270" i="23"/>
  <c r="J2270" i="23" s="1"/>
  <c r="M2270" i="23"/>
  <c r="N2270" i="23"/>
  <c r="O2270" i="23"/>
  <c r="P2270" i="23"/>
  <c r="I2271" i="23"/>
  <c r="J2271" i="23"/>
  <c r="M2271" i="23"/>
  <c r="N2271" i="23"/>
  <c r="O2271" i="23"/>
  <c r="P2271" i="23"/>
  <c r="I2272" i="23"/>
  <c r="J2272" i="23"/>
  <c r="M2272" i="23"/>
  <c r="N2272" i="23"/>
  <c r="O2272" i="23"/>
  <c r="P2272" i="23"/>
  <c r="I2273" i="23"/>
  <c r="J2273" i="23" s="1"/>
  <c r="M2273" i="23"/>
  <c r="N2273" i="23"/>
  <c r="O2273" i="23"/>
  <c r="P2273" i="23"/>
  <c r="I2274" i="23"/>
  <c r="J2274" i="23" s="1"/>
  <c r="M2274" i="23"/>
  <c r="N2274" i="23"/>
  <c r="O2274" i="23"/>
  <c r="P2274" i="23"/>
  <c r="I2275" i="23"/>
  <c r="J2275" i="23" s="1"/>
  <c r="M2275" i="23"/>
  <c r="N2275" i="23"/>
  <c r="O2275" i="23"/>
  <c r="P2275" i="23"/>
  <c r="I2276" i="23"/>
  <c r="J2276" i="23" s="1"/>
  <c r="M2276" i="23"/>
  <c r="N2276" i="23"/>
  <c r="O2276" i="23"/>
  <c r="P2276" i="23"/>
  <c r="I2277" i="23"/>
  <c r="J2277" i="23"/>
  <c r="M2277" i="23"/>
  <c r="N2277" i="23"/>
  <c r="O2277" i="23"/>
  <c r="P2277" i="23"/>
  <c r="I2278" i="23"/>
  <c r="J2278" i="23"/>
  <c r="M2278" i="23"/>
  <c r="N2278" i="23"/>
  <c r="O2278" i="23"/>
  <c r="P2278" i="23"/>
  <c r="I2279" i="23"/>
  <c r="J2279" i="23"/>
  <c r="M2279" i="23"/>
  <c r="N2279" i="23"/>
  <c r="O2279" i="23"/>
  <c r="P2279" i="23"/>
  <c r="I2280" i="23"/>
  <c r="J2280" i="23"/>
  <c r="M2280" i="23"/>
  <c r="N2280" i="23"/>
  <c r="O2280" i="23"/>
  <c r="P2280" i="23"/>
  <c r="I2281" i="23"/>
  <c r="J2281" i="23"/>
  <c r="M2281" i="23"/>
  <c r="N2281" i="23"/>
  <c r="O2281" i="23"/>
  <c r="P2281" i="23"/>
  <c r="I2282" i="23"/>
  <c r="J2282" i="23"/>
  <c r="M2282" i="23"/>
  <c r="N2282" i="23"/>
  <c r="O2282" i="23"/>
  <c r="P2282" i="23"/>
  <c r="I2283" i="23"/>
  <c r="J2283" i="23"/>
  <c r="M2283" i="23"/>
  <c r="N2283" i="23"/>
  <c r="O2283" i="23"/>
  <c r="P2283" i="23"/>
  <c r="I2284" i="23"/>
  <c r="J2284" i="23"/>
  <c r="M2284" i="23"/>
  <c r="N2284" i="23"/>
  <c r="O2284" i="23"/>
  <c r="P2284" i="23"/>
  <c r="I2285" i="23"/>
  <c r="J2285" i="23"/>
  <c r="M2285" i="23"/>
  <c r="N2285" i="23"/>
  <c r="O2285" i="23"/>
  <c r="P2285" i="23"/>
  <c r="I2286" i="23"/>
  <c r="J2286" i="23"/>
  <c r="M2286" i="23"/>
  <c r="N2286" i="23"/>
  <c r="O2286" i="23"/>
  <c r="P2286" i="23"/>
  <c r="I2287" i="23"/>
  <c r="J2287" i="23"/>
  <c r="M2287" i="23"/>
  <c r="N2287" i="23"/>
  <c r="O2287" i="23"/>
  <c r="P2287" i="23"/>
  <c r="I2288" i="23"/>
  <c r="J2288" i="23"/>
  <c r="M2288" i="23"/>
  <c r="N2288" i="23"/>
  <c r="O2288" i="23"/>
  <c r="P2288" i="23"/>
  <c r="I2289" i="23"/>
  <c r="J2289" i="23"/>
  <c r="M2289" i="23"/>
  <c r="N2289" i="23"/>
  <c r="O2289" i="23"/>
  <c r="P2289" i="23"/>
  <c r="I2290" i="23"/>
  <c r="N2290" i="23"/>
  <c r="O2290" i="23"/>
  <c r="P2290" i="23"/>
  <c r="I2291" i="23"/>
  <c r="J2291" i="23"/>
  <c r="M2291" i="23"/>
  <c r="N2291" i="23"/>
  <c r="O2291" i="23"/>
  <c r="P2291" i="23"/>
  <c r="I2292" i="23"/>
  <c r="J2292" i="23"/>
  <c r="M2292" i="23"/>
  <c r="N2292" i="23"/>
  <c r="O2292" i="23"/>
  <c r="P2292" i="23"/>
  <c r="I2293" i="23"/>
  <c r="M2293" i="23"/>
  <c r="N2293" i="23"/>
  <c r="O2293" i="23"/>
  <c r="P2293" i="23"/>
  <c r="I2294" i="23"/>
  <c r="N2294" i="23"/>
  <c r="O2294" i="23"/>
  <c r="P2294" i="23"/>
  <c r="I2295" i="23"/>
  <c r="J2295" i="23"/>
  <c r="M2295" i="23"/>
  <c r="N2295" i="23"/>
  <c r="O2295" i="23"/>
  <c r="P2295" i="23"/>
  <c r="I2296" i="23"/>
  <c r="J2296" i="23"/>
  <c r="M2296" i="23"/>
  <c r="N2296" i="23"/>
  <c r="O2296" i="23"/>
  <c r="P2296" i="23"/>
  <c r="I2297" i="23"/>
  <c r="J2297" i="23"/>
  <c r="M2297" i="23"/>
  <c r="N2297" i="23"/>
  <c r="O2297" i="23"/>
  <c r="P2297" i="23"/>
  <c r="I2298" i="23"/>
  <c r="J2298" i="23"/>
  <c r="M2298" i="23"/>
  <c r="N2298" i="23"/>
  <c r="O2298" i="23"/>
  <c r="P2298" i="23"/>
  <c r="I2299" i="23"/>
  <c r="J2299" i="23"/>
  <c r="M2299" i="23"/>
  <c r="N2299" i="23"/>
  <c r="O2299" i="23"/>
  <c r="P2299" i="23"/>
  <c r="I2300" i="23"/>
  <c r="J2300" i="23"/>
  <c r="M2300" i="23"/>
  <c r="N2300" i="23"/>
  <c r="O2300" i="23"/>
  <c r="P2300" i="23"/>
  <c r="I2301" i="23"/>
  <c r="J2301" i="23"/>
  <c r="M2301" i="23"/>
  <c r="N2301" i="23"/>
  <c r="O2301" i="23"/>
  <c r="P2301" i="23"/>
  <c r="I2302" i="23"/>
  <c r="M2302" i="23"/>
  <c r="N2302" i="23"/>
  <c r="O2302" i="23"/>
  <c r="P2302" i="23"/>
  <c r="I2303" i="23"/>
  <c r="J2303" i="23"/>
  <c r="M2303" i="23"/>
  <c r="N2303" i="23"/>
  <c r="O2303" i="23"/>
  <c r="P2303" i="23"/>
  <c r="I2304" i="23"/>
  <c r="J2304" i="23"/>
  <c r="M2304" i="23"/>
  <c r="N2304" i="23"/>
  <c r="O2304" i="23"/>
  <c r="P2304" i="23"/>
  <c r="I2305" i="23"/>
  <c r="M2305" i="23"/>
  <c r="N2305" i="23"/>
  <c r="O2305" i="23"/>
  <c r="P2305" i="23"/>
  <c r="I2306" i="23"/>
  <c r="J2306" i="23"/>
  <c r="M2306" i="23"/>
  <c r="N2306" i="23"/>
  <c r="O2306" i="23"/>
  <c r="P2306" i="23"/>
  <c r="I2307" i="23"/>
  <c r="J2307" i="23"/>
  <c r="M2307" i="23"/>
  <c r="N2307" i="23"/>
  <c r="O2307" i="23"/>
  <c r="P2307" i="23"/>
  <c r="I2308" i="23"/>
  <c r="J2308" i="23"/>
  <c r="M2308" i="23"/>
  <c r="N2308" i="23"/>
  <c r="O2308" i="23"/>
  <c r="P2308" i="23"/>
  <c r="I2309" i="23"/>
  <c r="J2309" i="23"/>
  <c r="M2309" i="23"/>
  <c r="N2309" i="23"/>
  <c r="O2309" i="23"/>
  <c r="P2309" i="23"/>
  <c r="I2310" i="23"/>
  <c r="J2310" i="23"/>
  <c r="M2310" i="23"/>
  <c r="N2310" i="23"/>
  <c r="O2310" i="23"/>
  <c r="P2310" i="23"/>
  <c r="I2311" i="23"/>
  <c r="J2311" i="23"/>
  <c r="M2311" i="23"/>
  <c r="N2311" i="23"/>
  <c r="O2311" i="23"/>
  <c r="P2311" i="23"/>
  <c r="I2312" i="23"/>
  <c r="J2312" i="23"/>
  <c r="M2312" i="23"/>
  <c r="N2312" i="23"/>
  <c r="O2312" i="23"/>
  <c r="P2312" i="23"/>
  <c r="I2313" i="23"/>
  <c r="J2313" i="23"/>
  <c r="M2313" i="23"/>
  <c r="N2313" i="23"/>
  <c r="O2313" i="23"/>
  <c r="P2313" i="23"/>
  <c r="I2314" i="23"/>
  <c r="J2314" i="23"/>
  <c r="M2314" i="23"/>
  <c r="N2314" i="23"/>
  <c r="O2314" i="23"/>
  <c r="P2314" i="23"/>
  <c r="I2315" i="23"/>
  <c r="J2315" i="23"/>
  <c r="M2315" i="23"/>
  <c r="N2315" i="23"/>
  <c r="O2315" i="23"/>
  <c r="P2315" i="23"/>
  <c r="I2316" i="23"/>
  <c r="N2316" i="23"/>
  <c r="O2316" i="23"/>
  <c r="P2316" i="23"/>
  <c r="I2317" i="23"/>
  <c r="N2317" i="23"/>
  <c r="O2317" i="23"/>
  <c r="P2317" i="23"/>
  <c r="I2318" i="23"/>
  <c r="N2318" i="23"/>
  <c r="O2318" i="23"/>
  <c r="P2318" i="23"/>
  <c r="I2319" i="23"/>
  <c r="N2319" i="23"/>
  <c r="O2319" i="23"/>
  <c r="P2319" i="23"/>
  <c r="I2320" i="23"/>
  <c r="M2320" i="23"/>
  <c r="N2320" i="23"/>
  <c r="O2320" i="23"/>
  <c r="P2320" i="23"/>
  <c r="I2321" i="23"/>
  <c r="M2321" i="23"/>
  <c r="N2321" i="23"/>
  <c r="O2321" i="23"/>
  <c r="P2321" i="23"/>
  <c r="I2322" i="23"/>
  <c r="M2322" i="23"/>
  <c r="N2322" i="23"/>
  <c r="O2322" i="23"/>
  <c r="P2322" i="23"/>
  <c r="I2323" i="23"/>
  <c r="M2323" i="23"/>
  <c r="N2323" i="23"/>
  <c r="O2323" i="23"/>
  <c r="P2323" i="23"/>
  <c r="I2324" i="23"/>
  <c r="M2324" i="23"/>
  <c r="N2324" i="23"/>
  <c r="O2324" i="23"/>
  <c r="P2324" i="23"/>
  <c r="I2325" i="23"/>
  <c r="M2325" i="23"/>
  <c r="N2325" i="23"/>
  <c r="O2325" i="23"/>
  <c r="P2325" i="23"/>
  <c r="I2326" i="23"/>
  <c r="N2326" i="23"/>
  <c r="O2326" i="23"/>
  <c r="P2326" i="23"/>
  <c r="I2327" i="23"/>
  <c r="N2327" i="23"/>
  <c r="O2327" i="23"/>
  <c r="P2327" i="23"/>
  <c r="I2328" i="23"/>
  <c r="N2328" i="23"/>
  <c r="O2328" i="23"/>
  <c r="P2328" i="23"/>
  <c r="I2329" i="23"/>
  <c r="N2329" i="23"/>
  <c r="O2329" i="23"/>
  <c r="P2329" i="23"/>
  <c r="I2330" i="23"/>
  <c r="N2330" i="23"/>
  <c r="O2330" i="23"/>
  <c r="P2330" i="23"/>
  <c r="I2331" i="23"/>
  <c r="N2331" i="23"/>
  <c r="O2331" i="23"/>
  <c r="P2331" i="23"/>
  <c r="I2332" i="23"/>
  <c r="N2332" i="23"/>
  <c r="O2332" i="23"/>
  <c r="P2332" i="23"/>
  <c r="I2333" i="23"/>
  <c r="N2333" i="23"/>
  <c r="O2333" i="23"/>
  <c r="P2333" i="23"/>
  <c r="I2334" i="23"/>
  <c r="N2334" i="23"/>
  <c r="O2334" i="23"/>
  <c r="P2334" i="23"/>
  <c r="I2335" i="23"/>
  <c r="N2335" i="23"/>
  <c r="O2335" i="23"/>
  <c r="P2335" i="23"/>
  <c r="I2336" i="23"/>
  <c r="N2336" i="23"/>
  <c r="O2336" i="23"/>
  <c r="P2336" i="23"/>
  <c r="I2337" i="23"/>
  <c r="N2337" i="23"/>
  <c r="O2337" i="23"/>
  <c r="P2337" i="23"/>
  <c r="I2338" i="23"/>
  <c r="N2338" i="23"/>
  <c r="O2338" i="23"/>
  <c r="P2338" i="23"/>
  <c r="I2339" i="23"/>
  <c r="N2339" i="23"/>
  <c r="O2339" i="23"/>
  <c r="P2339" i="23"/>
  <c r="I2340" i="23"/>
  <c r="M2340" i="23"/>
  <c r="N2340" i="23"/>
  <c r="O2340" i="23"/>
  <c r="P2340" i="23"/>
  <c r="I2341" i="23"/>
  <c r="N2341" i="23"/>
  <c r="O2341" i="23"/>
  <c r="P2341" i="23"/>
  <c r="I2342" i="23"/>
  <c r="N2342" i="23"/>
  <c r="O2342" i="23"/>
  <c r="P2342" i="23"/>
  <c r="I2343" i="23"/>
  <c r="N2343" i="23"/>
  <c r="O2343" i="23"/>
  <c r="P2343" i="23"/>
  <c r="I2344" i="23"/>
  <c r="N2344" i="23"/>
  <c r="O2344" i="23"/>
  <c r="P2344" i="23"/>
  <c r="I2345" i="23"/>
  <c r="N2345" i="23"/>
  <c r="O2345" i="23"/>
  <c r="P2345" i="23"/>
  <c r="I2346" i="23"/>
  <c r="N2346" i="23"/>
  <c r="O2346" i="23"/>
  <c r="P2346" i="23"/>
  <c r="I2347" i="23"/>
  <c r="N2347" i="23"/>
  <c r="O2347" i="23"/>
  <c r="P2347" i="23"/>
  <c r="I2348" i="23"/>
  <c r="N2348" i="23"/>
  <c r="O2348" i="23"/>
  <c r="P2348" i="23"/>
  <c r="I2349" i="23"/>
  <c r="N2349" i="23"/>
  <c r="O2349" i="23"/>
  <c r="P2349" i="23"/>
  <c r="I2350" i="23"/>
  <c r="N2350" i="23"/>
  <c r="O2350" i="23"/>
  <c r="P2350" i="23"/>
  <c r="I2351" i="23"/>
  <c r="N2351" i="23"/>
  <c r="O2351" i="23"/>
  <c r="P2351" i="23"/>
  <c r="I2352" i="23"/>
  <c r="N2352" i="23"/>
  <c r="O2352" i="23"/>
  <c r="P2352" i="23"/>
  <c r="I2353" i="23"/>
  <c r="N2353" i="23"/>
  <c r="O2353" i="23"/>
  <c r="P2353" i="23"/>
  <c r="I2354" i="23"/>
  <c r="N2354" i="23"/>
  <c r="O2354" i="23"/>
  <c r="P2354" i="23"/>
  <c r="I2355" i="23"/>
  <c r="M2355" i="23"/>
  <c r="N2355" i="23"/>
  <c r="O2355" i="23"/>
  <c r="P2355" i="23"/>
  <c r="I2356" i="23"/>
  <c r="N2356" i="23"/>
  <c r="O2356" i="23"/>
  <c r="P2356" i="23"/>
  <c r="I2357" i="23"/>
  <c r="N2357" i="23"/>
  <c r="O2357" i="23"/>
  <c r="P2357" i="23"/>
  <c r="I2358" i="23"/>
  <c r="M2358" i="23"/>
  <c r="N2358" i="23"/>
  <c r="O2358" i="23"/>
  <c r="P2358" i="23"/>
  <c r="I2359" i="23"/>
  <c r="M2359" i="23"/>
  <c r="N2359" i="23"/>
  <c r="O2359" i="23"/>
  <c r="P2359" i="23"/>
  <c r="I2360" i="23"/>
  <c r="M2360" i="23"/>
  <c r="N2360" i="23"/>
  <c r="O2360" i="23"/>
  <c r="P2360" i="23"/>
  <c r="I2361" i="23"/>
  <c r="M2361" i="23"/>
  <c r="N2361" i="23"/>
  <c r="O2361" i="23"/>
  <c r="P2361" i="23"/>
  <c r="I2362" i="23"/>
  <c r="M2362" i="23"/>
  <c r="N2362" i="23"/>
  <c r="O2362" i="23"/>
  <c r="P2362" i="23"/>
  <c r="I2363" i="23"/>
  <c r="M2363" i="23"/>
  <c r="N2363" i="23"/>
  <c r="O2363" i="23"/>
  <c r="P2363" i="23"/>
  <c r="I2364" i="23"/>
  <c r="M2364" i="23"/>
  <c r="N2364" i="23"/>
  <c r="O2364" i="23"/>
  <c r="P2364" i="23"/>
  <c r="I2365" i="23"/>
  <c r="M2365" i="23"/>
  <c r="N2365" i="23"/>
  <c r="O2365" i="23"/>
  <c r="P2365" i="23"/>
  <c r="I2366" i="23"/>
  <c r="M2366" i="23"/>
  <c r="N2366" i="23"/>
  <c r="O2366" i="23"/>
  <c r="P2366" i="23"/>
  <c r="I2367" i="23"/>
  <c r="M2367" i="23"/>
  <c r="N2367" i="23"/>
  <c r="O2367" i="23"/>
  <c r="P2367" i="23"/>
  <c r="I2368" i="23"/>
  <c r="M2368" i="23"/>
  <c r="N2368" i="23"/>
  <c r="O2368" i="23"/>
  <c r="P2368" i="23"/>
  <c r="I2369" i="23"/>
  <c r="M2369" i="23"/>
  <c r="N2369" i="23"/>
  <c r="O2369" i="23"/>
  <c r="P2369" i="23"/>
  <c r="I2370" i="23"/>
  <c r="M2370" i="23"/>
  <c r="N2370" i="23"/>
  <c r="O2370" i="23"/>
  <c r="P2370" i="23"/>
  <c r="I2203" i="22"/>
  <c r="J2203" i="22"/>
  <c r="I2204" i="22"/>
  <c r="J2204" i="22"/>
  <c r="I2205" i="22"/>
  <c r="J2205" i="22"/>
  <c r="I2206" i="22"/>
  <c r="J2206" i="22"/>
  <c r="I2207" i="22"/>
  <c r="J2207" i="22"/>
  <c r="I2208" i="22"/>
  <c r="J2208" i="22"/>
  <c r="I2209" i="22"/>
  <c r="J2209" i="22"/>
  <c r="I2210" i="22"/>
  <c r="J2210" i="22"/>
  <c r="I2211" i="22"/>
  <c r="J2211" i="22"/>
  <c r="I2212" i="22"/>
  <c r="J2212" i="22"/>
  <c r="I2213" i="22"/>
  <c r="J2213" i="22"/>
  <c r="I2214" i="22"/>
  <c r="J2214" i="22"/>
  <c r="I2215" i="22"/>
  <c r="J2215" i="22"/>
  <c r="I2216" i="22"/>
  <c r="J2216" i="22"/>
  <c r="I2217" i="22"/>
  <c r="J2217" i="22"/>
  <c r="I2218" i="22"/>
  <c r="J2218" i="22"/>
  <c r="I2219" i="22"/>
  <c r="J2219" i="22"/>
  <c r="I2220" i="22"/>
  <c r="J2220" i="22"/>
  <c r="I2221" i="22"/>
  <c r="J2221" i="22"/>
  <c r="I2222" i="22"/>
  <c r="J2222" i="22"/>
  <c r="I2223" i="22"/>
  <c r="J2223" i="22"/>
  <c r="I2224" i="22"/>
  <c r="J2224" i="22"/>
  <c r="I2225" i="22"/>
  <c r="J2225" i="22"/>
  <c r="I2226" i="22"/>
  <c r="J2226" i="22"/>
  <c r="I2227" i="22"/>
  <c r="J2227" i="22"/>
  <c r="I2228" i="22"/>
  <c r="J2228" i="22"/>
  <c r="I2229" i="22"/>
  <c r="J2229" i="22"/>
  <c r="I2230" i="22"/>
  <c r="J2230" i="22"/>
  <c r="I2231" i="22"/>
  <c r="J2231" i="22"/>
  <c r="I2232" i="22"/>
  <c r="J2232" i="22"/>
  <c r="I2233" i="22"/>
  <c r="J2233" i="22"/>
  <c r="I2234" i="22"/>
  <c r="J2234" i="22"/>
  <c r="I2235" i="22"/>
  <c r="J2235" i="22"/>
  <c r="I2236" i="22"/>
  <c r="J2236" i="22"/>
  <c r="I2237" i="22"/>
  <c r="J2237" i="22"/>
  <c r="I2238" i="22"/>
  <c r="J2238" i="22"/>
  <c r="I2239" i="22"/>
  <c r="J2239" i="22"/>
  <c r="I2240" i="22"/>
  <c r="J2240" i="22"/>
  <c r="I2241" i="22"/>
  <c r="J2241" i="22"/>
  <c r="I2242" i="22"/>
  <c r="J2242" i="22"/>
  <c r="I2243" i="22"/>
  <c r="J2243" i="22"/>
  <c r="I2244" i="22"/>
  <c r="J2244" i="22"/>
  <c r="I2245" i="22"/>
  <c r="J2245" i="22"/>
  <c r="I2246" i="22"/>
  <c r="J2246" i="22"/>
  <c r="I2247" i="22"/>
  <c r="J2247" i="22"/>
  <c r="I2248" i="22"/>
  <c r="J2248" i="22"/>
  <c r="I2249" i="22"/>
  <c r="J2249" i="22"/>
  <c r="I2250" i="22"/>
  <c r="J2250" i="22"/>
  <c r="I2251" i="22"/>
  <c r="J2251" i="22"/>
  <c r="I2252" i="22"/>
  <c r="J2252" i="22"/>
  <c r="I2253" i="22"/>
  <c r="J2253" i="22"/>
  <c r="I2254" i="22"/>
  <c r="J2254" i="22"/>
  <c r="I2255" i="22"/>
  <c r="J2255" i="22"/>
  <c r="I2256" i="22"/>
  <c r="J2256" i="22"/>
  <c r="I2257" i="22"/>
  <c r="J2257" i="22"/>
  <c r="I2258" i="22"/>
  <c r="J2258" i="22"/>
  <c r="I2259" i="22"/>
  <c r="J2259" i="22"/>
  <c r="I2260" i="22"/>
  <c r="J2260" i="22"/>
  <c r="I2261" i="22"/>
  <c r="J2261" i="22"/>
  <c r="I2262" i="22"/>
  <c r="J2262" i="22"/>
  <c r="I2263" i="22"/>
  <c r="J2263" i="22"/>
  <c r="I2264" i="22"/>
  <c r="J2264" i="22"/>
  <c r="I2265" i="22"/>
  <c r="J2265" i="22"/>
  <c r="I2266" i="22"/>
  <c r="J2266" i="22"/>
  <c r="I2267" i="22"/>
  <c r="J2267" i="22"/>
  <c r="I2268" i="22"/>
  <c r="J2268" i="22"/>
  <c r="I2269" i="22"/>
  <c r="J2269" i="22"/>
  <c r="I2270" i="22"/>
  <c r="J2270" i="22"/>
  <c r="I2271" i="22"/>
  <c r="J2271" i="22"/>
  <c r="I2272" i="22"/>
  <c r="J2272" i="22"/>
  <c r="I2273" i="22"/>
  <c r="J2273" i="22"/>
  <c r="I2274" i="22"/>
  <c r="J2274" i="22"/>
  <c r="I2275" i="22"/>
  <c r="J2275" i="22"/>
  <c r="I2276" i="22"/>
  <c r="J2276" i="22"/>
  <c r="I2277" i="22"/>
  <c r="J2277" i="22"/>
  <c r="I2278" i="22"/>
  <c r="J2278" i="22"/>
  <c r="I2279" i="22"/>
  <c r="J2279" i="22"/>
  <c r="I2280" i="22"/>
  <c r="J2280" i="22"/>
  <c r="I2281" i="22"/>
  <c r="J2281" i="22"/>
  <c r="I2282" i="22"/>
  <c r="J2282" i="22"/>
  <c r="I2283" i="22"/>
  <c r="J2283" i="22"/>
  <c r="I2284" i="22"/>
  <c r="J2284" i="22"/>
  <c r="I2285" i="22"/>
  <c r="J2285" i="22"/>
  <c r="I2286" i="22"/>
  <c r="J2286" i="22"/>
  <c r="I2287" i="22"/>
  <c r="J2287" i="22"/>
  <c r="I2288" i="22"/>
  <c r="J2288" i="22"/>
  <c r="I2289" i="22"/>
  <c r="J2289" i="22"/>
  <c r="I2290" i="22"/>
  <c r="J2290" i="22"/>
  <c r="I2291" i="22"/>
  <c r="J2291" i="22"/>
  <c r="I2292" i="22"/>
  <c r="J2292" i="22"/>
  <c r="I2293" i="22"/>
  <c r="J2293" i="22"/>
  <c r="I2294" i="22"/>
  <c r="J2294" i="22"/>
  <c r="I2295" i="22"/>
  <c r="J2295" i="22"/>
  <c r="I2296" i="22"/>
  <c r="J2296" i="22"/>
  <c r="I2297" i="22"/>
  <c r="J2297" i="22"/>
  <c r="I2298" i="22"/>
  <c r="J2298" i="22"/>
  <c r="I2299" i="22"/>
  <c r="J2299" i="22"/>
  <c r="I2300" i="22"/>
  <c r="J2300" i="22"/>
  <c r="I2301" i="22"/>
  <c r="J2301" i="22"/>
  <c r="I2302" i="22"/>
  <c r="J2302" i="22"/>
  <c r="I2303" i="22"/>
  <c r="J2303" i="22"/>
  <c r="I2304" i="22"/>
  <c r="J2304" i="22"/>
  <c r="I2305" i="22"/>
  <c r="J2305" i="22"/>
  <c r="I2306" i="22"/>
  <c r="J2306" i="22"/>
  <c r="I2307" i="22"/>
  <c r="J2307" i="22"/>
  <c r="I2308" i="22"/>
  <c r="J2308" i="22"/>
  <c r="I2309" i="22"/>
  <c r="J2309" i="22"/>
  <c r="I2310" i="22"/>
  <c r="J2310" i="22"/>
  <c r="I2311" i="22"/>
  <c r="J2311" i="22"/>
  <c r="I2312" i="22"/>
  <c r="J2312" i="22"/>
  <c r="I2313" i="22"/>
  <c r="J2313" i="22"/>
  <c r="I2314" i="22"/>
  <c r="J2314" i="22"/>
  <c r="I2315" i="22"/>
  <c r="J2315" i="22"/>
  <c r="I2316" i="22"/>
  <c r="J2316" i="22"/>
  <c r="I2317" i="22"/>
  <c r="J2317" i="22"/>
  <c r="I2318" i="22"/>
  <c r="J2318" i="22"/>
  <c r="I2319" i="22"/>
  <c r="J2319" i="22"/>
  <c r="I2320" i="22"/>
  <c r="J2320" i="22"/>
  <c r="I2321" i="22"/>
  <c r="J2321" i="22"/>
  <c r="I2322" i="22"/>
  <c r="J2322" i="22"/>
  <c r="I2323" i="22"/>
  <c r="J2323" i="22"/>
  <c r="I2324" i="22"/>
  <c r="J2324" i="22"/>
  <c r="I2325" i="22"/>
  <c r="J2325" i="22"/>
  <c r="I2326" i="22"/>
  <c r="J2326" i="22"/>
  <c r="I2327" i="22"/>
  <c r="J2327" i="22"/>
  <c r="I2328" i="22"/>
  <c r="J2328" i="22"/>
  <c r="I2329" i="22"/>
  <c r="J2329" i="22"/>
  <c r="I2330" i="22"/>
  <c r="J2330" i="22"/>
  <c r="I2331" i="22"/>
  <c r="J2331" i="22"/>
  <c r="I2332" i="22"/>
  <c r="J2332" i="22"/>
  <c r="I2333" i="22"/>
  <c r="J2333" i="22"/>
  <c r="I2334" i="22"/>
  <c r="J2334" i="22"/>
  <c r="I2335" i="22"/>
  <c r="J2335" i="22"/>
  <c r="I2336" i="22"/>
  <c r="J2336" i="22"/>
  <c r="I2337" i="22"/>
  <c r="J2337" i="22"/>
  <c r="I2338" i="22"/>
  <c r="J2338" i="22"/>
  <c r="I2339" i="22"/>
  <c r="J2339" i="22"/>
  <c r="I2340" i="22"/>
  <c r="J2340" i="22"/>
  <c r="I2341" i="22"/>
  <c r="J2341" i="22"/>
  <c r="I2342" i="22"/>
  <c r="J2342" i="22"/>
  <c r="I2343" i="22"/>
  <c r="J2343" i="22"/>
  <c r="I2344" i="22"/>
  <c r="J2344" i="22"/>
  <c r="I2345" i="22"/>
  <c r="J2345" i="22"/>
  <c r="I2346" i="22"/>
  <c r="J2346" i="22"/>
  <c r="I2347" i="22"/>
  <c r="J2347" i="22"/>
  <c r="I2348" i="22"/>
  <c r="J2348" i="22"/>
  <c r="I2349" i="22"/>
  <c r="J2349" i="22"/>
  <c r="I2350" i="22"/>
  <c r="J2350" i="22"/>
  <c r="I2351" i="22"/>
  <c r="J2351" i="22"/>
  <c r="I2352" i="22"/>
  <c r="J2352" i="22"/>
  <c r="I2353" i="22"/>
  <c r="J2353" i="22"/>
  <c r="I2354" i="22"/>
  <c r="J2354" i="22"/>
  <c r="I2355" i="22"/>
  <c r="J2355" i="22"/>
  <c r="I2356" i="22"/>
  <c r="J2356" i="22"/>
  <c r="I2357" i="22"/>
  <c r="J2357" i="22"/>
  <c r="I2358" i="22"/>
  <c r="J2358" i="22"/>
  <c r="I2359" i="22"/>
  <c r="J2359" i="22"/>
  <c r="I2360" i="22"/>
  <c r="J2360" i="22"/>
  <c r="I2361" i="22"/>
  <c r="J2361" i="22"/>
  <c r="I2362" i="22"/>
  <c r="J2362" i="22"/>
  <c r="I2363" i="22"/>
  <c r="J2363" i="22"/>
  <c r="I2147" i="22"/>
  <c r="J2147" i="22"/>
  <c r="I2148" i="22"/>
  <c r="J2148" i="22"/>
  <c r="I2149" i="22"/>
  <c r="J2149" i="22"/>
  <c r="I2150" i="22"/>
  <c r="J2150" i="22"/>
  <c r="I2151" i="22"/>
  <c r="J2151" i="22"/>
  <c r="I2152" i="22"/>
  <c r="J2152" i="22"/>
  <c r="I2153" i="22"/>
  <c r="J2153" i="22"/>
  <c r="I2154" i="22"/>
  <c r="J2154" i="22"/>
  <c r="I2155" i="22"/>
  <c r="J2155" i="22"/>
  <c r="I2156" i="22"/>
  <c r="J2156" i="22"/>
  <c r="I2157" i="22"/>
  <c r="J2157" i="22"/>
  <c r="I2158" i="22"/>
  <c r="J2158" i="22"/>
  <c r="I2159" i="22"/>
  <c r="J2159" i="22"/>
  <c r="I2160" i="22"/>
  <c r="J2160" i="22"/>
  <c r="I2161" i="22"/>
  <c r="J2161" i="22"/>
  <c r="I2162" i="22"/>
  <c r="J2162" i="22"/>
  <c r="I2163" i="22"/>
  <c r="J2163" i="22"/>
  <c r="I2164" i="22"/>
  <c r="J2164" i="22"/>
  <c r="I2165" i="22"/>
  <c r="J2165" i="22"/>
  <c r="I2166" i="22"/>
  <c r="J2166" i="22"/>
  <c r="I2167" i="22"/>
  <c r="J2167" i="22"/>
  <c r="I2168" i="22"/>
  <c r="J2168" i="22"/>
  <c r="I2169" i="22"/>
  <c r="J2169" i="22"/>
  <c r="I2170" i="22"/>
  <c r="J2170" i="22"/>
  <c r="I2171" i="22"/>
  <c r="J2171" i="22"/>
  <c r="I2172" i="22"/>
  <c r="J2172" i="22"/>
  <c r="I2173" i="22"/>
  <c r="J2173" i="22"/>
  <c r="I2174" i="22"/>
  <c r="J2174" i="22"/>
  <c r="I2175" i="22"/>
  <c r="J2175" i="22"/>
  <c r="I2176" i="22"/>
  <c r="J2176" i="22"/>
  <c r="I2177" i="22"/>
  <c r="J2177" i="22"/>
  <c r="I2178" i="22"/>
  <c r="J2178" i="22"/>
  <c r="I2179" i="22"/>
  <c r="J2179" i="22"/>
  <c r="I2180" i="22"/>
  <c r="J2180" i="22"/>
  <c r="I2181" i="22"/>
  <c r="J2181" i="22"/>
  <c r="I2182" i="22"/>
  <c r="J2182" i="22"/>
  <c r="I2183" i="22"/>
  <c r="J2183" i="22"/>
  <c r="I2184" i="22"/>
  <c r="J2184" i="22"/>
  <c r="I2185" i="22"/>
  <c r="J2185" i="22"/>
  <c r="I2186" i="22"/>
  <c r="J2186" i="22"/>
  <c r="I2187" i="22"/>
  <c r="J2187" i="22"/>
  <c r="I2188" i="22"/>
  <c r="J2188" i="22"/>
  <c r="I2189" i="22"/>
  <c r="J2189" i="22"/>
  <c r="I2190" i="22"/>
  <c r="J2190" i="22"/>
  <c r="I2191" i="22"/>
  <c r="J2191" i="22"/>
  <c r="I2192" i="22"/>
  <c r="J2192" i="22"/>
  <c r="I2193" i="22"/>
  <c r="J2193" i="22"/>
  <c r="I2194" i="22"/>
  <c r="J2194" i="22"/>
  <c r="I2195" i="22"/>
  <c r="J2195" i="22"/>
  <c r="I2196" i="22"/>
  <c r="J2196" i="22"/>
  <c r="I2197" i="22"/>
  <c r="J2197" i="22"/>
  <c r="I2198" i="22"/>
  <c r="J2198" i="22"/>
  <c r="I2199" i="22"/>
  <c r="J2199" i="22"/>
  <c r="I2200" i="22"/>
  <c r="J2200" i="22"/>
  <c r="I2201" i="22"/>
  <c r="J2201" i="22"/>
  <c r="I2202" i="22"/>
  <c r="J2202" i="22"/>
  <c r="I2135" i="22"/>
  <c r="J2135" i="22"/>
  <c r="I2136" i="22"/>
  <c r="J2136" i="22"/>
  <c r="I2137" i="22"/>
  <c r="J2137" i="22"/>
  <c r="I2138" i="22"/>
  <c r="J2138" i="22"/>
  <c r="I2139" i="22"/>
  <c r="J2139" i="22"/>
  <c r="I2140" i="22"/>
  <c r="J2140" i="22"/>
  <c r="I2141" i="22"/>
  <c r="J2141" i="22"/>
  <c r="I2142" i="22"/>
  <c r="J2142" i="22"/>
  <c r="I2143" i="22"/>
  <c r="J2143" i="22"/>
  <c r="I2144" i="22"/>
  <c r="J2144" i="22"/>
  <c r="I2145" i="22"/>
  <c r="J2145" i="22"/>
  <c r="I2146" i="22"/>
  <c r="J2146" i="22"/>
  <c r="I2109" i="23"/>
  <c r="J2109" i="23" s="1"/>
  <c r="M2109" i="23"/>
  <c r="N2109" i="23"/>
  <c r="O2109" i="23"/>
  <c r="P2109" i="23"/>
  <c r="I2110" i="23"/>
  <c r="J2110" i="23" s="1"/>
  <c r="M2110" i="23"/>
  <c r="N2110" i="23"/>
  <c r="O2110" i="23"/>
  <c r="P2110" i="23"/>
  <c r="I2111" i="23"/>
  <c r="J2111" i="23" s="1"/>
  <c r="M2111" i="23"/>
  <c r="N2111" i="23"/>
  <c r="O2111" i="23"/>
  <c r="P2111" i="23"/>
  <c r="I2112" i="23"/>
  <c r="J2112" i="23" s="1"/>
  <c r="M2112" i="23"/>
  <c r="N2112" i="23"/>
  <c r="O2112" i="23"/>
  <c r="P2112" i="23"/>
  <c r="I2113" i="23"/>
  <c r="J2113" i="23" s="1"/>
  <c r="M2113" i="23"/>
  <c r="N2113" i="23"/>
  <c r="O2113" i="23"/>
  <c r="P2113" i="23"/>
  <c r="I2114" i="23"/>
  <c r="J2114" i="23" s="1"/>
  <c r="M2114" i="23"/>
  <c r="N2114" i="23"/>
  <c r="O2114" i="23"/>
  <c r="P2114" i="23"/>
  <c r="I2115" i="23"/>
  <c r="J2115" i="23" s="1"/>
  <c r="M2115" i="23"/>
  <c r="N2115" i="23"/>
  <c r="O2115" i="23"/>
  <c r="P2115" i="23"/>
  <c r="I2116" i="23"/>
  <c r="J2116" i="23" s="1"/>
  <c r="M2116" i="23"/>
  <c r="N2116" i="23"/>
  <c r="O2116" i="23"/>
  <c r="P2116" i="23"/>
  <c r="I2117" i="23"/>
  <c r="J2117" i="23" s="1"/>
  <c r="M2117" i="23"/>
  <c r="N2117" i="23"/>
  <c r="O2117" i="23"/>
  <c r="P2117" i="23"/>
  <c r="I2118" i="23"/>
  <c r="J2118" i="23" s="1"/>
  <c r="M2118" i="23"/>
  <c r="N2118" i="23"/>
  <c r="O2118" i="23"/>
  <c r="P2118" i="23"/>
  <c r="I2119" i="23"/>
  <c r="J2119" i="23" s="1"/>
  <c r="M2119" i="23"/>
  <c r="N2119" i="23"/>
  <c r="O2119" i="23"/>
  <c r="P2119" i="23"/>
  <c r="I2120" i="23"/>
  <c r="J2120" i="23" s="1"/>
  <c r="M2120" i="23"/>
  <c r="N2120" i="23"/>
  <c r="O2120" i="23"/>
  <c r="P2120" i="23"/>
  <c r="I2121" i="23"/>
  <c r="J2121" i="23" s="1"/>
  <c r="M2121" i="23"/>
  <c r="N2121" i="23"/>
  <c r="O2121" i="23"/>
  <c r="P2121" i="23"/>
  <c r="I2122" i="23"/>
  <c r="J2122" i="23" s="1"/>
  <c r="M2122" i="23"/>
  <c r="N2122" i="23"/>
  <c r="O2122" i="23"/>
  <c r="P2122" i="23"/>
  <c r="I2123" i="23"/>
  <c r="J2123" i="23" s="1"/>
  <c r="M2123" i="23"/>
  <c r="N2123" i="23"/>
  <c r="O2123" i="23"/>
  <c r="P2123" i="23"/>
  <c r="I2124" i="23"/>
  <c r="J2124" i="23" s="1"/>
  <c r="M2124" i="23"/>
  <c r="N2124" i="23"/>
  <c r="O2124" i="23"/>
  <c r="P2124" i="23"/>
  <c r="I2125" i="23"/>
  <c r="J2125" i="23" s="1"/>
  <c r="M2125" i="23"/>
  <c r="N2125" i="23"/>
  <c r="O2125" i="23"/>
  <c r="P2125" i="23"/>
  <c r="I2126" i="23"/>
  <c r="J2126" i="23" s="1"/>
  <c r="M2126" i="23"/>
  <c r="N2126" i="23"/>
  <c r="O2126" i="23"/>
  <c r="P2126" i="23"/>
  <c r="I2127" i="23"/>
  <c r="J2127" i="23" s="1"/>
  <c r="M2127" i="23"/>
  <c r="N2127" i="23"/>
  <c r="O2127" i="23"/>
  <c r="P2127" i="23"/>
  <c r="I2128" i="23"/>
  <c r="M2128" i="23"/>
  <c r="N2128" i="23"/>
  <c r="O2128" i="23"/>
  <c r="P2128" i="23"/>
  <c r="I2129" i="23"/>
  <c r="M2129" i="23"/>
  <c r="N2129" i="23"/>
  <c r="O2129" i="23"/>
  <c r="P2129" i="23"/>
  <c r="I2130" i="23"/>
  <c r="M2130" i="23"/>
  <c r="N2130" i="23"/>
  <c r="O2130" i="23"/>
  <c r="P2130" i="23"/>
  <c r="I2131" i="23"/>
  <c r="M2131" i="23"/>
  <c r="N2131" i="23"/>
  <c r="O2131" i="23"/>
  <c r="P2131" i="23"/>
  <c r="I2132" i="23"/>
  <c r="J2132" i="23" s="1"/>
  <c r="M2132" i="23"/>
  <c r="N2132" i="23"/>
  <c r="O2132" i="23"/>
  <c r="P2132" i="23"/>
  <c r="I2133" i="23"/>
  <c r="J2133" i="23" s="1"/>
  <c r="M2133" i="23"/>
  <c r="N2133" i="23"/>
  <c r="O2133" i="23"/>
  <c r="P2133" i="23"/>
  <c r="I2134" i="23"/>
  <c r="J2134" i="23" s="1"/>
  <c r="M2134" i="23"/>
  <c r="N2134" i="23"/>
  <c r="O2134" i="23"/>
  <c r="P2134" i="23"/>
  <c r="I2135" i="23"/>
  <c r="J2135" i="23" s="1"/>
  <c r="M2135" i="23"/>
  <c r="N2135" i="23"/>
  <c r="O2135" i="23"/>
  <c r="P2135" i="23"/>
  <c r="I2136" i="23"/>
  <c r="J2136" i="23" s="1"/>
  <c r="M2136" i="23"/>
  <c r="N2136" i="23"/>
  <c r="O2136" i="23"/>
  <c r="P2136" i="23"/>
  <c r="I2137" i="23"/>
  <c r="J2137" i="23" s="1"/>
  <c r="M2137" i="23"/>
  <c r="N2137" i="23"/>
  <c r="O2137" i="23"/>
  <c r="P2137" i="23"/>
  <c r="I2138" i="23"/>
  <c r="J2138" i="23" s="1"/>
  <c r="M2138" i="23"/>
  <c r="N2138" i="23"/>
  <c r="O2138" i="23"/>
  <c r="P2138" i="23"/>
  <c r="I2139" i="23"/>
  <c r="J2139" i="23" s="1"/>
  <c r="M2139" i="23"/>
  <c r="N2139" i="23"/>
  <c r="O2139" i="23"/>
  <c r="P2139" i="23"/>
  <c r="I2140" i="23"/>
  <c r="J2140" i="23" s="1"/>
  <c r="M2140" i="23"/>
  <c r="N2140" i="23"/>
  <c r="O2140" i="23"/>
  <c r="P2140" i="23"/>
  <c r="I2141" i="23"/>
  <c r="J2141" i="23" s="1"/>
  <c r="M2141" i="23"/>
  <c r="N2141" i="23"/>
  <c r="O2141" i="23"/>
  <c r="P2141" i="23"/>
  <c r="I2142" i="23"/>
  <c r="J2142" i="23"/>
  <c r="M2142" i="23"/>
  <c r="N2142" i="23"/>
  <c r="O2142" i="23"/>
  <c r="P2142" i="23"/>
  <c r="I2143" i="23"/>
  <c r="J2143" i="23" s="1"/>
  <c r="M2143" i="23"/>
  <c r="N2143" i="23"/>
  <c r="O2143" i="23"/>
  <c r="P2143" i="23"/>
  <c r="I2144" i="23"/>
  <c r="J2144" i="23" s="1"/>
  <c r="M2144" i="23"/>
  <c r="N2144" i="23"/>
  <c r="O2144" i="23"/>
  <c r="P2144" i="23"/>
  <c r="I2145" i="23"/>
  <c r="J2145" i="23" s="1"/>
  <c r="M2145" i="23"/>
  <c r="N2145" i="23"/>
  <c r="O2145" i="23"/>
  <c r="P2145" i="23"/>
  <c r="I2146" i="23"/>
  <c r="M2146" i="23"/>
  <c r="N2146" i="23"/>
  <c r="O2146" i="23"/>
  <c r="P2146" i="23"/>
  <c r="I2147" i="23"/>
  <c r="M2147" i="23"/>
  <c r="N2147" i="23"/>
  <c r="O2147" i="23"/>
  <c r="P2147" i="23"/>
  <c r="I2148" i="23"/>
  <c r="M2148" i="23"/>
  <c r="N2148" i="23"/>
  <c r="O2148" i="23"/>
  <c r="P2148" i="23"/>
  <c r="I2149" i="23"/>
  <c r="J2149" i="23" s="1"/>
  <c r="M2149" i="23"/>
  <c r="N2149" i="23"/>
  <c r="O2149" i="23"/>
  <c r="P2149" i="23"/>
  <c r="I2150" i="23"/>
  <c r="J2150" i="23"/>
  <c r="M2150" i="23"/>
  <c r="N2150" i="23"/>
  <c r="O2150" i="23"/>
  <c r="P2150" i="23"/>
  <c r="I2151" i="23"/>
  <c r="J2151" i="23"/>
  <c r="M2151" i="23"/>
  <c r="N2151" i="23"/>
  <c r="O2151" i="23"/>
  <c r="P2151" i="23"/>
  <c r="I2152" i="23"/>
  <c r="J2152" i="23" s="1"/>
  <c r="M2152" i="23"/>
  <c r="N2152" i="23"/>
  <c r="O2152" i="23"/>
  <c r="P2152" i="23"/>
  <c r="I2153" i="23"/>
  <c r="J2153" i="23" s="1"/>
  <c r="M2153" i="23"/>
  <c r="N2153" i="23"/>
  <c r="O2153" i="23"/>
  <c r="P2153" i="23"/>
  <c r="I2154" i="23"/>
  <c r="J2154" i="23" s="1"/>
  <c r="M2154" i="23"/>
  <c r="N2154" i="23"/>
  <c r="O2154" i="23"/>
  <c r="P2154" i="23"/>
  <c r="I2155" i="23"/>
  <c r="J2155" i="23" s="1"/>
  <c r="M2155" i="23"/>
  <c r="N2155" i="23"/>
  <c r="O2155" i="23"/>
  <c r="P2155" i="23"/>
  <c r="I2156" i="23"/>
  <c r="J2156" i="23" s="1"/>
  <c r="M2156" i="23"/>
  <c r="N2156" i="23"/>
  <c r="O2156" i="23"/>
  <c r="P2156" i="23"/>
  <c r="I2157" i="23"/>
  <c r="N2157" i="23"/>
  <c r="O2157" i="23"/>
  <c r="P2157" i="23"/>
  <c r="I2158" i="23"/>
  <c r="J2158" i="23" s="1"/>
  <c r="M2158" i="23"/>
  <c r="N2158" i="23"/>
  <c r="O2158" i="23"/>
  <c r="P2158" i="23"/>
  <c r="I2159" i="23"/>
  <c r="J2159" i="23" s="1"/>
  <c r="M2159" i="23"/>
  <c r="N2159" i="23"/>
  <c r="O2159" i="23"/>
  <c r="P2159" i="23"/>
  <c r="I2160" i="23"/>
  <c r="J2160" i="23" s="1"/>
  <c r="M2160" i="23"/>
  <c r="N2160" i="23"/>
  <c r="O2160" i="23"/>
  <c r="P2160" i="23"/>
  <c r="I2161" i="23"/>
  <c r="J2161" i="23"/>
  <c r="M2161" i="23"/>
  <c r="N2161" i="23"/>
  <c r="O2161" i="23"/>
  <c r="P2161" i="23"/>
  <c r="I2162" i="23"/>
  <c r="J2162" i="23"/>
  <c r="M2162" i="23"/>
  <c r="N2162" i="23"/>
  <c r="O2162" i="23"/>
  <c r="P2162" i="23"/>
  <c r="I2163" i="23"/>
  <c r="J2163" i="23" s="1"/>
  <c r="M2163" i="23"/>
  <c r="N2163" i="23"/>
  <c r="O2163" i="23"/>
  <c r="P2163" i="23"/>
  <c r="I2164" i="23"/>
  <c r="M2164" i="23"/>
  <c r="N2164" i="23"/>
  <c r="O2164" i="23"/>
  <c r="P2164" i="23"/>
  <c r="I2165" i="23"/>
  <c r="J2165" i="23" s="1"/>
  <c r="M2165" i="23"/>
  <c r="N2165" i="23"/>
  <c r="O2165" i="23"/>
  <c r="P2165" i="23"/>
  <c r="I2166" i="23"/>
  <c r="M2166" i="23"/>
  <c r="N2166" i="23"/>
  <c r="O2166" i="23"/>
  <c r="P2166" i="23"/>
  <c r="I2167" i="23"/>
  <c r="J2167" i="23" s="1"/>
  <c r="M2167" i="23"/>
  <c r="N2167" i="23"/>
  <c r="O2167" i="23"/>
  <c r="P2167" i="23"/>
  <c r="I2168" i="23"/>
  <c r="J2168" i="23" s="1"/>
  <c r="M2168" i="23"/>
  <c r="N2168" i="23"/>
  <c r="O2168" i="23"/>
  <c r="P2168" i="23"/>
  <c r="I2169" i="23"/>
  <c r="J2169" i="23" s="1"/>
  <c r="M2169" i="23"/>
  <c r="N2169" i="23"/>
  <c r="O2169" i="23"/>
  <c r="P2169" i="23"/>
  <c r="I2170" i="23"/>
  <c r="J2170" i="23" s="1"/>
  <c r="M2170" i="23"/>
  <c r="N2170" i="23"/>
  <c r="O2170" i="23"/>
  <c r="P2170" i="23"/>
  <c r="I2171" i="23"/>
  <c r="J2171" i="23" s="1"/>
  <c r="M2171" i="23"/>
  <c r="N2171" i="23"/>
  <c r="O2171" i="23"/>
  <c r="P2171" i="23"/>
  <c r="I2172" i="23"/>
  <c r="J2172" i="23" s="1"/>
  <c r="M2172" i="23"/>
  <c r="N2172" i="23"/>
  <c r="O2172" i="23"/>
  <c r="P2172" i="23"/>
  <c r="I2173" i="23"/>
  <c r="J2173" i="23" s="1"/>
  <c r="M2173" i="23"/>
  <c r="N2173" i="23"/>
  <c r="O2173" i="23"/>
  <c r="P2173" i="23"/>
  <c r="I2174" i="23"/>
  <c r="J2174" i="23"/>
  <c r="M2174" i="23"/>
  <c r="N2174" i="23"/>
  <c r="O2174" i="23"/>
  <c r="P2174" i="23"/>
  <c r="I2175" i="23"/>
  <c r="J2175" i="23"/>
  <c r="M2175" i="23"/>
  <c r="N2175" i="23"/>
  <c r="O2175" i="23"/>
  <c r="P2175" i="23"/>
  <c r="I2176" i="23"/>
  <c r="J2176" i="23" s="1"/>
  <c r="M2176" i="23"/>
  <c r="N2176" i="23"/>
  <c r="O2176" i="23"/>
  <c r="P2176" i="23"/>
  <c r="I2177" i="23"/>
  <c r="J2177" i="23"/>
  <c r="M2177" i="23"/>
  <c r="N2177" i="23"/>
  <c r="O2177" i="23"/>
  <c r="P2177" i="23"/>
  <c r="I2178" i="23"/>
  <c r="J2178" i="23"/>
  <c r="M2178" i="23"/>
  <c r="N2178" i="23"/>
  <c r="O2178" i="23"/>
  <c r="P2178" i="23"/>
  <c r="I2179" i="23"/>
  <c r="J2179" i="23" s="1"/>
  <c r="M2179" i="23"/>
  <c r="N2179" i="23"/>
  <c r="O2179" i="23"/>
  <c r="P2179" i="23"/>
  <c r="I2180" i="23"/>
  <c r="J2180" i="23"/>
  <c r="M2180" i="23"/>
  <c r="N2180" i="23"/>
  <c r="O2180" i="23"/>
  <c r="P2180" i="23"/>
  <c r="I2181" i="23"/>
  <c r="N2181" i="23"/>
  <c r="O2181" i="23"/>
  <c r="P2181" i="23"/>
  <c r="I2182" i="23"/>
  <c r="M2182" i="23"/>
  <c r="N2182" i="23"/>
  <c r="O2182" i="23"/>
  <c r="P2182" i="23"/>
  <c r="I2092" i="22"/>
  <c r="J2092" i="22"/>
  <c r="I2093" i="22"/>
  <c r="J2093" i="22"/>
  <c r="I2094" i="22"/>
  <c r="J2094" i="22"/>
  <c r="I2095" i="22"/>
  <c r="J2095" i="22"/>
  <c r="I2096" i="22"/>
  <c r="J2096" i="22"/>
  <c r="I2097" i="22"/>
  <c r="J2097" i="22"/>
  <c r="I2098" i="22"/>
  <c r="J2098" i="22"/>
  <c r="I2099" i="22"/>
  <c r="J2099" i="22"/>
  <c r="I2100" i="22"/>
  <c r="J2100" i="22"/>
  <c r="I2101" i="22"/>
  <c r="J2101" i="22"/>
  <c r="I2102" i="22"/>
  <c r="J2102" i="22"/>
  <c r="I2103" i="22"/>
  <c r="J2103" i="22"/>
  <c r="I2104" i="22"/>
  <c r="J2104" i="22"/>
  <c r="I2105" i="22"/>
  <c r="J2105" i="22"/>
  <c r="I2106" i="22"/>
  <c r="J2106" i="22"/>
  <c r="I2107" i="22"/>
  <c r="J2107" i="22"/>
  <c r="I2108" i="22"/>
  <c r="J2108" i="22"/>
  <c r="I2109" i="22"/>
  <c r="J2109" i="22"/>
  <c r="I2110" i="22"/>
  <c r="J2110" i="22"/>
  <c r="I2111" i="22"/>
  <c r="J2111" i="22"/>
  <c r="I2112" i="22"/>
  <c r="J2112" i="22"/>
  <c r="I2113" i="22"/>
  <c r="J2113" i="22"/>
  <c r="I2114" i="22"/>
  <c r="J2114" i="22"/>
  <c r="I2115" i="22"/>
  <c r="J2115" i="22"/>
  <c r="I2116" i="22"/>
  <c r="J2116" i="22"/>
  <c r="I2117" i="22"/>
  <c r="J2117" i="22"/>
  <c r="I2118" i="22"/>
  <c r="J2118" i="22"/>
  <c r="I2119" i="22"/>
  <c r="J2119" i="22"/>
  <c r="I2120" i="22"/>
  <c r="J2120" i="22"/>
  <c r="I2121" i="22"/>
  <c r="J2121" i="22"/>
  <c r="I2122" i="22"/>
  <c r="J2122" i="22"/>
  <c r="I2123" i="22"/>
  <c r="J2123" i="22"/>
  <c r="I2124" i="22"/>
  <c r="J2124" i="22"/>
  <c r="I2125" i="22"/>
  <c r="J2125" i="22"/>
  <c r="I2126" i="22"/>
  <c r="J2126" i="22"/>
  <c r="I2127" i="22"/>
  <c r="J2127" i="22"/>
  <c r="I2128" i="22"/>
  <c r="J2128" i="22"/>
  <c r="I2129" i="22"/>
  <c r="J2129" i="22"/>
  <c r="I2130" i="22"/>
  <c r="J2130" i="22"/>
  <c r="I2131" i="22"/>
  <c r="J2131" i="22"/>
  <c r="I2132" i="22"/>
  <c r="J2132" i="22"/>
  <c r="I2133" i="22"/>
  <c r="J2133" i="22"/>
  <c r="I2134" i="22"/>
  <c r="J2134" i="22"/>
  <c r="I2079" i="22"/>
  <c r="J2079" i="22"/>
  <c r="I2080" i="22"/>
  <c r="J2080" i="22"/>
  <c r="I2081" i="22"/>
  <c r="J2081" i="22"/>
  <c r="I2082" i="22"/>
  <c r="J2082" i="22"/>
  <c r="I2083" i="22"/>
  <c r="J2083" i="22"/>
  <c r="I2084" i="22"/>
  <c r="J2084" i="22"/>
  <c r="I2085" i="22"/>
  <c r="J2085" i="22"/>
  <c r="I2086" i="22"/>
  <c r="J2086" i="22"/>
  <c r="I2087" i="22"/>
  <c r="J2087" i="22"/>
  <c r="I2088" i="22"/>
  <c r="J2088" i="22"/>
  <c r="I2089" i="22"/>
  <c r="J2089" i="22"/>
  <c r="I2090" i="22"/>
  <c r="J2090" i="22"/>
  <c r="I2091" i="22"/>
  <c r="J2091" i="22"/>
  <c r="I2065" i="22"/>
  <c r="J2065" i="22"/>
  <c r="I2066" i="22"/>
  <c r="J2066" i="22"/>
  <c r="I2067" i="22"/>
  <c r="J2067" i="22"/>
  <c r="I2068" i="22"/>
  <c r="J2068" i="22"/>
  <c r="I2069" i="22"/>
  <c r="J2069" i="22"/>
  <c r="I2070" i="22"/>
  <c r="J2070" i="22"/>
  <c r="I2071" i="22"/>
  <c r="J2071" i="22"/>
  <c r="I2072" i="22"/>
  <c r="J2072" i="22"/>
  <c r="I2073" i="22"/>
  <c r="J2073" i="22"/>
  <c r="I2074" i="22"/>
  <c r="J2074" i="22"/>
  <c r="I2075" i="22"/>
  <c r="J2075" i="22"/>
  <c r="I2076" i="22"/>
  <c r="J2076" i="22"/>
  <c r="I2077" i="22"/>
  <c r="J2077" i="22"/>
  <c r="I2078" i="22"/>
  <c r="J2078" i="22"/>
  <c r="I2058" i="22"/>
  <c r="J2058" i="22"/>
  <c r="I2059" i="22"/>
  <c r="J2059" i="22"/>
  <c r="I2060" i="22"/>
  <c r="J2060" i="22"/>
  <c r="I2061" i="22"/>
  <c r="J2061" i="22"/>
  <c r="I2062" i="22"/>
  <c r="J2062" i="22"/>
  <c r="I2063" i="22"/>
  <c r="J2063" i="22"/>
  <c r="I2064" i="22"/>
  <c r="J2064" i="22"/>
  <c r="I2054" i="22"/>
  <c r="J2054" i="22"/>
  <c r="I2055" i="22"/>
  <c r="J2055" i="22"/>
  <c r="I2056" i="22"/>
  <c r="J2056" i="22"/>
  <c r="I2057" i="22"/>
  <c r="J2057" i="22"/>
  <c r="I2037" i="22"/>
  <c r="J2037" i="22"/>
  <c r="I2038" i="22"/>
  <c r="J2038" i="22"/>
  <c r="I2039" i="22"/>
  <c r="J2039" i="22"/>
  <c r="I2040" i="22"/>
  <c r="J2040" i="22"/>
  <c r="I2041" i="22"/>
  <c r="J2041" i="22"/>
  <c r="I2042" i="22"/>
  <c r="J2042" i="22"/>
  <c r="I2043" i="22"/>
  <c r="J2043" i="22"/>
  <c r="I2044" i="22"/>
  <c r="J2044" i="22"/>
  <c r="I2045" i="22"/>
  <c r="J2045" i="22"/>
  <c r="I2046" i="22"/>
  <c r="J2046" i="22"/>
  <c r="I2047" i="22"/>
  <c r="J2047" i="22"/>
  <c r="I2048" i="22"/>
  <c r="J2048" i="22"/>
  <c r="I2049" i="22"/>
  <c r="J2049" i="22"/>
  <c r="I2050" i="22"/>
  <c r="J2050" i="22"/>
  <c r="I2051" i="22"/>
  <c r="J2051" i="22"/>
  <c r="I2052" i="22"/>
  <c r="J2052" i="22"/>
  <c r="I2053" i="22"/>
  <c r="J2053" i="22"/>
  <c r="I2035" i="22"/>
  <c r="J2035" i="22"/>
  <c r="I2036" i="22"/>
  <c r="J2036" i="22"/>
  <c r="I2031" i="22"/>
  <c r="J2031" i="22"/>
  <c r="I2032" i="22"/>
  <c r="J2032" i="22"/>
  <c r="I2033" i="22"/>
  <c r="J2033" i="22"/>
  <c r="I2034" i="22"/>
  <c r="J2034" i="22"/>
  <c r="I2013" i="22"/>
  <c r="J2013" i="22"/>
  <c r="I2014" i="22"/>
  <c r="J2014" i="22"/>
  <c r="I2015" i="22"/>
  <c r="J2015" i="22"/>
  <c r="I2016" i="22"/>
  <c r="J2016" i="22"/>
  <c r="I2017" i="22"/>
  <c r="J2017" i="22"/>
  <c r="I2018" i="22"/>
  <c r="J2018" i="22"/>
  <c r="I2019" i="22"/>
  <c r="J2019" i="22"/>
  <c r="I2020" i="22"/>
  <c r="J2020" i="22"/>
  <c r="I2021" i="22"/>
  <c r="J2021" i="22"/>
  <c r="I2022" i="22"/>
  <c r="J2022" i="22"/>
  <c r="I2023" i="22"/>
  <c r="J2023" i="22"/>
  <c r="I2024" i="22"/>
  <c r="J2024" i="22"/>
  <c r="I2025" i="22"/>
  <c r="J2025" i="22"/>
  <c r="I2026" i="22"/>
  <c r="J2026" i="22"/>
  <c r="I2027" i="22"/>
  <c r="J2027" i="22"/>
  <c r="I2028" i="22"/>
  <c r="J2028" i="22"/>
  <c r="I2029" i="22"/>
  <c r="J2029" i="22"/>
  <c r="I2030" i="22"/>
  <c r="J2030" i="22"/>
  <c r="I2104" i="23"/>
  <c r="M2104" i="23"/>
  <c r="N2104" i="23"/>
  <c r="O2104" i="23"/>
  <c r="P2104" i="23"/>
  <c r="I2105" i="23"/>
  <c r="N2105" i="23"/>
  <c r="O2105" i="23"/>
  <c r="P2105" i="23"/>
  <c r="I2106" i="23"/>
  <c r="N2106" i="23"/>
  <c r="O2106" i="23"/>
  <c r="P2106" i="23"/>
  <c r="I2107" i="23"/>
  <c r="N2107" i="23"/>
  <c r="O2107" i="23"/>
  <c r="P2107" i="23"/>
  <c r="I2108" i="23"/>
  <c r="M2108" i="23"/>
  <c r="N2108" i="23"/>
  <c r="O2108" i="23"/>
  <c r="P2108" i="23"/>
  <c r="I2005" i="22"/>
  <c r="J2005" i="22"/>
  <c r="I2006" i="22"/>
  <c r="J2006" i="22"/>
  <c r="I2007" i="22"/>
  <c r="J2007" i="22"/>
  <c r="I2008" i="22"/>
  <c r="J2008" i="22"/>
  <c r="I2009" i="22"/>
  <c r="J2009" i="22"/>
  <c r="I2010" i="22"/>
  <c r="J2010" i="22"/>
  <c r="I2011" i="22"/>
  <c r="J2011" i="22"/>
  <c r="I2012" i="22"/>
  <c r="J2012" i="22"/>
  <c r="J249" i="22"/>
  <c r="I249" i="22"/>
  <c r="J248" i="22"/>
  <c r="I248" i="22"/>
  <c r="J247" i="22"/>
  <c r="I247" i="22"/>
  <c r="J246" i="22"/>
  <c r="I246" i="22"/>
  <c r="I2004" i="22"/>
  <c r="J2004" i="22"/>
  <c r="I2101" i="23"/>
  <c r="N2101" i="23"/>
  <c r="O2101" i="23"/>
  <c r="P2101" i="23"/>
  <c r="I2102" i="23"/>
  <c r="N2102" i="23"/>
  <c r="O2102" i="23"/>
  <c r="P2102" i="23"/>
  <c r="I2103" i="23"/>
  <c r="N2103" i="23"/>
  <c r="O2103" i="23"/>
  <c r="P2103" i="23"/>
  <c r="I1987" i="22"/>
  <c r="J1987" i="22"/>
  <c r="I1988" i="22"/>
  <c r="J1988" i="22"/>
  <c r="I1989" i="22"/>
  <c r="J1989" i="22"/>
  <c r="I1990" i="22"/>
  <c r="J1990" i="22"/>
  <c r="I1991" i="22"/>
  <c r="J1991" i="22"/>
  <c r="I1992" i="22"/>
  <c r="J1992" i="22"/>
  <c r="I1993" i="22"/>
  <c r="J1993" i="22"/>
  <c r="I1994" i="22"/>
  <c r="J1994" i="22"/>
  <c r="I1995" i="22"/>
  <c r="J1995" i="22"/>
  <c r="I1996" i="22"/>
  <c r="J1996" i="22"/>
  <c r="I1997" i="22"/>
  <c r="J1997" i="22"/>
  <c r="I1998" i="22"/>
  <c r="J1998" i="22"/>
  <c r="I1999" i="22"/>
  <c r="J1999" i="22"/>
  <c r="I2000" i="22"/>
  <c r="J2000" i="22"/>
  <c r="I2001" i="22"/>
  <c r="J2001" i="22"/>
  <c r="I2002" i="22"/>
  <c r="J2002" i="22"/>
  <c r="I2003" i="22"/>
  <c r="J2003" i="22"/>
  <c r="I2072" i="23"/>
  <c r="N2072" i="23"/>
  <c r="O2072" i="23"/>
  <c r="P2072" i="23"/>
  <c r="I2073" i="23"/>
  <c r="N2073" i="23"/>
  <c r="O2073" i="23"/>
  <c r="P2073" i="23"/>
  <c r="I2074" i="23"/>
  <c r="N2074" i="23"/>
  <c r="O2074" i="23"/>
  <c r="P2074" i="23"/>
  <c r="I2075" i="23"/>
  <c r="N2075" i="23"/>
  <c r="O2075" i="23"/>
  <c r="P2075" i="23"/>
  <c r="I2076" i="23"/>
  <c r="N2076" i="23"/>
  <c r="O2076" i="23"/>
  <c r="P2076" i="23"/>
  <c r="I2077" i="23"/>
  <c r="N2077" i="23"/>
  <c r="O2077" i="23"/>
  <c r="P2077" i="23"/>
  <c r="I2078" i="23"/>
  <c r="N2078" i="23"/>
  <c r="O2078" i="23"/>
  <c r="P2078" i="23"/>
  <c r="I2079" i="23"/>
  <c r="N2079" i="23"/>
  <c r="O2079" i="23"/>
  <c r="P2079" i="23"/>
  <c r="I2080" i="23"/>
  <c r="N2080" i="23"/>
  <c r="O2080" i="23"/>
  <c r="P2080" i="23"/>
  <c r="I2081" i="23"/>
  <c r="N2081" i="23"/>
  <c r="O2081" i="23"/>
  <c r="P2081" i="23"/>
  <c r="I2082" i="23"/>
  <c r="N2082" i="23"/>
  <c r="O2082" i="23"/>
  <c r="P2082" i="23"/>
  <c r="I2083" i="23"/>
  <c r="N2083" i="23"/>
  <c r="O2083" i="23"/>
  <c r="P2083" i="23"/>
  <c r="I2084" i="23"/>
  <c r="N2084" i="23"/>
  <c r="O2084" i="23"/>
  <c r="P2084" i="23"/>
  <c r="I2085" i="23"/>
  <c r="N2085" i="23"/>
  <c r="O2085" i="23"/>
  <c r="P2085" i="23"/>
  <c r="I2086" i="23"/>
  <c r="N2086" i="23"/>
  <c r="O2086" i="23"/>
  <c r="P2086" i="23"/>
  <c r="I2087" i="23"/>
  <c r="N2087" i="23"/>
  <c r="O2087" i="23"/>
  <c r="P2087" i="23"/>
  <c r="I2088" i="23"/>
  <c r="N2088" i="23"/>
  <c r="O2088" i="23"/>
  <c r="P2088" i="23"/>
  <c r="I2089" i="23"/>
  <c r="N2089" i="23"/>
  <c r="O2089" i="23"/>
  <c r="P2089" i="23"/>
  <c r="I2090" i="23"/>
  <c r="N2090" i="23"/>
  <c r="O2090" i="23"/>
  <c r="P2090" i="23"/>
  <c r="I2091" i="23"/>
  <c r="N2091" i="23"/>
  <c r="O2091" i="23"/>
  <c r="P2091" i="23"/>
  <c r="I2092" i="23"/>
  <c r="N2092" i="23"/>
  <c r="O2092" i="23"/>
  <c r="P2092" i="23"/>
  <c r="I2093" i="23"/>
  <c r="N2093" i="23"/>
  <c r="O2093" i="23"/>
  <c r="P2093" i="23"/>
  <c r="I2094" i="23"/>
  <c r="N2094" i="23"/>
  <c r="O2094" i="23"/>
  <c r="P2094" i="23"/>
  <c r="I2095" i="23"/>
  <c r="N2095" i="23"/>
  <c r="O2095" i="23"/>
  <c r="P2095" i="23"/>
  <c r="I2096" i="23"/>
  <c r="N2096" i="23"/>
  <c r="O2096" i="23"/>
  <c r="P2096" i="23"/>
  <c r="I2097" i="23"/>
  <c r="N2097" i="23"/>
  <c r="O2097" i="23"/>
  <c r="P2097" i="23"/>
  <c r="I2098" i="23"/>
  <c r="N2098" i="23"/>
  <c r="O2098" i="23"/>
  <c r="P2098" i="23"/>
  <c r="I2099" i="23"/>
  <c r="N2099" i="23"/>
  <c r="O2099" i="23"/>
  <c r="P2099" i="23"/>
  <c r="I2100" i="23"/>
  <c r="N2100" i="23"/>
  <c r="O2100" i="23"/>
  <c r="P2100" i="23"/>
  <c r="I1985" i="22"/>
  <c r="J1985" i="22"/>
  <c r="I1986" i="22"/>
  <c r="J1986" i="22"/>
  <c r="I1976" i="22"/>
  <c r="J1976" i="22"/>
  <c r="I1977" i="22"/>
  <c r="J1977" i="22"/>
  <c r="I1978" i="22"/>
  <c r="J1978" i="22"/>
  <c r="I1979" i="22"/>
  <c r="J1979" i="22"/>
  <c r="I1980" i="22"/>
  <c r="J1980" i="22"/>
  <c r="I1981" i="22"/>
  <c r="J1981" i="22"/>
  <c r="I1982" i="22"/>
  <c r="J1982" i="22"/>
  <c r="I1983" i="22"/>
  <c r="J1983" i="22"/>
  <c r="I1984" i="22"/>
  <c r="J1984" i="22"/>
  <c r="I2063" i="23"/>
  <c r="M2063" i="23"/>
  <c r="N2063" i="23"/>
  <c r="O2063" i="23"/>
  <c r="P2063" i="23"/>
  <c r="I2064" i="23"/>
  <c r="M2064" i="23"/>
  <c r="N2064" i="23"/>
  <c r="O2064" i="23"/>
  <c r="P2064" i="23"/>
  <c r="I2065" i="23"/>
  <c r="M2065" i="23"/>
  <c r="N2065" i="23"/>
  <c r="O2065" i="23"/>
  <c r="P2065" i="23"/>
  <c r="I2066" i="23"/>
  <c r="M2066" i="23"/>
  <c r="N2066" i="23"/>
  <c r="O2066" i="23"/>
  <c r="P2066" i="23"/>
  <c r="I2067" i="23"/>
  <c r="N2067" i="23"/>
  <c r="O2067" i="23"/>
  <c r="P2067" i="23"/>
  <c r="I2068" i="23"/>
  <c r="M2068" i="23"/>
  <c r="N2068" i="23"/>
  <c r="O2068" i="23"/>
  <c r="P2068" i="23"/>
  <c r="I2069" i="23"/>
  <c r="M2069" i="23"/>
  <c r="N2069" i="23"/>
  <c r="O2069" i="23"/>
  <c r="P2069" i="23"/>
  <c r="I2070" i="23"/>
  <c r="M2070" i="23"/>
  <c r="N2070" i="23"/>
  <c r="O2070" i="23"/>
  <c r="P2070" i="23"/>
  <c r="I2071" i="23"/>
  <c r="M2071" i="23"/>
  <c r="N2071" i="23"/>
  <c r="O2071" i="23"/>
  <c r="P2071" i="23"/>
  <c r="I1962" i="22"/>
  <c r="J1962" i="22"/>
  <c r="I1963" i="22"/>
  <c r="J1963" i="22"/>
  <c r="I1964" i="22"/>
  <c r="J1964" i="22"/>
  <c r="I1965" i="22"/>
  <c r="J1965" i="22"/>
  <c r="I1966" i="22"/>
  <c r="J1966" i="22"/>
  <c r="I1967" i="22"/>
  <c r="J1967" i="22"/>
  <c r="I1968" i="22"/>
  <c r="J1968" i="22"/>
  <c r="I1969" i="22"/>
  <c r="J1969" i="22"/>
  <c r="I1970" i="22"/>
  <c r="J1970" i="22"/>
  <c r="I1971" i="22"/>
  <c r="J1971" i="22"/>
  <c r="I1972" i="22"/>
  <c r="J1972" i="22"/>
  <c r="I1973" i="22"/>
  <c r="J1973" i="22"/>
  <c r="I1974" i="22"/>
  <c r="J1974" i="22"/>
  <c r="I1975" i="22"/>
  <c r="J1975" i="22"/>
  <c r="I2040" i="23"/>
  <c r="N2040" i="23"/>
  <c r="O2040" i="23"/>
  <c r="P2040" i="23"/>
  <c r="I2041" i="23"/>
  <c r="M2041" i="23"/>
  <c r="N2041" i="23"/>
  <c r="O2041" i="23"/>
  <c r="P2041" i="23"/>
  <c r="I2042" i="23"/>
  <c r="N2042" i="23"/>
  <c r="O2042" i="23"/>
  <c r="P2042" i="23"/>
  <c r="I2043" i="23"/>
  <c r="M2043" i="23"/>
  <c r="N2043" i="23"/>
  <c r="O2043" i="23"/>
  <c r="P2043" i="23"/>
  <c r="I2044" i="23"/>
  <c r="M2044" i="23"/>
  <c r="N2044" i="23"/>
  <c r="O2044" i="23"/>
  <c r="P2044" i="23"/>
  <c r="I2045" i="23"/>
  <c r="M2045" i="23"/>
  <c r="N2045" i="23"/>
  <c r="O2045" i="23"/>
  <c r="P2045" i="23"/>
  <c r="I2046" i="23"/>
  <c r="M2046" i="23"/>
  <c r="N2046" i="23"/>
  <c r="O2046" i="23"/>
  <c r="P2046" i="23"/>
  <c r="I2047" i="23"/>
  <c r="N2047" i="23"/>
  <c r="O2047" i="23"/>
  <c r="P2047" i="23"/>
  <c r="I2048" i="23"/>
  <c r="N2048" i="23"/>
  <c r="O2048" i="23"/>
  <c r="P2048" i="23"/>
  <c r="I2049" i="23"/>
  <c r="N2049" i="23"/>
  <c r="O2049" i="23"/>
  <c r="P2049" i="23"/>
  <c r="I2050" i="23"/>
  <c r="N2050" i="23"/>
  <c r="O2050" i="23"/>
  <c r="P2050" i="23"/>
  <c r="I2051" i="23"/>
  <c r="M2051" i="23"/>
  <c r="N2051" i="23"/>
  <c r="O2051" i="23"/>
  <c r="P2051" i="23"/>
  <c r="I2052" i="23"/>
  <c r="N2052" i="23"/>
  <c r="O2052" i="23"/>
  <c r="P2052" i="23"/>
  <c r="I2053" i="23"/>
  <c r="N2053" i="23"/>
  <c r="O2053" i="23"/>
  <c r="P2053" i="23"/>
  <c r="I2054" i="23"/>
  <c r="N2054" i="23"/>
  <c r="O2054" i="23"/>
  <c r="P2054" i="23"/>
  <c r="I2055" i="23"/>
  <c r="N2055" i="23"/>
  <c r="O2055" i="23"/>
  <c r="P2055" i="23"/>
  <c r="I2056" i="23"/>
  <c r="N2056" i="23"/>
  <c r="O2056" i="23"/>
  <c r="P2056" i="23"/>
  <c r="I2057" i="23"/>
  <c r="N2057" i="23"/>
  <c r="O2057" i="23"/>
  <c r="P2057" i="23"/>
  <c r="I2058" i="23"/>
  <c r="N2058" i="23"/>
  <c r="O2058" i="23"/>
  <c r="P2058" i="23"/>
  <c r="I2059" i="23"/>
  <c r="N2059" i="23"/>
  <c r="O2059" i="23"/>
  <c r="P2059" i="23"/>
  <c r="I2060" i="23"/>
  <c r="N2060" i="23"/>
  <c r="O2060" i="23"/>
  <c r="P2060" i="23"/>
  <c r="I2061" i="23"/>
  <c r="N2061" i="23"/>
  <c r="O2061" i="23"/>
  <c r="P2061" i="23"/>
  <c r="I2062" i="23"/>
  <c r="N2062" i="23"/>
  <c r="O2062" i="23"/>
  <c r="P2062" i="23"/>
  <c r="I1949" i="22"/>
  <c r="J1949" i="22"/>
  <c r="I1950" i="22"/>
  <c r="J1950" i="22"/>
  <c r="I1951" i="22"/>
  <c r="J1951" i="22"/>
  <c r="I1952" i="22"/>
  <c r="J1952" i="22"/>
  <c r="I1953" i="22"/>
  <c r="J1953" i="22"/>
  <c r="I1954" i="22"/>
  <c r="J1954" i="22"/>
  <c r="I1955" i="22"/>
  <c r="J1955" i="22"/>
  <c r="I1956" i="22"/>
  <c r="J1956" i="22"/>
  <c r="I1957" i="22"/>
  <c r="J1957" i="22"/>
  <c r="I1958" i="22"/>
  <c r="J1958" i="22"/>
  <c r="I1959" i="22"/>
  <c r="J1959" i="22"/>
  <c r="I1960" i="22"/>
  <c r="J1960" i="22"/>
  <c r="I1961" i="22"/>
  <c r="J1961" i="22"/>
  <c r="I1935" i="22"/>
  <c r="J1935" i="22"/>
  <c r="I1936" i="22"/>
  <c r="J1936" i="22"/>
  <c r="I1937" i="22"/>
  <c r="J1937" i="22"/>
  <c r="I1938" i="22"/>
  <c r="J1938" i="22"/>
  <c r="I1939" i="22"/>
  <c r="J1939" i="22"/>
  <c r="I1940" i="22"/>
  <c r="J1940" i="22"/>
  <c r="I1941" i="22"/>
  <c r="J1941" i="22"/>
  <c r="I1942" i="22"/>
  <c r="J1942" i="22"/>
  <c r="I1943" i="22"/>
  <c r="J1943" i="22"/>
  <c r="I1944" i="22"/>
  <c r="J1944" i="22"/>
  <c r="I1945" i="22"/>
  <c r="J1945" i="22"/>
  <c r="I1946" i="22"/>
  <c r="J1946" i="22"/>
  <c r="I1947" i="22"/>
  <c r="J1947" i="22"/>
  <c r="I1948" i="22"/>
  <c r="J1948" i="22"/>
  <c r="I2008" i="23"/>
  <c r="M2008" i="23"/>
  <c r="N2008" i="23"/>
  <c r="O2008" i="23"/>
  <c r="P2008" i="23"/>
  <c r="I2009" i="23"/>
  <c r="N2009" i="23"/>
  <c r="O2009" i="23"/>
  <c r="P2009" i="23"/>
  <c r="I2010" i="23"/>
  <c r="N2010" i="23"/>
  <c r="O2010" i="23"/>
  <c r="P2010" i="23"/>
  <c r="I2011" i="23"/>
  <c r="N2011" i="23"/>
  <c r="O2011" i="23"/>
  <c r="P2011" i="23"/>
  <c r="I2012" i="23"/>
  <c r="N2012" i="23"/>
  <c r="O2012" i="23"/>
  <c r="P2012" i="23"/>
  <c r="I2013" i="23"/>
  <c r="N2013" i="23"/>
  <c r="O2013" i="23"/>
  <c r="P2013" i="23"/>
  <c r="I2014" i="23"/>
  <c r="N2014" i="23"/>
  <c r="O2014" i="23"/>
  <c r="P2014" i="23"/>
  <c r="I2015" i="23"/>
  <c r="N2015" i="23"/>
  <c r="O2015" i="23"/>
  <c r="P2015" i="23"/>
  <c r="I2016" i="23"/>
  <c r="N2016" i="23"/>
  <c r="O2016" i="23"/>
  <c r="P2016" i="23"/>
  <c r="I2017" i="23"/>
  <c r="N2017" i="23"/>
  <c r="O2017" i="23"/>
  <c r="P2017" i="23"/>
  <c r="I2018" i="23"/>
  <c r="N2018" i="23"/>
  <c r="O2018" i="23"/>
  <c r="P2018" i="23"/>
  <c r="I2019" i="23"/>
  <c r="N2019" i="23"/>
  <c r="O2019" i="23"/>
  <c r="P2019" i="23"/>
  <c r="I2020" i="23"/>
  <c r="M2020" i="23"/>
  <c r="N2020" i="23"/>
  <c r="O2020" i="23"/>
  <c r="P2020" i="23"/>
  <c r="I2021" i="23"/>
  <c r="M2021" i="23"/>
  <c r="N2021" i="23"/>
  <c r="O2021" i="23"/>
  <c r="P2021" i="23"/>
  <c r="I2022" i="23"/>
  <c r="N2022" i="23"/>
  <c r="O2022" i="23"/>
  <c r="P2022" i="23"/>
  <c r="I2023" i="23"/>
  <c r="N2023" i="23"/>
  <c r="O2023" i="23"/>
  <c r="P2023" i="23"/>
  <c r="I2024" i="23"/>
  <c r="N2024" i="23"/>
  <c r="O2024" i="23"/>
  <c r="P2024" i="23"/>
  <c r="I2025" i="23"/>
  <c r="M2025" i="23"/>
  <c r="N2025" i="23"/>
  <c r="O2025" i="23"/>
  <c r="P2025" i="23"/>
  <c r="I2026" i="23"/>
  <c r="N2026" i="23"/>
  <c r="O2026" i="23"/>
  <c r="P2026" i="23"/>
  <c r="I2027" i="23"/>
  <c r="N2027" i="23"/>
  <c r="O2027" i="23"/>
  <c r="P2027" i="23"/>
  <c r="I2028" i="23"/>
  <c r="M2028" i="23"/>
  <c r="N2028" i="23"/>
  <c r="O2028" i="23"/>
  <c r="P2028" i="23"/>
  <c r="I2029" i="23"/>
  <c r="N2029" i="23"/>
  <c r="O2029" i="23"/>
  <c r="P2029" i="23"/>
  <c r="I2030" i="23"/>
  <c r="N2030" i="23"/>
  <c r="O2030" i="23"/>
  <c r="P2030" i="23"/>
  <c r="I2031" i="23"/>
  <c r="N2031" i="23"/>
  <c r="O2031" i="23"/>
  <c r="P2031" i="23"/>
  <c r="I2032" i="23"/>
  <c r="N2032" i="23"/>
  <c r="O2032" i="23"/>
  <c r="P2032" i="23"/>
  <c r="I2033" i="23"/>
  <c r="N2033" i="23"/>
  <c r="O2033" i="23"/>
  <c r="P2033" i="23"/>
  <c r="I2034" i="23"/>
  <c r="M2034" i="23"/>
  <c r="N2034" i="23"/>
  <c r="O2034" i="23"/>
  <c r="P2034" i="23"/>
  <c r="I2035" i="23"/>
  <c r="M2035" i="23"/>
  <c r="N2035" i="23"/>
  <c r="O2035" i="23"/>
  <c r="P2035" i="23"/>
  <c r="I2036" i="23"/>
  <c r="N2036" i="23"/>
  <c r="O2036" i="23"/>
  <c r="P2036" i="23"/>
  <c r="I2037" i="23"/>
  <c r="M2037" i="23"/>
  <c r="N2037" i="23"/>
  <c r="O2037" i="23"/>
  <c r="P2037" i="23"/>
  <c r="I2038" i="23"/>
  <c r="M2038" i="23"/>
  <c r="N2038" i="23"/>
  <c r="O2038" i="23"/>
  <c r="P2038" i="23"/>
  <c r="I2039" i="23"/>
  <c r="M2039" i="23"/>
  <c r="N2039" i="23"/>
  <c r="O2039" i="23"/>
  <c r="P2039" i="23"/>
  <c r="I1932" i="22"/>
  <c r="J1932" i="22"/>
  <c r="I1933" i="22"/>
  <c r="J1933" i="22"/>
  <c r="I1934" i="22"/>
  <c r="J1934" i="22"/>
  <c r="I1918" i="22"/>
  <c r="J1918" i="22"/>
  <c r="I1919" i="22"/>
  <c r="J1919" i="22"/>
  <c r="I1920" i="22"/>
  <c r="J1920" i="22"/>
  <c r="I1921" i="22"/>
  <c r="J1921" i="22"/>
  <c r="I1922" i="22"/>
  <c r="J1922" i="22"/>
  <c r="I1923" i="22"/>
  <c r="J1923" i="22"/>
  <c r="I1924" i="22"/>
  <c r="J1924" i="22"/>
  <c r="I1925" i="22"/>
  <c r="J1925" i="22"/>
  <c r="I1926" i="22"/>
  <c r="J1926" i="22"/>
  <c r="I1927" i="22"/>
  <c r="J1927" i="22"/>
  <c r="I1928" i="22"/>
  <c r="J1928" i="22"/>
  <c r="I1929" i="22"/>
  <c r="J1929" i="22"/>
  <c r="I1930" i="22"/>
  <c r="J1930" i="22"/>
  <c r="I1931" i="22"/>
  <c r="J1931" i="22"/>
  <c r="I1909" i="22"/>
  <c r="J1909" i="22"/>
  <c r="I1910" i="22"/>
  <c r="J1910" i="22"/>
  <c r="I1911" i="22"/>
  <c r="J1911" i="22"/>
  <c r="I1912" i="22"/>
  <c r="J1912" i="22"/>
  <c r="I1913" i="22"/>
  <c r="J1913" i="22"/>
  <c r="I1914" i="22"/>
  <c r="J1914" i="22"/>
  <c r="I1915" i="22"/>
  <c r="J1915" i="22"/>
  <c r="I1916" i="22"/>
  <c r="J1916" i="22"/>
  <c r="I1917" i="22"/>
  <c r="J1917" i="22"/>
  <c r="I1985" i="23"/>
  <c r="N1985" i="23"/>
  <c r="O1985" i="23"/>
  <c r="P1985" i="23"/>
  <c r="I1986" i="23"/>
  <c r="M1986" i="23"/>
  <c r="N1986" i="23"/>
  <c r="O1986" i="23"/>
  <c r="P1986" i="23"/>
  <c r="I1987" i="23"/>
  <c r="M1987" i="23"/>
  <c r="N1987" i="23"/>
  <c r="O1987" i="23"/>
  <c r="P1987" i="23"/>
  <c r="I1988" i="23"/>
  <c r="M1988" i="23"/>
  <c r="N1988" i="23"/>
  <c r="O1988" i="23"/>
  <c r="P1988" i="23"/>
  <c r="I1989" i="23"/>
  <c r="M1989" i="23"/>
  <c r="N1989" i="23"/>
  <c r="O1989" i="23"/>
  <c r="P1989" i="23"/>
  <c r="I1990" i="23"/>
  <c r="M1990" i="23"/>
  <c r="N1990" i="23"/>
  <c r="O1990" i="23"/>
  <c r="P1990" i="23"/>
  <c r="I1991" i="23"/>
  <c r="M1991" i="23"/>
  <c r="N1991" i="23"/>
  <c r="O1991" i="23"/>
  <c r="P1991" i="23"/>
  <c r="I1992" i="23"/>
  <c r="M1992" i="23"/>
  <c r="N1992" i="23"/>
  <c r="O1992" i="23"/>
  <c r="P1992" i="23"/>
  <c r="I1993" i="23"/>
  <c r="N1993" i="23"/>
  <c r="O1993" i="23"/>
  <c r="P1993" i="23"/>
  <c r="I1994" i="23"/>
  <c r="M1994" i="23"/>
  <c r="N1994" i="23"/>
  <c r="O1994" i="23"/>
  <c r="P1994" i="23"/>
  <c r="I1995" i="23"/>
  <c r="M1995" i="23"/>
  <c r="N1995" i="23"/>
  <c r="O1995" i="23"/>
  <c r="P1995" i="23"/>
  <c r="I1996" i="23"/>
  <c r="M1996" i="23"/>
  <c r="N1996" i="23"/>
  <c r="O1996" i="23"/>
  <c r="P1996" i="23"/>
  <c r="I1997" i="23"/>
  <c r="N1997" i="23"/>
  <c r="O1997" i="23"/>
  <c r="P1997" i="23"/>
  <c r="I1998" i="23"/>
  <c r="N1998" i="23"/>
  <c r="O1998" i="23"/>
  <c r="P1998" i="23"/>
  <c r="I1999" i="23"/>
  <c r="N1999" i="23"/>
  <c r="O1999" i="23"/>
  <c r="P1999" i="23"/>
  <c r="I2000" i="23"/>
  <c r="M2000" i="23"/>
  <c r="N2000" i="23"/>
  <c r="O2000" i="23"/>
  <c r="P2000" i="23"/>
  <c r="I2001" i="23"/>
  <c r="N2001" i="23"/>
  <c r="O2001" i="23"/>
  <c r="P2001" i="23"/>
  <c r="I2002" i="23"/>
  <c r="N2002" i="23"/>
  <c r="O2002" i="23"/>
  <c r="P2002" i="23"/>
  <c r="I2003" i="23"/>
  <c r="N2003" i="23"/>
  <c r="O2003" i="23"/>
  <c r="P2003" i="23"/>
  <c r="I2004" i="23"/>
  <c r="N2004" i="23"/>
  <c r="O2004" i="23"/>
  <c r="P2004" i="23"/>
  <c r="I2005" i="23"/>
  <c r="N2005" i="23"/>
  <c r="O2005" i="23"/>
  <c r="P2005" i="23"/>
  <c r="I2006" i="23"/>
  <c r="N2006" i="23"/>
  <c r="O2006" i="23"/>
  <c r="P2006" i="23"/>
  <c r="I2007" i="23"/>
  <c r="N2007" i="23"/>
  <c r="O2007" i="23"/>
  <c r="P2007" i="23"/>
  <c r="I1983" i="23"/>
  <c r="M1983" i="23"/>
  <c r="N1983" i="23"/>
  <c r="O1983" i="23"/>
  <c r="P1983" i="23"/>
  <c r="I1984" i="23"/>
  <c r="N1984" i="23"/>
  <c r="O1984" i="23"/>
  <c r="P1984" i="23"/>
  <c r="I1953" i="23"/>
  <c r="N1953" i="23"/>
  <c r="O1953" i="23"/>
  <c r="P1953" i="23"/>
  <c r="I1954" i="23"/>
  <c r="N1954" i="23"/>
  <c r="O1954" i="23"/>
  <c r="P1954" i="23"/>
  <c r="I1955" i="23"/>
  <c r="M1955" i="23"/>
  <c r="N1955" i="23"/>
  <c r="O1955" i="23"/>
  <c r="P1955" i="23"/>
  <c r="I1956" i="23"/>
  <c r="M1956" i="23"/>
  <c r="N1956" i="23"/>
  <c r="O1956" i="23"/>
  <c r="P1956" i="23"/>
  <c r="I1957" i="23"/>
  <c r="M1957" i="23"/>
  <c r="N1957" i="23"/>
  <c r="O1957" i="23"/>
  <c r="P1957" i="23"/>
  <c r="I1958" i="23"/>
  <c r="M1958" i="23"/>
  <c r="N1958" i="23"/>
  <c r="O1958" i="23"/>
  <c r="P1958" i="23"/>
  <c r="I1959" i="23"/>
  <c r="M1959" i="23"/>
  <c r="N1959" i="23"/>
  <c r="O1959" i="23"/>
  <c r="P1959" i="23"/>
  <c r="I1960" i="23"/>
  <c r="M1960" i="23"/>
  <c r="N1960" i="23"/>
  <c r="O1960" i="23"/>
  <c r="P1960" i="23"/>
  <c r="I1961" i="23"/>
  <c r="M1961" i="23"/>
  <c r="N1961" i="23"/>
  <c r="O1961" i="23"/>
  <c r="P1961" i="23"/>
  <c r="I1962" i="23"/>
  <c r="M1962" i="23"/>
  <c r="N1962" i="23"/>
  <c r="O1962" i="23"/>
  <c r="P1962" i="23"/>
  <c r="I1963" i="23"/>
  <c r="M1963" i="23"/>
  <c r="N1963" i="23"/>
  <c r="O1963" i="23"/>
  <c r="P1963" i="23"/>
  <c r="I1964" i="23"/>
  <c r="M1964" i="23"/>
  <c r="N1964" i="23"/>
  <c r="O1964" i="23"/>
  <c r="P1964" i="23"/>
  <c r="I1965" i="23"/>
  <c r="M1965" i="23"/>
  <c r="N1965" i="23"/>
  <c r="O1965" i="23"/>
  <c r="P1965" i="23"/>
  <c r="I1966" i="23"/>
  <c r="N1966" i="23"/>
  <c r="O1966" i="23"/>
  <c r="P1966" i="23"/>
  <c r="I1967" i="23"/>
  <c r="M1967" i="23"/>
  <c r="N1967" i="23"/>
  <c r="O1967" i="23"/>
  <c r="P1967" i="23"/>
  <c r="I1968" i="23"/>
  <c r="M1968" i="23"/>
  <c r="N1968" i="23"/>
  <c r="O1968" i="23"/>
  <c r="P1968" i="23"/>
  <c r="I1969" i="23"/>
  <c r="M1969" i="23"/>
  <c r="N1969" i="23"/>
  <c r="O1969" i="23"/>
  <c r="P1969" i="23"/>
  <c r="I1970" i="23"/>
  <c r="M1970" i="23"/>
  <c r="N1970" i="23"/>
  <c r="O1970" i="23"/>
  <c r="P1970" i="23"/>
  <c r="I1971" i="23"/>
  <c r="N1971" i="23"/>
  <c r="O1971" i="23"/>
  <c r="P1971" i="23"/>
  <c r="I1972" i="23"/>
  <c r="N1972" i="23"/>
  <c r="O1972" i="23"/>
  <c r="P1972" i="23"/>
  <c r="I1973" i="23"/>
  <c r="N1973" i="23"/>
  <c r="O1973" i="23"/>
  <c r="P1973" i="23"/>
  <c r="I1974" i="23"/>
  <c r="N1974" i="23"/>
  <c r="O1974" i="23"/>
  <c r="P1974" i="23"/>
  <c r="I1975" i="23"/>
  <c r="N1975" i="23"/>
  <c r="O1975" i="23"/>
  <c r="P1975" i="23"/>
  <c r="I1976" i="23"/>
  <c r="N1976" i="23"/>
  <c r="O1976" i="23"/>
  <c r="P1976" i="23"/>
  <c r="I1977" i="23"/>
  <c r="N1977" i="23"/>
  <c r="O1977" i="23"/>
  <c r="P1977" i="23"/>
  <c r="I1978" i="23"/>
  <c r="N1978" i="23"/>
  <c r="O1978" i="23"/>
  <c r="P1978" i="23"/>
  <c r="I1979" i="23"/>
  <c r="N1979" i="23"/>
  <c r="O1979" i="23"/>
  <c r="P1979" i="23"/>
  <c r="I1980" i="23"/>
  <c r="M1980" i="23"/>
  <c r="N1980" i="23"/>
  <c r="O1980" i="23"/>
  <c r="P1980" i="23"/>
  <c r="I1981" i="23"/>
  <c r="N1981" i="23"/>
  <c r="O1981" i="23"/>
  <c r="P1981" i="23"/>
  <c r="I1982" i="23"/>
  <c r="M1982" i="23"/>
  <c r="N1982" i="23"/>
  <c r="O1982" i="23"/>
  <c r="P1982" i="23"/>
  <c r="I1951" i="23" l="1"/>
  <c r="N1951" i="23"/>
  <c r="O1951" i="23"/>
  <c r="P1951" i="23"/>
  <c r="I1952" i="23"/>
  <c r="N1952" i="23"/>
  <c r="O1952" i="23"/>
  <c r="P1952" i="23"/>
  <c r="I1920" i="23"/>
  <c r="N1920" i="23"/>
  <c r="O1920" i="23"/>
  <c r="P1920" i="23"/>
  <c r="I1921" i="23"/>
  <c r="N1921" i="23"/>
  <c r="O1921" i="23"/>
  <c r="P1921" i="23"/>
  <c r="I1922" i="23"/>
  <c r="M1922" i="23"/>
  <c r="N1922" i="23"/>
  <c r="O1922" i="23"/>
  <c r="P1922" i="23"/>
  <c r="I1923" i="23"/>
  <c r="M1923" i="23"/>
  <c r="N1923" i="23"/>
  <c r="O1923" i="23"/>
  <c r="P1923" i="23"/>
  <c r="I1924" i="23"/>
  <c r="M1924" i="23"/>
  <c r="N1924" i="23"/>
  <c r="O1924" i="23"/>
  <c r="P1924" i="23"/>
  <c r="I1925" i="23"/>
  <c r="M1925" i="23"/>
  <c r="N1925" i="23"/>
  <c r="O1925" i="23"/>
  <c r="P1925" i="23"/>
  <c r="I1926" i="23"/>
  <c r="N1926" i="23"/>
  <c r="O1926" i="23"/>
  <c r="P1926" i="23"/>
  <c r="I1927" i="23"/>
  <c r="M1927" i="23"/>
  <c r="N1927" i="23"/>
  <c r="O1927" i="23"/>
  <c r="P1927" i="23"/>
  <c r="I1928" i="23"/>
  <c r="N1928" i="23"/>
  <c r="O1928" i="23"/>
  <c r="P1928" i="23"/>
  <c r="I1929" i="23"/>
  <c r="M1929" i="23"/>
  <c r="N1929" i="23"/>
  <c r="O1929" i="23"/>
  <c r="P1929" i="23"/>
  <c r="I1930" i="23"/>
  <c r="N1930" i="23"/>
  <c r="O1930" i="23"/>
  <c r="P1930" i="23"/>
  <c r="I1931" i="23"/>
  <c r="M1931" i="23"/>
  <c r="N1931" i="23"/>
  <c r="O1931" i="23"/>
  <c r="P1931" i="23"/>
  <c r="I1932" i="23"/>
  <c r="M1932" i="23"/>
  <c r="N1932" i="23"/>
  <c r="O1932" i="23"/>
  <c r="P1932" i="23"/>
  <c r="I1933" i="23"/>
  <c r="M1933" i="23"/>
  <c r="N1933" i="23"/>
  <c r="O1933" i="23"/>
  <c r="P1933" i="23"/>
  <c r="I1934" i="23"/>
  <c r="N1934" i="23"/>
  <c r="O1934" i="23"/>
  <c r="P1934" i="23"/>
  <c r="I1935" i="23"/>
  <c r="N1935" i="23"/>
  <c r="O1935" i="23"/>
  <c r="P1935" i="23"/>
  <c r="I1936" i="23"/>
  <c r="N1936" i="23"/>
  <c r="O1936" i="23"/>
  <c r="P1936" i="23"/>
  <c r="I1937" i="23"/>
  <c r="N1937" i="23"/>
  <c r="O1937" i="23"/>
  <c r="P1937" i="23"/>
  <c r="I1938" i="23"/>
  <c r="N1938" i="23"/>
  <c r="O1938" i="23"/>
  <c r="P1938" i="23"/>
  <c r="I1939" i="23"/>
  <c r="N1939" i="23"/>
  <c r="O1939" i="23"/>
  <c r="P1939" i="23"/>
  <c r="I1940" i="23"/>
  <c r="N1940" i="23"/>
  <c r="O1940" i="23"/>
  <c r="P1940" i="23"/>
  <c r="I1941" i="23"/>
  <c r="N1941" i="23"/>
  <c r="O1941" i="23"/>
  <c r="P1941" i="23"/>
  <c r="I1942" i="23"/>
  <c r="N1942" i="23"/>
  <c r="O1942" i="23"/>
  <c r="P1942" i="23"/>
  <c r="I1943" i="23"/>
  <c r="M1943" i="23"/>
  <c r="N1943" i="23"/>
  <c r="O1943" i="23"/>
  <c r="P1943" i="23"/>
  <c r="I1944" i="23"/>
  <c r="N1944" i="23"/>
  <c r="O1944" i="23"/>
  <c r="P1944" i="23"/>
  <c r="I1945" i="23"/>
  <c r="M1945" i="23"/>
  <c r="N1945" i="23"/>
  <c r="O1945" i="23"/>
  <c r="P1945" i="23"/>
  <c r="I1946" i="23"/>
  <c r="N1946" i="23"/>
  <c r="O1946" i="23"/>
  <c r="P1946" i="23"/>
  <c r="I1947" i="23"/>
  <c r="N1947" i="23"/>
  <c r="O1947" i="23"/>
  <c r="P1947" i="23"/>
  <c r="I1948" i="23"/>
  <c r="M1948" i="23"/>
  <c r="N1948" i="23"/>
  <c r="O1948" i="23"/>
  <c r="P1948" i="23"/>
  <c r="I1949" i="23"/>
  <c r="N1949" i="23"/>
  <c r="O1949" i="23"/>
  <c r="P1949" i="23"/>
  <c r="I1950" i="23"/>
  <c r="N1950" i="23"/>
  <c r="O1950" i="23"/>
  <c r="P1950" i="23"/>
  <c r="I1743" i="23"/>
  <c r="J1743" i="23" s="1"/>
  <c r="M1743" i="23"/>
  <c r="N1743" i="23"/>
  <c r="O1743" i="23"/>
  <c r="P1743" i="23"/>
  <c r="I1744" i="23"/>
  <c r="J1744" i="23" s="1"/>
  <c r="M1744" i="23"/>
  <c r="N1744" i="23"/>
  <c r="O1744" i="23"/>
  <c r="P1744" i="23"/>
  <c r="I1745" i="23"/>
  <c r="J1745" i="23" s="1"/>
  <c r="M1745" i="23"/>
  <c r="N1745" i="23"/>
  <c r="O1745" i="23"/>
  <c r="P1745" i="23"/>
  <c r="I1746" i="23"/>
  <c r="J1746" i="23" s="1"/>
  <c r="M1746" i="23"/>
  <c r="N1746" i="23"/>
  <c r="O1746" i="23"/>
  <c r="P1746" i="23"/>
  <c r="I1747" i="23"/>
  <c r="J1747" i="23" s="1"/>
  <c r="M1747" i="23"/>
  <c r="N1747" i="23"/>
  <c r="O1747" i="23"/>
  <c r="P1747" i="23"/>
  <c r="I1748" i="23"/>
  <c r="J1748" i="23" s="1"/>
  <c r="M1748" i="23"/>
  <c r="N1748" i="23"/>
  <c r="O1748" i="23"/>
  <c r="P1748" i="23"/>
  <c r="I1749" i="23"/>
  <c r="J1749" i="23" s="1"/>
  <c r="M1749" i="23"/>
  <c r="N1749" i="23"/>
  <c r="O1749" i="23"/>
  <c r="P1749" i="23"/>
  <c r="I1750" i="23"/>
  <c r="J1750" i="23" s="1"/>
  <c r="M1750" i="23"/>
  <c r="N1750" i="23"/>
  <c r="O1750" i="23"/>
  <c r="P1750" i="23"/>
  <c r="I1751" i="23"/>
  <c r="J1751" i="23" s="1"/>
  <c r="M1751" i="23"/>
  <c r="N1751" i="23"/>
  <c r="O1751" i="23"/>
  <c r="P1751" i="23"/>
  <c r="I1752" i="23"/>
  <c r="J1752" i="23" s="1"/>
  <c r="M1752" i="23"/>
  <c r="N1752" i="23"/>
  <c r="O1752" i="23"/>
  <c r="P1752" i="23"/>
  <c r="I1753" i="23"/>
  <c r="J1753" i="23" s="1"/>
  <c r="M1753" i="23"/>
  <c r="N1753" i="23"/>
  <c r="O1753" i="23"/>
  <c r="P1753" i="23"/>
  <c r="I1754" i="23"/>
  <c r="J1754" i="23" s="1"/>
  <c r="M1754" i="23"/>
  <c r="N1754" i="23"/>
  <c r="O1754" i="23"/>
  <c r="P1754" i="23"/>
  <c r="I1755" i="23"/>
  <c r="J1755" i="23" s="1"/>
  <c r="M1755" i="23"/>
  <c r="N1755" i="23"/>
  <c r="O1755" i="23"/>
  <c r="P1755" i="23"/>
  <c r="I1756" i="23"/>
  <c r="J1756" i="23" s="1"/>
  <c r="M1756" i="23"/>
  <c r="N1756" i="23"/>
  <c r="O1756" i="23"/>
  <c r="P1756" i="23"/>
  <c r="I1757" i="23"/>
  <c r="J1757" i="23" s="1"/>
  <c r="M1757" i="23"/>
  <c r="N1757" i="23"/>
  <c r="O1757" i="23"/>
  <c r="P1757" i="23"/>
  <c r="I1758" i="23"/>
  <c r="J1758" i="23" s="1"/>
  <c r="M1758" i="23"/>
  <c r="N1758" i="23"/>
  <c r="O1758" i="23"/>
  <c r="P1758" i="23"/>
  <c r="I1759" i="23"/>
  <c r="J1759" i="23" s="1"/>
  <c r="M1759" i="23"/>
  <c r="N1759" i="23"/>
  <c r="O1759" i="23"/>
  <c r="P1759" i="23"/>
  <c r="I1760" i="23"/>
  <c r="J1760" i="23" s="1"/>
  <c r="M1760" i="23"/>
  <c r="N1760" i="23"/>
  <c r="O1760" i="23"/>
  <c r="P1760" i="23"/>
  <c r="I1761" i="23"/>
  <c r="J1761" i="23" s="1"/>
  <c r="M1761" i="23"/>
  <c r="N1761" i="23"/>
  <c r="O1761" i="23"/>
  <c r="P1761" i="23"/>
  <c r="I1762" i="23"/>
  <c r="J1762" i="23" s="1"/>
  <c r="M1762" i="23"/>
  <c r="N1762" i="23"/>
  <c r="O1762" i="23"/>
  <c r="P1762" i="23"/>
  <c r="I1763" i="23"/>
  <c r="J1763" i="23" s="1"/>
  <c r="M1763" i="23"/>
  <c r="N1763" i="23"/>
  <c r="O1763" i="23"/>
  <c r="P1763" i="23"/>
  <c r="I1764" i="23"/>
  <c r="J1764" i="23" s="1"/>
  <c r="M1764" i="23"/>
  <c r="N1764" i="23"/>
  <c r="O1764" i="23"/>
  <c r="P1764" i="23"/>
  <c r="I1765" i="23"/>
  <c r="J1765" i="23" s="1"/>
  <c r="M1765" i="23"/>
  <c r="N1765" i="23"/>
  <c r="O1765" i="23"/>
  <c r="P1765" i="23"/>
  <c r="I1766" i="23"/>
  <c r="J1766" i="23" s="1"/>
  <c r="M1766" i="23"/>
  <c r="N1766" i="23"/>
  <c r="O1766" i="23"/>
  <c r="P1766" i="23"/>
  <c r="I1767" i="23"/>
  <c r="J1767" i="23" s="1"/>
  <c r="M1767" i="23"/>
  <c r="N1767" i="23"/>
  <c r="O1767" i="23"/>
  <c r="P1767" i="23"/>
  <c r="I1768" i="23"/>
  <c r="J1768" i="23" s="1"/>
  <c r="M1768" i="23"/>
  <c r="N1768" i="23"/>
  <c r="O1768" i="23"/>
  <c r="P1768" i="23"/>
  <c r="I1769" i="23"/>
  <c r="J1769" i="23" s="1"/>
  <c r="M1769" i="23"/>
  <c r="N1769" i="23"/>
  <c r="O1769" i="23"/>
  <c r="P1769" i="23"/>
  <c r="I1770" i="23"/>
  <c r="J1770" i="23" s="1"/>
  <c r="M1770" i="23"/>
  <c r="N1770" i="23"/>
  <c r="O1770" i="23"/>
  <c r="P1770" i="23"/>
  <c r="I1771" i="23"/>
  <c r="J1771" i="23" s="1"/>
  <c r="M1771" i="23"/>
  <c r="N1771" i="23"/>
  <c r="O1771" i="23"/>
  <c r="P1771" i="23"/>
  <c r="I1772" i="23"/>
  <c r="M1772" i="23"/>
  <c r="N1772" i="23"/>
  <c r="O1772" i="23"/>
  <c r="P1772" i="23"/>
  <c r="I1773" i="23"/>
  <c r="J1773" i="23" s="1"/>
  <c r="M1773" i="23"/>
  <c r="N1773" i="23"/>
  <c r="O1773" i="23"/>
  <c r="P1773" i="23"/>
  <c r="I1774" i="23"/>
  <c r="J1774" i="23" s="1"/>
  <c r="M1774" i="23"/>
  <c r="N1774" i="23"/>
  <c r="O1774" i="23"/>
  <c r="P1774" i="23"/>
  <c r="I1775" i="23"/>
  <c r="J1775" i="23" s="1"/>
  <c r="M1775" i="23"/>
  <c r="N1775" i="23"/>
  <c r="O1775" i="23"/>
  <c r="P1775" i="23"/>
  <c r="I1776" i="23"/>
  <c r="J1776" i="23" s="1"/>
  <c r="M1776" i="23"/>
  <c r="N1776" i="23"/>
  <c r="O1776" i="23"/>
  <c r="P1776" i="23"/>
  <c r="I1777" i="23"/>
  <c r="J1777" i="23" s="1"/>
  <c r="M1777" i="23"/>
  <c r="N1777" i="23"/>
  <c r="O1777" i="23"/>
  <c r="P1777" i="23"/>
  <c r="I1778" i="23"/>
  <c r="J1778" i="23" s="1"/>
  <c r="M1778" i="23"/>
  <c r="N1778" i="23"/>
  <c r="O1778" i="23"/>
  <c r="P1778" i="23"/>
  <c r="I1779" i="23"/>
  <c r="J1779" i="23" s="1"/>
  <c r="M1779" i="23"/>
  <c r="N1779" i="23"/>
  <c r="O1779" i="23"/>
  <c r="P1779" i="23"/>
  <c r="I1780" i="23"/>
  <c r="J1780" i="23" s="1"/>
  <c r="M1780" i="23"/>
  <c r="N1780" i="23"/>
  <c r="O1780" i="23"/>
  <c r="P1780" i="23"/>
  <c r="I1781" i="23"/>
  <c r="J1781" i="23" s="1"/>
  <c r="M1781" i="23"/>
  <c r="N1781" i="23"/>
  <c r="O1781" i="23"/>
  <c r="P1781" i="23"/>
  <c r="I1782" i="23"/>
  <c r="J1782" i="23" s="1"/>
  <c r="M1782" i="23"/>
  <c r="N1782" i="23"/>
  <c r="O1782" i="23"/>
  <c r="P1782" i="23"/>
  <c r="I1783" i="23"/>
  <c r="J1783" i="23" s="1"/>
  <c r="M1783" i="23"/>
  <c r="N1783" i="23"/>
  <c r="O1783" i="23"/>
  <c r="P1783" i="23"/>
  <c r="I1784" i="23"/>
  <c r="J1784" i="23" s="1"/>
  <c r="M1784" i="23"/>
  <c r="N1784" i="23"/>
  <c r="O1784" i="23"/>
  <c r="P1784" i="23"/>
  <c r="I1785" i="23"/>
  <c r="J1785" i="23" s="1"/>
  <c r="M1785" i="23"/>
  <c r="N1785" i="23"/>
  <c r="O1785" i="23"/>
  <c r="P1785" i="23"/>
  <c r="I1786" i="23"/>
  <c r="J1786" i="23" s="1"/>
  <c r="M1786" i="23"/>
  <c r="N1786" i="23"/>
  <c r="O1786" i="23"/>
  <c r="P1786" i="23"/>
  <c r="I1787" i="23"/>
  <c r="J1787" i="23" s="1"/>
  <c r="M1787" i="23"/>
  <c r="N1787" i="23"/>
  <c r="O1787" i="23"/>
  <c r="P1787" i="23"/>
  <c r="I1788" i="23"/>
  <c r="J1788" i="23" s="1"/>
  <c r="M1788" i="23"/>
  <c r="N1788" i="23"/>
  <c r="O1788" i="23"/>
  <c r="P1788" i="23"/>
  <c r="I1789" i="23"/>
  <c r="J1789" i="23" s="1"/>
  <c r="M1789" i="23"/>
  <c r="N1789" i="23"/>
  <c r="O1789" i="23"/>
  <c r="P1789" i="23"/>
  <c r="I1790" i="23"/>
  <c r="J1790" i="23" s="1"/>
  <c r="M1790" i="23"/>
  <c r="N1790" i="23"/>
  <c r="O1790" i="23"/>
  <c r="P1790" i="23"/>
  <c r="I1791" i="23"/>
  <c r="J1791" i="23" s="1"/>
  <c r="M1791" i="23"/>
  <c r="N1791" i="23"/>
  <c r="O1791" i="23"/>
  <c r="P1791" i="23"/>
  <c r="I1792" i="23"/>
  <c r="J1792" i="23" s="1"/>
  <c r="M1792" i="23"/>
  <c r="N1792" i="23"/>
  <c r="O1792" i="23"/>
  <c r="P1792" i="23"/>
  <c r="I1793" i="23"/>
  <c r="J1793" i="23" s="1"/>
  <c r="M1793" i="23"/>
  <c r="N1793" i="23"/>
  <c r="O1793" i="23"/>
  <c r="P1793" i="23"/>
  <c r="I1794" i="23"/>
  <c r="J1794" i="23" s="1"/>
  <c r="M1794" i="23"/>
  <c r="N1794" i="23"/>
  <c r="O1794" i="23"/>
  <c r="P1794" i="23"/>
  <c r="I1795" i="23"/>
  <c r="J1795" i="23" s="1"/>
  <c r="M1795" i="23"/>
  <c r="N1795" i="23"/>
  <c r="O1795" i="23"/>
  <c r="P1795" i="23"/>
  <c r="I1796" i="23"/>
  <c r="J1796" i="23" s="1"/>
  <c r="M1796" i="23"/>
  <c r="N1796" i="23"/>
  <c r="O1796" i="23"/>
  <c r="P1796" i="23"/>
  <c r="I1797" i="23"/>
  <c r="J1797" i="23" s="1"/>
  <c r="M1797" i="23"/>
  <c r="N1797" i="23"/>
  <c r="O1797" i="23"/>
  <c r="P1797" i="23"/>
  <c r="I1798" i="23"/>
  <c r="J1798" i="23" s="1"/>
  <c r="M1798" i="23"/>
  <c r="N1798" i="23"/>
  <c r="O1798" i="23"/>
  <c r="P1798" i="23"/>
  <c r="I1799" i="23"/>
  <c r="J1799" i="23" s="1"/>
  <c r="M1799" i="23"/>
  <c r="N1799" i="23"/>
  <c r="O1799" i="23"/>
  <c r="P1799" i="23"/>
  <c r="I1800" i="23"/>
  <c r="J1800" i="23" s="1"/>
  <c r="M1800" i="23"/>
  <c r="N1800" i="23"/>
  <c r="O1800" i="23"/>
  <c r="P1800" i="23"/>
  <c r="I1801" i="23"/>
  <c r="J1801" i="23" s="1"/>
  <c r="M1801" i="23"/>
  <c r="N1801" i="23"/>
  <c r="O1801" i="23"/>
  <c r="P1801" i="23"/>
  <c r="I1802" i="23"/>
  <c r="J1802" i="23" s="1"/>
  <c r="M1802" i="23"/>
  <c r="N1802" i="23"/>
  <c r="O1802" i="23"/>
  <c r="P1802" i="23"/>
  <c r="I1803" i="23"/>
  <c r="J1803" i="23" s="1"/>
  <c r="M1803" i="23"/>
  <c r="N1803" i="23"/>
  <c r="O1803" i="23"/>
  <c r="P1803" i="23"/>
  <c r="I1804" i="23"/>
  <c r="J1804" i="23" s="1"/>
  <c r="M1804" i="23"/>
  <c r="N1804" i="23"/>
  <c r="O1804" i="23"/>
  <c r="P1804" i="23"/>
  <c r="I1805" i="23"/>
  <c r="J1805" i="23" s="1"/>
  <c r="M1805" i="23"/>
  <c r="N1805" i="23"/>
  <c r="O1805" i="23"/>
  <c r="P1805" i="23"/>
  <c r="I1806" i="23"/>
  <c r="J1806" i="23" s="1"/>
  <c r="M1806" i="23"/>
  <c r="N1806" i="23"/>
  <c r="O1806" i="23"/>
  <c r="P1806" i="23"/>
  <c r="I1807" i="23"/>
  <c r="J1807" i="23" s="1"/>
  <c r="M1807" i="23"/>
  <c r="N1807" i="23"/>
  <c r="O1807" i="23"/>
  <c r="P1807" i="23"/>
  <c r="I1808" i="23"/>
  <c r="J1808" i="23" s="1"/>
  <c r="M1808" i="23"/>
  <c r="N1808" i="23"/>
  <c r="O1808" i="23"/>
  <c r="P1808" i="23"/>
  <c r="I1809" i="23"/>
  <c r="J1809" i="23" s="1"/>
  <c r="M1809" i="23"/>
  <c r="N1809" i="23"/>
  <c r="O1809" i="23"/>
  <c r="P1809" i="23"/>
  <c r="I1810" i="23"/>
  <c r="J1810" i="23" s="1"/>
  <c r="M1810" i="23"/>
  <c r="N1810" i="23"/>
  <c r="O1810" i="23"/>
  <c r="P1810" i="23"/>
  <c r="I1811" i="23"/>
  <c r="J1811" i="23" s="1"/>
  <c r="M1811" i="23"/>
  <c r="N1811" i="23"/>
  <c r="O1811" i="23"/>
  <c r="P1811" i="23"/>
  <c r="I1812" i="23"/>
  <c r="J1812" i="23" s="1"/>
  <c r="M1812" i="23"/>
  <c r="N1812" i="23"/>
  <c r="O1812" i="23"/>
  <c r="P1812" i="23"/>
  <c r="I1813" i="23"/>
  <c r="J1813" i="23" s="1"/>
  <c r="M1813" i="23"/>
  <c r="N1813" i="23"/>
  <c r="O1813" i="23"/>
  <c r="P1813" i="23"/>
  <c r="I1814" i="23"/>
  <c r="J1814" i="23" s="1"/>
  <c r="M1814" i="23"/>
  <c r="N1814" i="23"/>
  <c r="O1814" i="23"/>
  <c r="P1814" i="23"/>
  <c r="I1815" i="23"/>
  <c r="J1815" i="23" s="1"/>
  <c r="M1815" i="23"/>
  <c r="N1815" i="23"/>
  <c r="O1815" i="23"/>
  <c r="P1815" i="23"/>
  <c r="I1816" i="23"/>
  <c r="J1816" i="23" s="1"/>
  <c r="M1816" i="23"/>
  <c r="N1816" i="23"/>
  <c r="O1816" i="23"/>
  <c r="P1816" i="23"/>
  <c r="I1817" i="23"/>
  <c r="J1817" i="23" s="1"/>
  <c r="M1817" i="23"/>
  <c r="N1817" i="23"/>
  <c r="O1817" i="23"/>
  <c r="P1817" i="23"/>
  <c r="I1818" i="23"/>
  <c r="J1818" i="23" s="1"/>
  <c r="M1818" i="23"/>
  <c r="N1818" i="23"/>
  <c r="O1818" i="23"/>
  <c r="P1818" i="23"/>
  <c r="I1819" i="23"/>
  <c r="J1819" i="23" s="1"/>
  <c r="M1819" i="23"/>
  <c r="N1819" i="23"/>
  <c r="O1819" i="23"/>
  <c r="P1819" i="23"/>
  <c r="I1820" i="23"/>
  <c r="J1820" i="23" s="1"/>
  <c r="M1820" i="23"/>
  <c r="N1820" i="23"/>
  <c r="O1820" i="23"/>
  <c r="P1820" i="23"/>
  <c r="I1821" i="23"/>
  <c r="J1821" i="23" s="1"/>
  <c r="M1821" i="23"/>
  <c r="N1821" i="23"/>
  <c r="O1821" i="23"/>
  <c r="P1821" i="23"/>
  <c r="I1822" i="23"/>
  <c r="J1822" i="23" s="1"/>
  <c r="M1822" i="23"/>
  <c r="N1822" i="23"/>
  <c r="O1822" i="23"/>
  <c r="P1822" i="23"/>
  <c r="I1823" i="23"/>
  <c r="J1823" i="23" s="1"/>
  <c r="M1823" i="23"/>
  <c r="N1823" i="23"/>
  <c r="O1823" i="23"/>
  <c r="P1823" i="23"/>
  <c r="I1824" i="23"/>
  <c r="J1824" i="23" s="1"/>
  <c r="M1824" i="23"/>
  <c r="N1824" i="23"/>
  <c r="O1824" i="23"/>
  <c r="P1824" i="23"/>
  <c r="I1825" i="23"/>
  <c r="J1825" i="23" s="1"/>
  <c r="M1825" i="23"/>
  <c r="N1825" i="23"/>
  <c r="O1825" i="23"/>
  <c r="P1825" i="23"/>
  <c r="I1826" i="23"/>
  <c r="J1826" i="23" s="1"/>
  <c r="M1826" i="23"/>
  <c r="N1826" i="23"/>
  <c r="O1826" i="23"/>
  <c r="P1826" i="23"/>
  <c r="I1827" i="23"/>
  <c r="N1827" i="23"/>
  <c r="O1827" i="23"/>
  <c r="P1827" i="23"/>
  <c r="I1828" i="23"/>
  <c r="J1828" i="23" s="1"/>
  <c r="M1828" i="23"/>
  <c r="N1828" i="23"/>
  <c r="O1828" i="23"/>
  <c r="P1828" i="23"/>
  <c r="I1829" i="23"/>
  <c r="J1829" i="23" s="1"/>
  <c r="M1829" i="23"/>
  <c r="N1829" i="23"/>
  <c r="O1829" i="23"/>
  <c r="P1829" i="23"/>
  <c r="I1830" i="23"/>
  <c r="J1830" i="23" s="1"/>
  <c r="M1830" i="23"/>
  <c r="N1830" i="23"/>
  <c r="O1830" i="23"/>
  <c r="P1830" i="23"/>
  <c r="I1831" i="23"/>
  <c r="J1831" i="23" s="1"/>
  <c r="M1831" i="23"/>
  <c r="N1831" i="23"/>
  <c r="O1831" i="23"/>
  <c r="P1831" i="23"/>
  <c r="I1832" i="23"/>
  <c r="J1832" i="23" s="1"/>
  <c r="M1832" i="23"/>
  <c r="N1832" i="23"/>
  <c r="O1832" i="23"/>
  <c r="P1832" i="23"/>
  <c r="I1833" i="23"/>
  <c r="J1833" i="23" s="1"/>
  <c r="M1833" i="23"/>
  <c r="N1833" i="23"/>
  <c r="O1833" i="23"/>
  <c r="P1833" i="23"/>
  <c r="I1834" i="23"/>
  <c r="J1834" i="23" s="1"/>
  <c r="M1834" i="23"/>
  <c r="N1834" i="23"/>
  <c r="O1834" i="23"/>
  <c r="P1834" i="23"/>
  <c r="I1835" i="23"/>
  <c r="J1835" i="23" s="1"/>
  <c r="M1835" i="23"/>
  <c r="N1835" i="23"/>
  <c r="O1835" i="23"/>
  <c r="P1835" i="23"/>
  <c r="I1836" i="23"/>
  <c r="J1836" i="23" s="1"/>
  <c r="M1836" i="23"/>
  <c r="N1836" i="23"/>
  <c r="O1836" i="23"/>
  <c r="P1836" i="23"/>
  <c r="I1837" i="23"/>
  <c r="J1837" i="23" s="1"/>
  <c r="M1837" i="23"/>
  <c r="N1837" i="23"/>
  <c r="O1837" i="23"/>
  <c r="P1837" i="23"/>
  <c r="I1838" i="23"/>
  <c r="J1838" i="23" s="1"/>
  <c r="M1838" i="23"/>
  <c r="N1838" i="23"/>
  <c r="O1838" i="23"/>
  <c r="P1838" i="23"/>
  <c r="I1839" i="23"/>
  <c r="J1839" i="23" s="1"/>
  <c r="M1839" i="23"/>
  <c r="N1839" i="23"/>
  <c r="O1839" i="23"/>
  <c r="P1839" i="23"/>
  <c r="I1840" i="23"/>
  <c r="J1840" i="23" s="1"/>
  <c r="M1840" i="23"/>
  <c r="N1840" i="23"/>
  <c r="O1840" i="23"/>
  <c r="P1840" i="23"/>
  <c r="I1841" i="23"/>
  <c r="J1841" i="23" s="1"/>
  <c r="M1841" i="23"/>
  <c r="N1841" i="23"/>
  <c r="O1841" i="23"/>
  <c r="P1841" i="23"/>
  <c r="I1842" i="23"/>
  <c r="J1842" i="23" s="1"/>
  <c r="M1842" i="23"/>
  <c r="N1842" i="23"/>
  <c r="O1842" i="23"/>
  <c r="P1842" i="23"/>
  <c r="I1843" i="23"/>
  <c r="J1843" i="23" s="1"/>
  <c r="M1843" i="23"/>
  <c r="N1843" i="23"/>
  <c r="O1843" i="23"/>
  <c r="P1843" i="23"/>
  <c r="I1844" i="23"/>
  <c r="N1844" i="23"/>
  <c r="O1844" i="23"/>
  <c r="P1844" i="23"/>
  <c r="I1845" i="23"/>
  <c r="J1845" i="23" s="1"/>
  <c r="M1845" i="23"/>
  <c r="N1845" i="23"/>
  <c r="O1845" i="23"/>
  <c r="P1845" i="23"/>
  <c r="I1846" i="23"/>
  <c r="M1846" i="23"/>
  <c r="N1846" i="23"/>
  <c r="O1846" i="23"/>
  <c r="P1846" i="23"/>
  <c r="I1847" i="23"/>
  <c r="J1847" i="23" s="1"/>
  <c r="M1847" i="23"/>
  <c r="N1847" i="23"/>
  <c r="O1847" i="23"/>
  <c r="P1847" i="23"/>
  <c r="I1848" i="23"/>
  <c r="J1848" i="23" s="1"/>
  <c r="M1848" i="23"/>
  <c r="N1848" i="23"/>
  <c r="O1848" i="23"/>
  <c r="P1848" i="23"/>
  <c r="I1849" i="23"/>
  <c r="J1849" i="23" s="1"/>
  <c r="M1849" i="23"/>
  <c r="N1849" i="23"/>
  <c r="O1849" i="23"/>
  <c r="P1849" i="23"/>
  <c r="I1850" i="23"/>
  <c r="J1850" i="23" s="1"/>
  <c r="M1850" i="23"/>
  <c r="N1850" i="23"/>
  <c r="O1850" i="23"/>
  <c r="P1850" i="23"/>
  <c r="I1851" i="23"/>
  <c r="J1851" i="23" s="1"/>
  <c r="M1851" i="23"/>
  <c r="N1851" i="23"/>
  <c r="O1851" i="23"/>
  <c r="P1851" i="23"/>
  <c r="I1852" i="23"/>
  <c r="J1852" i="23" s="1"/>
  <c r="M1852" i="23"/>
  <c r="N1852" i="23"/>
  <c r="O1852" i="23"/>
  <c r="P1852" i="23"/>
  <c r="I1853" i="23"/>
  <c r="M1853" i="23"/>
  <c r="N1853" i="23"/>
  <c r="O1853" i="23"/>
  <c r="P1853" i="23"/>
  <c r="I1854" i="23"/>
  <c r="J1854" i="23" s="1"/>
  <c r="M1854" i="23"/>
  <c r="N1854" i="23"/>
  <c r="O1854" i="23"/>
  <c r="P1854" i="23"/>
  <c r="I1855" i="23"/>
  <c r="J1855" i="23" s="1"/>
  <c r="M1855" i="23"/>
  <c r="N1855" i="23"/>
  <c r="O1855" i="23"/>
  <c r="P1855" i="23"/>
  <c r="I1856" i="23"/>
  <c r="J1856" i="23" s="1"/>
  <c r="M1856" i="23"/>
  <c r="N1856" i="23"/>
  <c r="O1856" i="23"/>
  <c r="P1856" i="23"/>
  <c r="I1857" i="23"/>
  <c r="J1857" i="23" s="1"/>
  <c r="M1857" i="23"/>
  <c r="N1857" i="23"/>
  <c r="O1857" i="23"/>
  <c r="P1857" i="23"/>
  <c r="I1858" i="23"/>
  <c r="J1858" i="23" s="1"/>
  <c r="M1858" i="23"/>
  <c r="N1858" i="23"/>
  <c r="O1858" i="23"/>
  <c r="P1858" i="23"/>
  <c r="I1859" i="23"/>
  <c r="J1859" i="23" s="1"/>
  <c r="M1859" i="23"/>
  <c r="N1859" i="23"/>
  <c r="O1859" i="23"/>
  <c r="P1859" i="23"/>
  <c r="I1860" i="23"/>
  <c r="J1860" i="23" s="1"/>
  <c r="M1860" i="23"/>
  <c r="N1860" i="23"/>
  <c r="O1860" i="23"/>
  <c r="P1860" i="23"/>
  <c r="I1861" i="23"/>
  <c r="J1861" i="23" s="1"/>
  <c r="M1861" i="23"/>
  <c r="N1861" i="23"/>
  <c r="O1861" i="23"/>
  <c r="P1861" i="23"/>
  <c r="I1862" i="23"/>
  <c r="N1862" i="23"/>
  <c r="O1862" i="23"/>
  <c r="P1862" i="23"/>
  <c r="I1863" i="23"/>
  <c r="M1863" i="23"/>
  <c r="N1863" i="23"/>
  <c r="O1863" i="23"/>
  <c r="P1863" i="23"/>
  <c r="I1864" i="23"/>
  <c r="J1864" i="23" s="1"/>
  <c r="M1864" i="23"/>
  <c r="N1864" i="23"/>
  <c r="O1864" i="23"/>
  <c r="P1864" i="23"/>
  <c r="I1865" i="23"/>
  <c r="J1865" i="23" s="1"/>
  <c r="M1865" i="23"/>
  <c r="N1865" i="23"/>
  <c r="O1865" i="23"/>
  <c r="P1865" i="23"/>
  <c r="I1866" i="23"/>
  <c r="J1866" i="23" s="1"/>
  <c r="M1866" i="23"/>
  <c r="N1866" i="23"/>
  <c r="O1866" i="23"/>
  <c r="P1866" i="23"/>
  <c r="I1867" i="23"/>
  <c r="J1867" i="23" s="1"/>
  <c r="M1867" i="23"/>
  <c r="N1867" i="23"/>
  <c r="O1867" i="23"/>
  <c r="P1867" i="23"/>
  <c r="I1868" i="23"/>
  <c r="J1868" i="23" s="1"/>
  <c r="M1868" i="23"/>
  <c r="N1868" i="23"/>
  <c r="O1868" i="23"/>
  <c r="P1868" i="23"/>
  <c r="I1869" i="23"/>
  <c r="J1869" i="23" s="1"/>
  <c r="M1869" i="23"/>
  <c r="N1869" i="23"/>
  <c r="O1869" i="23"/>
  <c r="P1869" i="23"/>
  <c r="I1870" i="23"/>
  <c r="M1870" i="23"/>
  <c r="N1870" i="23"/>
  <c r="O1870" i="23"/>
  <c r="P1870" i="23"/>
  <c r="I1871" i="23"/>
  <c r="M1871" i="23"/>
  <c r="N1871" i="23"/>
  <c r="O1871" i="23"/>
  <c r="P1871" i="23"/>
  <c r="I1872" i="23"/>
  <c r="J1872" i="23" s="1"/>
  <c r="M1872" i="23"/>
  <c r="N1872" i="23"/>
  <c r="O1872" i="23"/>
  <c r="P1872" i="23"/>
  <c r="I1873" i="23"/>
  <c r="M1873" i="23"/>
  <c r="N1873" i="23"/>
  <c r="O1873" i="23"/>
  <c r="P1873" i="23"/>
  <c r="I1874" i="23"/>
  <c r="N1874" i="23"/>
  <c r="O1874" i="23"/>
  <c r="P1874" i="23"/>
  <c r="I1875" i="23"/>
  <c r="M1875" i="23"/>
  <c r="N1875" i="23"/>
  <c r="O1875" i="23"/>
  <c r="P1875" i="23"/>
  <c r="I1876" i="23"/>
  <c r="M1876" i="23"/>
  <c r="N1876" i="23"/>
  <c r="O1876" i="23"/>
  <c r="P1876" i="23"/>
  <c r="I1877" i="23"/>
  <c r="J1877" i="23" s="1"/>
  <c r="M1877" i="23"/>
  <c r="N1877" i="23"/>
  <c r="O1877" i="23"/>
  <c r="P1877" i="23"/>
  <c r="I1878" i="23"/>
  <c r="M1878" i="23"/>
  <c r="N1878" i="23"/>
  <c r="O1878" i="23"/>
  <c r="P1878" i="23"/>
  <c r="I1879" i="23"/>
  <c r="J1879" i="23" s="1"/>
  <c r="M1879" i="23"/>
  <c r="N1879" i="23"/>
  <c r="O1879" i="23"/>
  <c r="P1879" i="23"/>
  <c r="I1880" i="23"/>
  <c r="J1880" i="23" s="1"/>
  <c r="M1880" i="23"/>
  <c r="N1880" i="23"/>
  <c r="O1880" i="23"/>
  <c r="P1880" i="23"/>
  <c r="I1881" i="23"/>
  <c r="J1881" i="23" s="1"/>
  <c r="M1881" i="23"/>
  <c r="N1881" i="23"/>
  <c r="O1881" i="23"/>
  <c r="P1881" i="23"/>
  <c r="I1882" i="23"/>
  <c r="J1882" i="23" s="1"/>
  <c r="M1882" i="23"/>
  <c r="N1882" i="23"/>
  <c r="O1882" i="23"/>
  <c r="P1882" i="23"/>
  <c r="I1883" i="23"/>
  <c r="M1883" i="23"/>
  <c r="N1883" i="23"/>
  <c r="O1883" i="23"/>
  <c r="P1883" i="23"/>
  <c r="I1884" i="23"/>
  <c r="M1884" i="23"/>
  <c r="N1884" i="23"/>
  <c r="O1884" i="23"/>
  <c r="P1884" i="23"/>
  <c r="I1885" i="23"/>
  <c r="M1885" i="23"/>
  <c r="N1885" i="23"/>
  <c r="O1885" i="23"/>
  <c r="P1885" i="23"/>
  <c r="I1886" i="23"/>
  <c r="M1886" i="23"/>
  <c r="N1886" i="23"/>
  <c r="O1886" i="23"/>
  <c r="P1886" i="23"/>
  <c r="I1887" i="23"/>
  <c r="M1887" i="23"/>
  <c r="N1887" i="23"/>
  <c r="O1887" i="23"/>
  <c r="P1887" i="23"/>
  <c r="I1888" i="23"/>
  <c r="N1888" i="23"/>
  <c r="O1888" i="23"/>
  <c r="P1888" i="23"/>
  <c r="I1889" i="23"/>
  <c r="J1889" i="23" s="1"/>
  <c r="M1889" i="23"/>
  <c r="N1889" i="23"/>
  <c r="O1889" i="23"/>
  <c r="P1889" i="23"/>
  <c r="I1890" i="23"/>
  <c r="M1890" i="23"/>
  <c r="N1890" i="23"/>
  <c r="O1890" i="23"/>
  <c r="P1890" i="23"/>
  <c r="I1891" i="23"/>
  <c r="J1891" i="23" s="1"/>
  <c r="M1891" i="23"/>
  <c r="N1891" i="23"/>
  <c r="O1891" i="23"/>
  <c r="P1891" i="23"/>
  <c r="I1892" i="23"/>
  <c r="J1892" i="23" s="1"/>
  <c r="M1892" i="23"/>
  <c r="N1892" i="23"/>
  <c r="O1892" i="23"/>
  <c r="P1892" i="23"/>
  <c r="I1893" i="23"/>
  <c r="J1893" i="23" s="1"/>
  <c r="M1893" i="23"/>
  <c r="N1893" i="23"/>
  <c r="O1893" i="23"/>
  <c r="P1893" i="23"/>
  <c r="I1894" i="23"/>
  <c r="M1894" i="23"/>
  <c r="N1894" i="23"/>
  <c r="O1894" i="23"/>
  <c r="P1894" i="23"/>
  <c r="I1895" i="23"/>
  <c r="J1895" i="23" s="1"/>
  <c r="M1895" i="23"/>
  <c r="N1895" i="23"/>
  <c r="O1895" i="23"/>
  <c r="P1895" i="23"/>
  <c r="I1896" i="23"/>
  <c r="N1896" i="23"/>
  <c r="O1896" i="23"/>
  <c r="P1896" i="23"/>
  <c r="I1897" i="23"/>
  <c r="M1897" i="23"/>
  <c r="N1897" i="23"/>
  <c r="O1897" i="23"/>
  <c r="P1897" i="23"/>
  <c r="I1898" i="23"/>
  <c r="M1898" i="23"/>
  <c r="N1898" i="23"/>
  <c r="O1898" i="23"/>
  <c r="P1898" i="23"/>
  <c r="I1899" i="23"/>
  <c r="J1899" i="23" s="1"/>
  <c r="M1899" i="23"/>
  <c r="N1899" i="23"/>
  <c r="O1899" i="23"/>
  <c r="P1899" i="23"/>
  <c r="I1900" i="23"/>
  <c r="M1900" i="23"/>
  <c r="N1900" i="23"/>
  <c r="O1900" i="23"/>
  <c r="P1900" i="23"/>
  <c r="I1901" i="23"/>
  <c r="J1901" i="23" s="1"/>
  <c r="M1901" i="23"/>
  <c r="N1901" i="23"/>
  <c r="O1901" i="23"/>
  <c r="P1901" i="23"/>
  <c r="I1902" i="23"/>
  <c r="M1902" i="23"/>
  <c r="N1902" i="23"/>
  <c r="O1902" i="23"/>
  <c r="P1902" i="23"/>
  <c r="I1903" i="23"/>
  <c r="J1903" i="23" s="1"/>
  <c r="M1903" i="23"/>
  <c r="N1903" i="23"/>
  <c r="O1903" i="23"/>
  <c r="P1903" i="23"/>
  <c r="I1904" i="23"/>
  <c r="J1904" i="23" s="1"/>
  <c r="M1904" i="23"/>
  <c r="N1904" i="23"/>
  <c r="O1904" i="23"/>
  <c r="P1904" i="23"/>
  <c r="I1905" i="23"/>
  <c r="M1905" i="23"/>
  <c r="N1905" i="23"/>
  <c r="O1905" i="23"/>
  <c r="P1905" i="23"/>
  <c r="I1906" i="23"/>
  <c r="N1906" i="23"/>
  <c r="O1906" i="23"/>
  <c r="P1906" i="23"/>
  <c r="I1907" i="23"/>
  <c r="N1907" i="23"/>
  <c r="O1907" i="23"/>
  <c r="P1907" i="23"/>
  <c r="I1908" i="23"/>
  <c r="N1908" i="23"/>
  <c r="O1908" i="23"/>
  <c r="P1908" i="23"/>
  <c r="I1909" i="23"/>
  <c r="N1909" i="23"/>
  <c r="O1909" i="23"/>
  <c r="P1909" i="23"/>
  <c r="I1910" i="23"/>
  <c r="N1910" i="23"/>
  <c r="O1910" i="23"/>
  <c r="P1910" i="23"/>
  <c r="I1911" i="23"/>
  <c r="N1911" i="23"/>
  <c r="O1911" i="23"/>
  <c r="P1911" i="23"/>
  <c r="I1912" i="23"/>
  <c r="N1912" i="23"/>
  <c r="O1912" i="23"/>
  <c r="P1912" i="23"/>
  <c r="I1913" i="23"/>
  <c r="N1913" i="23"/>
  <c r="O1913" i="23"/>
  <c r="P1913" i="23"/>
  <c r="I1914" i="23"/>
  <c r="N1914" i="23"/>
  <c r="O1914" i="23"/>
  <c r="P1914" i="23"/>
  <c r="I1915" i="23"/>
  <c r="N1915" i="23"/>
  <c r="O1915" i="23"/>
  <c r="P1915" i="23"/>
  <c r="I1916" i="23"/>
  <c r="M1916" i="23"/>
  <c r="N1916" i="23"/>
  <c r="O1916" i="23"/>
  <c r="P1916" i="23"/>
  <c r="I1917" i="23"/>
  <c r="N1917" i="23"/>
  <c r="O1917" i="23"/>
  <c r="P1917" i="23"/>
  <c r="I1918" i="23"/>
  <c r="N1918" i="23"/>
  <c r="O1918" i="23"/>
  <c r="P1918" i="23"/>
  <c r="I1919" i="23"/>
  <c r="N1919" i="23"/>
  <c r="O1919" i="23"/>
  <c r="P1919" i="23"/>
  <c r="I1720" i="22"/>
  <c r="J1720" i="22"/>
  <c r="I1721" i="22"/>
  <c r="J1721" i="22"/>
  <c r="I1722" i="22"/>
  <c r="J1722" i="22"/>
  <c r="I1723" i="22"/>
  <c r="J1723" i="22"/>
  <c r="I1724" i="22"/>
  <c r="J1724" i="22"/>
  <c r="I1725" i="22"/>
  <c r="J1725" i="22"/>
  <c r="I1726" i="22"/>
  <c r="J1726" i="22"/>
  <c r="I1727" i="22"/>
  <c r="J1727" i="22"/>
  <c r="I1728" i="22"/>
  <c r="J1728" i="22"/>
  <c r="I1729" i="22"/>
  <c r="J1729" i="22"/>
  <c r="I1730" i="22"/>
  <c r="J1730" i="22"/>
  <c r="I1731" i="22"/>
  <c r="J1731" i="22"/>
  <c r="I1732" i="22"/>
  <c r="J1732" i="22"/>
  <c r="I1733" i="22"/>
  <c r="J1733" i="22"/>
  <c r="I1734" i="22"/>
  <c r="J1734" i="22"/>
  <c r="I1735" i="22"/>
  <c r="J1735" i="22"/>
  <c r="I1736" i="22"/>
  <c r="J1736" i="22"/>
  <c r="I1737" i="22"/>
  <c r="J1737" i="22"/>
  <c r="I1738" i="22"/>
  <c r="J1738" i="22"/>
  <c r="I1739" i="22"/>
  <c r="J1739" i="22"/>
  <c r="I1740" i="22"/>
  <c r="J1740" i="22"/>
  <c r="I1741" i="22"/>
  <c r="J1741" i="22"/>
  <c r="I1742" i="22"/>
  <c r="J1742" i="22"/>
  <c r="I1743" i="22"/>
  <c r="J1743" i="22"/>
  <c r="I1744" i="22"/>
  <c r="J1744" i="22"/>
  <c r="I1745" i="22"/>
  <c r="J1745" i="22"/>
  <c r="I1746" i="22"/>
  <c r="J1746" i="22"/>
  <c r="I1747" i="22"/>
  <c r="J1747" i="22"/>
  <c r="I1748" i="22"/>
  <c r="J1748" i="22"/>
  <c r="I1749" i="22"/>
  <c r="J1749" i="22"/>
  <c r="I1750" i="22"/>
  <c r="J1750" i="22"/>
  <c r="I1751" i="22"/>
  <c r="J1751" i="22"/>
  <c r="I1752" i="22"/>
  <c r="J1752" i="22"/>
  <c r="I1753" i="22"/>
  <c r="J1753" i="22"/>
  <c r="I1754" i="22"/>
  <c r="J1754" i="22"/>
  <c r="I1755" i="22"/>
  <c r="J1755" i="22"/>
  <c r="I1756" i="22"/>
  <c r="J1756" i="22"/>
  <c r="I1757" i="22"/>
  <c r="J1757" i="22"/>
  <c r="I1758" i="22"/>
  <c r="J1758" i="22"/>
  <c r="I1759" i="22"/>
  <c r="J1759" i="22"/>
  <c r="I1760" i="22"/>
  <c r="J1760" i="22"/>
  <c r="I1761" i="22"/>
  <c r="J1761" i="22"/>
  <c r="I1762" i="22"/>
  <c r="J1762" i="22"/>
  <c r="I1763" i="22"/>
  <c r="J1763" i="22"/>
  <c r="I1764" i="22"/>
  <c r="J1764" i="22"/>
  <c r="I1765" i="22"/>
  <c r="J1765" i="22"/>
  <c r="I1766" i="22"/>
  <c r="J1766" i="22"/>
  <c r="I1767" i="22"/>
  <c r="J1767" i="22"/>
  <c r="I1768" i="22"/>
  <c r="J1768" i="22"/>
  <c r="I1769" i="22"/>
  <c r="J1769" i="22"/>
  <c r="I1770" i="22"/>
  <c r="J1770" i="22"/>
  <c r="I1771" i="22"/>
  <c r="J1771" i="22"/>
  <c r="I1772" i="22"/>
  <c r="J1772" i="22"/>
  <c r="I1773" i="22"/>
  <c r="J1773" i="22"/>
  <c r="I1774" i="22"/>
  <c r="J1774" i="22"/>
  <c r="I1775" i="22"/>
  <c r="J1775" i="22"/>
  <c r="I1776" i="22"/>
  <c r="J1776" i="22"/>
  <c r="I1777" i="22"/>
  <c r="J1777" i="22"/>
  <c r="I1778" i="22"/>
  <c r="J1778" i="22"/>
  <c r="I1779" i="22"/>
  <c r="J1779" i="22"/>
  <c r="I1780" i="22"/>
  <c r="J1780" i="22"/>
  <c r="I1781" i="22"/>
  <c r="J1781" i="22"/>
  <c r="I1782" i="22"/>
  <c r="J1782" i="22"/>
  <c r="I1783" i="22"/>
  <c r="J1783" i="22"/>
  <c r="I1784" i="22"/>
  <c r="J1784" i="22"/>
  <c r="I1785" i="22"/>
  <c r="J1785" i="22"/>
  <c r="I1786" i="22"/>
  <c r="J1786" i="22"/>
  <c r="I1787" i="22"/>
  <c r="J1787" i="22"/>
  <c r="I1788" i="22"/>
  <c r="J1788" i="22"/>
  <c r="I1789" i="22"/>
  <c r="J1789" i="22"/>
  <c r="I1790" i="22"/>
  <c r="J1790" i="22"/>
  <c r="I1791" i="22"/>
  <c r="J1791" i="22"/>
  <c r="I1792" i="22"/>
  <c r="J1792" i="22"/>
  <c r="I1793" i="22"/>
  <c r="J1793" i="22"/>
  <c r="I1794" i="22"/>
  <c r="J1794" i="22"/>
  <c r="I1795" i="22"/>
  <c r="J1795" i="22"/>
  <c r="I1796" i="22"/>
  <c r="J1796" i="22"/>
  <c r="I1797" i="22"/>
  <c r="J1797" i="22"/>
  <c r="I1798" i="22"/>
  <c r="J1798" i="22"/>
  <c r="I1799" i="22"/>
  <c r="J1799" i="22"/>
  <c r="I1800" i="22"/>
  <c r="J1800" i="22"/>
  <c r="I1801" i="22"/>
  <c r="J1801" i="22"/>
  <c r="I1802" i="22"/>
  <c r="J1802" i="22"/>
  <c r="I1803" i="22"/>
  <c r="J1803" i="22"/>
  <c r="I1804" i="22"/>
  <c r="J1804" i="22"/>
  <c r="I1805" i="22"/>
  <c r="J1805" i="22"/>
  <c r="I1806" i="22"/>
  <c r="J1806" i="22"/>
  <c r="I1807" i="22"/>
  <c r="J1807" i="22"/>
  <c r="I1808" i="22"/>
  <c r="J1808" i="22"/>
  <c r="I1809" i="22"/>
  <c r="J1809" i="22"/>
  <c r="I1810" i="22"/>
  <c r="J1810" i="22"/>
  <c r="I1811" i="22"/>
  <c r="J1811" i="22"/>
  <c r="I1812" i="22"/>
  <c r="J1812" i="22"/>
  <c r="I1813" i="22"/>
  <c r="J1813" i="22"/>
  <c r="I1814" i="22"/>
  <c r="J1814" i="22"/>
  <c r="I1815" i="22"/>
  <c r="J1815" i="22"/>
  <c r="I1816" i="22"/>
  <c r="J1816" i="22"/>
  <c r="I1817" i="22"/>
  <c r="J1817" i="22"/>
  <c r="I1818" i="22"/>
  <c r="J1818" i="22"/>
  <c r="I1819" i="22"/>
  <c r="J1819" i="22"/>
  <c r="I1820" i="22"/>
  <c r="J1820" i="22"/>
  <c r="I1821" i="22"/>
  <c r="J1821" i="22"/>
  <c r="I1822" i="22"/>
  <c r="J1822" i="22"/>
  <c r="I1823" i="22"/>
  <c r="J1823" i="22"/>
  <c r="I1824" i="22"/>
  <c r="J1824" i="22"/>
  <c r="I1825" i="22"/>
  <c r="J1825" i="22"/>
  <c r="I1826" i="22"/>
  <c r="J1826" i="22"/>
  <c r="I1827" i="22"/>
  <c r="J1827" i="22"/>
  <c r="I1828" i="22"/>
  <c r="J1828" i="22"/>
  <c r="I1829" i="22"/>
  <c r="J1829" i="22"/>
  <c r="I1830" i="22"/>
  <c r="J1830" i="22"/>
  <c r="I1831" i="22"/>
  <c r="J1831" i="22"/>
  <c r="I1832" i="22"/>
  <c r="J1832" i="22"/>
  <c r="I1833" i="22"/>
  <c r="J1833" i="22"/>
  <c r="I1834" i="22"/>
  <c r="J1834" i="22"/>
  <c r="I1835" i="22"/>
  <c r="J1835" i="22"/>
  <c r="I1836" i="22"/>
  <c r="J1836" i="22"/>
  <c r="I1837" i="22"/>
  <c r="J1837" i="22"/>
  <c r="I1838" i="22"/>
  <c r="J1838" i="22"/>
  <c r="I1839" i="22"/>
  <c r="J1839" i="22"/>
  <c r="I1840" i="22"/>
  <c r="J1840" i="22"/>
  <c r="I1841" i="22"/>
  <c r="J1841" i="22"/>
  <c r="I1842" i="22"/>
  <c r="J1842" i="22"/>
  <c r="I1843" i="22"/>
  <c r="J1843" i="22"/>
  <c r="I1844" i="22"/>
  <c r="J1844" i="22"/>
  <c r="I1845" i="22"/>
  <c r="J1845" i="22"/>
  <c r="I1846" i="22"/>
  <c r="J1846" i="22"/>
  <c r="I1847" i="22"/>
  <c r="J1847" i="22"/>
  <c r="I1848" i="22"/>
  <c r="J1848" i="22"/>
  <c r="I1849" i="22"/>
  <c r="J1849" i="22"/>
  <c r="I1850" i="22"/>
  <c r="J1850" i="22"/>
  <c r="I1851" i="22"/>
  <c r="J1851" i="22"/>
  <c r="I1852" i="22"/>
  <c r="J1852" i="22"/>
  <c r="I1853" i="22"/>
  <c r="J1853" i="22"/>
  <c r="I1854" i="22"/>
  <c r="J1854" i="22"/>
  <c r="I1855" i="22"/>
  <c r="J1855" i="22"/>
  <c r="I1856" i="22"/>
  <c r="J1856" i="22"/>
  <c r="I1857" i="22"/>
  <c r="J1857" i="22"/>
  <c r="I1858" i="22"/>
  <c r="J1858" i="22"/>
  <c r="I1859" i="22"/>
  <c r="J1859" i="22"/>
  <c r="I1860" i="22"/>
  <c r="J1860" i="22"/>
  <c r="I1861" i="22"/>
  <c r="J1861" i="22"/>
  <c r="I1862" i="22"/>
  <c r="J1862" i="22"/>
  <c r="I1863" i="22"/>
  <c r="J1863" i="22"/>
  <c r="I1864" i="22"/>
  <c r="J1864" i="22"/>
  <c r="I1865" i="22"/>
  <c r="J1865" i="22"/>
  <c r="I1866" i="22"/>
  <c r="J1866" i="22"/>
  <c r="I1867" i="22"/>
  <c r="J1867" i="22"/>
  <c r="I1868" i="22"/>
  <c r="J1868" i="22"/>
  <c r="I1869" i="22"/>
  <c r="J1869" i="22"/>
  <c r="I1870" i="22"/>
  <c r="J1870" i="22"/>
  <c r="I1871" i="22"/>
  <c r="J1871" i="22"/>
  <c r="I1872" i="22"/>
  <c r="J1872" i="22"/>
  <c r="I1873" i="22"/>
  <c r="J1873" i="22"/>
  <c r="I1874" i="22"/>
  <c r="J1874" i="22"/>
  <c r="I1875" i="22"/>
  <c r="J1875" i="22"/>
  <c r="I1876" i="22"/>
  <c r="J1876" i="22"/>
  <c r="I1877" i="22"/>
  <c r="J1877" i="22"/>
  <c r="I1878" i="22"/>
  <c r="J1878" i="22"/>
  <c r="I1879" i="22"/>
  <c r="J1879" i="22"/>
  <c r="I1880" i="22"/>
  <c r="J1880" i="22"/>
  <c r="I1881" i="22"/>
  <c r="J1881" i="22"/>
  <c r="I1882" i="22"/>
  <c r="J1882" i="22"/>
  <c r="I1883" i="22"/>
  <c r="J1883" i="22"/>
  <c r="I1884" i="22"/>
  <c r="J1884" i="22"/>
  <c r="I1885" i="22"/>
  <c r="J1885" i="22"/>
  <c r="I1886" i="22"/>
  <c r="J1886" i="22"/>
  <c r="I1887" i="22"/>
  <c r="J1887" i="22"/>
  <c r="I1888" i="22"/>
  <c r="J1888" i="22"/>
  <c r="I1889" i="22"/>
  <c r="J1889" i="22"/>
  <c r="I1890" i="22"/>
  <c r="J1890" i="22"/>
  <c r="I1891" i="22"/>
  <c r="J1891" i="22"/>
  <c r="I1892" i="22"/>
  <c r="J1892" i="22"/>
  <c r="I1893" i="22"/>
  <c r="J1893" i="22"/>
  <c r="I1894" i="22"/>
  <c r="J1894" i="22"/>
  <c r="I1895" i="22"/>
  <c r="J1895" i="22"/>
  <c r="I1896" i="22"/>
  <c r="J1896" i="22"/>
  <c r="I1897" i="22"/>
  <c r="J1897" i="22"/>
  <c r="I1898" i="22"/>
  <c r="J1898" i="22"/>
  <c r="I1899" i="22"/>
  <c r="J1899" i="22"/>
  <c r="I1900" i="22"/>
  <c r="J1900" i="22"/>
  <c r="I1901" i="22"/>
  <c r="J1901" i="22"/>
  <c r="I1902" i="22"/>
  <c r="J1902" i="22"/>
  <c r="I1903" i="22"/>
  <c r="J1903" i="22"/>
  <c r="I1904" i="22"/>
  <c r="J1904" i="22"/>
  <c r="I1905" i="22"/>
  <c r="J1905" i="22"/>
  <c r="I1906" i="22"/>
  <c r="J1906" i="22"/>
  <c r="I1907" i="22"/>
  <c r="J1907" i="22"/>
  <c r="I1908" i="22"/>
  <c r="J1908" i="22"/>
  <c r="P1406" i="23" l="1"/>
  <c r="O1406" i="23"/>
  <c r="N1406" i="23"/>
  <c r="M1406" i="23"/>
  <c r="I1406" i="23"/>
  <c r="P407" i="23"/>
  <c r="O407" i="23"/>
  <c r="N407" i="23"/>
  <c r="M407" i="23"/>
  <c r="I407" i="23"/>
  <c r="C24" i="28"/>
  <c r="D24" i="28"/>
  <c r="C25" i="28"/>
  <c r="D25" i="28"/>
  <c r="C26" i="28"/>
  <c r="D26" i="28"/>
  <c r="C27" i="28"/>
  <c r="D27" i="28"/>
  <c r="C28" i="28"/>
  <c r="D28" i="28"/>
  <c r="C29" i="28"/>
  <c r="D29" i="28"/>
  <c r="C30" i="28"/>
  <c r="D30" i="28"/>
  <c r="C31" i="28"/>
  <c r="D31" i="28"/>
  <c r="C32" i="28"/>
  <c r="D32" i="28"/>
  <c r="C33" i="28"/>
  <c r="D33" i="28"/>
  <c r="C34" i="28"/>
  <c r="D34" i="28"/>
  <c r="C35" i="28"/>
  <c r="D35" i="28"/>
  <c r="C36" i="28"/>
  <c r="D36" i="28"/>
  <c r="C37" i="28"/>
  <c r="D37" i="28"/>
  <c r="C38" i="28"/>
  <c r="D38" i="28"/>
  <c r="C39" i="28"/>
  <c r="D39" i="28"/>
  <c r="C40" i="28"/>
  <c r="D40" i="28"/>
  <c r="C41" i="28"/>
  <c r="D41" i="28"/>
  <c r="C42" i="28"/>
  <c r="D42" i="28"/>
  <c r="C43" i="28"/>
  <c r="D43" i="28"/>
  <c r="C44" i="28"/>
  <c r="D44" i="28"/>
  <c r="C45" i="28"/>
  <c r="D45" i="28"/>
  <c r="C46" i="28"/>
  <c r="D46" i="28"/>
  <c r="C47" i="28"/>
  <c r="D47" i="28"/>
  <c r="C48" i="28"/>
  <c r="D48" i="28"/>
  <c r="D23" i="28"/>
  <c r="C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D4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J4" i="27"/>
  <c r="A14" i="26"/>
  <c r="B14" i="26"/>
  <c r="C14" i="26"/>
  <c r="A15" i="26"/>
  <c r="B15" i="26"/>
  <c r="C15" i="26"/>
  <c r="A16" i="26"/>
  <c r="B16" i="26"/>
  <c r="C16" i="26"/>
  <c r="A17" i="26"/>
  <c r="B17" i="26"/>
  <c r="C17" i="26"/>
  <c r="A18" i="26"/>
  <c r="B18" i="26"/>
  <c r="C18" i="26"/>
  <c r="A19" i="26"/>
  <c r="B19" i="26"/>
  <c r="C19" i="26"/>
  <c r="A20" i="26"/>
  <c r="B20" i="26"/>
  <c r="C20" i="26"/>
  <c r="A21" i="26"/>
  <c r="B21" i="26"/>
  <c r="C21" i="26"/>
  <c r="A22" i="26"/>
  <c r="B22" i="26"/>
  <c r="C22" i="26"/>
  <c r="A23" i="26"/>
  <c r="B23" i="26"/>
  <c r="C23" i="26"/>
  <c r="A24" i="26"/>
  <c r="B24" i="26"/>
  <c r="C24" i="26"/>
  <c r="A25" i="26"/>
  <c r="B25" i="26"/>
  <c r="C25" i="26"/>
  <c r="A26" i="26"/>
  <c r="B26" i="26"/>
  <c r="C26" i="26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D26" i="26" s="1"/>
  <c r="E20" i="25"/>
  <c r="D25" i="26" s="1"/>
  <c r="E19" i="25"/>
  <c r="D24" i="26" s="1"/>
  <c r="E18" i="25"/>
  <c r="D23" i="26" s="1"/>
  <c r="E17" i="25"/>
  <c r="D22" i="26" s="1"/>
  <c r="E16" i="25"/>
  <c r="D21" i="26" s="1"/>
  <c r="E15" i="25"/>
  <c r="D20" i="26" s="1"/>
  <c r="E14" i="25"/>
  <c r="D19" i="26" s="1"/>
  <c r="E13" i="25"/>
  <c r="D18" i="26" s="1"/>
  <c r="E12" i="25"/>
  <c r="D17" i="26" s="1"/>
  <c r="E11" i="25"/>
  <c r="D16" i="26" s="1"/>
  <c r="E10" i="25"/>
  <c r="D15" i="26" s="1"/>
  <c r="E9" i="25"/>
  <c r="D14" i="26" s="1"/>
  <c r="E8" i="25"/>
  <c r="D13" i="26" s="1"/>
  <c r="E7" i="25"/>
  <c r="D12" i="26" s="1"/>
  <c r="E6" i="25"/>
  <c r="D11" i="26" s="1"/>
  <c r="E5" i="25"/>
  <c r="D10" i="26" s="1"/>
  <c r="E4" i="25"/>
  <c r="D9" i="26" s="1"/>
  <c r="E3" i="25"/>
  <c r="D8" i="26" s="1"/>
  <c r="E2" i="25"/>
  <c r="D7" i="26" s="1"/>
  <c r="A3" i="26"/>
  <c r="H16" i="27"/>
  <c r="H15" i="27"/>
  <c r="H14" i="27"/>
  <c r="H13" i="27"/>
  <c r="G16" i="27"/>
  <c r="G15" i="27"/>
  <c r="G14" i="27"/>
  <c r="G13" i="27"/>
  <c r="C27" i="26"/>
  <c r="C13" i="26"/>
  <c r="C12" i="26"/>
  <c r="C11" i="26"/>
  <c r="C10" i="26"/>
  <c r="C9" i="26"/>
  <c r="C8" i="26"/>
  <c r="C7" i="26"/>
  <c r="B13" i="26"/>
  <c r="B12" i="26"/>
  <c r="B11" i="26"/>
  <c r="B10" i="26"/>
  <c r="B9" i="26"/>
  <c r="B8" i="26"/>
  <c r="B7" i="26"/>
  <c r="A13" i="26"/>
  <c r="A12" i="26"/>
  <c r="A11" i="26"/>
  <c r="A10" i="26"/>
  <c r="A9" i="26"/>
  <c r="A8" i="26"/>
  <c r="A7" i="26"/>
  <c r="B34" i="27"/>
  <c r="B20" i="27"/>
  <c r="B18" i="27"/>
  <c r="F8" i="27"/>
  <c r="F7" i="27"/>
  <c r="F6" i="27"/>
  <c r="B4" i="27"/>
  <c r="B2" i="27"/>
  <c r="I1703" i="22"/>
  <c r="J1703" i="22"/>
  <c r="I1704" i="22"/>
  <c r="J1704" i="22"/>
  <c r="I1705" i="22"/>
  <c r="J1705" i="22"/>
  <c r="I1706" i="22"/>
  <c r="J1706" i="22"/>
  <c r="I1707" i="22"/>
  <c r="J1707" i="22"/>
  <c r="I1708" i="22"/>
  <c r="J1708" i="22"/>
  <c r="I1709" i="22"/>
  <c r="J1709" i="22"/>
  <c r="I1710" i="22"/>
  <c r="J1710" i="22"/>
  <c r="I1711" i="22"/>
  <c r="J1711" i="22"/>
  <c r="I1712" i="22"/>
  <c r="J1712" i="22"/>
  <c r="I1713" i="22"/>
  <c r="J1713" i="22"/>
  <c r="I1714" i="22"/>
  <c r="J1714" i="22"/>
  <c r="I1715" i="22"/>
  <c r="J1715" i="22"/>
  <c r="I1716" i="22"/>
  <c r="J1716" i="22"/>
  <c r="I1717" i="22"/>
  <c r="J1717" i="22"/>
  <c r="I1718" i="22"/>
  <c r="J1718" i="22"/>
  <c r="I1719" i="22"/>
  <c r="J1719" i="22"/>
  <c r="I1728" i="23"/>
  <c r="N1728" i="23"/>
  <c r="O1728" i="23"/>
  <c r="P1728" i="23"/>
  <c r="I1729" i="23"/>
  <c r="M1729" i="23"/>
  <c r="N1729" i="23"/>
  <c r="O1729" i="23"/>
  <c r="P1729" i="23"/>
  <c r="I1730" i="23"/>
  <c r="M1730" i="23"/>
  <c r="N1730" i="23"/>
  <c r="O1730" i="23"/>
  <c r="P1730" i="23"/>
  <c r="I1731" i="23"/>
  <c r="N1731" i="23"/>
  <c r="O1731" i="23"/>
  <c r="P1731" i="23"/>
  <c r="I1732" i="23"/>
  <c r="N1732" i="23"/>
  <c r="O1732" i="23"/>
  <c r="P1732" i="23"/>
  <c r="I1733" i="23"/>
  <c r="M1733" i="23"/>
  <c r="N1733" i="23"/>
  <c r="O1733" i="23"/>
  <c r="P1733" i="23"/>
  <c r="I1734" i="23"/>
  <c r="M1734" i="23"/>
  <c r="N1734" i="23"/>
  <c r="O1734" i="23"/>
  <c r="P1734" i="23"/>
  <c r="I1735" i="23"/>
  <c r="M1735" i="23"/>
  <c r="N1735" i="23"/>
  <c r="O1735" i="23"/>
  <c r="P1735" i="23"/>
  <c r="I1736" i="23"/>
  <c r="M1736" i="23"/>
  <c r="N1736" i="23"/>
  <c r="O1736" i="23"/>
  <c r="P1736" i="23"/>
  <c r="I1737" i="23"/>
  <c r="M1737" i="23"/>
  <c r="N1737" i="23"/>
  <c r="O1737" i="23"/>
  <c r="P1737" i="23"/>
  <c r="I1738" i="23"/>
  <c r="M1738" i="23"/>
  <c r="N1738" i="23"/>
  <c r="O1738" i="23"/>
  <c r="P1738" i="23"/>
  <c r="I1739" i="23"/>
  <c r="M1739" i="23"/>
  <c r="N1739" i="23"/>
  <c r="O1739" i="23"/>
  <c r="P1739" i="23"/>
  <c r="I1740" i="23"/>
  <c r="M1740" i="23"/>
  <c r="N1740" i="23"/>
  <c r="O1740" i="23"/>
  <c r="P1740" i="23"/>
  <c r="I1741" i="23"/>
  <c r="M1741" i="23"/>
  <c r="N1741" i="23"/>
  <c r="O1741" i="23"/>
  <c r="P1741" i="23"/>
  <c r="I1742" i="23"/>
  <c r="M1742" i="23"/>
  <c r="N1742" i="23"/>
  <c r="O1742" i="23"/>
  <c r="P1742" i="23"/>
  <c r="I1725" i="23"/>
  <c r="M1725" i="23"/>
  <c r="N1725" i="23"/>
  <c r="O1725" i="23"/>
  <c r="P1725" i="23"/>
  <c r="I1726" i="23"/>
  <c r="M1726" i="23"/>
  <c r="N1726" i="23"/>
  <c r="O1726" i="23"/>
  <c r="P1726" i="23"/>
  <c r="I1727" i="23"/>
  <c r="M1727" i="23"/>
  <c r="N1727" i="23"/>
  <c r="O1727" i="23"/>
  <c r="P1727" i="23"/>
  <c r="I1690" i="22"/>
  <c r="J1690" i="22"/>
  <c r="I1691" i="22"/>
  <c r="J1691" i="22"/>
  <c r="I1692" i="22"/>
  <c r="J1692" i="22"/>
  <c r="I1693" i="22"/>
  <c r="J1693" i="22"/>
  <c r="I1694" i="22"/>
  <c r="J1694" i="22"/>
  <c r="I1695" i="22"/>
  <c r="J1695" i="22"/>
  <c r="I1696" i="22"/>
  <c r="J1696" i="22"/>
  <c r="I1697" i="22"/>
  <c r="J1697" i="22"/>
  <c r="I1698" i="22"/>
  <c r="J1698" i="22"/>
  <c r="I1699" i="22"/>
  <c r="J1699" i="22"/>
  <c r="I1700" i="22"/>
  <c r="J1700" i="22"/>
  <c r="I1701" i="22"/>
  <c r="J1701" i="22"/>
  <c r="I1702" i="22"/>
  <c r="J1702" i="22"/>
  <c r="I1677" i="22"/>
  <c r="J1677" i="22"/>
  <c r="I1678" i="22"/>
  <c r="J1678" i="22"/>
  <c r="I1679" i="22"/>
  <c r="J1679" i="22"/>
  <c r="I1680" i="22"/>
  <c r="J1680" i="22"/>
  <c r="I1681" i="22"/>
  <c r="J1681" i="22"/>
  <c r="I1682" i="22"/>
  <c r="J1682" i="22"/>
  <c r="I1683" i="22"/>
  <c r="J1683" i="22"/>
  <c r="I1684" i="22"/>
  <c r="J1684" i="22"/>
  <c r="I1685" i="22"/>
  <c r="J1685" i="22"/>
  <c r="I1686" i="22"/>
  <c r="J1686" i="22"/>
  <c r="I1687" i="22"/>
  <c r="J1687" i="22"/>
  <c r="I1688" i="22"/>
  <c r="J1688" i="22"/>
  <c r="I1689" i="22"/>
  <c r="J1689" i="22"/>
  <c r="I1724" i="23"/>
  <c r="M1724" i="23"/>
  <c r="N1724" i="23"/>
  <c r="O1724" i="23"/>
  <c r="P1724" i="23"/>
  <c r="I1715" i="23"/>
  <c r="M1715" i="23"/>
  <c r="N1715" i="23"/>
  <c r="O1715" i="23"/>
  <c r="P1715" i="23"/>
  <c r="I1716" i="23"/>
  <c r="M1716" i="23"/>
  <c r="N1716" i="23"/>
  <c r="O1716" i="23"/>
  <c r="P1716" i="23"/>
  <c r="I1717" i="23"/>
  <c r="N1717" i="23"/>
  <c r="O1717" i="23"/>
  <c r="P1717" i="23"/>
  <c r="I1718" i="23"/>
  <c r="N1718" i="23"/>
  <c r="O1718" i="23"/>
  <c r="P1718" i="23"/>
  <c r="I1719" i="23"/>
  <c r="M1719" i="23"/>
  <c r="N1719" i="23"/>
  <c r="O1719" i="23"/>
  <c r="P1719" i="23"/>
  <c r="I1720" i="23"/>
  <c r="M1720" i="23"/>
  <c r="N1720" i="23"/>
  <c r="O1720" i="23"/>
  <c r="P1720" i="23"/>
  <c r="I1721" i="23"/>
  <c r="M1721" i="23"/>
  <c r="N1721" i="23"/>
  <c r="O1721" i="23"/>
  <c r="P1721" i="23"/>
  <c r="I1722" i="23"/>
  <c r="M1722" i="23"/>
  <c r="N1722" i="23"/>
  <c r="O1722" i="23"/>
  <c r="P1722" i="23"/>
  <c r="I1723" i="23"/>
  <c r="M1723" i="23"/>
  <c r="N1723" i="23"/>
  <c r="O1723" i="23"/>
  <c r="P1723" i="23"/>
  <c r="I1661" i="22"/>
  <c r="J1661" i="22"/>
  <c r="I1662" i="22"/>
  <c r="J1662" i="22"/>
  <c r="I1663" i="22"/>
  <c r="J1663" i="22"/>
  <c r="I1664" i="22"/>
  <c r="J1664" i="22"/>
  <c r="I1665" i="22"/>
  <c r="J1665" i="22"/>
  <c r="I1666" i="22"/>
  <c r="J1666" i="22"/>
  <c r="I1667" i="22"/>
  <c r="J1667" i="22"/>
  <c r="I1668" i="22"/>
  <c r="J1668" i="22"/>
  <c r="I1669" i="22"/>
  <c r="J1669" i="22"/>
  <c r="I1670" i="22"/>
  <c r="J1670" i="22"/>
  <c r="I1671" i="22"/>
  <c r="J1671" i="22"/>
  <c r="I1672" i="22"/>
  <c r="J1672" i="22"/>
  <c r="I1673" i="22"/>
  <c r="J1673" i="22"/>
  <c r="I1674" i="22"/>
  <c r="J1674" i="22"/>
  <c r="I1675" i="22"/>
  <c r="J1675" i="22"/>
  <c r="I1676" i="22"/>
  <c r="J1676" i="22"/>
  <c r="I1655" i="22"/>
  <c r="J1655" i="22"/>
  <c r="I1656" i="22"/>
  <c r="J1656" i="22"/>
  <c r="I1657" i="22"/>
  <c r="J1657" i="22"/>
  <c r="I1658" i="22"/>
  <c r="J1658" i="22"/>
  <c r="I1659" i="22"/>
  <c r="J1659" i="22"/>
  <c r="I1660" i="22"/>
  <c r="J1660" i="22"/>
  <c r="N1705" i="23"/>
  <c r="O1705" i="23"/>
  <c r="P1705" i="23"/>
  <c r="M1706" i="23"/>
  <c r="N1706" i="23"/>
  <c r="O1706" i="23"/>
  <c r="P1706" i="23"/>
  <c r="N1707" i="23"/>
  <c r="O1707" i="23"/>
  <c r="P1707" i="23"/>
  <c r="N1708" i="23"/>
  <c r="O1708" i="23"/>
  <c r="P1708" i="23"/>
  <c r="M1709" i="23"/>
  <c r="N1709" i="23"/>
  <c r="O1709" i="23"/>
  <c r="P1709" i="23"/>
  <c r="M1710" i="23"/>
  <c r="N1710" i="23"/>
  <c r="O1710" i="23"/>
  <c r="P1710" i="23"/>
  <c r="M1711" i="23"/>
  <c r="N1711" i="23"/>
  <c r="O1711" i="23"/>
  <c r="P1711" i="23"/>
  <c r="N1712" i="23"/>
  <c r="O1712" i="23"/>
  <c r="P1712" i="23"/>
  <c r="N1713" i="23"/>
  <c r="O1713" i="23"/>
  <c r="P1713" i="23"/>
  <c r="N1714" i="23"/>
  <c r="O1714" i="23"/>
  <c r="P1714" i="23"/>
  <c r="I1654" i="22"/>
  <c r="J1654" i="22"/>
  <c r="I1652" i="22"/>
  <c r="J1652" i="22"/>
  <c r="I1653" i="22"/>
  <c r="J1653" i="22"/>
  <c r="P1704" i="23"/>
  <c r="O1704" i="23"/>
  <c r="N1704" i="23"/>
  <c r="M1704" i="23"/>
  <c r="P1703" i="23"/>
  <c r="O1703" i="23"/>
  <c r="N1703" i="23"/>
  <c r="M1703" i="23"/>
  <c r="P1702" i="23"/>
  <c r="O1702" i="23"/>
  <c r="N1702" i="23"/>
  <c r="P1701" i="23"/>
  <c r="O1701" i="23"/>
  <c r="N1701" i="23"/>
  <c r="P1700" i="23"/>
  <c r="O1700" i="23"/>
  <c r="N1700" i="23"/>
  <c r="P1699" i="23"/>
  <c r="O1699" i="23"/>
  <c r="N1699" i="23"/>
  <c r="P1698" i="23"/>
  <c r="O1698" i="23"/>
  <c r="N1698" i="23"/>
  <c r="M1698" i="23"/>
  <c r="P1697" i="23"/>
  <c r="O1697" i="23"/>
  <c r="N1697" i="23"/>
  <c r="P1696" i="23"/>
  <c r="O1696" i="23"/>
  <c r="N1696" i="23"/>
  <c r="P1695" i="23"/>
  <c r="O1695" i="23"/>
  <c r="N1695" i="23"/>
  <c r="M1695" i="23"/>
  <c r="P1694" i="23"/>
  <c r="O1694" i="23"/>
  <c r="N1694" i="23"/>
  <c r="P1693" i="23"/>
  <c r="O1693" i="23"/>
  <c r="N1693" i="23"/>
  <c r="P1692" i="23"/>
  <c r="O1692" i="23"/>
  <c r="N1692" i="23"/>
  <c r="P1691" i="23"/>
  <c r="O1691" i="23"/>
  <c r="N1691" i="23"/>
  <c r="P1690" i="23"/>
  <c r="O1690" i="23"/>
  <c r="N1690" i="23"/>
  <c r="P1689" i="23"/>
  <c r="O1689" i="23"/>
  <c r="N1689" i="23"/>
  <c r="P1688" i="23"/>
  <c r="O1688" i="23"/>
  <c r="N1688" i="23"/>
  <c r="P1687" i="23"/>
  <c r="O1687" i="23"/>
  <c r="N1687" i="23"/>
  <c r="P1686" i="23"/>
  <c r="O1686" i="23"/>
  <c r="N1686" i="23"/>
  <c r="P1685" i="23"/>
  <c r="O1685" i="23"/>
  <c r="N1685" i="23"/>
  <c r="P1684" i="23"/>
  <c r="O1684" i="23"/>
  <c r="N1684" i="23"/>
  <c r="P1683" i="23"/>
  <c r="O1683" i="23"/>
  <c r="N1683" i="23"/>
  <c r="P1682" i="23"/>
  <c r="O1682" i="23"/>
  <c r="N1682" i="23"/>
  <c r="P1681" i="23"/>
  <c r="O1681" i="23"/>
  <c r="N1681" i="23"/>
  <c r="P1680" i="23"/>
  <c r="O1680" i="23"/>
  <c r="N1680" i="23"/>
  <c r="I1642" i="22"/>
  <c r="J1642" i="22"/>
  <c r="I1643" i="22"/>
  <c r="J1643" i="22"/>
  <c r="I1644" i="22"/>
  <c r="J1644" i="22"/>
  <c r="I1645" i="22"/>
  <c r="J1645" i="22"/>
  <c r="I1646" i="22"/>
  <c r="J1646" i="22"/>
  <c r="I1647" i="22"/>
  <c r="J1647" i="22"/>
  <c r="I1648" i="22"/>
  <c r="J1648" i="22"/>
  <c r="I1649" i="22"/>
  <c r="J1649" i="22"/>
  <c r="I1650" i="22"/>
  <c r="J1650" i="22"/>
  <c r="I1651" i="22"/>
  <c r="J1651" i="22"/>
  <c r="N1661" i="23"/>
  <c r="O1661" i="23"/>
  <c r="P1661" i="23"/>
  <c r="N1662" i="23"/>
  <c r="O1662" i="23"/>
  <c r="P1662" i="23"/>
  <c r="N1663" i="23"/>
  <c r="O1663" i="23"/>
  <c r="P1663" i="23"/>
  <c r="N1664" i="23"/>
  <c r="O1664" i="23"/>
  <c r="P1664" i="23"/>
  <c r="M1665" i="23"/>
  <c r="N1665" i="23"/>
  <c r="O1665" i="23"/>
  <c r="P1665" i="23"/>
  <c r="M1666" i="23"/>
  <c r="N1666" i="23"/>
  <c r="O1666" i="23"/>
  <c r="P1666" i="23"/>
  <c r="M1667" i="23"/>
  <c r="N1667" i="23"/>
  <c r="O1667" i="23"/>
  <c r="P1667" i="23"/>
  <c r="M1668" i="23"/>
  <c r="N1668" i="23"/>
  <c r="O1668" i="23"/>
  <c r="P1668" i="23"/>
  <c r="M1669" i="23"/>
  <c r="N1669" i="23"/>
  <c r="O1669" i="23"/>
  <c r="P1669" i="23"/>
  <c r="M1670" i="23"/>
  <c r="N1670" i="23"/>
  <c r="O1670" i="23"/>
  <c r="P1670" i="23"/>
  <c r="M1671" i="23"/>
  <c r="N1671" i="23"/>
  <c r="O1671" i="23"/>
  <c r="P1671" i="23"/>
  <c r="M1672" i="23"/>
  <c r="N1672" i="23"/>
  <c r="O1672" i="23"/>
  <c r="P1672" i="23"/>
  <c r="N1673" i="23"/>
  <c r="O1673" i="23"/>
  <c r="P1673" i="23"/>
  <c r="N1674" i="23"/>
  <c r="O1674" i="23"/>
  <c r="P1674" i="23"/>
  <c r="M1675" i="23"/>
  <c r="N1675" i="23"/>
  <c r="O1675" i="23"/>
  <c r="P1675" i="23"/>
  <c r="M1676" i="23"/>
  <c r="N1676" i="23"/>
  <c r="O1676" i="23"/>
  <c r="P1676" i="23"/>
  <c r="M1677" i="23"/>
  <c r="N1677" i="23"/>
  <c r="O1677" i="23"/>
  <c r="P1677" i="23"/>
  <c r="N1678" i="23"/>
  <c r="O1678" i="23"/>
  <c r="P1678" i="23"/>
  <c r="M1679" i="23"/>
  <c r="N1679" i="23"/>
  <c r="O1679" i="23"/>
  <c r="P1679" i="23"/>
  <c r="E5" i="24"/>
  <c r="E6" i="24"/>
  <c r="E7" i="24"/>
  <c r="I1632" i="22"/>
  <c r="J1632" i="22"/>
  <c r="I1633" i="22"/>
  <c r="J1633" i="22"/>
  <c r="I1634" i="22"/>
  <c r="J1634" i="22"/>
  <c r="I1635" i="22"/>
  <c r="J1635" i="22"/>
  <c r="I1636" i="22"/>
  <c r="J1636" i="22"/>
  <c r="I1637" i="22"/>
  <c r="J1637" i="22"/>
  <c r="I1638" i="22"/>
  <c r="J1638" i="22"/>
  <c r="I1639" i="22"/>
  <c r="J1639" i="22"/>
  <c r="I1640" i="22"/>
  <c r="J1640" i="22"/>
  <c r="I1641" i="22"/>
  <c r="J1641" i="22"/>
  <c r="C31" i="26" l="1"/>
  <c r="B31" i="26"/>
  <c r="I1608" i="22"/>
  <c r="J1608" i="22"/>
  <c r="I1609" i="22"/>
  <c r="J1609" i="22"/>
  <c r="I1610" i="22"/>
  <c r="J1610" i="22"/>
  <c r="I1611" i="22"/>
  <c r="J1611" i="22"/>
  <c r="I1612" i="22"/>
  <c r="J1612" i="22"/>
  <c r="I1613" i="22"/>
  <c r="J1613" i="22"/>
  <c r="I1614" i="22"/>
  <c r="J1614" i="22"/>
  <c r="I1615" i="22"/>
  <c r="J1615" i="22"/>
  <c r="I1616" i="22"/>
  <c r="J1616" i="22"/>
  <c r="I1617" i="22"/>
  <c r="J1617" i="22"/>
  <c r="I1618" i="22"/>
  <c r="J1618" i="22"/>
  <c r="I1619" i="22"/>
  <c r="J1619" i="22"/>
  <c r="I1620" i="22"/>
  <c r="J1620" i="22"/>
  <c r="I1621" i="22"/>
  <c r="J1621" i="22"/>
  <c r="I1622" i="22"/>
  <c r="J1622" i="22"/>
  <c r="I1623" i="22"/>
  <c r="J1623" i="22"/>
  <c r="I1624" i="22"/>
  <c r="J1624" i="22"/>
  <c r="I1625" i="22"/>
  <c r="J1625" i="22"/>
  <c r="I1626" i="22"/>
  <c r="J1626" i="22"/>
  <c r="I1627" i="22"/>
  <c r="J1627" i="22"/>
  <c r="I1628" i="22"/>
  <c r="J1628" i="22"/>
  <c r="I1629" i="22"/>
  <c r="J1629" i="22"/>
  <c r="I1630" i="22"/>
  <c r="J1630" i="22"/>
  <c r="I1631" i="22"/>
  <c r="J1631" i="22"/>
  <c r="N1644" i="23"/>
  <c r="O1644" i="23"/>
  <c r="P1644" i="23"/>
  <c r="M1645" i="23"/>
  <c r="N1645" i="23"/>
  <c r="O1645" i="23"/>
  <c r="P1645" i="23"/>
  <c r="N1646" i="23"/>
  <c r="O1646" i="23"/>
  <c r="P1646" i="23"/>
  <c r="M1647" i="23"/>
  <c r="N1647" i="23"/>
  <c r="O1647" i="23"/>
  <c r="P1647" i="23"/>
  <c r="M1648" i="23"/>
  <c r="N1648" i="23"/>
  <c r="O1648" i="23"/>
  <c r="P1648" i="23"/>
  <c r="M1649" i="23"/>
  <c r="N1649" i="23"/>
  <c r="O1649" i="23"/>
  <c r="P1649" i="23"/>
  <c r="M1650" i="23"/>
  <c r="N1650" i="23"/>
  <c r="O1650" i="23"/>
  <c r="P1650" i="23"/>
  <c r="N1651" i="23"/>
  <c r="O1651" i="23"/>
  <c r="P1651" i="23"/>
  <c r="N1652" i="23"/>
  <c r="O1652" i="23"/>
  <c r="P1652" i="23"/>
  <c r="N1653" i="23"/>
  <c r="O1653" i="23"/>
  <c r="P1653" i="23"/>
  <c r="N1654" i="23"/>
  <c r="O1654" i="23"/>
  <c r="P1654" i="23"/>
  <c r="N1655" i="23"/>
  <c r="O1655" i="23"/>
  <c r="P1655" i="23"/>
  <c r="N1656" i="23"/>
  <c r="O1656" i="23"/>
  <c r="P1656" i="23"/>
  <c r="N1657" i="23"/>
  <c r="O1657" i="23"/>
  <c r="P1657" i="23"/>
  <c r="N1658" i="23"/>
  <c r="O1658" i="23"/>
  <c r="P1658" i="23"/>
  <c r="M1659" i="23"/>
  <c r="N1659" i="23"/>
  <c r="O1659" i="23"/>
  <c r="P1659" i="23"/>
  <c r="N1660" i="23"/>
  <c r="O1660" i="23"/>
  <c r="P1660" i="23"/>
  <c r="I1603" i="22"/>
  <c r="J1603" i="22"/>
  <c r="I1604" i="22"/>
  <c r="J1604" i="22"/>
  <c r="I1605" i="22"/>
  <c r="J1605" i="22"/>
  <c r="I1606" i="22"/>
  <c r="J1606" i="22"/>
  <c r="I1607" i="22"/>
  <c r="J1607" i="22"/>
  <c r="I1601" i="22"/>
  <c r="J1601" i="22"/>
  <c r="I1602" i="22"/>
  <c r="J1602" i="22"/>
  <c r="I1600" i="22"/>
  <c r="J1600" i="22"/>
  <c r="I1580" i="22"/>
  <c r="J1580" i="22"/>
  <c r="I1581" i="22"/>
  <c r="J1581" i="22"/>
  <c r="I1582" i="22"/>
  <c r="J1582" i="22"/>
  <c r="I1583" i="22"/>
  <c r="J1583" i="22"/>
  <c r="I1584" i="22"/>
  <c r="J1584" i="22"/>
  <c r="I1585" i="22"/>
  <c r="J1585" i="22"/>
  <c r="I1586" i="22"/>
  <c r="J1586" i="22"/>
  <c r="I1587" i="22"/>
  <c r="J1587" i="22"/>
  <c r="I1588" i="22"/>
  <c r="J1588" i="22"/>
  <c r="I1589" i="22"/>
  <c r="J1589" i="22"/>
  <c r="I1590" i="22"/>
  <c r="J1590" i="22"/>
  <c r="I1591" i="22"/>
  <c r="J1591" i="22"/>
  <c r="I1592" i="22"/>
  <c r="J1592" i="22"/>
  <c r="I1593" i="22"/>
  <c r="J1593" i="22"/>
  <c r="I1594" i="22"/>
  <c r="J1594" i="22"/>
  <c r="I1595" i="22"/>
  <c r="J1595" i="22"/>
  <c r="I1596" i="22"/>
  <c r="J1596" i="22"/>
  <c r="I1597" i="22"/>
  <c r="J1597" i="22"/>
  <c r="I1598" i="22"/>
  <c r="J1598" i="22"/>
  <c r="I1599" i="22"/>
  <c r="J1599" i="22"/>
  <c r="P1643" i="23"/>
  <c r="O1643" i="23"/>
  <c r="N1643" i="23"/>
  <c r="P1642" i="23"/>
  <c r="O1642" i="23"/>
  <c r="N1642" i="23"/>
  <c r="M1642" i="23"/>
  <c r="P1641" i="23"/>
  <c r="O1641" i="23"/>
  <c r="N1641" i="23"/>
  <c r="M1641" i="23"/>
  <c r="P1640" i="23"/>
  <c r="O1640" i="23"/>
  <c r="N1640" i="23"/>
  <c r="M1640" i="23"/>
  <c r="P1639" i="23"/>
  <c r="O1639" i="23"/>
  <c r="N1639" i="23"/>
  <c r="M1639" i="23"/>
  <c r="P1638" i="23"/>
  <c r="O1638" i="23"/>
  <c r="N1638" i="23"/>
  <c r="M1638" i="23"/>
  <c r="P1637" i="23"/>
  <c r="O1637" i="23"/>
  <c r="N1637" i="23"/>
  <c r="M1637" i="23"/>
  <c r="P1636" i="23"/>
  <c r="O1636" i="23"/>
  <c r="N1636" i="23"/>
  <c r="M1636" i="23"/>
  <c r="P1635" i="23"/>
  <c r="O1635" i="23"/>
  <c r="N1635" i="23"/>
  <c r="M1635" i="23"/>
  <c r="P1634" i="23"/>
  <c r="O1634" i="23"/>
  <c r="N1634" i="23"/>
  <c r="M1634" i="23"/>
  <c r="P1633" i="23"/>
  <c r="O1633" i="23"/>
  <c r="N1633" i="23"/>
  <c r="P1632" i="23"/>
  <c r="O1632" i="23"/>
  <c r="N1632" i="23"/>
  <c r="P1631" i="23"/>
  <c r="O1631" i="23"/>
  <c r="N1631" i="23"/>
  <c r="P1630" i="23"/>
  <c r="O1630" i="23"/>
  <c r="N1630" i="23"/>
  <c r="P1629" i="23"/>
  <c r="O1629" i="23"/>
  <c r="N1629" i="23"/>
  <c r="P1628" i="23"/>
  <c r="O1628" i="23"/>
  <c r="N1628" i="23"/>
  <c r="P1627" i="23"/>
  <c r="O1627" i="23"/>
  <c r="N1627" i="23"/>
  <c r="M1627" i="23"/>
  <c r="P1626" i="23"/>
  <c r="O1626" i="23"/>
  <c r="N1626" i="23"/>
  <c r="P1625" i="23"/>
  <c r="O1625" i="23"/>
  <c r="N1625" i="23"/>
  <c r="P1624" i="23"/>
  <c r="O1624" i="23"/>
  <c r="N1624" i="23"/>
  <c r="M1624" i="23"/>
  <c r="P1623" i="23"/>
  <c r="O1623" i="23"/>
  <c r="N1623" i="23"/>
  <c r="M1623" i="23"/>
  <c r="P1622" i="23"/>
  <c r="O1622" i="23"/>
  <c r="N1622" i="23"/>
  <c r="P1621" i="23"/>
  <c r="O1621" i="23"/>
  <c r="N1621" i="23"/>
  <c r="P1620" i="23"/>
  <c r="O1620" i="23"/>
  <c r="N1620" i="23"/>
  <c r="M1620" i="23"/>
  <c r="P1619" i="23"/>
  <c r="O1619" i="23"/>
  <c r="N1619" i="23"/>
  <c r="P1618" i="23"/>
  <c r="O1618" i="23"/>
  <c r="N1618" i="23"/>
  <c r="P1617" i="23"/>
  <c r="O1617" i="23"/>
  <c r="N1617" i="23"/>
  <c r="I1578" i="22"/>
  <c r="J1578" i="22"/>
  <c r="I1579" i="22"/>
  <c r="J1579" i="22"/>
  <c r="M1611" i="23"/>
  <c r="N1611" i="23"/>
  <c r="O1611" i="23"/>
  <c r="P1611" i="23"/>
  <c r="M1612" i="23"/>
  <c r="N1612" i="23"/>
  <c r="O1612" i="23"/>
  <c r="P1612" i="23"/>
  <c r="M1613" i="23"/>
  <c r="N1613" i="23"/>
  <c r="O1613" i="23"/>
  <c r="P1613" i="23"/>
  <c r="M1614" i="23"/>
  <c r="N1614" i="23"/>
  <c r="O1614" i="23"/>
  <c r="P1614" i="23"/>
  <c r="M1615" i="23"/>
  <c r="N1615" i="23"/>
  <c r="O1615" i="23"/>
  <c r="P1615" i="23"/>
  <c r="M1616" i="23"/>
  <c r="N1616" i="23"/>
  <c r="O1616" i="23"/>
  <c r="P1616" i="23"/>
  <c r="N1598" i="23"/>
  <c r="O1598" i="23"/>
  <c r="P1598" i="23"/>
  <c r="N1599" i="23"/>
  <c r="O1599" i="23"/>
  <c r="P1599" i="23"/>
  <c r="N1600" i="23"/>
  <c r="O1600" i="23"/>
  <c r="P1600" i="23"/>
  <c r="N1601" i="23"/>
  <c r="O1601" i="23"/>
  <c r="P1601" i="23"/>
  <c r="N1602" i="23"/>
  <c r="O1602" i="23"/>
  <c r="P1602" i="23"/>
  <c r="N1603" i="23"/>
  <c r="O1603" i="23"/>
  <c r="P1603" i="23"/>
  <c r="N1604" i="23"/>
  <c r="O1604" i="23"/>
  <c r="P1604" i="23"/>
  <c r="N1605" i="23"/>
  <c r="O1605" i="23"/>
  <c r="P1605" i="23"/>
  <c r="M1606" i="23"/>
  <c r="N1606" i="23"/>
  <c r="O1606" i="23"/>
  <c r="P1606" i="23"/>
  <c r="M1607" i="23"/>
  <c r="N1607" i="23"/>
  <c r="O1607" i="23"/>
  <c r="P1607" i="23"/>
  <c r="N1608" i="23"/>
  <c r="O1608" i="23"/>
  <c r="P1608" i="23"/>
  <c r="M1609" i="23"/>
  <c r="N1609" i="23"/>
  <c r="O1609" i="23"/>
  <c r="P1609" i="23"/>
  <c r="N1610" i="23"/>
  <c r="O1610" i="23"/>
  <c r="P1610" i="23"/>
  <c r="I1562" i="22"/>
  <c r="J1562" i="22"/>
  <c r="I1563" i="22"/>
  <c r="J1563" i="22"/>
  <c r="I1564" i="22"/>
  <c r="J1564" i="22"/>
  <c r="I1565" i="22"/>
  <c r="J1565" i="22"/>
  <c r="I1566" i="22"/>
  <c r="J1566" i="22"/>
  <c r="I1567" i="22"/>
  <c r="J1567" i="22"/>
  <c r="I1568" i="22"/>
  <c r="J1568" i="22"/>
  <c r="I1569" i="22"/>
  <c r="J1569" i="22"/>
  <c r="I1570" i="22"/>
  <c r="J1570" i="22"/>
  <c r="I1571" i="22"/>
  <c r="J1571" i="22"/>
  <c r="I1572" i="22"/>
  <c r="J1572" i="22"/>
  <c r="I1573" i="22"/>
  <c r="J1573" i="22"/>
  <c r="I1574" i="22"/>
  <c r="J1574" i="22"/>
  <c r="I1575" i="22"/>
  <c r="J1575" i="22"/>
  <c r="I1576" i="22"/>
  <c r="J1576" i="22"/>
  <c r="I1577" i="22"/>
  <c r="J1577" i="22"/>
  <c r="I1546" i="22" l="1"/>
  <c r="J1546" i="22"/>
  <c r="I1547" i="22"/>
  <c r="J1547" i="22"/>
  <c r="I1548" i="22"/>
  <c r="J1548" i="22"/>
  <c r="I1549" i="22"/>
  <c r="J1549" i="22"/>
  <c r="I1550" i="22"/>
  <c r="J1550" i="22"/>
  <c r="I1551" i="22"/>
  <c r="J1551" i="22"/>
  <c r="I1552" i="22"/>
  <c r="J1552" i="22"/>
  <c r="I1553" i="22"/>
  <c r="J1553" i="22"/>
  <c r="I1554" i="22"/>
  <c r="J1554" i="22"/>
  <c r="I1555" i="22"/>
  <c r="J1555" i="22"/>
  <c r="I1556" i="22"/>
  <c r="J1556" i="22"/>
  <c r="I1557" i="22"/>
  <c r="J1557" i="22"/>
  <c r="I1558" i="22"/>
  <c r="J1558" i="22"/>
  <c r="I1559" i="22"/>
  <c r="J1559" i="22"/>
  <c r="I1560" i="22"/>
  <c r="J1560" i="22"/>
  <c r="I1561" i="22"/>
  <c r="J1561" i="22"/>
  <c r="I1538" i="22"/>
  <c r="J1538" i="22"/>
  <c r="I1539" i="22"/>
  <c r="J1539" i="22"/>
  <c r="I1540" i="22"/>
  <c r="J1540" i="22"/>
  <c r="I1541" i="22"/>
  <c r="J1541" i="22"/>
  <c r="I1542" i="22"/>
  <c r="J1542" i="22"/>
  <c r="I1543" i="22"/>
  <c r="J1543" i="22"/>
  <c r="I1544" i="22"/>
  <c r="J1544" i="22"/>
  <c r="I1545" i="22"/>
  <c r="J1545" i="22"/>
  <c r="I1518" i="22"/>
  <c r="J1518" i="22"/>
  <c r="I1519" i="22"/>
  <c r="J1519" i="22"/>
  <c r="I1520" i="22"/>
  <c r="J1520" i="22"/>
  <c r="I1521" i="22"/>
  <c r="J1521" i="22"/>
  <c r="I1522" i="22"/>
  <c r="J1522" i="22"/>
  <c r="I1523" i="22"/>
  <c r="J1523" i="22"/>
  <c r="I1524" i="22"/>
  <c r="J1524" i="22"/>
  <c r="I1525" i="22"/>
  <c r="J1525" i="22"/>
  <c r="I1526" i="22"/>
  <c r="J1526" i="22"/>
  <c r="I1527" i="22"/>
  <c r="J1527" i="22"/>
  <c r="I1528" i="22"/>
  <c r="J1528" i="22"/>
  <c r="I1529" i="22"/>
  <c r="J1529" i="22"/>
  <c r="I1530" i="22"/>
  <c r="J1530" i="22"/>
  <c r="I1531" i="22"/>
  <c r="J1531" i="22"/>
  <c r="I1532" i="22"/>
  <c r="J1532" i="22"/>
  <c r="I1533" i="22"/>
  <c r="J1533" i="22"/>
  <c r="I1534" i="22"/>
  <c r="J1534" i="22"/>
  <c r="I1535" i="22"/>
  <c r="J1535" i="22"/>
  <c r="I1536" i="22"/>
  <c r="J1536" i="22"/>
  <c r="I1537" i="22"/>
  <c r="J1537" i="22"/>
  <c r="N1577" i="23"/>
  <c r="O1577" i="23"/>
  <c r="P1577" i="23"/>
  <c r="N1578" i="23"/>
  <c r="O1578" i="23"/>
  <c r="P1578" i="23"/>
  <c r="N1579" i="23"/>
  <c r="O1579" i="23"/>
  <c r="P1579" i="23"/>
  <c r="M1580" i="23"/>
  <c r="N1580" i="23"/>
  <c r="O1580" i="23"/>
  <c r="P1580" i="23"/>
  <c r="N1581" i="23"/>
  <c r="O1581" i="23"/>
  <c r="P1581" i="23"/>
  <c r="N1582" i="23"/>
  <c r="O1582" i="23"/>
  <c r="P1582" i="23"/>
  <c r="N1583" i="23"/>
  <c r="O1583" i="23"/>
  <c r="P1583" i="23"/>
  <c r="N1584" i="23"/>
  <c r="O1584" i="23"/>
  <c r="P1584" i="23"/>
  <c r="N1585" i="23"/>
  <c r="O1585" i="23"/>
  <c r="P1585" i="23"/>
  <c r="N1586" i="23"/>
  <c r="O1586" i="23"/>
  <c r="P1586" i="23"/>
  <c r="N1587" i="23"/>
  <c r="O1587" i="23"/>
  <c r="P1587" i="23"/>
  <c r="N1588" i="23"/>
  <c r="O1588" i="23"/>
  <c r="P1588" i="23"/>
  <c r="N1589" i="23"/>
  <c r="O1589" i="23"/>
  <c r="P1589" i="23"/>
  <c r="N1590" i="23"/>
  <c r="O1590" i="23"/>
  <c r="P1590" i="23"/>
  <c r="N1591" i="23"/>
  <c r="O1591" i="23"/>
  <c r="P1591" i="23"/>
  <c r="N1592" i="23"/>
  <c r="O1592" i="23"/>
  <c r="P1592" i="23"/>
  <c r="N1593" i="23"/>
  <c r="O1593" i="23"/>
  <c r="P1593" i="23"/>
  <c r="N1594" i="23"/>
  <c r="O1594" i="23"/>
  <c r="P1594" i="23"/>
  <c r="N1595" i="23"/>
  <c r="O1595" i="23"/>
  <c r="P1595" i="23"/>
  <c r="N1596" i="23"/>
  <c r="O1596" i="23"/>
  <c r="P1596" i="23"/>
  <c r="M1597" i="23"/>
  <c r="N1597" i="23"/>
  <c r="O1597" i="23"/>
  <c r="P1597" i="23"/>
  <c r="N1565" i="23"/>
  <c r="O1565" i="23"/>
  <c r="P1565" i="23"/>
  <c r="M1566" i="23"/>
  <c r="N1566" i="23"/>
  <c r="O1566" i="23"/>
  <c r="P1566" i="23"/>
  <c r="N1567" i="23"/>
  <c r="O1567" i="23"/>
  <c r="P1567" i="23"/>
  <c r="N1568" i="23"/>
  <c r="O1568" i="23"/>
  <c r="P1568" i="23"/>
  <c r="N1569" i="23"/>
  <c r="O1569" i="23"/>
  <c r="P1569" i="23"/>
  <c r="M1570" i="23"/>
  <c r="N1570" i="23"/>
  <c r="O1570" i="23"/>
  <c r="P1570" i="23"/>
  <c r="M1571" i="23"/>
  <c r="N1571" i="23"/>
  <c r="O1571" i="23"/>
  <c r="P1571" i="23"/>
  <c r="M1572" i="23"/>
  <c r="N1572" i="23"/>
  <c r="O1572" i="23"/>
  <c r="P1572" i="23"/>
  <c r="N1573" i="23"/>
  <c r="O1573" i="23"/>
  <c r="P1573" i="23"/>
  <c r="N1574" i="23"/>
  <c r="O1574" i="23"/>
  <c r="P1574" i="23"/>
  <c r="N1575" i="23"/>
  <c r="O1575" i="23"/>
  <c r="P1575" i="23"/>
  <c r="N1576" i="23"/>
  <c r="O1576" i="23"/>
  <c r="P1576" i="23"/>
  <c r="I1487" i="22" l="1"/>
  <c r="J1487" i="22"/>
  <c r="I1488" i="22"/>
  <c r="J1488" i="22"/>
  <c r="I1489" i="22"/>
  <c r="J1489" i="22"/>
  <c r="I1490" i="22"/>
  <c r="J1490" i="22"/>
  <c r="I1491" i="22"/>
  <c r="J1491" i="22"/>
  <c r="I1492" i="22"/>
  <c r="J1492" i="22"/>
  <c r="I1493" i="22"/>
  <c r="J1493" i="22"/>
  <c r="I1494" i="22"/>
  <c r="J1494" i="22"/>
  <c r="I1495" i="22"/>
  <c r="J1495" i="22"/>
  <c r="I1496" i="22"/>
  <c r="J1496" i="22"/>
  <c r="I1497" i="22"/>
  <c r="J1497" i="22"/>
  <c r="I1498" i="22"/>
  <c r="J1498" i="22"/>
  <c r="I1499" i="22"/>
  <c r="J1499" i="22"/>
  <c r="I1500" i="22"/>
  <c r="J1500" i="22"/>
  <c r="I1501" i="22"/>
  <c r="J1501" i="22"/>
  <c r="I1502" i="22"/>
  <c r="J1502" i="22"/>
  <c r="I1503" i="22"/>
  <c r="J1503" i="22"/>
  <c r="I1504" i="22"/>
  <c r="J1504" i="22"/>
  <c r="I1505" i="22"/>
  <c r="J1505" i="22"/>
  <c r="I1506" i="22"/>
  <c r="J1506" i="22"/>
  <c r="I1507" i="22"/>
  <c r="J1507" i="22"/>
  <c r="I1508" i="22"/>
  <c r="J1508" i="22"/>
  <c r="I1509" i="22"/>
  <c r="J1509" i="22"/>
  <c r="I1510" i="22"/>
  <c r="J1510" i="22"/>
  <c r="I1511" i="22"/>
  <c r="J1511" i="22"/>
  <c r="I1512" i="22"/>
  <c r="J1512" i="22"/>
  <c r="I1513" i="22"/>
  <c r="J1513" i="22"/>
  <c r="I1514" i="22"/>
  <c r="J1514" i="22"/>
  <c r="I1515" i="22"/>
  <c r="J1515" i="22"/>
  <c r="I1516" i="22"/>
  <c r="J1516" i="22"/>
  <c r="I1517" i="22"/>
  <c r="J1517" i="22"/>
  <c r="I1478" i="22"/>
  <c r="J1478" i="22"/>
  <c r="I1479" i="22"/>
  <c r="J1479" i="22"/>
  <c r="I1480" i="22"/>
  <c r="J1480" i="22"/>
  <c r="I1481" i="22"/>
  <c r="J1481" i="22"/>
  <c r="I1482" i="22"/>
  <c r="J1482" i="22"/>
  <c r="I1483" i="22"/>
  <c r="J1483" i="22"/>
  <c r="I1484" i="22"/>
  <c r="J1484" i="22"/>
  <c r="I1485" i="22"/>
  <c r="J1485" i="22"/>
  <c r="I1486" i="22"/>
  <c r="J1486" i="22"/>
  <c r="M1511" i="23"/>
  <c r="N1511" i="23"/>
  <c r="O1511" i="23"/>
  <c r="P1511" i="23"/>
  <c r="M1512" i="23"/>
  <c r="N1512" i="23"/>
  <c r="O1512" i="23"/>
  <c r="P1512" i="23"/>
  <c r="M1513" i="23"/>
  <c r="N1513" i="23"/>
  <c r="O1513" i="23"/>
  <c r="P1513" i="23"/>
  <c r="M1514" i="23"/>
  <c r="N1514" i="23"/>
  <c r="O1514" i="23"/>
  <c r="P1514" i="23"/>
  <c r="M1515" i="23"/>
  <c r="N1515" i="23"/>
  <c r="O1515" i="23"/>
  <c r="P1515" i="23"/>
  <c r="M1516" i="23"/>
  <c r="N1516" i="23"/>
  <c r="O1516" i="23"/>
  <c r="P1516" i="23"/>
  <c r="M1517" i="23"/>
  <c r="N1517" i="23"/>
  <c r="O1517" i="23"/>
  <c r="P1517" i="23"/>
  <c r="N1518" i="23"/>
  <c r="O1518" i="23"/>
  <c r="P1518" i="23"/>
  <c r="N1519" i="23"/>
  <c r="O1519" i="23"/>
  <c r="P1519" i="23"/>
  <c r="N1520" i="23"/>
  <c r="O1520" i="23"/>
  <c r="P1520" i="23"/>
  <c r="N1521" i="23"/>
  <c r="O1521" i="23"/>
  <c r="P1521" i="23"/>
  <c r="N1522" i="23"/>
  <c r="O1522" i="23"/>
  <c r="P1522" i="23"/>
  <c r="M1523" i="23"/>
  <c r="N1523" i="23"/>
  <c r="O1523" i="23"/>
  <c r="P1523" i="23"/>
  <c r="N1524" i="23"/>
  <c r="O1524" i="23"/>
  <c r="P1524" i="23"/>
  <c r="N1525" i="23"/>
  <c r="O1525" i="23"/>
  <c r="P1525" i="23"/>
  <c r="M1526" i="23"/>
  <c r="N1526" i="23"/>
  <c r="O1526" i="23"/>
  <c r="P1526" i="23"/>
  <c r="N1527" i="23"/>
  <c r="O1527" i="23"/>
  <c r="P1527" i="23"/>
  <c r="N1528" i="23"/>
  <c r="O1528" i="23"/>
  <c r="P1528" i="23"/>
  <c r="M1529" i="23"/>
  <c r="N1529" i="23"/>
  <c r="O1529" i="23"/>
  <c r="P1529" i="23"/>
  <c r="N1530" i="23"/>
  <c r="O1530" i="23"/>
  <c r="P1530" i="23"/>
  <c r="N1531" i="23"/>
  <c r="O1531" i="23"/>
  <c r="P1531" i="23"/>
  <c r="N1532" i="23"/>
  <c r="O1532" i="23"/>
  <c r="P1532" i="23"/>
  <c r="N1533" i="23"/>
  <c r="O1533" i="23"/>
  <c r="P1533" i="23"/>
  <c r="N1534" i="23"/>
  <c r="O1534" i="23"/>
  <c r="P1534" i="23"/>
  <c r="M1535" i="23"/>
  <c r="N1535" i="23"/>
  <c r="O1535" i="23"/>
  <c r="P1535" i="23"/>
  <c r="M1536" i="23"/>
  <c r="N1536" i="23"/>
  <c r="O1536" i="23"/>
  <c r="P1536" i="23"/>
  <c r="M1537" i="23"/>
  <c r="N1537" i="23"/>
  <c r="O1537" i="23"/>
  <c r="P1537" i="23"/>
  <c r="M1538" i="23"/>
  <c r="N1538" i="23"/>
  <c r="O1538" i="23"/>
  <c r="P1538" i="23"/>
  <c r="N1539" i="23"/>
  <c r="O1539" i="23"/>
  <c r="P1539" i="23"/>
  <c r="N1540" i="23"/>
  <c r="O1540" i="23"/>
  <c r="P1540" i="23"/>
  <c r="N1541" i="23"/>
  <c r="O1541" i="23"/>
  <c r="P1541" i="23"/>
  <c r="N1542" i="23"/>
  <c r="O1542" i="23"/>
  <c r="P1542" i="23"/>
  <c r="M1543" i="23"/>
  <c r="N1543" i="23"/>
  <c r="O1543" i="23"/>
  <c r="P1543" i="23"/>
  <c r="M1544" i="23"/>
  <c r="N1544" i="23"/>
  <c r="O1544" i="23"/>
  <c r="P1544" i="23"/>
  <c r="M1545" i="23"/>
  <c r="N1545" i="23"/>
  <c r="O1545" i="23"/>
  <c r="P1545" i="23"/>
  <c r="M1546" i="23"/>
  <c r="N1546" i="23"/>
  <c r="O1546" i="23"/>
  <c r="P1546" i="23"/>
  <c r="M1547" i="23"/>
  <c r="N1547" i="23"/>
  <c r="O1547" i="23"/>
  <c r="P1547" i="23"/>
  <c r="N1548" i="23"/>
  <c r="O1548" i="23"/>
  <c r="P1548" i="23"/>
  <c r="M1549" i="23"/>
  <c r="N1549" i="23"/>
  <c r="O1549" i="23"/>
  <c r="P1549" i="23"/>
  <c r="N1550" i="23"/>
  <c r="O1550" i="23"/>
  <c r="P1550" i="23"/>
  <c r="N1551" i="23"/>
  <c r="O1551" i="23"/>
  <c r="P1551" i="23"/>
  <c r="N1552" i="23"/>
  <c r="O1552" i="23"/>
  <c r="P1552" i="23"/>
  <c r="N1553" i="23"/>
  <c r="O1553" i="23"/>
  <c r="P1553" i="23"/>
  <c r="N1554" i="23"/>
  <c r="O1554" i="23"/>
  <c r="P1554" i="23"/>
  <c r="N1555" i="23"/>
  <c r="O1555" i="23"/>
  <c r="P1555" i="23"/>
  <c r="M1556" i="23"/>
  <c r="N1556" i="23"/>
  <c r="O1556" i="23"/>
  <c r="P1556" i="23"/>
  <c r="M1557" i="23"/>
  <c r="N1557" i="23"/>
  <c r="O1557" i="23"/>
  <c r="P1557" i="23"/>
  <c r="M1558" i="23"/>
  <c r="N1558" i="23"/>
  <c r="O1558" i="23"/>
  <c r="P1558" i="23"/>
  <c r="M1559" i="23"/>
  <c r="N1559" i="23"/>
  <c r="O1559" i="23"/>
  <c r="P1559" i="23"/>
  <c r="M1560" i="23"/>
  <c r="N1560" i="23"/>
  <c r="O1560" i="23"/>
  <c r="P1560" i="23"/>
  <c r="N1561" i="23"/>
  <c r="O1561" i="23"/>
  <c r="P1561" i="23"/>
  <c r="M1562" i="23"/>
  <c r="N1562" i="23"/>
  <c r="O1562" i="23"/>
  <c r="P1562" i="23"/>
  <c r="N1563" i="23"/>
  <c r="O1563" i="23"/>
  <c r="P1563" i="23"/>
  <c r="M1564" i="23"/>
  <c r="N1564" i="23"/>
  <c r="O1564" i="23"/>
  <c r="P1564" i="23"/>
  <c r="M1492" i="23"/>
  <c r="N1492" i="23"/>
  <c r="O1492" i="23"/>
  <c r="P1492" i="23"/>
  <c r="M1493" i="23"/>
  <c r="N1493" i="23"/>
  <c r="O1493" i="23"/>
  <c r="P1493" i="23"/>
  <c r="M1494" i="23"/>
  <c r="N1494" i="23"/>
  <c r="O1494" i="23"/>
  <c r="P1494" i="23"/>
  <c r="M1495" i="23"/>
  <c r="N1495" i="23"/>
  <c r="O1495" i="23"/>
  <c r="P1495" i="23"/>
  <c r="M1496" i="23"/>
  <c r="N1496" i="23"/>
  <c r="O1496" i="23"/>
  <c r="P1496" i="23"/>
  <c r="M1497" i="23"/>
  <c r="N1497" i="23"/>
  <c r="O1497" i="23"/>
  <c r="P1497" i="23"/>
  <c r="M1498" i="23"/>
  <c r="N1498" i="23"/>
  <c r="O1498" i="23"/>
  <c r="P1498" i="23"/>
  <c r="M1499" i="23"/>
  <c r="N1499" i="23"/>
  <c r="O1499" i="23"/>
  <c r="P1499" i="23"/>
  <c r="N1500" i="23"/>
  <c r="O1500" i="23"/>
  <c r="P1500" i="23"/>
  <c r="M1501" i="23"/>
  <c r="N1501" i="23"/>
  <c r="O1501" i="23"/>
  <c r="P1501" i="23"/>
  <c r="M1502" i="23"/>
  <c r="N1502" i="23"/>
  <c r="O1502" i="23"/>
  <c r="P1502" i="23"/>
  <c r="M1503" i="23"/>
  <c r="N1503" i="23"/>
  <c r="O1503" i="23"/>
  <c r="P1503" i="23"/>
  <c r="N1504" i="23"/>
  <c r="O1504" i="23"/>
  <c r="P1504" i="23"/>
  <c r="N1505" i="23"/>
  <c r="O1505" i="23"/>
  <c r="P1505" i="23"/>
  <c r="N1506" i="23"/>
  <c r="O1506" i="23"/>
  <c r="P1506" i="23"/>
  <c r="N1507" i="23"/>
  <c r="O1507" i="23"/>
  <c r="P1507" i="23"/>
  <c r="N1508" i="23"/>
  <c r="O1508" i="23"/>
  <c r="P1508" i="23"/>
  <c r="N1509" i="23"/>
  <c r="O1509" i="23"/>
  <c r="P1509" i="23"/>
  <c r="N1510" i="23"/>
  <c r="O1510" i="23"/>
  <c r="P1510" i="23"/>
  <c r="I1449" i="22"/>
  <c r="J1449" i="22"/>
  <c r="I1450" i="22"/>
  <c r="J1450" i="22"/>
  <c r="I1451" i="22"/>
  <c r="J1451" i="22"/>
  <c r="I1452" i="22"/>
  <c r="J1452" i="22"/>
  <c r="I1453" i="22"/>
  <c r="J1453" i="22"/>
  <c r="I1454" i="22"/>
  <c r="J1454" i="22"/>
  <c r="I1455" i="22"/>
  <c r="J1455" i="22"/>
  <c r="I1456" i="22"/>
  <c r="J1456" i="22"/>
  <c r="I1457" i="22"/>
  <c r="J1457" i="22"/>
  <c r="I1458" i="22"/>
  <c r="J1458" i="22"/>
  <c r="I1459" i="22"/>
  <c r="J1459" i="22"/>
  <c r="I1460" i="22"/>
  <c r="J1460" i="22"/>
  <c r="I1461" i="22"/>
  <c r="J1461" i="22"/>
  <c r="I1462" i="22"/>
  <c r="J1462" i="22"/>
  <c r="I1463" i="22"/>
  <c r="J1463" i="22"/>
  <c r="I1464" i="22"/>
  <c r="J1464" i="22"/>
  <c r="I1465" i="22"/>
  <c r="J1465" i="22"/>
  <c r="I1466" i="22"/>
  <c r="J1466" i="22"/>
  <c r="I1467" i="22"/>
  <c r="J1467" i="22"/>
  <c r="I1468" i="22"/>
  <c r="J1468" i="22"/>
  <c r="I1469" i="22"/>
  <c r="J1469" i="22"/>
  <c r="I1470" i="22"/>
  <c r="J1470" i="22"/>
  <c r="I1471" i="22"/>
  <c r="J1471" i="22"/>
  <c r="I1472" i="22"/>
  <c r="J1472" i="22"/>
  <c r="I1473" i="22"/>
  <c r="J1473" i="22"/>
  <c r="I1474" i="22"/>
  <c r="J1474" i="22"/>
  <c r="I1475" i="22"/>
  <c r="J1475" i="22"/>
  <c r="I1476" i="22"/>
  <c r="J1476" i="22"/>
  <c r="I1477" i="22"/>
  <c r="J1477" i="22"/>
  <c r="N1488" i="23"/>
  <c r="O1488" i="23"/>
  <c r="P1488" i="23"/>
  <c r="N1489" i="23"/>
  <c r="O1489" i="23"/>
  <c r="P1489" i="23"/>
  <c r="N1490" i="23"/>
  <c r="O1490" i="23"/>
  <c r="P1490" i="23"/>
  <c r="N1491" i="23"/>
  <c r="O1491" i="23"/>
  <c r="P1491" i="23"/>
  <c r="I1413" i="22"/>
  <c r="J1413" i="22"/>
  <c r="I1414" i="22"/>
  <c r="J1414" i="22"/>
  <c r="I1415" i="22"/>
  <c r="J1415" i="22"/>
  <c r="I1416" i="22"/>
  <c r="J1416" i="22"/>
  <c r="I1417" i="22"/>
  <c r="J1417" i="22"/>
  <c r="I1418" i="22"/>
  <c r="J1418" i="22"/>
  <c r="I1419" i="22"/>
  <c r="J1419" i="22"/>
  <c r="I1420" i="22"/>
  <c r="J1420" i="22"/>
  <c r="I1421" i="22"/>
  <c r="J1421" i="22"/>
  <c r="I1422" i="22"/>
  <c r="J1422" i="22"/>
  <c r="I1423" i="22"/>
  <c r="J1423" i="22"/>
  <c r="I1424" i="22"/>
  <c r="J1424" i="22"/>
  <c r="I1425" i="22"/>
  <c r="J1425" i="22"/>
  <c r="I1426" i="22"/>
  <c r="J1426" i="22"/>
  <c r="I1427" i="22"/>
  <c r="J1427" i="22"/>
  <c r="I1428" i="22"/>
  <c r="J1428" i="22"/>
  <c r="I1429" i="22"/>
  <c r="J1429" i="22"/>
  <c r="I1430" i="22"/>
  <c r="J1430" i="22"/>
  <c r="I1431" i="22"/>
  <c r="J1431" i="22"/>
  <c r="I1432" i="22"/>
  <c r="J1432" i="22"/>
  <c r="I1433" i="22"/>
  <c r="J1433" i="22"/>
  <c r="I1434" i="22"/>
  <c r="J1434" i="22"/>
  <c r="I1435" i="22"/>
  <c r="J1435" i="22"/>
  <c r="I1436" i="22"/>
  <c r="J1436" i="22"/>
  <c r="I1437" i="22"/>
  <c r="J1437" i="22"/>
  <c r="I1438" i="22"/>
  <c r="J1438" i="22"/>
  <c r="I1439" i="22"/>
  <c r="J1439" i="22"/>
  <c r="I1440" i="22"/>
  <c r="J1440" i="22"/>
  <c r="I1441" i="22"/>
  <c r="J1441" i="22"/>
  <c r="I1442" i="22"/>
  <c r="J1442" i="22"/>
  <c r="I1443" i="22"/>
  <c r="J1443" i="22"/>
  <c r="I1444" i="22"/>
  <c r="J1444" i="22"/>
  <c r="I1445" i="22"/>
  <c r="J1445" i="22"/>
  <c r="I1446" i="22"/>
  <c r="J1446" i="22"/>
  <c r="I1447" i="22"/>
  <c r="J1447" i="22"/>
  <c r="I1448" i="22"/>
  <c r="J1448" i="22"/>
  <c r="N1487" i="23"/>
  <c r="O1487" i="23"/>
  <c r="P1487" i="23"/>
  <c r="M1486" i="23"/>
  <c r="N1486" i="23"/>
  <c r="O1486" i="23"/>
  <c r="P1486" i="23"/>
  <c r="N1462" i="23"/>
  <c r="O1462" i="23"/>
  <c r="P1462" i="23"/>
  <c r="N1463" i="23"/>
  <c r="O1463" i="23"/>
  <c r="P1463" i="23"/>
  <c r="N1464" i="23"/>
  <c r="O1464" i="23"/>
  <c r="P1464" i="23"/>
  <c r="N1465" i="23"/>
  <c r="O1465" i="23"/>
  <c r="P1465" i="23"/>
  <c r="M1466" i="23"/>
  <c r="N1466" i="23"/>
  <c r="O1466" i="23"/>
  <c r="P1466" i="23"/>
  <c r="N1467" i="23"/>
  <c r="O1467" i="23"/>
  <c r="P1467" i="23"/>
  <c r="N1468" i="23"/>
  <c r="O1468" i="23"/>
  <c r="P1468" i="23"/>
  <c r="N1469" i="23"/>
  <c r="O1469" i="23"/>
  <c r="P1469" i="23"/>
  <c r="N1470" i="23"/>
  <c r="O1470" i="23"/>
  <c r="P1470" i="23"/>
  <c r="N1471" i="23"/>
  <c r="O1471" i="23"/>
  <c r="P1471" i="23"/>
  <c r="N1472" i="23"/>
  <c r="O1472" i="23"/>
  <c r="P1472" i="23"/>
  <c r="N1473" i="23"/>
  <c r="O1473" i="23"/>
  <c r="P1473" i="23"/>
  <c r="N1474" i="23"/>
  <c r="O1474" i="23"/>
  <c r="P1474" i="23"/>
  <c r="N1475" i="23"/>
  <c r="O1475" i="23"/>
  <c r="P1475" i="23"/>
  <c r="N1476" i="23"/>
  <c r="O1476" i="23"/>
  <c r="P1476" i="23"/>
  <c r="M1477" i="23"/>
  <c r="N1477" i="23"/>
  <c r="O1477" i="23"/>
  <c r="P1477" i="23"/>
  <c r="N1478" i="23"/>
  <c r="O1478" i="23"/>
  <c r="P1478" i="23"/>
  <c r="N1479" i="23"/>
  <c r="O1479" i="23"/>
  <c r="P1479" i="23"/>
  <c r="N1480" i="23"/>
  <c r="O1480" i="23"/>
  <c r="P1480" i="23"/>
  <c r="N1481" i="23"/>
  <c r="O1481" i="23"/>
  <c r="P1481" i="23"/>
  <c r="M1482" i="23"/>
  <c r="N1482" i="23"/>
  <c r="O1482" i="23"/>
  <c r="P1482" i="23"/>
  <c r="N1483" i="23"/>
  <c r="O1483" i="23"/>
  <c r="P1483" i="23"/>
  <c r="M1484" i="23"/>
  <c r="N1484" i="23"/>
  <c r="O1484" i="23"/>
  <c r="P1484" i="23"/>
  <c r="M1485" i="23"/>
  <c r="N1485" i="23"/>
  <c r="O1485" i="23"/>
  <c r="P1485" i="23"/>
  <c r="I1396" i="22"/>
  <c r="J1396" i="22"/>
  <c r="I1397" i="22"/>
  <c r="J1397" i="22"/>
  <c r="I1398" i="22"/>
  <c r="J1398" i="22"/>
  <c r="I1399" i="22"/>
  <c r="J1399" i="22"/>
  <c r="I1400" i="22"/>
  <c r="J1400" i="22"/>
  <c r="I1401" i="22"/>
  <c r="J1401" i="22"/>
  <c r="I1402" i="22"/>
  <c r="J1402" i="22"/>
  <c r="I1403" i="22"/>
  <c r="J1403" i="22"/>
  <c r="I1404" i="22"/>
  <c r="J1404" i="22"/>
  <c r="I1405" i="22"/>
  <c r="J1405" i="22"/>
  <c r="I1406" i="22"/>
  <c r="J1406" i="22"/>
  <c r="I1407" i="22"/>
  <c r="J1407" i="22"/>
  <c r="I1408" i="22"/>
  <c r="J1408" i="22"/>
  <c r="I1409" i="22"/>
  <c r="J1409" i="22"/>
  <c r="I1410" i="22"/>
  <c r="J1410" i="22"/>
  <c r="I1411" i="22"/>
  <c r="J1411" i="22"/>
  <c r="I1412" i="22"/>
  <c r="J1412" i="22"/>
  <c r="M1444" i="23"/>
  <c r="N1444" i="23"/>
  <c r="O1444" i="23"/>
  <c r="P1444" i="23"/>
  <c r="M1445" i="23"/>
  <c r="N1445" i="23"/>
  <c r="O1445" i="23"/>
  <c r="P1445" i="23"/>
  <c r="N1446" i="23"/>
  <c r="O1446" i="23"/>
  <c r="P1446" i="23"/>
  <c r="N1447" i="23"/>
  <c r="O1447" i="23"/>
  <c r="P1447" i="23"/>
  <c r="M1448" i="23"/>
  <c r="N1448" i="23"/>
  <c r="O1448" i="23"/>
  <c r="P1448" i="23"/>
  <c r="N1449" i="23"/>
  <c r="O1449" i="23"/>
  <c r="P1449" i="23"/>
  <c r="N1450" i="23"/>
  <c r="O1450" i="23"/>
  <c r="P1450" i="23"/>
  <c r="M1451" i="23"/>
  <c r="N1451" i="23"/>
  <c r="O1451" i="23"/>
  <c r="P1451" i="23"/>
  <c r="M1452" i="23"/>
  <c r="N1452" i="23"/>
  <c r="O1452" i="23"/>
  <c r="P1452" i="23"/>
  <c r="M1453" i="23"/>
  <c r="N1453" i="23"/>
  <c r="O1453" i="23"/>
  <c r="P1453" i="23"/>
  <c r="M1454" i="23"/>
  <c r="N1454" i="23"/>
  <c r="O1454" i="23"/>
  <c r="P1454" i="23"/>
  <c r="M1455" i="23"/>
  <c r="N1455" i="23"/>
  <c r="O1455" i="23"/>
  <c r="P1455" i="23"/>
  <c r="M1456" i="23"/>
  <c r="N1456" i="23"/>
  <c r="O1456" i="23"/>
  <c r="P1456" i="23"/>
  <c r="M1457" i="23"/>
  <c r="N1457" i="23"/>
  <c r="O1457" i="23"/>
  <c r="P1457" i="23"/>
  <c r="M1458" i="23"/>
  <c r="N1458" i="23"/>
  <c r="O1458" i="23"/>
  <c r="P1458" i="23"/>
  <c r="M1459" i="23"/>
  <c r="N1459" i="23"/>
  <c r="O1459" i="23"/>
  <c r="P1459" i="23"/>
  <c r="M1460" i="23"/>
  <c r="N1460" i="23"/>
  <c r="O1460" i="23"/>
  <c r="P1460" i="23"/>
  <c r="M1461" i="23"/>
  <c r="N1461" i="23"/>
  <c r="O1461" i="23"/>
  <c r="P1461" i="23"/>
  <c r="I1382" i="22"/>
  <c r="J1382" i="22"/>
  <c r="I1383" i="22"/>
  <c r="J1383" i="22"/>
  <c r="I1384" i="22"/>
  <c r="J1384" i="22"/>
  <c r="I1385" i="22"/>
  <c r="J1385" i="22"/>
  <c r="I1386" i="22"/>
  <c r="J1386" i="22"/>
  <c r="I1387" i="22"/>
  <c r="J1387" i="22"/>
  <c r="I1388" i="22"/>
  <c r="J1388" i="22"/>
  <c r="I1389" i="22"/>
  <c r="J1389" i="22"/>
  <c r="I1390" i="22"/>
  <c r="J1390" i="22"/>
  <c r="I1391" i="22"/>
  <c r="J1391" i="22"/>
  <c r="I1392" i="22"/>
  <c r="J1392" i="22"/>
  <c r="I1393" i="22"/>
  <c r="J1393" i="22"/>
  <c r="I1394" i="22"/>
  <c r="J1394" i="22"/>
  <c r="I1395" i="22"/>
  <c r="J1395" i="22"/>
  <c r="I1381" i="22"/>
  <c r="J1381" i="22"/>
  <c r="I1374" i="22"/>
  <c r="J1374" i="22"/>
  <c r="I1375" i="22"/>
  <c r="J1375" i="22"/>
  <c r="I1376" i="22"/>
  <c r="J1376" i="22"/>
  <c r="I1377" i="22"/>
  <c r="J1377" i="22"/>
  <c r="I1378" i="22"/>
  <c r="J1378" i="22"/>
  <c r="I1379" i="22"/>
  <c r="J1379" i="22"/>
  <c r="I1380" i="22"/>
  <c r="J1380" i="22"/>
  <c r="P1443" i="23"/>
  <c r="O1443" i="23"/>
  <c r="N1443" i="23"/>
  <c r="M1443" i="23"/>
  <c r="P1442" i="23"/>
  <c r="O1442" i="23"/>
  <c r="N1442" i="23"/>
  <c r="P1441" i="23"/>
  <c r="O1441" i="23"/>
  <c r="N1441" i="23"/>
  <c r="P1440" i="23"/>
  <c r="O1440" i="23"/>
  <c r="N1440" i="23"/>
  <c r="P1439" i="23"/>
  <c r="O1439" i="23"/>
  <c r="N1439" i="23"/>
  <c r="P1438" i="23"/>
  <c r="O1438" i="23"/>
  <c r="N1438" i="23"/>
  <c r="P1437" i="23"/>
  <c r="O1437" i="23"/>
  <c r="N1437" i="23"/>
  <c r="P1436" i="23"/>
  <c r="O1436" i="23"/>
  <c r="N1436" i="23"/>
  <c r="P1435" i="23"/>
  <c r="O1435" i="23"/>
  <c r="N1435" i="23"/>
  <c r="M1435" i="23"/>
  <c r="P1434" i="23"/>
  <c r="O1434" i="23"/>
  <c r="N1434" i="23"/>
  <c r="P1433" i="23"/>
  <c r="O1433" i="23"/>
  <c r="N1433" i="23"/>
  <c r="P1432" i="23"/>
  <c r="O1432" i="23"/>
  <c r="N1432" i="23"/>
  <c r="P1431" i="23"/>
  <c r="O1431" i="23"/>
  <c r="N1431" i="23"/>
  <c r="M1431" i="23"/>
  <c r="P1430" i="23"/>
  <c r="O1430" i="23"/>
  <c r="N1430" i="23"/>
  <c r="P1429" i="23"/>
  <c r="O1429" i="23"/>
  <c r="N1429" i="23"/>
  <c r="P1428" i="23"/>
  <c r="O1428" i="23"/>
  <c r="N1428" i="23"/>
  <c r="P1427" i="23"/>
  <c r="O1427" i="23"/>
  <c r="N1427" i="23"/>
  <c r="P1426" i="23"/>
  <c r="O1426" i="23"/>
  <c r="N1426" i="23"/>
  <c r="P1425" i="23"/>
  <c r="O1425" i="23"/>
  <c r="N1425" i="23"/>
  <c r="P1424" i="23"/>
  <c r="O1424" i="23"/>
  <c r="N1424" i="23"/>
  <c r="P1423" i="23"/>
  <c r="O1423" i="23"/>
  <c r="N1423" i="23"/>
  <c r="P1422" i="23"/>
  <c r="O1422" i="23"/>
  <c r="N1422" i="23"/>
  <c r="P1421" i="23"/>
  <c r="O1421" i="23"/>
  <c r="N1421" i="23"/>
  <c r="P1420" i="23"/>
  <c r="O1420" i="23"/>
  <c r="N1420" i="23"/>
  <c r="M1405" i="23"/>
  <c r="N1405" i="23"/>
  <c r="O1405" i="23"/>
  <c r="P1405" i="23"/>
  <c r="N1407" i="23"/>
  <c r="O1407" i="23"/>
  <c r="P1407" i="23"/>
  <c r="M1408" i="23"/>
  <c r="N1408" i="23"/>
  <c r="O1408" i="23"/>
  <c r="P1408" i="23"/>
  <c r="N1409" i="23"/>
  <c r="O1409" i="23"/>
  <c r="P1409" i="23"/>
  <c r="N1410" i="23"/>
  <c r="O1410" i="23"/>
  <c r="P1410" i="23"/>
  <c r="M1411" i="23"/>
  <c r="N1411" i="23"/>
  <c r="O1411" i="23"/>
  <c r="P1411" i="23"/>
  <c r="M1412" i="23"/>
  <c r="N1412" i="23"/>
  <c r="O1412" i="23"/>
  <c r="P1412" i="23"/>
  <c r="M1413" i="23"/>
  <c r="N1413" i="23"/>
  <c r="O1413" i="23"/>
  <c r="P1413" i="23"/>
  <c r="N1414" i="23"/>
  <c r="O1414" i="23"/>
  <c r="P1414" i="23"/>
  <c r="M1415" i="23"/>
  <c r="N1415" i="23"/>
  <c r="O1415" i="23"/>
  <c r="P1415" i="23"/>
  <c r="M1416" i="23"/>
  <c r="N1416" i="23"/>
  <c r="O1416" i="23"/>
  <c r="P1416" i="23"/>
  <c r="M1417" i="23"/>
  <c r="N1417" i="23"/>
  <c r="O1417" i="23"/>
  <c r="P1417" i="23"/>
  <c r="M1418" i="23"/>
  <c r="N1418" i="23"/>
  <c r="O1418" i="23"/>
  <c r="P1418" i="23"/>
  <c r="N1419" i="23"/>
  <c r="O1419" i="23"/>
  <c r="P1419" i="23"/>
  <c r="I1358" i="22"/>
  <c r="J1358" i="22"/>
  <c r="I1359" i="22"/>
  <c r="J1359" i="22"/>
  <c r="I1360" i="22"/>
  <c r="J1360" i="22"/>
  <c r="I1361" i="22"/>
  <c r="J1361" i="22"/>
  <c r="I1362" i="22"/>
  <c r="J1362" i="22"/>
  <c r="I1363" i="22"/>
  <c r="J1363" i="22"/>
  <c r="I1364" i="22"/>
  <c r="J1364" i="22"/>
  <c r="I1365" i="22"/>
  <c r="J1365" i="22"/>
  <c r="I1366" i="22"/>
  <c r="J1366" i="22"/>
  <c r="I1367" i="22"/>
  <c r="J1367" i="22"/>
  <c r="I1368" i="22"/>
  <c r="J1368" i="22"/>
  <c r="I1369" i="22"/>
  <c r="J1369" i="22"/>
  <c r="I1370" i="22"/>
  <c r="J1370" i="22"/>
  <c r="I1371" i="22"/>
  <c r="J1371" i="22"/>
  <c r="I1372" i="22"/>
  <c r="J1372" i="22"/>
  <c r="I1373" i="22"/>
  <c r="J1373" i="22"/>
  <c r="I1355" i="22"/>
  <c r="J1355" i="22"/>
  <c r="I1356" i="22"/>
  <c r="J1356" i="22"/>
  <c r="I1357" i="22"/>
  <c r="J1357" i="22"/>
  <c r="M1404" i="23"/>
  <c r="N1404" i="23"/>
  <c r="O1404" i="23"/>
  <c r="P1404" i="23"/>
  <c r="I1348" i="22"/>
  <c r="J1348" i="22"/>
  <c r="I1349" i="22"/>
  <c r="J1349" i="22"/>
  <c r="I1350" i="22"/>
  <c r="J1350" i="22"/>
  <c r="I1351" i="22"/>
  <c r="J1351" i="22"/>
  <c r="I1352" i="22"/>
  <c r="J1352" i="22"/>
  <c r="I1353" i="22"/>
  <c r="J1353" i="22"/>
  <c r="I1354" i="22"/>
  <c r="J1354" i="22"/>
  <c r="M1389" i="23"/>
  <c r="N1389" i="23"/>
  <c r="O1389" i="23"/>
  <c r="P1389" i="23"/>
  <c r="N1390" i="23"/>
  <c r="O1390" i="23"/>
  <c r="P1390" i="23"/>
  <c r="N1391" i="23"/>
  <c r="O1391" i="23"/>
  <c r="P1391" i="23"/>
  <c r="M1392" i="23"/>
  <c r="N1392" i="23"/>
  <c r="O1392" i="23"/>
  <c r="P1392" i="23"/>
  <c r="M1393" i="23"/>
  <c r="N1393" i="23"/>
  <c r="O1393" i="23"/>
  <c r="P1393" i="23"/>
  <c r="M1394" i="23"/>
  <c r="N1394" i="23"/>
  <c r="O1394" i="23"/>
  <c r="P1394" i="23"/>
  <c r="M1395" i="23"/>
  <c r="N1395" i="23"/>
  <c r="O1395" i="23"/>
  <c r="P1395" i="23"/>
  <c r="M1396" i="23"/>
  <c r="N1396" i="23"/>
  <c r="O1396" i="23"/>
  <c r="P1396" i="23"/>
  <c r="M1397" i="23"/>
  <c r="N1397" i="23"/>
  <c r="O1397" i="23"/>
  <c r="P1397" i="23"/>
  <c r="M1398" i="23"/>
  <c r="N1398" i="23"/>
  <c r="O1398" i="23"/>
  <c r="P1398" i="23"/>
  <c r="M1399" i="23"/>
  <c r="N1399" i="23"/>
  <c r="O1399" i="23"/>
  <c r="P1399" i="23"/>
  <c r="N1400" i="23"/>
  <c r="O1400" i="23"/>
  <c r="P1400" i="23"/>
  <c r="N1401" i="23"/>
  <c r="O1401" i="23"/>
  <c r="P1401" i="23"/>
  <c r="M1402" i="23"/>
  <c r="N1402" i="23"/>
  <c r="O1402" i="23"/>
  <c r="P1402" i="23"/>
  <c r="M1403" i="23"/>
  <c r="N1403" i="23"/>
  <c r="O1403" i="23"/>
  <c r="P1403" i="23"/>
  <c r="P1388" i="23"/>
  <c r="O1388" i="23"/>
  <c r="N1388" i="23"/>
  <c r="I1335" i="22"/>
  <c r="J1335" i="22"/>
  <c r="I1336" i="22"/>
  <c r="J1336" i="22"/>
  <c r="I1337" i="22"/>
  <c r="J1337" i="22"/>
  <c r="I1338" i="22"/>
  <c r="J1338" i="22"/>
  <c r="I1339" i="22"/>
  <c r="J1339" i="22"/>
  <c r="I1340" i="22"/>
  <c r="J1340" i="22"/>
  <c r="I1341" i="22"/>
  <c r="J1341" i="22"/>
  <c r="I1342" i="22"/>
  <c r="J1342" i="22"/>
  <c r="I1343" i="22"/>
  <c r="J1343" i="22"/>
  <c r="I1344" i="22"/>
  <c r="J1344" i="22"/>
  <c r="I1345" i="22"/>
  <c r="J1345" i="22"/>
  <c r="I1346" i="22"/>
  <c r="J1346" i="22"/>
  <c r="I1347" i="22"/>
  <c r="J1347" i="22"/>
  <c r="I1333" i="22"/>
  <c r="J1333" i="22"/>
  <c r="I1334" i="22"/>
  <c r="J1334" i="22"/>
  <c r="I1321" i="22"/>
  <c r="J1321" i="22"/>
  <c r="I1322" i="22"/>
  <c r="J1322" i="22"/>
  <c r="I1323" i="22"/>
  <c r="J1323" i="22"/>
  <c r="I1324" i="22"/>
  <c r="J1324" i="22"/>
  <c r="I1325" i="22"/>
  <c r="J1325" i="22"/>
  <c r="I1326" i="22"/>
  <c r="J1326" i="22"/>
  <c r="I1327" i="22"/>
  <c r="J1327" i="22"/>
  <c r="I1328" i="22"/>
  <c r="J1328" i="22"/>
  <c r="I1329" i="22"/>
  <c r="J1329" i="22"/>
  <c r="I1330" i="22"/>
  <c r="J1330" i="22"/>
  <c r="I1331" i="22"/>
  <c r="J1331" i="22"/>
  <c r="I1332" i="22"/>
  <c r="J1332" i="22"/>
  <c r="N1387" i="23"/>
  <c r="O1387" i="23"/>
  <c r="P1387" i="23"/>
  <c r="I1317" i="22"/>
  <c r="J1317" i="22"/>
  <c r="I1318" i="22"/>
  <c r="J1318" i="22"/>
  <c r="I1319" i="22"/>
  <c r="J1319" i="22"/>
  <c r="I1320" i="22"/>
  <c r="J1320" i="22"/>
  <c r="I1310" i="22"/>
  <c r="J1310" i="22"/>
  <c r="I1311" i="22"/>
  <c r="J1311" i="22"/>
  <c r="I1312" i="22"/>
  <c r="J1312" i="22"/>
  <c r="I1313" i="22"/>
  <c r="J1313" i="22"/>
  <c r="I1314" i="22"/>
  <c r="J1314" i="22"/>
  <c r="I1315" i="22"/>
  <c r="J1315" i="22"/>
  <c r="I1316" i="22"/>
  <c r="J1316" i="22"/>
  <c r="P1386" i="23"/>
  <c r="O1386" i="23"/>
  <c r="N1386" i="23"/>
  <c r="P1385" i="23"/>
  <c r="O1385" i="23"/>
  <c r="N1385" i="23"/>
  <c r="P1384" i="23"/>
  <c r="O1384" i="23"/>
  <c r="N1384" i="23"/>
  <c r="P1383" i="23"/>
  <c r="O1383" i="23"/>
  <c r="N1383" i="23"/>
  <c r="P1382" i="23"/>
  <c r="O1382" i="23"/>
  <c r="N1382" i="23"/>
  <c r="P1381" i="23"/>
  <c r="O1381" i="23"/>
  <c r="N1381" i="23"/>
  <c r="P1380" i="23"/>
  <c r="O1380" i="23"/>
  <c r="N1380" i="23"/>
  <c r="P1379" i="23"/>
  <c r="O1379" i="23"/>
  <c r="N1379" i="23"/>
  <c r="P1378" i="23"/>
  <c r="O1378" i="23"/>
  <c r="N1378" i="23"/>
  <c r="P1377" i="23"/>
  <c r="O1377" i="23"/>
  <c r="N1377" i="23"/>
  <c r="M1377" i="23"/>
  <c r="P1376" i="23"/>
  <c r="O1376" i="23"/>
  <c r="N1376" i="23"/>
  <c r="M1376" i="23"/>
  <c r="P1375" i="23"/>
  <c r="O1375" i="23"/>
  <c r="N1375" i="23"/>
  <c r="P1374" i="23"/>
  <c r="O1374" i="23"/>
  <c r="N1374" i="23"/>
  <c r="P1373" i="23"/>
  <c r="O1373" i="23"/>
  <c r="N1373" i="23"/>
  <c r="M1372" i="23"/>
  <c r="N1372" i="23"/>
  <c r="O1372" i="23"/>
  <c r="P1372" i="23"/>
  <c r="I1275" i="22"/>
  <c r="J1275" i="22"/>
  <c r="I1276" i="22"/>
  <c r="J1276" i="22"/>
  <c r="I1277" i="22"/>
  <c r="J1277" i="22"/>
  <c r="I1278" i="22"/>
  <c r="J1278" i="22"/>
  <c r="I1279" i="22"/>
  <c r="J1279" i="22"/>
  <c r="I1280" i="22"/>
  <c r="J1280" i="22"/>
  <c r="I1281" i="22"/>
  <c r="J1281" i="22"/>
  <c r="I1282" i="22"/>
  <c r="J1282" i="22"/>
  <c r="I1283" i="22"/>
  <c r="J1283" i="22"/>
  <c r="I1284" i="22"/>
  <c r="J1284" i="22"/>
  <c r="I1285" i="22"/>
  <c r="J1285" i="22"/>
  <c r="I1286" i="22"/>
  <c r="J1286" i="22"/>
  <c r="I1287" i="22"/>
  <c r="J1287" i="22"/>
  <c r="I1288" i="22"/>
  <c r="J1288" i="22"/>
  <c r="I1289" i="22"/>
  <c r="J1289" i="22"/>
  <c r="I1290" i="22"/>
  <c r="J1290" i="22"/>
  <c r="I1291" i="22"/>
  <c r="J1291" i="22"/>
  <c r="I1292" i="22"/>
  <c r="J1292" i="22"/>
  <c r="I1293" i="22"/>
  <c r="J1293" i="22"/>
  <c r="I1294" i="22"/>
  <c r="J1294" i="22"/>
  <c r="I1295" i="22"/>
  <c r="J1295" i="22"/>
  <c r="I1296" i="22"/>
  <c r="J1296" i="22"/>
  <c r="I1297" i="22"/>
  <c r="J1297" i="22"/>
  <c r="I1298" i="22"/>
  <c r="J1298" i="22"/>
  <c r="I1299" i="22"/>
  <c r="J1299" i="22"/>
  <c r="I1300" i="22"/>
  <c r="J1300" i="22"/>
  <c r="I1301" i="22"/>
  <c r="J1301" i="22"/>
  <c r="I1302" i="22"/>
  <c r="J1302" i="22"/>
  <c r="I1303" i="22"/>
  <c r="J1303" i="22"/>
  <c r="I1304" i="22"/>
  <c r="J1304" i="22"/>
  <c r="I1305" i="22"/>
  <c r="J1305" i="22"/>
  <c r="I1306" i="22"/>
  <c r="J1306" i="22"/>
  <c r="I1307" i="22"/>
  <c r="J1307" i="22"/>
  <c r="I1308" i="22"/>
  <c r="J1308" i="22"/>
  <c r="I1309" i="22"/>
  <c r="J1309" i="22"/>
  <c r="I1270" i="22"/>
  <c r="J1270" i="22"/>
  <c r="I1271" i="22"/>
  <c r="J1271" i="22"/>
  <c r="I1272" i="22"/>
  <c r="J1272" i="22"/>
  <c r="I1273" i="22"/>
  <c r="J1273" i="22"/>
  <c r="I1274" i="22"/>
  <c r="J1274" i="22"/>
  <c r="N1354" i="23"/>
  <c r="O1354" i="23"/>
  <c r="P1354" i="23"/>
  <c r="N1355" i="23"/>
  <c r="O1355" i="23"/>
  <c r="P1355" i="23"/>
  <c r="M1356" i="23"/>
  <c r="N1356" i="23"/>
  <c r="O1356" i="23"/>
  <c r="P1356" i="23"/>
  <c r="M1357" i="23"/>
  <c r="N1357" i="23"/>
  <c r="O1357" i="23"/>
  <c r="P1357" i="23"/>
  <c r="M1358" i="23"/>
  <c r="N1358" i="23"/>
  <c r="O1358" i="23"/>
  <c r="P1358" i="23"/>
  <c r="N1359" i="23"/>
  <c r="O1359" i="23"/>
  <c r="P1359" i="23"/>
  <c r="M1360" i="23"/>
  <c r="N1360" i="23"/>
  <c r="O1360" i="23"/>
  <c r="P1360" i="23"/>
  <c r="M1361" i="23"/>
  <c r="N1361" i="23"/>
  <c r="O1361" i="23"/>
  <c r="P1361" i="23"/>
  <c r="M1362" i="23"/>
  <c r="N1362" i="23"/>
  <c r="O1362" i="23"/>
  <c r="P1362" i="23"/>
  <c r="M1363" i="23"/>
  <c r="N1363" i="23"/>
  <c r="O1363" i="23"/>
  <c r="P1363" i="23"/>
  <c r="M1364" i="23"/>
  <c r="N1364" i="23"/>
  <c r="O1364" i="23"/>
  <c r="P1364" i="23"/>
  <c r="M1365" i="23"/>
  <c r="N1365" i="23"/>
  <c r="O1365" i="23"/>
  <c r="P1365" i="23"/>
  <c r="M1366" i="23"/>
  <c r="N1366" i="23"/>
  <c r="O1366" i="23"/>
  <c r="P1366" i="23"/>
  <c r="M1367" i="23"/>
  <c r="N1367" i="23"/>
  <c r="O1367" i="23"/>
  <c r="P1367" i="23"/>
  <c r="M1368" i="23"/>
  <c r="N1368" i="23"/>
  <c r="O1368" i="23"/>
  <c r="P1368" i="23"/>
  <c r="M1369" i="23"/>
  <c r="N1369" i="23"/>
  <c r="O1369" i="23"/>
  <c r="P1369" i="23"/>
  <c r="M1370" i="23"/>
  <c r="N1370" i="23"/>
  <c r="O1370" i="23"/>
  <c r="P1370" i="23"/>
  <c r="M1371" i="23"/>
  <c r="N1371" i="23"/>
  <c r="O1371" i="23"/>
  <c r="P1371" i="23"/>
  <c r="M1330" i="23"/>
  <c r="N1330" i="23"/>
  <c r="O1330" i="23"/>
  <c r="P1330" i="23"/>
  <c r="N1331" i="23"/>
  <c r="O1331" i="23"/>
  <c r="P1331" i="23"/>
  <c r="M1332" i="23"/>
  <c r="N1332" i="23"/>
  <c r="O1332" i="23"/>
  <c r="P1332" i="23"/>
  <c r="M1333" i="23"/>
  <c r="N1333" i="23"/>
  <c r="O1333" i="23"/>
  <c r="P1333" i="23"/>
  <c r="N1334" i="23"/>
  <c r="O1334" i="23"/>
  <c r="P1334" i="23"/>
  <c r="M1335" i="23"/>
  <c r="N1335" i="23"/>
  <c r="O1335" i="23"/>
  <c r="P1335" i="23"/>
  <c r="M1336" i="23"/>
  <c r="N1336" i="23"/>
  <c r="O1336" i="23"/>
  <c r="P1336" i="23"/>
  <c r="N1337" i="23"/>
  <c r="O1337" i="23"/>
  <c r="P1337" i="23"/>
  <c r="M1338" i="23"/>
  <c r="N1338" i="23"/>
  <c r="O1338" i="23"/>
  <c r="P1338" i="23"/>
  <c r="N1339" i="23"/>
  <c r="O1339" i="23"/>
  <c r="P1339" i="23"/>
  <c r="M1340" i="23"/>
  <c r="N1340" i="23"/>
  <c r="O1340" i="23"/>
  <c r="P1340" i="23"/>
  <c r="M1341" i="23"/>
  <c r="N1341" i="23"/>
  <c r="O1341" i="23"/>
  <c r="P1341" i="23"/>
  <c r="M1342" i="23"/>
  <c r="N1342" i="23"/>
  <c r="O1342" i="23"/>
  <c r="P1342" i="23"/>
  <c r="M1343" i="23"/>
  <c r="N1343" i="23"/>
  <c r="O1343" i="23"/>
  <c r="P1343" i="23"/>
  <c r="M1344" i="23"/>
  <c r="N1344" i="23"/>
  <c r="O1344" i="23"/>
  <c r="P1344" i="23"/>
  <c r="N1345" i="23"/>
  <c r="O1345" i="23"/>
  <c r="P1345" i="23"/>
  <c r="N1346" i="23"/>
  <c r="O1346" i="23"/>
  <c r="P1346" i="23"/>
  <c r="N1347" i="23"/>
  <c r="O1347" i="23"/>
  <c r="P1347" i="23"/>
  <c r="N1348" i="23"/>
  <c r="O1348" i="23"/>
  <c r="P1348" i="23"/>
  <c r="N1349" i="23"/>
  <c r="O1349" i="23"/>
  <c r="P1349" i="23"/>
  <c r="M1350" i="23"/>
  <c r="N1350" i="23"/>
  <c r="O1350" i="23"/>
  <c r="P1350" i="23"/>
  <c r="N1351" i="23"/>
  <c r="O1351" i="23"/>
  <c r="P1351" i="23"/>
  <c r="M1352" i="23"/>
  <c r="N1352" i="23"/>
  <c r="O1352" i="23"/>
  <c r="P1352" i="23"/>
  <c r="N1353" i="23"/>
  <c r="O1353" i="23"/>
  <c r="P1353" i="23"/>
  <c r="N1328" i="23"/>
  <c r="O1328" i="23"/>
  <c r="P1328" i="23"/>
  <c r="M1329" i="23"/>
  <c r="N1329" i="23"/>
  <c r="O1329" i="23"/>
  <c r="P1329" i="23"/>
  <c r="I1246" i="22"/>
  <c r="J1246" i="22"/>
  <c r="I1247" i="22"/>
  <c r="J1247" i="22"/>
  <c r="I1248" i="22"/>
  <c r="J1248" i="22"/>
  <c r="I1249" i="22"/>
  <c r="J1249" i="22"/>
  <c r="I1250" i="22"/>
  <c r="J1250" i="22"/>
  <c r="I1251" i="22"/>
  <c r="J1251" i="22"/>
  <c r="I1252" i="22"/>
  <c r="J1252" i="22"/>
  <c r="I1253" i="22"/>
  <c r="J1253" i="22"/>
  <c r="I1254" i="22"/>
  <c r="J1254" i="22"/>
  <c r="I1255" i="22"/>
  <c r="J1255" i="22"/>
  <c r="I1256" i="22"/>
  <c r="J1256" i="22"/>
  <c r="I1257" i="22"/>
  <c r="J1257" i="22"/>
  <c r="I1258" i="22"/>
  <c r="J1258" i="22"/>
  <c r="I1259" i="22"/>
  <c r="J1259" i="22"/>
  <c r="I1260" i="22"/>
  <c r="J1260" i="22"/>
  <c r="I1261" i="22"/>
  <c r="J1261" i="22"/>
  <c r="I1262" i="22"/>
  <c r="J1262" i="22"/>
  <c r="I1263" i="22"/>
  <c r="J1263" i="22"/>
  <c r="I1264" i="22"/>
  <c r="J1264" i="22"/>
  <c r="I1265" i="22"/>
  <c r="J1265" i="22"/>
  <c r="I1266" i="22"/>
  <c r="J1266" i="22"/>
  <c r="I1267" i="22"/>
  <c r="J1267" i="22"/>
  <c r="I1268" i="22"/>
  <c r="J1268" i="22"/>
  <c r="I1269" i="22"/>
  <c r="J1269" i="22"/>
  <c r="I1228" i="22"/>
  <c r="J1228" i="22"/>
  <c r="I1229" i="22"/>
  <c r="J1229" i="22"/>
  <c r="I1230" i="22"/>
  <c r="J1230" i="22"/>
  <c r="I1231" i="22"/>
  <c r="J1231" i="22"/>
  <c r="I1232" i="22"/>
  <c r="J1232" i="22"/>
  <c r="I1233" i="22"/>
  <c r="J1233" i="22"/>
  <c r="I1234" i="22"/>
  <c r="J1234" i="22"/>
  <c r="I1235" i="22"/>
  <c r="J1235" i="22"/>
  <c r="I1236" i="22"/>
  <c r="J1236" i="22"/>
  <c r="I1237" i="22"/>
  <c r="J1237" i="22"/>
  <c r="I1238" i="22"/>
  <c r="J1238" i="22"/>
  <c r="I1239" i="22"/>
  <c r="J1239" i="22"/>
  <c r="I1240" i="22"/>
  <c r="J1240" i="22"/>
  <c r="I1241" i="22"/>
  <c r="J1241" i="22"/>
  <c r="I1242" i="22"/>
  <c r="J1242" i="22"/>
  <c r="I1243" i="22"/>
  <c r="J1243" i="22"/>
  <c r="I1244" i="22"/>
  <c r="J1244" i="22"/>
  <c r="I1245" i="22"/>
  <c r="J1245" i="22"/>
  <c r="P1327" i="23"/>
  <c r="O1327" i="23"/>
  <c r="N1327" i="23"/>
  <c r="M1327" i="23"/>
  <c r="P1326" i="23"/>
  <c r="O1326" i="23"/>
  <c r="N1326" i="23"/>
  <c r="M1326" i="23"/>
  <c r="P1325" i="23"/>
  <c r="O1325" i="23"/>
  <c r="N1325" i="23"/>
  <c r="M1325" i="23"/>
  <c r="P1324" i="23"/>
  <c r="O1324" i="23"/>
  <c r="N1324" i="23"/>
  <c r="P1323" i="23"/>
  <c r="O1323" i="23"/>
  <c r="N1323" i="23"/>
  <c r="M1323" i="23"/>
  <c r="P1322" i="23"/>
  <c r="O1322" i="23"/>
  <c r="N1322" i="23"/>
  <c r="M1322" i="23"/>
  <c r="P1321" i="23"/>
  <c r="O1321" i="23"/>
  <c r="N1321" i="23"/>
  <c r="M1321" i="23"/>
  <c r="P1320" i="23"/>
  <c r="O1320" i="23"/>
  <c r="N1320" i="23"/>
  <c r="M1320" i="23"/>
  <c r="P1319" i="23"/>
  <c r="O1319" i="23"/>
  <c r="N1319" i="23"/>
  <c r="M1319" i="23"/>
  <c r="P1318" i="23"/>
  <c r="O1318" i="23"/>
  <c r="N1318" i="23"/>
  <c r="M1318" i="23"/>
  <c r="P1317" i="23"/>
  <c r="O1317" i="23"/>
  <c r="N1317" i="23"/>
  <c r="P1316" i="23"/>
  <c r="O1316" i="23"/>
  <c r="N1316" i="23"/>
  <c r="M1316" i="23"/>
  <c r="P1315" i="23"/>
  <c r="O1315" i="23"/>
  <c r="N1315" i="23"/>
  <c r="M1315" i="23"/>
  <c r="P1314" i="23"/>
  <c r="O1314" i="23"/>
  <c r="N1314" i="23"/>
  <c r="P1313" i="23"/>
  <c r="O1313" i="23"/>
  <c r="N1313" i="23"/>
  <c r="M1313" i="23"/>
  <c r="P1312" i="23"/>
  <c r="O1312" i="23"/>
  <c r="N1312" i="23"/>
  <c r="M1312" i="23"/>
  <c r="P1311" i="23"/>
  <c r="O1311" i="23"/>
  <c r="N1311" i="23"/>
  <c r="P1310" i="23"/>
  <c r="O1310" i="23"/>
  <c r="N1310" i="23"/>
  <c r="M1310" i="23"/>
  <c r="P1309" i="23"/>
  <c r="O1309" i="23"/>
  <c r="N1309" i="23"/>
  <c r="P1308" i="23"/>
  <c r="O1308" i="23"/>
  <c r="N1308" i="23"/>
  <c r="M1308" i="23"/>
  <c r="P1307" i="23"/>
  <c r="O1307" i="23"/>
  <c r="N1307" i="23"/>
  <c r="M1307" i="23"/>
  <c r="P1306" i="23"/>
  <c r="O1306" i="23"/>
  <c r="N1306" i="23"/>
  <c r="M1306" i="23"/>
  <c r="N1291" i="23"/>
  <c r="O1291" i="23"/>
  <c r="P1291" i="23"/>
  <c r="N1292" i="23"/>
  <c r="O1292" i="23"/>
  <c r="P1292" i="23"/>
  <c r="N1293" i="23"/>
  <c r="O1293" i="23"/>
  <c r="P1293" i="23"/>
  <c r="N1294" i="23"/>
  <c r="O1294" i="23"/>
  <c r="P1294" i="23"/>
  <c r="N1295" i="23"/>
  <c r="O1295" i="23"/>
  <c r="P1295" i="23"/>
  <c r="N1296" i="23"/>
  <c r="O1296" i="23"/>
  <c r="P1296" i="23"/>
  <c r="N1297" i="23"/>
  <c r="O1297" i="23"/>
  <c r="P1297" i="23"/>
  <c r="N1298" i="23"/>
  <c r="O1298" i="23"/>
  <c r="P1298" i="23"/>
  <c r="M1299" i="23"/>
  <c r="N1299" i="23"/>
  <c r="O1299" i="23"/>
  <c r="P1299" i="23"/>
  <c r="N1300" i="23"/>
  <c r="O1300" i="23"/>
  <c r="P1300" i="23"/>
  <c r="N1301" i="23"/>
  <c r="O1301" i="23"/>
  <c r="P1301" i="23"/>
  <c r="N1302" i="23"/>
  <c r="O1302" i="23"/>
  <c r="P1302" i="23"/>
  <c r="N1303" i="23"/>
  <c r="O1303" i="23"/>
  <c r="P1303" i="23"/>
  <c r="N1304" i="23"/>
  <c r="O1304" i="23"/>
  <c r="P1304" i="23"/>
  <c r="M1305" i="23"/>
  <c r="N1305" i="23"/>
  <c r="O1305" i="23"/>
  <c r="P1305" i="23"/>
  <c r="I1211" i="22"/>
  <c r="J1211" i="22"/>
  <c r="I1212" i="22"/>
  <c r="J1212" i="22"/>
  <c r="I1213" i="22"/>
  <c r="J1213" i="22"/>
  <c r="I1214" i="22"/>
  <c r="J1214" i="22"/>
  <c r="I1215" i="22"/>
  <c r="J1215" i="22"/>
  <c r="I1216" i="22"/>
  <c r="J1216" i="22"/>
  <c r="I1217" i="22"/>
  <c r="J1217" i="22"/>
  <c r="I1218" i="22"/>
  <c r="J1218" i="22"/>
  <c r="I1219" i="22"/>
  <c r="J1219" i="22"/>
  <c r="I1220" i="22"/>
  <c r="J1220" i="22"/>
  <c r="I1221" i="22"/>
  <c r="J1221" i="22"/>
  <c r="I1222" i="22"/>
  <c r="J1222" i="22"/>
  <c r="I1223" i="22"/>
  <c r="J1223" i="22"/>
  <c r="I1224" i="22"/>
  <c r="J1224" i="22"/>
  <c r="I1225" i="22"/>
  <c r="J1225" i="22"/>
  <c r="I1226" i="22"/>
  <c r="J1226" i="22"/>
  <c r="I1227" i="22"/>
  <c r="J1227" i="22"/>
  <c r="P1290" i="23"/>
  <c r="O1290" i="23"/>
  <c r="N1290" i="23"/>
  <c r="M1290" i="23"/>
  <c r="P1289" i="23"/>
  <c r="O1289" i="23"/>
  <c r="N1289" i="23"/>
  <c r="M1289" i="23"/>
  <c r="P1288" i="23"/>
  <c r="O1288" i="23"/>
  <c r="N1288" i="23"/>
  <c r="P1287" i="23"/>
  <c r="O1287" i="23"/>
  <c r="N1287" i="23"/>
  <c r="M1287" i="23"/>
  <c r="P1286" i="23"/>
  <c r="O1286" i="23"/>
  <c r="N1286" i="23"/>
  <c r="P1285" i="23"/>
  <c r="O1285" i="23"/>
  <c r="N1285" i="23"/>
  <c r="M1285" i="23"/>
  <c r="P1284" i="23"/>
  <c r="O1284" i="23"/>
  <c r="N1284" i="23"/>
  <c r="I1190" i="22"/>
  <c r="J1190" i="22"/>
  <c r="I1191" i="22"/>
  <c r="J1191" i="22"/>
  <c r="I1192" i="22"/>
  <c r="J1192" i="22"/>
  <c r="I1193" i="22"/>
  <c r="J1193" i="22"/>
  <c r="I1194" i="22"/>
  <c r="J1194" i="22"/>
  <c r="I1195" i="22"/>
  <c r="J1195" i="22"/>
  <c r="I1196" i="22"/>
  <c r="J1196" i="22"/>
  <c r="I1197" i="22"/>
  <c r="J1197" i="22"/>
  <c r="I1198" i="22"/>
  <c r="J1198" i="22"/>
  <c r="I1199" i="22"/>
  <c r="J1199" i="22"/>
  <c r="I1200" i="22"/>
  <c r="J1200" i="22"/>
  <c r="I1201" i="22"/>
  <c r="J1201" i="22"/>
  <c r="I1202" i="22"/>
  <c r="J1202" i="22"/>
  <c r="I1203" i="22"/>
  <c r="J1203" i="22"/>
  <c r="I1204" i="22"/>
  <c r="J1204" i="22"/>
  <c r="I1205" i="22"/>
  <c r="J1205" i="22"/>
  <c r="I1206" i="22"/>
  <c r="J1206" i="22"/>
  <c r="I1207" i="22"/>
  <c r="J1207" i="22"/>
  <c r="I1208" i="22"/>
  <c r="J1208" i="22"/>
  <c r="I1209" i="22"/>
  <c r="J1209" i="22"/>
  <c r="I1210" i="22"/>
  <c r="J1210" i="22"/>
  <c r="M1276" i="23"/>
  <c r="N1276" i="23"/>
  <c r="O1276" i="23"/>
  <c r="P1276" i="23"/>
  <c r="M1277" i="23"/>
  <c r="N1277" i="23"/>
  <c r="O1277" i="23"/>
  <c r="P1277" i="23"/>
  <c r="M1278" i="23"/>
  <c r="N1278" i="23"/>
  <c r="O1278" i="23"/>
  <c r="P1278" i="23"/>
  <c r="N1279" i="23"/>
  <c r="O1279" i="23"/>
  <c r="P1279" i="23"/>
  <c r="N1280" i="23"/>
  <c r="O1280" i="23"/>
  <c r="P1280" i="23"/>
  <c r="N1281" i="23"/>
  <c r="O1281" i="23"/>
  <c r="P1281" i="23"/>
  <c r="M1282" i="23"/>
  <c r="N1282" i="23"/>
  <c r="O1282" i="23"/>
  <c r="P1282" i="23"/>
  <c r="N1283" i="23"/>
  <c r="O1283" i="23"/>
  <c r="P1283" i="23"/>
  <c r="N1268" i="23"/>
  <c r="O1268" i="23"/>
  <c r="P1268" i="23"/>
  <c r="N1269" i="23"/>
  <c r="O1269" i="23"/>
  <c r="P1269" i="23"/>
  <c r="N1270" i="23"/>
  <c r="O1270" i="23"/>
  <c r="P1270" i="23"/>
  <c r="N1271" i="23"/>
  <c r="O1271" i="23"/>
  <c r="P1271" i="23"/>
  <c r="M1272" i="23"/>
  <c r="N1272" i="23"/>
  <c r="O1272" i="23"/>
  <c r="P1272" i="23"/>
  <c r="N1273" i="23"/>
  <c r="O1273" i="23"/>
  <c r="P1273" i="23"/>
  <c r="N1274" i="23"/>
  <c r="O1274" i="23"/>
  <c r="P1274" i="23"/>
  <c r="M1275" i="23"/>
  <c r="N1275" i="23"/>
  <c r="O1275" i="23"/>
  <c r="P1275" i="23"/>
  <c r="M1265" i="23"/>
  <c r="N1265" i="23"/>
  <c r="O1265" i="23"/>
  <c r="P1265" i="23"/>
  <c r="M1266" i="23"/>
  <c r="N1266" i="23"/>
  <c r="O1266" i="23"/>
  <c r="P1266" i="23"/>
  <c r="M1267" i="23"/>
  <c r="N1267" i="23"/>
  <c r="O1267" i="23"/>
  <c r="P1267" i="23"/>
  <c r="I1159" i="22"/>
  <c r="J1159" i="22"/>
  <c r="I1160" i="22"/>
  <c r="J1160" i="22"/>
  <c r="I1161" i="22"/>
  <c r="J1161" i="22"/>
  <c r="I1162" i="22"/>
  <c r="J1162" i="22"/>
  <c r="I1163" i="22"/>
  <c r="J1163" i="22"/>
  <c r="I1164" i="22"/>
  <c r="J1164" i="22"/>
  <c r="I1165" i="22"/>
  <c r="J1165" i="22"/>
  <c r="I1166" i="22"/>
  <c r="J1166" i="22"/>
  <c r="I1167" i="22"/>
  <c r="J1167" i="22"/>
  <c r="I1168" i="22"/>
  <c r="J1168" i="22"/>
  <c r="I1169" i="22"/>
  <c r="J1169" i="22"/>
  <c r="I1170" i="22"/>
  <c r="J1170" i="22"/>
  <c r="I1171" i="22"/>
  <c r="J1171" i="22"/>
  <c r="I1172" i="22"/>
  <c r="J1172" i="22"/>
  <c r="I1173" i="22"/>
  <c r="J1173" i="22"/>
  <c r="I1174" i="22"/>
  <c r="J1174" i="22"/>
  <c r="I1175" i="22"/>
  <c r="J1175" i="22"/>
  <c r="I1176" i="22"/>
  <c r="J1176" i="22"/>
  <c r="I1177" i="22"/>
  <c r="J1177" i="22"/>
  <c r="I1178" i="22"/>
  <c r="J1178" i="22"/>
  <c r="I1179" i="22"/>
  <c r="J1179" i="22"/>
  <c r="I1180" i="22"/>
  <c r="J1180" i="22"/>
  <c r="I1181" i="22"/>
  <c r="J1181" i="22"/>
  <c r="I1182" i="22"/>
  <c r="J1182" i="22"/>
  <c r="I1183" i="22"/>
  <c r="J1183" i="22"/>
  <c r="I1184" i="22"/>
  <c r="J1184" i="22"/>
  <c r="I1185" i="22"/>
  <c r="J1185" i="22"/>
  <c r="I1186" i="22"/>
  <c r="J1186" i="22"/>
  <c r="I1187" i="22"/>
  <c r="J1187" i="22"/>
  <c r="I1188" i="22"/>
  <c r="J1188" i="22"/>
  <c r="I1189" i="22"/>
  <c r="J1189" i="22"/>
  <c r="N1254" i="23"/>
  <c r="O1254" i="23"/>
  <c r="P1254" i="23"/>
  <c r="N1255" i="23"/>
  <c r="O1255" i="23"/>
  <c r="P1255" i="23"/>
  <c r="M1256" i="23"/>
  <c r="N1256" i="23"/>
  <c r="O1256" i="23"/>
  <c r="P1256" i="23"/>
  <c r="N1257" i="23"/>
  <c r="O1257" i="23"/>
  <c r="P1257" i="23"/>
  <c r="M1258" i="23"/>
  <c r="N1258" i="23"/>
  <c r="O1258" i="23"/>
  <c r="P1258" i="23"/>
  <c r="N1259" i="23"/>
  <c r="O1259" i="23"/>
  <c r="P1259" i="23"/>
  <c r="M1260" i="23"/>
  <c r="N1260" i="23"/>
  <c r="O1260" i="23"/>
  <c r="P1260" i="23"/>
  <c r="N1261" i="23"/>
  <c r="O1261" i="23"/>
  <c r="P1261" i="23"/>
  <c r="N1262" i="23"/>
  <c r="O1262" i="23"/>
  <c r="P1262" i="23"/>
  <c r="N1263" i="23"/>
  <c r="O1263" i="23"/>
  <c r="P1263" i="23"/>
  <c r="N1264" i="23"/>
  <c r="O1264" i="23"/>
  <c r="P1264" i="23"/>
  <c r="M1253" i="23"/>
  <c r="N1253" i="23"/>
  <c r="O1253" i="23"/>
  <c r="P1253" i="23"/>
  <c r="N1230" i="23"/>
  <c r="O1230" i="23"/>
  <c r="P1230" i="23"/>
  <c r="N1231" i="23"/>
  <c r="O1231" i="23"/>
  <c r="P1231" i="23"/>
  <c r="M1232" i="23"/>
  <c r="N1232" i="23"/>
  <c r="O1232" i="23"/>
  <c r="P1232" i="23"/>
  <c r="N1233" i="23"/>
  <c r="O1233" i="23"/>
  <c r="P1233" i="23"/>
  <c r="M1234" i="23"/>
  <c r="N1234" i="23"/>
  <c r="O1234" i="23"/>
  <c r="P1234" i="23"/>
  <c r="N1235" i="23"/>
  <c r="O1235" i="23"/>
  <c r="P1235" i="23"/>
  <c r="N1236" i="23"/>
  <c r="O1236" i="23"/>
  <c r="P1236" i="23"/>
  <c r="N1237" i="23"/>
  <c r="O1237" i="23"/>
  <c r="P1237" i="23"/>
  <c r="N1238" i="23"/>
  <c r="O1238" i="23"/>
  <c r="P1238" i="23"/>
  <c r="N1239" i="23"/>
  <c r="O1239" i="23"/>
  <c r="P1239" i="23"/>
  <c r="N1240" i="23"/>
  <c r="O1240" i="23"/>
  <c r="P1240" i="23"/>
  <c r="N1241" i="23"/>
  <c r="O1241" i="23"/>
  <c r="P1241" i="23"/>
  <c r="N1242" i="23"/>
  <c r="O1242" i="23"/>
  <c r="P1242" i="23"/>
  <c r="N1243" i="23"/>
  <c r="O1243" i="23"/>
  <c r="P1243" i="23"/>
  <c r="N1244" i="23"/>
  <c r="O1244" i="23"/>
  <c r="P1244" i="23"/>
  <c r="N1245" i="23"/>
  <c r="O1245" i="23"/>
  <c r="P1245" i="23"/>
  <c r="N1246" i="23"/>
  <c r="O1246" i="23"/>
  <c r="P1246" i="23"/>
  <c r="N1247" i="23"/>
  <c r="O1247" i="23"/>
  <c r="P1247" i="23"/>
  <c r="N1248" i="23"/>
  <c r="O1248" i="23"/>
  <c r="P1248" i="23"/>
  <c r="M1249" i="23"/>
  <c r="N1249" i="23"/>
  <c r="O1249" i="23"/>
  <c r="P1249" i="23"/>
  <c r="N1250" i="23"/>
  <c r="O1250" i="23"/>
  <c r="P1250" i="23"/>
  <c r="N1251" i="23"/>
  <c r="O1251" i="23"/>
  <c r="P1251" i="23"/>
  <c r="N1252" i="23"/>
  <c r="O1252" i="23"/>
  <c r="P1252" i="23"/>
  <c r="M1229" i="23"/>
  <c r="N1229" i="23"/>
  <c r="O1229" i="23"/>
  <c r="P1229" i="23"/>
  <c r="I1143" i="22"/>
  <c r="J1143" i="22"/>
  <c r="I1144" i="22"/>
  <c r="J1144" i="22"/>
  <c r="I1145" i="22"/>
  <c r="J1145" i="22"/>
  <c r="I1146" i="22"/>
  <c r="J1146" i="22"/>
  <c r="I1147" i="22"/>
  <c r="J1147" i="22"/>
  <c r="I1148" i="22"/>
  <c r="J1148" i="22"/>
  <c r="I1149" i="22"/>
  <c r="J1149" i="22"/>
  <c r="I1150" i="22"/>
  <c r="J1150" i="22"/>
  <c r="I1151" i="22"/>
  <c r="J1151" i="22"/>
  <c r="I1152" i="22"/>
  <c r="J1152" i="22"/>
  <c r="I1153" i="22"/>
  <c r="J1153" i="22"/>
  <c r="I1154" i="22"/>
  <c r="J1154" i="22"/>
  <c r="I1155" i="22"/>
  <c r="J1155" i="22"/>
  <c r="I1156" i="22"/>
  <c r="J1156" i="22"/>
  <c r="I1157" i="22"/>
  <c r="J1157" i="22"/>
  <c r="I1158" i="22"/>
  <c r="J1158" i="22"/>
  <c r="I1139" i="22"/>
  <c r="J1139" i="22"/>
  <c r="I1140" i="22"/>
  <c r="J1140" i="22"/>
  <c r="I1141" i="22"/>
  <c r="J1141" i="22"/>
  <c r="I1142" i="22"/>
  <c r="J1142" i="22"/>
  <c r="I1138" i="22"/>
  <c r="J1138" i="22"/>
  <c r="N1228" i="23"/>
  <c r="O1228" i="23"/>
  <c r="P1228" i="23"/>
  <c r="I1118" i="22"/>
  <c r="J1118" i="22"/>
  <c r="I1119" i="22"/>
  <c r="J1119" i="22"/>
  <c r="I1120" i="22"/>
  <c r="J1120" i="22"/>
  <c r="I1121" i="22"/>
  <c r="J1121" i="22"/>
  <c r="I1122" i="22"/>
  <c r="J1122" i="22"/>
  <c r="I1123" i="22"/>
  <c r="J1123" i="22"/>
  <c r="I1124" i="22"/>
  <c r="J1124" i="22"/>
  <c r="I1125" i="22"/>
  <c r="J1125" i="22"/>
  <c r="I1126" i="22"/>
  <c r="J1126" i="22"/>
  <c r="I1127" i="22"/>
  <c r="J1127" i="22"/>
  <c r="I1128" i="22"/>
  <c r="J1128" i="22"/>
  <c r="I1129" i="22"/>
  <c r="J1129" i="22"/>
  <c r="I1130" i="22"/>
  <c r="J1130" i="22"/>
  <c r="I1131" i="22"/>
  <c r="J1131" i="22"/>
  <c r="I1132" i="22"/>
  <c r="J1132" i="22"/>
  <c r="I1133" i="22"/>
  <c r="J1133" i="22"/>
  <c r="I1134" i="22"/>
  <c r="J1134" i="22"/>
  <c r="I1135" i="22"/>
  <c r="J1135" i="22"/>
  <c r="I1136" i="22"/>
  <c r="J1136" i="22"/>
  <c r="I1137" i="22"/>
  <c r="J1137" i="22"/>
  <c r="N1218" i="23"/>
  <c r="O1218" i="23"/>
  <c r="P1218" i="23"/>
  <c r="M1219" i="23"/>
  <c r="N1219" i="23"/>
  <c r="O1219" i="23"/>
  <c r="P1219" i="23"/>
  <c r="M1220" i="23"/>
  <c r="N1220" i="23"/>
  <c r="O1220" i="23"/>
  <c r="P1220" i="23"/>
  <c r="M1221" i="23"/>
  <c r="N1221" i="23"/>
  <c r="O1221" i="23"/>
  <c r="P1221" i="23"/>
  <c r="M1222" i="23"/>
  <c r="N1222" i="23"/>
  <c r="O1222" i="23"/>
  <c r="P1222" i="23"/>
  <c r="M1223" i="23"/>
  <c r="N1223" i="23"/>
  <c r="O1223" i="23"/>
  <c r="P1223" i="23"/>
  <c r="M1224" i="23"/>
  <c r="N1224" i="23"/>
  <c r="O1224" i="23"/>
  <c r="P1224" i="23"/>
  <c r="M1225" i="23"/>
  <c r="N1225" i="23"/>
  <c r="O1225" i="23"/>
  <c r="P1225" i="23"/>
  <c r="M1226" i="23"/>
  <c r="N1226" i="23"/>
  <c r="O1226" i="23"/>
  <c r="P1226" i="23"/>
  <c r="M1227" i="23"/>
  <c r="N1227" i="23"/>
  <c r="O1227" i="23"/>
  <c r="P1227" i="23"/>
  <c r="M1186" i="23"/>
  <c r="N1186" i="23"/>
  <c r="O1186" i="23"/>
  <c r="P1186" i="23"/>
  <c r="M1187" i="23"/>
  <c r="N1187" i="23"/>
  <c r="O1187" i="23"/>
  <c r="P1187" i="23"/>
  <c r="M1188" i="23"/>
  <c r="N1188" i="23"/>
  <c r="O1188" i="23"/>
  <c r="P1188" i="23"/>
  <c r="M1189" i="23"/>
  <c r="N1189" i="23"/>
  <c r="O1189" i="23"/>
  <c r="P1189" i="23"/>
  <c r="M1190" i="23"/>
  <c r="N1190" i="23"/>
  <c r="O1190" i="23"/>
  <c r="P1190" i="23"/>
  <c r="M1191" i="23"/>
  <c r="N1191" i="23"/>
  <c r="O1191" i="23"/>
  <c r="P1191" i="23"/>
  <c r="M1192" i="23"/>
  <c r="N1192" i="23"/>
  <c r="O1192" i="23"/>
  <c r="P1192" i="23"/>
  <c r="M1193" i="23"/>
  <c r="N1193" i="23"/>
  <c r="O1193" i="23"/>
  <c r="P1193" i="23"/>
  <c r="M1194" i="23"/>
  <c r="N1194" i="23"/>
  <c r="O1194" i="23"/>
  <c r="P1194" i="23"/>
  <c r="M1195" i="23"/>
  <c r="N1195" i="23"/>
  <c r="O1195" i="23"/>
  <c r="P1195" i="23"/>
  <c r="M1196" i="23"/>
  <c r="N1196" i="23"/>
  <c r="O1196" i="23"/>
  <c r="P1196" i="23"/>
  <c r="M1197" i="23"/>
  <c r="N1197" i="23"/>
  <c r="O1197" i="23"/>
  <c r="P1197" i="23"/>
  <c r="M1198" i="23"/>
  <c r="N1198" i="23"/>
  <c r="O1198" i="23"/>
  <c r="P1198" i="23"/>
  <c r="M1199" i="23"/>
  <c r="N1199" i="23"/>
  <c r="O1199" i="23"/>
  <c r="P1199" i="23"/>
  <c r="M1200" i="23"/>
  <c r="N1200" i="23"/>
  <c r="O1200" i="23"/>
  <c r="P1200" i="23"/>
  <c r="M1201" i="23"/>
  <c r="N1201" i="23"/>
  <c r="O1201" i="23"/>
  <c r="P1201" i="23"/>
  <c r="N1202" i="23"/>
  <c r="O1202" i="23"/>
  <c r="P1202" i="23"/>
  <c r="N1203" i="23"/>
  <c r="O1203" i="23"/>
  <c r="P1203" i="23"/>
  <c r="N1204" i="23"/>
  <c r="O1204" i="23"/>
  <c r="P1204" i="23"/>
  <c r="N1205" i="23"/>
  <c r="O1205" i="23"/>
  <c r="P1205" i="23"/>
  <c r="N1206" i="23"/>
  <c r="O1206" i="23"/>
  <c r="P1206" i="23"/>
  <c r="N1207" i="23"/>
  <c r="O1207" i="23"/>
  <c r="P1207" i="23"/>
  <c r="M1208" i="23"/>
  <c r="N1208" i="23"/>
  <c r="O1208" i="23"/>
  <c r="P1208" i="23"/>
  <c r="M1209" i="23"/>
  <c r="N1209" i="23"/>
  <c r="O1209" i="23"/>
  <c r="P1209" i="23"/>
  <c r="N1210" i="23"/>
  <c r="O1210" i="23"/>
  <c r="P1210" i="23"/>
  <c r="N1211" i="23"/>
  <c r="O1211" i="23"/>
  <c r="P1211" i="23"/>
  <c r="N1212" i="23"/>
  <c r="O1212" i="23"/>
  <c r="P1212" i="23"/>
  <c r="N1213" i="23"/>
  <c r="O1213" i="23"/>
  <c r="P1213" i="23"/>
  <c r="N1214" i="23"/>
  <c r="O1214" i="23"/>
  <c r="P1214" i="23"/>
  <c r="N1215" i="23"/>
  <c r="O1215" i="23"/>
  <c r="P1215" i="23"/>
  <c r="N1216" i="23"/>
  <c r="O1216" i="23"/>
  <c r="P1216" i="23"/>
  <c r="N1217" i="23"/>
  <c r="O1217" i="23"/>
  <c r="P1217" i="23"/>
  <c r="I1094" i="22"/>
  <c r="J1094" i="22"/>
  <c r="I1095" i="22"/>
  <c r="J1095" i="22"/>
  <c r="I1096" i="22"/>
  <c r="J1096" i="22"/>
  <c r="I1097" i="22"/>
  <c r="J1097" i="22"/>
  <c r="I1098" i="22"/>
  <c r="J1098" i="22"/>
  <c r="I1099" i="22"/>
  <c r="J1099" i="22"/>
  <c r="I1100" i="22"/>
  <c r="J1100" i="22"/>
  <c r="I1101" i="22"/>
  <c r="J1101" i="22"/>
  <c r="I1102" i="22"/>
  <c r="J1102" i="22"/>
  <c r="I1103" i="22"/>
  <c r="J1103" i="22"/>
  <c r="I1104" i="22"/>
  <c r="J1104" i="22"/>
  <c r="I1105" i="22"/>
  <c r="J1105" i="22"/>
  <c r="I1106" i="22"/>
  <c r="J1106" i="22"/>
  <c r="I1107" i="22"/>
  <c r="J1107" i="22"/>
  <c r="I1108" i="22"/>
  <c r="J1108" i="22"/>
  <c r="I1109" i="22"/>
  <c r="J1109" i="22"/>
  <c r="I1110" i="22"/>
  <c r="J1110" i="22"/>
  <c r="I1111" i="22"/>
  <c r="J1111" i="22"/>
  <c r="I1112" i="22"/>
  <c r="J1112" i="22"/>
  <c r="I1113" i="22"/>
  <c r="J1113" i="22"/>
  <c r="I1114" i="22"/>
  <c r="J1114" i="22"/>
  <c r="I1115" i="22"/>
  <c r="J1115" i="22"/>
  <c r="I1116" i="22"/>
  <c r="J1116" i="22"/>
  <c r="I1117" i="22"/>
  <c r="J1117" i="22"/>
  <c r="I1078" i="22"/>
  <c r="J1078" i="22"/>
  <c r="I1079" i="22"/>
  <c r="J1079" i="22"/>
  <c r="I1080" i="22"/>
  <c r="J1080" i="22"/>
  <c r="I1081" i="22"/>
  <c r="J1081" i="22"/>
  <c r="I1082" i="22"/>
  <c r="J1082" i="22"/>
  <c r="I1083" i="22"/>
  <c r="J1083" i="22"/>
  <c r="I1084" i="22"/>
  <c r="J1084" i="22"/>
  <c r="I1085" i="22"/>
  <c r="J1085" i="22"/>
  <c r="I1086" i="22"/>
  <c r="J1086" i="22"/>
  <c r="I1087" i="22"/>
  <c r="J1087" i="22"/>
  <c r="I1088" i="22"/>
  <c r="J1088" i="22"/>
  <c r="I1089" i="22"/>
  <c r="J1089" i="22"/>
  <c r="I1090" i="22"/>
  <c r="J1090" i="22"/>
  <c r="I1091" i="22"/>
  <c r="J1091" i="22"/>
  <c r="I1092" i="22"/>
  <c r="J1092" i="22"/>
  <c r="I1093" i="22"/>
  <c r="J1093" i="22"/>
  <c r="I1061" i="22"/>
  <c r="J1061" i="22"/>
  <c r="I1062" i="22"/>
  <c r="J1062" i="22"/>
  <c r="I1063" i="22"/>
  <c r="J1063" i="22"/>
  <c r="I1064" i="22"/>
  <c r="J1064" i="22"/>
  <c r="I1065" i="22"/>
  <c r="J1065" i="22"/>
  <c r="I1066" i="22"/>
  <c r="J1066" i="22"/>
  <c r="I1067" i="22"/>
  <c r="J1067" i="22"/>
  <c r="I1068" i="22"/>
  <c r="J1068" i="22"/>
  <c r="I1069" i="22"/>
  <c r="J1069" i="22"/>
  <c r="I1070" i="22"/>
  <c r="J1070" i="22"/>
  <c r="I1071" i="22"/>
  <c r="J1071" i="22"/>
  <c r="I1072" i="22"/>
  <c r="J1072" i="22"/>
  <c r="I1073" i="22"/>
  <c r="J1073" i="22"/>
  <c r="I1074" i="22"/>
  <c r="J1074" i="22"/>
  <c r="I1075" i="22"/>
  <c r="J1075" i="22"/>
  <c r="I1076" i="22"/>
  <c r="J1076" i="22"/>
  <c r="I1077" i="22"/>
  <c r="J1077" i="22"/>
  <c r="N1169" i="23"/>
  <c r="O1169" i="23"/>
  <c r="P1169" i="23"/>
  <c r="N1170" i="23"/>
  <c r="O1170" i="23"/>
  <c r="P1170" i="23"/>
  <c r="N1171" i="23"/>
  <c r="O1171" i="23"/>
  <c r="P1171" i="23"/>
  <c r="N1172" i="23"/>
  <c r="O1172" i="23"/>
  <c r="P1172" i="23"/>
  <c r="N1173" i="23"/>
  <c r="O1173" i="23"/>
  <c r="P1173" i="23"/>
  <c r="M1174" i="23"/>
  <c r="N1174" i="23"/>
  <c r="O1174" i="23"/>
  <c r="P1174" i="23"/>
  <c r="N1175" i="23"/>
  <c r="O1175" i="23"/>
  <c r="P1175" i="23"/>
  <c r="N1176" i="23"/>
  <c r="O1176" i="23"/>
  <c r="P1176" i="23"/>
  <c r="N1177" i="23"/>
  <c r="O1177" i="23"/>
  <c r="P1177" i="23"/>
  <c r="N1178" i="23"/>
  <c r="O1178" i="23"/>
  <c r="P1178" i="23"/>
  <c r="N1179" i="23"/>
  <c r="O1179" i="23"/>
  <c r="P1179" i="23"/>
  <c r="N1180" i="23"/>
  <c r="O1180" i="23"/>
  <c r="P1180" i="23"/>
  <c r="N1181" i="23"/>
  <c r="O1181" i="23"/>
  <c r="P1181" i="23"/>
  <c r="N1182" i="23"/>
  <c r="O1182" i="23"/>
  <c r="P1182" i="23"/>
  <c r="N1183" i="23"/>
  <c r="O1183" i="23"/>
  <c r="P1183" i="23"/>
  <c r="N1184" i="23"/>
  <c r="O1184" i="23"/>
  <c r="P1184" i="23"/>
  <c r="N1185" i="23"/>
  <c r="O1185" i="23"/>
  <c r="P1185" i="23"/>
  <c r="N1168" i="23"/>
  <c r="O1168" i="23"/>
  <c r="P1168" i="23"/>
  <c r="M1122" i="23"/>
  <c r="N1122" i="23"/>
  <c r="O1122" i="23"/>
  <c r="P1122" i="23"/>
  <c r="N1123" i="23"/>
  <c r="O1123" i="23"/>
  <c r="P1123" i="23"/>
  <c r="N1124" i="23"/>
  <c r="O1124" i="23"/>
  <c r="P1124" i="23"/>
  <c r="N1125" i="23"/>
  <c r="O1125" i="23"/>
  <c r="P1125" i="23"/>
  <c r="N1126" i="23"/>
  <c r="O1126" i="23"/>
  <c r="P1126" i="23"/>
  <c r="N1127" i="23"/>
  <c r="O1127" i="23"/>
  <c r="P1127" i="23"/>
  <c r="M1128" i="23"/>
  <c r="N1128" i="23"/>
  <c r="O1128" i="23"/>
  <c r="P1128" i="23"/>
  <c r="N1129" i="23"/>
  <c r="O1129" i="23"/>
  <c r="P1129" i="23"/>
  <c r="N1130" i="23"/>
  <c r="O1130" i="23"/>
  <c r="P1130" i="23"/>
  <c r="N1131" i="23"/>
  <c r="O1131" i="23"/>
  <c r="P1131" i="23"/>
  <c r="N1132" i="23"/>
  <c r="O1132" i="23"/>
  <c r="P1132" i="23"/>
  <c r="N1133" i="23"/>
  <c r="O1133" i="23"/>
  <c r="P1133" i="23"/>
  <c r="N1134" i="23"/>
  <c r="O1134" i="23"/>
  <c r="P1134" i="23"/>
  <c r="N1135" i="23"/>
  <c r="O1135" i="23"/>
  <c r="P1135" i="23"/>
  <c r="N1136" i="23"/>
  <c r="O1136" i="23"/>
  <c r="P1136" i="23"/>
  <c r="N1137" i="23"/>
  <c r="O1137" i="23"/>
  <c r="P1137" i="23"/>
  <c r="N1138" i="23"/>
  <c r="O1138" i="23"/>
  <c r="P1138" i="23"/>
  <c r="N1139" i="23"/>
  <c r="O1139" i="23"/>
  <c r="P1139" i="23"/>
  <c r="N1140" i="23"/>
  <c r="O1140" i="23"/>
  <c r="P1140" i="23"/>
  <c r="N1141" i="23"/>
  <c r="O1141" i="23"/>
  <c r="P1141" i="23"/>
  <c r="N1142" i="23"/>
  <c r="O1142" i="23"/>
  <c r="P1142" i="23"/>
  <c r="M1143" i="23"/>
  <c r="N1143" i="23"/>
  <c r="O1143" i="23"/>
  <c r="P1143" i="23"/>
  <c r="N1144" i="23"/>
  <c r="O1144" i="23"/>
  <c r="P1144" i="23"/>
  <c r="N1145" i="23"/>
  <c r="O1145" i="23"/>
  <c r="P1145" i="23"/>
  <c r="N1146" i="23"/>
  <c r="O1146" i="23"/>
  <c r="P1146" i="23"/>
  <c r="N1147" i="23"/>
  <c r="O1147" i="23"/>
  <c r="P1147" i="23"/>
  <c r="N1148" i="23"/>
  <c r="O1148" i="23"/>
  <c r="P1148" i="23"/>
  <c r="N1149" i="23"/>
  <c r="O1149" i="23"/>
  <c r="P1149" i="23"/>
  <c r="N1150" i="23"/>
  <c r="O1150" i="23"/>
  <c r="P1150" i="23"/>
  <c r="N1151" i="23"/>
  <c r="O1151" i="23"/>
  <c r="P1151" i="23"/>
  <c r="M1152" i="23"/>
  <c r="N1152" i="23"/>
  <c r="O1152" i="23"/>
  <c r="P1152" i="23"/>
  <c r="M1153" i="23"/>
  <c r="N1153" i="23"/>
  <c r="O1153" i="23"/>
  <c r="P1153" i="23"/>
  <c r="N1154" i="23"/>
  <c r="O1154" i="23"/>
  <c r="P1154" i="23"/>
  <c r="N1155" i="23"/>
  <c r="O1155" i="23"/>
  <c r="P1155" i="23"/>
  <c r="N1156" i="23"/>
  <c r="O1156" i="23"/>
  <c r="P1156" i="23"/>
  <c r="N1157" i="23"/>
  <c r="O1157" i="23"/>
  <c r="P1157" i="23"/>
  <c r="M1158" i="23"/>
  <c r="N1158" i="23"/>
  <c r="O1158" i="23"/>
  <c r="P1158" i="23"/>
  <c r="N1159" i="23"/>
  <c r="O1159" i="23"/>
  <c r="P1159" i="23"/>
  <c r="M1160" i="23"/>
  <c r="N1160" i="23"/>
  <c r="O1160" i="23"/>
  <c r="P1160" i="23"/>
  <c r="N1161" i="23"/>
  <c r="O1161" i="23"/>
  <c r="P1161" i="23"/>
  <c r="M1162" i="23"/>
  <c r="N1162" i="23"/>
  <c r="O1162" i="23"/>
  <c r="P1162" i="23"/>
  <c r="N1163" i="23"/>
  <c r="O1163" i="23"/>
  <c r="P1163" i="23"/>
  <c r="M1164" i="23"/>
  <c r="N1164" i="23"/>
  <c r="O1164" i="23"/>
  <c r="P1164" i="23"/>
  <c r="N1165" i="23"/>
  <c r="O1165" i="23"/>
  <c r="P1165" i="23"/>
  <c r="N1166" i="23"/>
  <c r="O1166" i="23"/>
  <c r="P1166" i="23"/>
  <c r="M1167" i="23"/>
  <c r="N1167" i="23"/>
  <c r="O1167" i="23"/>
  <c r="P1167" i="23"/>
  <c r="I1049" i="22"/>
  <c r="J1049" i="22"/>
  <c r="I1050" i="22"/>
  <c r="J1050" i="22"/>
  <c r="I1051" i="22"/>
  <c r="J1051" i="22"/>
  <c r="I1052" i="22"/>
  <c r="J1052" i="22"/>
  <c r="I1053" i="22"/>
  <c r="J1053" i="22"/>
  <c r="I1054" i="22"/>
  <c r="J1054" i="22"/>
  <c r="I1055" i="22"/>
  <c r="J1055" i="22"/>
  <c r="I1056" i="22"/>
  <c r="J1056" i="22"/>
  <c r="I1057" i="22"/>
  <c r="J1057" i="22"/>
  <c r="I1058" i="22"/>
  <c r="J1058" i="22"/>
  <c r="I1059" i="22"/>
  <c r="J1059" i="22"/>
  <c r="I1060" i="22"/>
  <c r="J1060" i="22"/>
  <c r="I1033" i="22"/>
  <c r="J1033" i="22"/>
  <c r="I1034" i="22"/>
  <c r="J1034" i="22"/>
  <c r="I1035" i="22"/>
  <c r="J1035" i="22"/>
  <c r="I1036" i="22"/>
  <c r="J1036" i="22"/>
  <c r="I1037" i="22"/>
  <c r="J1037" i="22"/>
  <c r="I1038" i="22"/>
  <c r="J1038" i="22"/>
  <c r="I1039" i="22"/>
  <c r="J1039" i="22"/>
  <c r="I1040" i="22"/>
  <c r="J1040" i="22"/>
  <c r="I1041" i="22"/>
  <c r="J1041" i="22"/>
  <c r="I1042" i="22"/>
  <c r="J1042" i="22"/>
  <c r="I1043" i="22"/>
  <c r="J1043" i="22"/>
  <c r="I1044" i="22"/>
  <c r="J1044" i="22"/>
  <c r="I1045" i="22"/>
  <c r="J1045" i="22"/>
  <c r="I1046" i="22"/>
  <c r="J1046" i="22"/>
  <c r="I1047" i="22"/>
  <c r="J1047" i="22"/>
  <c r="I1048" i="22"/>
  <c r="J1048" i="22"/>
  <c r="M1101" i="23"/>
  <c r="N1101" i="23"/>
  <c r="O1101" i="23"/>
  <c r="P1101" i="23"/>
  <c r="M1102" i="23"/>
  <c r="N1102" i="23"/>
  <c r="O1102" i="23"/>
  <c r="P1102" i="23"/>
  <c r="M1103" i="23"/>
  <c r="N1103" i="23"/>
  <c r="O1103" i="23"/>
  <c r="P1103" i="23"/>
  <c r="N1104" i="23"/>
  <c r="O1104" i="23"/>
  <c r="P1104" i="23"/>
  <c r="N1105" i="23"/>
  <c r="O1105" i="23"/>
  <c r="P1105" i="23"/>
  <c r="M1106" i="23"/>
  <c r="N1106" i="23"/>
  <c r="O1106" i="23"/>
  <c r="P1106" i="23"/>
  <c r="M1107" i="23"/>
  <c r="N1107" i="23"/>
  <c r="O1107" i="23"/>
  <c r="P1107" i="23"/>
  <c r="M1108" i="23"/>
  <c r="N1108" i="23"/>
  <c r="O1108" i="23"/>
  <c r="P1108" i="23"/>
  <c r="N1109" i="23"/>
  <c r="O1109" i="23"/>
  <c r="P1109" i="23"/>
  <c r="M1110" i="23"/>
  <c r="N1110" i="23"/>
  <c r="O1110" i="23"/>
  <c r="P1110" i="23"/>
  <c r="M1111" i="23"/>
  <c r="N1111" i="23"/>
  <c r="O1111" i="23"/>
  <c r="P1111" i="23"/>
  <c r="M1112" i="23"/>
  <c r="N1112" i="23"/>
  <c r="O1112" i="23"/>
  <c r="P1112" i="23"/>
  <c r="M1113" i="23"/>
  <c r="N1113" i="23"/>
  <c r="O1113" i="23"/>
  <c r="P1113" i="23"/>
  <c r="M1114" i="23"/>
  <c r="N1114" i="23"/>
  <c r="O1114" i="23"/>
  <c r="P1114" i="23"/>
  <c r="N1115" i="23"/>
  <c r="O1115" i="23"/>
  <c r="P1115" i="23"/>
  <c r="M1116" i="23"/>
  <c r="N1116" i="23"/>
  <c r="O1116" i="23"/>
  <c r="P1116" i="23"/>
  <c r="M1117" i="23"/>
  <c r="N1117" i="23"/>
  <c r="O1117" i="23"/>
  <c r="P1117" i="23"/>
  <c r="M1118" i="23"/>
  <c r="N1118" i="23"/>
  <c r="O1118" i="23"/>
  <c r="P1118" i="23"/>
  <c r="M1119" i="23"/>
  <c r="N1119" i="23"/>
  <c r="O1119" i="23"/>
  <c r="P1119" i="23"/>
  <c r="N1120" i="23"/>
  <c r="O1120" i="23"/>
  <c r="P1120" i="23"/>
  <c r="M1121" i="23"/>
  <c r="N1121" i="23"/>
  <c r="O1121" i="23"/>
  <c r="P1121" i="23"/>
  <c r="I1010" i="22"/>
  <c r="J1010" i="22"/>
  <c r="I1011" i="22"/>
  <c r="J1011" i="22"/>
  <c r="I1012" i="22"/>
  <c r="J1012" i="22"/>
  <c r="I1013" i="22"/>
  <c r="J1013" i="22"/>
  <c r="I1014" i="22"/>
  <c r="J1014" i="22"/>
  <c r="I1015" i="22"/>
  <c r="J1015" i="22"/>
  <c r="I1016" i="22"/>
  <c r="J1016" i="22"/>
  <c r="I1017" i="22"/>
  <c r="J1017" i="22"/>
  <c r="I1018" i="22"/>
  <c r="J1018" i="22"/>
  <c r="I1019" i="22"/>
  <c r="J1019" i="22"/>
  <c r="I1020" i="22"/>
  <c r="J1020" i="22"/>
  <c r="I1021" i="22"/>
  <c r="J1021" i="22"/>
  <c r="I1022" i="22"/>
  <c r="J1022" i="22"/>
  <c r="I1023" i="22"/>
  <c r="J1023" i="22"/>
  <c r="I1024" i="22"/>
  <c r="J1024" i="22"/>
  <c r="I1025" i="22"/>
  <c r="J1025" i="22"/>
  <c r="I1026" i="22"/>
  <c r="J1026" i="22"/>
  <c r="I1027" i="22"/>
  <c r="J1027" i="22"/>
  <c r="I1028" i="22"/>
  <c r="J1028" i="22"/>
  <c r="I1029" i="22"/>
  <c r="J1029" i="22"/>
  <c r="I1030" i="22"/>
  <c r="J1030" i="22"/>
  <c r="I1031" i="22"/>
  <c r="J1031" i="22"/>
  <c r="I1032" i="22"/>
  <c r="J1032" i="22"/>
  <c r="M1099" i="23"/>
  <c r="N1099" i="23"/>
  <c r="O1099" i="23"/>
  <c r="P1099" i="23"/>
  <c r="M1100" i="23"/>
  <c r="N1100" i="23"/>
  <c r="O1100" i="23"/>
  <c r="P1100" i="23"/>
  <c r="N1094" i="23"/>
  <c r="O1094" i="23"/>
  <c r="P1094" i="23"/>
  <c r="M1095" i="23"/>
  <c r="N1095" i="23"/>
  <c r="O1095" i="23"/>
  <c r="P1095" i="23"/>
  <c r="M1096" i="23"/>
  <c r="N1096" i="23"/>
  <c r="O1096" i="23"/>
  <c r="P1096" i="23"/>
  <c r="M1097" i="23"/>
  <c r="N1097" i="23"/>
  <c r="O1097" i="23"/>
  <c r="P1097" i="23"/>
  <c r="N1098" i="23"/>
  <c r="O1098" i="23"/>
  <c r="P1098" i="23"/>
  <c r="I984" i="22"/>
  <c r="J984" i="22"/>
  <c r="I985" i="22"/>
  <c r="J985" i="22"/>
  <c r="I986" i="22"/>
  <c r="J986" i="22"/>
  <c r="I987" i="22"/>
  <c r="J987" i="22"/>
  <c r="I988" i="22"/>
  <c r="J988" i="22"/>
  <c r="I989" i="22"/>
  <c r="J989" i="22"/>
  <c r="I990" i="22"/>
  <c r="J990" i="22"/>
  <c r="I991" i="22"/>
  <c r="J991" i="22"/>
  <c r="I992" i="22"/>
  <c r="J992" i="22"/>
  <c r="I993" i="22"/>
  <c r="J993" i="22"/>
  <c r="I994" i="22"/>
  <c r="J994" i="22"/>
  <c r="I995" i="22"/>
  <c r="J995" i="22"/>
  <c r="I996" i="22"/>
  <c r="J996" i="22"/>
  <c r="I997" i="22"/>
  <c r="J997" i="22"/>
  <c r="I998" i="22"/>
  <c r="J998" i="22"/>
  <c r="I999" i="22"/>
  <c r="J999" i="22"/>
  <c r="I1000" i="22"/>
  <c r="J1000" i="22"/>
  <c r="I1001" i="22"/>
  <c r="J1001" i="22"/>
  <c r="I1002" i="22"/>
  <c r="J1002" i="22"/>
  <c r="I1003" i="22"/>
  <c r="J1003" i="22"/>
  <c r="I1004" i="22"/>
  <c r="J1004" i="22"/>
  <c r="I1005" i="22"/>
  <c r="J1005" i="22"/>
  <c r="I1006" i="22"/>
  <c r="J1006" i="22"/>
  <c r="I1007" i="22"/>
  <c r="J1007" i="22"/>
  <c r="I1008" i="22"/>
  <c r="J1008" i="22"/>
  <c r="I1009" i="22"/>
  <c r="J1009" i="22"/>
  <c r="M1073" i="23"/>
  <c r="N1073" i="23"/>
  <c r="O1073" i="23"/>
  <c r="P1073" i="23"/>
  <c r="N1074" i="23"/>
  <c r="O1074" i="23"/>
  <c r="P1074" i="23"/>
  <c r="N1075" i="23"/>
  <c r="O1075" i="23"/>
  <c r="P1075" i="23"/>
  <c r="M1076" i="23"/>
  <c r="N1076" i="23"/>
  <c r="O1076" i="23"/>
  <c r="P1076" i="23"/>
  <c r="M1077" i="23"/>
  <c r="N1077" i="23"/>
  <c r="O1077" i="23"/>
  <c r="P1077" i="23"/>
  <c r="M1078" i="23"/>
  <c r="N1078" i="23"/>
  <c r="O1078" i="23"/>
  <c r="P1078" i="23"/>
  <c r="N1079" i="23"/>
  <c r="O1079" i="23"/>
  <c r="P1079" i="23"/>
  <c r="N1080" i="23"/>
  <c r="O1080" i="23"/>
  <c r="P1080" i="23"/>
  <c r="N1081" i="23"/>
  <c r="O1081" i="23"/>
  <c r="P1081" i="23"/>
  <c r="N1082" i="23"/>
  <c r="O1082" i="23"/>
  <c r="P1082" i="23"/>
  <c r="N1083" i="23"/>
  <c r="O1083" i="23"/>
  <c r="P1083" i="23"/>
  <c r="M1084" i="23"/>
  <c r="N1084" i="23"/>
  <c r="O1084" i="23"/>
  <c r="P1084" i="23"/>
  <c r="M1085" i="23"/>
  <c r="N1085" i="23"/>
  <c r="O1085" i="23"/>
  <c r="P1085" i="23"/>
  <c r="M1086" i="23"/>
  <c r="N1086" i="23"/>
  <c r="O1086" i="23"/>
  <c r="P1086" i="23"/>
  <c r="M1087" i="23"/>
  <c r="N1087" i="23"/>
  <c r="O1087" i="23"/>
  <c r="P1087" i="23"/>
  <c r="M1088" i="23"/>
  <c r="N1088" i="23"/>
  <c r="O1088" i="23"/>
  <c r="P1088" i="23"/>
  <c r="M1089" i="23"/>
  <c r="N1089" i="23"/>
  <c r="O1089" i="23"/>
  <c r="P1089" i="23"/>
  <c r="M1090" i="23"/>
  <c r="N1090" i="23"/>
  <c r="O1090" i="23"/>
  <c r="P1090" i="23"/>
  <c r="M1091" i="23"/>
  <c r="N1091" i="23"/>
  <c r="O1091" i="23"/>
  <c r="P1091" i="23"/>
  <c r="M1092" i="23"/>
  <c r="N1092" i="23"/>
  <c r="O1092" i="23"/>
  <c r="P1092" i="23"/>
  <c r="M1093" i="23"/>
  <c r="N1093" i="23"/>
  <c r="O1093" i="23"/>
  <c r="P1093" i="23"/>
  <c r="I983" i="22"/>
  <c r="J983" i="22"/>
  <c r="I958" i="22"/>
  <c r="J958" i="22"/>
  <c r="I959" i="22"/>
  <c r="J959" i="22"/>
  <c r="I960" i="22"/>
  <c r="J960" i="22"/>
  <c r="I961" i="22"/>
  <c r="J961" i="22"/>
  <c r="I962" i="22"/>
  <c r="J962" i="22"/>
  <c r="I963" i="22"/>
  <c r="J963" i="22"/>
  <c r="I964" i="22"/>
  <c r="J964" i="22"/>
  <c r="I965" i="22"/>
  <c r="J965" i="22"/>
  <c r="I966" i="22"/>
  <c r="J966" i="22"/>
  <c r="I967" i="22"/>
  <c r="J967" i="22"/>
  <c r="I968" i="22"/>
  <c r="J968" i="22"/>
  <c r="I969" i="22"/>
  <c r="J969" i="22"/>
  <c r="I970" i="22"/>
  <c r="J970" i="22"/>
  <c r="I971" i="22"/>
  <c r="J971" i="22"/>
  <c r="I972" i="22"/>
  <c r="J972" i="22"/>
  <c r="I973" i="22"/>
  <c r="J973" i="22"/>
  <c r="I974" i="22"/>
  <c r="J974" i="22"/>
  <c r="I975" i="22"/>
  <c r="J975" i="22"/>
  <c r="I976" i="22"/>
  <c r="J976" i="22"/>
  <c r="I977" i="22"/>
  <c r="J977" i="22"/>
  <c r="I978" i="22"/>
  <c r="J978" i="22"/>
  <c r="I979" i="22"/>
  <c r="J979" i="22"/>
  <c r="I980" i="22"/>
  <c r="J980" i="22"/>
  <c r="I981" i="22"/>
  <c r="J981" i="22"/>
  <c r="I982" i="22"/>
  <c r="J982" i="22"/>
  <c r="M1072" i="23"/>
  <c r="N1072" i="23"/>
  <c r="O1072" i="23"/>
  <c r="P1072" i="23"/>
  <c r="M1016" i="23"/>
  <c r="N1016" i="23"/>
  <c r="O1016" i="23"/>
  <c r="P1016" i="23"/>
  <c r="M1017" i="23"/>
  <c r="N1017" i="23"/>
  <c r="O1017" i="23"/>
  <c r="P1017" i="23"/>
  <c r="M1018" i="23"/>
  <c r="N1018" i="23"/>
  <c r="O1018" i="23"/>
  <c r="P1018" i="23"/>
  <c r="M1019" i="23"/>
  <c r="N1019" i="23"/>
  <c r="O1019" i="23"/>
  <c r="P1019" i="23"/>
  <c r="M1020" i="23"/>
  <c r="N1020" i="23"/>
  <c r="O1020" i="23"/>
  <c r="P1020" i="23"/>
  <c r="N1021" i="23"/>
  <c r="O1021" i="23"/>
  <c r="P1021" i="23"/>
  <c r="N1022" i="23"/>
  <c r="O1022" i="23"/>
  <c r="P1022" i="23"/>
  <c r="N1023" i="23"/>
  <c r="O1023" i="23"/>
  <c r="P1023" i="23"/>
  <c r="N1024" i="23"/>
  <c r="O1024" i="23"/>
  <c r="P1024" i="23"/>
  <c r="M1025" i="23"/>
  <c r="N1025" i="23"/>
  <c r="O1025" i="23"/>
  <c r="P1025" i="23"/>
  <c r="N1026" i="23"/>
  <c r="O1026" i="23"/>
  <c r="P1026" i="23"/>
  <c r="M1027" i="23"/>
  <c r="N1027" i="23"/>
  <c r="O1027" i="23"/>
  <c r="P1027" i="23"/>
  <c r="N1028" i="23"/>
  <c r="O1028" i="23"/>
  <c r="P1028" i="23"/>
  <c r="N1029" i="23"/>
  <c r="O1029" i="23"/>
  <c r="P1029" i="23"/>
  <c r="N1030" i="23"/>
  <c r="O1030" i="23"/>
  <c r="P1030" i="23"/>
  <c r="N1031" i="23"/>
  <c r="O1031" i="23"/>
  <c r="P1031" i="23"/>
  <c r="M1032" i="23"/>
  <c r="N1032" i="23"/>
  <c r="O1032" i="23"/>
  <c r="P1032" i="23"/>
  <c r="M1033" i="23"/>
  <c r="N1033" i="23"/>
  <c r="O1033" i="23"/>
  <c r="P1033" i="23"/>
  <c r="N1034" i="23"/>
  <c r="O1034" i="23"/>
  <c r="P1034" i="23"/>
  <c r="M1035" i="23"/>
  <c r="N1035" i="23"/>
  <c r="O1035" i="23"/>
  <c r="P1035" i="23"/>
  <c r="N1036" i="23"/>
  <c r="O1036" i="23"/>
  <c r="P1036" i="23"/>
  <c r="M1037" i="23"/>
  <c r="N1037" i="23"/>
  <c r="O1037" i="23"/>
  <c r="P1037" i="23"/>
  <c r="N1038" i="23"/>
  <c r="O1038" i="23"/>
  <c r="P1038" i="23"/>
  <c r="M1039" i="23"/>
  <c r="N1039" i="23"/>
  <c r="O1039" i="23"/>
  <c r="P1039" i="23"/>
  <c r="N1040" i="23"/>
  <c r="O1040" i="23"/>
  <c r="P1040" i="23"/>
  <c r="N1041" i="23"/>
  <c r="O1041" i="23"/>
  <c r="P1041" i="23"/>
  <c r="N1042" i="23"/>
  <c r="O1042" i="23"/>
  <c r="P1042" i="23"/>
  <c r="N1043" i="23"/>
  <c r="O1043" i="23"/>
  <c r="P1043" i="23"/>
  <c r="N1044" i="23"/>
  <c r="O1044" i="23"/>
  <c r="P1044" i="23"/>
  <c r="M1045" i="23"/>
  <c r="N1045" i="23"/>
  <c r="O1045" i="23"/>
  <c r="P1045" i="23"/>
  <c r="N1046" i="23"/>
  <c r="O1046" i="23"/>
  <c r="P1046" i="23"/>
  <c r="N1047" i="23"/>
  <c r="O1047" i="23"/>
  <c r="P1047" i="23"/>
  <c r="N1048" i="23"/>
  <c r="O1048" i="23"/>
  <c r="P1048" i="23"/>
  <c r="N1049" i="23"/>
  <c r="O1049" i="23"/>
  <c r="P1049" i="23"/>
  <c r="N1050" i="23"/>
  <c r="O1050" i="23"/>
  <c r="P1050" i="23"/>
  <c r="M1051" i="23"/>
  <c r="N1051" i="23"/>
  <c r="O1051" i="23"/>
  <c r="P1051" i="23"/>
  <c r="M1052" i="23"/>
  <c r="N1052" i="23"/>
  <c r="O1052" i="23"/>
  <c r="P1052" i="23"/>
  <c r="N1053" i="23"/>
  <c r="O1053" i="23"/>
  <c r="P1053" i="23"/>
  <c r="N1054" i="23"/>
  <c r="O1054" i="23"/>
  <c r="P1054" i="23"/>
  <c r="M1055" i="23"/>
  <c r="N1055" i="23"/>
  <c r="O1055" i="23"/>
  <c r="P1055" i="23"/>
  <c r="M1056" i="23"/>
  <c r="N1056" i="23"/>
  <c r="O1056" i="23"/>
  <c r="P1056" i="23"/>
  <c r="N1057" i="23"/>
  <c r="O1057" i="23"/>
  <c r="P1057" i="23"/>
  <c r="N1058" i="23"/>
  <c r="O1058" i="23"/>
  <c r="P1058" i="23"/>
  <c r="N1059" i="23"/>
  <c r="O1059" i="23"/>
  <c r="P1059" i="23"/>
  <c r="N1060" i="23"/>
  <c r="O1060" i="23"/>
  <c r="P1060" i="23"/>
  <c r="N1061" i="23"/>
  <c r="O1061" i="23"/>
  <c r="P1061" i="23"/>
  <c r="N1062" i="23"/>
  <c r="O1062" i="23"/>
  <c r="P1062" i="23"/>
  <c r="N1063" i="23"/>
  <c r="O1063" i="23"/>
  <c r="P1063" i="23"/>
  <c r="N1064" i="23"/>
  <c r="O1064" i="23"/>
  <c r="P1064" i="23"/>
  <c r="M1065" i="23"/>
  <c r="N1065" i="23"/>
  <c r="O1065" i="23"/>
  <c r="P1065" i="23"/>
  <c r="N1066" i="23"/>
  <c r="O1066" i="23"/>
  <c r="P1066" i="23"/>
  <c r="M1067" i="23"/>
  <c r="N1067" i="23"/>
  <c r="O1067" i="23"/>
  <c r="P1067" i="23"/>
  <c r="N1068" i="23"/>
  <c r="O1068" i="23"/>
  <c r="P1068" i="23"/>
  <c r="M1069" i="23"/>
  <c r="N1069" i="23"/>
  <c r="O1069" i="23"/>
  <c r="P1069" i="23"/>
  <c r="N1070" i="23"/>
  <c r="O1070" i="23"/>
  <c r="P1070" i="23"/>
  <c r="M1071" i="23"/>
  <c r="N1071" i="23"/>
  <c r="O1071" i="23"/>
  <c r="P1071" i="23"/>
  <c r="N1014" i="23"/>
  <c r="O1014" i="23"/>
  <c r="P1014" i="23"/>
  <c r="M1015" i="23"/>
  <c r="N1015" i="23"/>
  <c r="O1015" i="23"/>
  <c r="P1015" i="23"/>
  <c r="I936" i="22"/>
  <c r="J936" i="22"/>
  <c r="I937" i="22"/>
  <c r="J937" i="22"/>
  <c r="I938" i="22"/>
  <c r="J938" i="22"/>
  <c r="I939" i="22"/>
  <c r="J939" i="22"/>
  <c r="I940" i="22"/>
  <c r="J940" i="22"/>
  <c r="I941" i="22"/>
  <c r="J941" i="22"/>
  <c r="I942" i="22"/>
  <c r="J942" i="22"/>
  <c r="I943" i="22"/>
  <c r="J943" i="22"/>
  <c r="I944" i="22"/>
  <c r="J944" i="22"/>
  <c r="I945" i="22"/>
  <c r="J945" i="22"/>
  <c r="I946" i="22"/>
  <c r="J946" i="22"/>
  <c r="I947" i="22"/>
  <c r="J947" i="22"/>
  <c r="I948" i="22"/>
  <c r="J948" i="22"/>
  <c r="I949" i="22"/>
  <c r="J949" i="22"/>
  <c r="I950" i="22"/>
  <c r="J950" i="22"/>
  <c r="I951" i="22"/>
  <c r="J951" i="22"/>
  <c r="I952" i="22"/>
  <c r="J952" i="22"/>
  <c r="I953" i="22"/>
  <c r="J953" i="22"/>
  <c r="I954" i="22"/>
  <c r="J954" i="22"/>
  <c r="I955" i="22"/>
  <c r="J955" i="22"/>
  <c r="I956" i="22"/>
  <c r="J956" i="22"/>
  <c r="I957" i="22"/>
  <c r="J957" i="22"/>
  <c r="M949" i="23"/>
  <c r="N949" i="23"/>
  <c r="O949" i="23"/>
  <c r="P949" i="23"/>
  <c r="M950" i="23"/>
  <c r="N950" i="23"/>
  <c r="O950" i="23"/>
  <c r="P950" i="23"/>
  <c r="M951" i="23"/>
  <c r="N951" i="23"/>
  <c r="O951" i="23"/>
  <c r="P951" i="23"/>
  <c r="M952" i="23"/>
  <c r="N952" i="23"/>
  <c r="O952" i="23"/>
  <c r="P952" i="23"/>
  <c r="M953" i="23"/>
  <c r="N953" i="23"/>
  <c r="O953" i="23"/>
  <c r="P953" i="23"/>
  <c r="N954" i="23"/>
  <c r="O954" i="23"/>
  <c r="P954" i="23"/>
  <c r="M955" i="23"/>
  <c r="N955" i="23"/>
  <c r="O955" i="23"/>
  <c r="P955" i="23"/>
  <c r="M956" i="23"/>
  <c r="N956" i="23"/>
  <c r="O956" i="23"/>
  <c r="P956" i="23"/>
  <c r="M957" i="23"/>
  <c r="N957" i="23"/>
  <c r="O957" i="23"/>
  <c r="P957" i="23"/>
  <c r="M958" i="23"/>
  <c r="N958" i="23"/>
  <c r="O958" i="23"/>
  <c r="P958" i="23"/>
  <c r="M959" i="23"/>
  <c r="N959" i="23"/>
  <c r="O959" i="23"/>
  <c r="P959" i="23"/>
  <c r="M960" i="23"/>
  <c r="N960" i="23"/>
  <c r="O960" i="23"/>
  <c r="P960" i="23"/>
  <c r="M961" i="23"/>
  <c r="N961" i="23"/>
  <c r="O961" i="23"/>
  <c r="P961" i="23"/>
  <c r="M962" i="23"/>
  <c r="N962" i="23"/>
  <c r="O962" i="23"/>
  <c r="P962" i="23"/>
  <c r="M963" i="23"/>
  <c r="N963" i="23"/>
  <c r="O963" i="23"/>
  <c r="P963" i="23"/>
  <c r="M964" i="23"/>
  <c r="N964" i="23"/>
  <c r="O964" i="23"/>
  <c r="P964" i="23"/>
  <c r="M965" i="23"/>
  <c r="N965" i="23"/>
  <c r="O965" i="23"/>
  <c r="P965" i="23"/>
  <c r="M966" i="23"/>
  <c r="N966" i="23"/>
  <c r="O966" i="23"/>
  <c r="P966" i="23"/>
  <c r="M967" i="23"/>
  <c r="N967" i="23"/>
  <c r="O967" i="23"/>
  <c r="P967" i="23"/>
  <c r="M968" i="23"/>
  <c r="N968" i="23"/>
  <c r="O968" i="23"/>
  <c r="P968" i="23"/>
  <c r="M969" i="23"/>
  <c r="N969" i="23"/>
  <c r="O969" i="23"/>
  <c r="P969" i="23"/>
  <c r="M970" i="23"/>
  <c r="N970" i="23"/>
  <c r="O970" i="23"/>
  <c r="P970" i="23"/>
  <c r="M971" i="23"/>
  <c r="N971" i="23"/>
  <c r="O971" i="23"/>
  <c r="P971" i="23"/>
  <c r="M972" i="23"/>
  <c r="N972" i="23"/>
  <c r="O972" i="23"/>
  <c r="P972" i="23"/>
  <c r="M973" i="23"/>
  <c r="N973" i="23"/>
  <c r="O973" i="23"/>
  <c r="P973" i="23"/>
  <c r="M974" i="23"/>
  <c r="N974" i="23"/>
  <c r="O974" i="23"/>
  <c r="P974" i="23"/>
  <c r="M975" i="23"/>
  <c r="N975" i="23"/>
  <c r="O975" i="23"/>
  <c r="P975" i="23"/>
  <c r="M976" i="23"/>
  <c r="N976" i="23"/>
  <c r="O976" i="23"/>
  <c r="P976" i="23"/>
  <c r="M977" i="23"/>
  <c r="N977" i="23"/>
  <c r="O977" i="23"/>
  <c r="P977" i="23"/>
  <c r="M978" i="23"/>
  <c r="N978" i="23"/>
  <c r="O978" i="23"/>
  <c r="P978" i="23"/>
  <c r="M979" i="23"/>
  <c r="N979" i="23"/>
  <c r="O979" i="23"/>
  <c r="P979" i="23"/>
  <c r="M980" i="23"/>
  <c r="N980" i="23"/>
  <c r="O980" i="23"/>
  <c r="P980" i="23"/>
  <c r="N981" i="23"/>
  <c r="O981" i="23"/>
  <c r="P981" i="23"/>
  <c r="M982" i="23"/>
  <c r="N982" i="23"/>
  <c r="O982" i="23"/>
  <c r="P982" i="23"/>
  <c r="M983" i="23"/>
  <c r="N983" i="23"/>
  <c r="O983" i="23"/>
  <c r="P983" i="23"/>
  <c r="N984" i="23"/>
  <c r="O984" i="23"/>
  <c r="P984" i="23"/>
  <c r="N985" i="23"/>
  <c r="O985" i="23"/>
  <c r="P985" i="23"/>
  <c r="M986" i="23"/>
  <c r="N986" i="23"/>
  <c r="O986" i="23"/>
  <c r="P986" i="23"/>
  <c r="N987" i="23"/>
  <c r="O987" i="23"/>
  <c r="P987" i="23"/>
  <c r="N988" i="23"/>
  <c r="O988" i="23"/>
  <c r="P988" i="23"/>
  <c r="N989" i="23"/>
  <c r="O989" i="23"/>
  <c r="P989" i="23"/>
  <c r="M990" i="23"/>
  <c r="N990" i="23"/>
  <c r="O990" i="23"/>
  <c r="P990" i="23"/>
  <c r="M991" i="23"/>
  <c r="N991" i="23"/>
  <c r="O991" i="23"/>
  <c r="P991" i="23"/>
  <c r="N992" i="23"/>
  <c r="O992" i="23"/>
  <c r="P992" i="23"/>
  <c r="N993" i="23"/>
  <c r="O993" i="23"/>
  <c r="P993" i="23"/>
  <c r="N994" i="23"/>
  <c r="O994" i="23"/>
  <c r="P994" i="23"/>
  <c r="N995" i="23"/>
  <c r="O995" i="23"/>
  <c r="P995" i="23"/>
  <c r="N996" i="23"/>
  <c r="O996" i="23"/>
  <c r="P996" i="23"/>
  <c r="N997" i="23"/>
  <c r="O997" i="23"/>
  <c r="P997" i="23"/>
  <c r="M998" i="23"/>
  <c r="N998" i="23"/>
  <c r="O998" i="23"/>
  <c r="P998" i="23"/>
  <c r="N999" i="23"/>
  <c r="O999" i="23"/>
  <c r="P999" i="23"/>
  <c r="M1000" i="23"/>
  <c r="N1000" i="23"/>
  <c r="O1000" i="23"/>
  <c r="P1000" i="23"/>
  <c r="N1001" i="23"/>
  <c r="O1001" i="23"/>
  <c r="P1001" i="23"/>
  <c r="N1002" i="23"/>
  <c r="O1002" i="23"/>
  <c r="P1002" i="23"/>
  <c r="N1003" i="23"/>
  <c r="O1003" i="23"/>
  <c r="P1003" i="23"/>
  <c r="M1004" i="23"/>
  <c r="N1004" i="23"/>
  <c r="O1004" i="23"/>
  <c r="P1004" i="23"/>
  <c r="M1005" i="23"/>
  <c r="N1005" i="23"/>
  <c r="O1005" i="23"/>
  <c r="P1005" i="23"/>
  <c r="N1006" i="23"/>
  <c r="O1006" i="23"/>
  <c r="P1006" i="23"/>
  <c r="N1007" i="23"/>
  <c r="O1007" i="23"/>
  <c r="P1007" i="23"/>
  <c r="M1008" i="23"/>
  <c r="N1008" i="23"/>
  <c r="O1008" i="23"/>
  <c r="P1008" i="23"/>
  <c r="N1009" i="23"/>
  <c r="O1009" i="23"/>
  <c r="P1009" i="23"/>
  <c r="M1010" i="23"/>
  <c r="N1010" i="23"/>
  <c r="O1010" i="23"/>
  <c r="P1010" i="23"/>
  <c r="N1011" i="23"/>
  <c r="O1011" i="23"/>
  <c r="P1011" i="23"/>
  <c r="N1012" i="23"/>
  <c r="O1012" i="23"/>
  <c r="P1012" i="23"/>
  <c r="M1013" i="23"/>
  <c r="N1013" i="23"/>
  <c r="O1013" i="23"/>
  <c r="P1013" i="23"/>
  <c r="I927" i="22"/>
  <c r="J927" i="22"/>
  <c r="I928" i="22"/>
  <c r="J928" i="22"/>
  <c r="I929" i="22"/>
  <c r="J929" i="22"/>
  <c r="I930" i="22"/>
  <c r="J930" i="22"/>
  <c r="I931" i="22"/>
  <c r="J931" i="22"/>
  <c r="I932" i="22"/>
  <c r="J932" i="22"/>
  <c r="I933" i="22"/>
  <c r="J933" i="22"/>
  <c r="I934" i="22"/>
  <c r="J934" i="22"/>
  <c r="I935" i="22"/>
  <c r="J935" i="22"/>
  <c r="I906" i="22"/>
  <c r="J906" i="22"/>
  <c r="I907" i="22"/>
  <c r="J907" i="22"/>
  <c r="I908" i="22"/>
  <c r="J908" i="22"/>
  <c r="I909" i="22"/>
  <c r="J909" i="22"/>
  <c r="I910" i="22"/>
  <c r="J910" i="22"/>
  <c r="I911" i="22"/>
  <c r="J911" i="22"/>
  <c r="I912" i="22"/>
  <c r="J912" i="22"/>
  <c r="I913" i="22"/>
  <c r="J913" i="22"/>
  <c r="I914" i="22"/>
  <c r="J914" i="22"/>
  <c r="I915" i="22"/>
  <c r="J915" i="22"/>
  <c r="I916" i="22"/>
  <c r="J916" i="22"/>
  <c r="I917" i="22"/>
  <c r="J917" i="22"/>
  <c r="I918" i="22"/>
  <c r="J918" i="22"/>
  <c r="I919" i="22"/>
  <c r="J919" i="22"/>
  <c r="I920" i="22"/>
  <c r="J920" i="22"/>
  <c r="I921" i="22"/>
  <c r="J921" i="22"/>
  <c r="I922" i="22"/>
  <c r="J922" i="22"/>
  <c r="I923" i="22"/>
  <c r="J923" i="22"/>
  <c r="I924" i="22"/>
  <c r="J924" i="22"/>
  <c r="I925" i="22"/>
  <c r="J925" i="22"/>
  <c r="I926" i="22"/>
  <c r="J926" i="22"/>
  <c r="M936" i="23"/>
  <c r="N936" i="23"/>
  <c r="O936" i="23"/>
  <c r="P936" i="23"/>
  <c r="N937" i="23"/>
  <c r="O937" i="23"/>
  <c r="P937" i="23"/>
  <c r="N938" i="23"/>
  <c r="O938" i="23"/>
  <c r="P938" i="23"/>
  <c r="N939" i="23"/>
  <c r="O939" i="23"/>
  <c r="P939" i="23"/>
  <c r="N940" i="23"/>
  <c r="O940" i="23"/>
  <c r="P940" i="23"/>
  <c r="N941" i="23"/>
  <c r="O941" i="23"/>
  <c r="P941" i="23"/>
  <c r="N942" i="23"/>
  <c r="O942" i="23"/>
  <c r="P942" i="23"/>
  <c r="N943" i="23"/>
  <c r="O943" i="23"/>
  <c r="P943" i="23"/>
  <c r="N944" i="23"/>
  <c r="O944" i="23"/>
  <c r="P944" i="23"/>
  <c r="N945" i="23"/>
  <c r="O945" i="23"/>
  <c r="P945" i="23"/>
  <c r="N946" i="23"/>
  <c r="O946" i="23"/>
  <c r="P946" i="23"/>
  <c r="N947" i="23"/>
  <c r="O947" i="23"/>
  <c r="P947" i="23"/>
  <c r="N948" i="23"/>
  <c r="O948" i="23"/>
  <c r="P948" i="23"/>
  <c r="I894" i="22"/>
  <c r="J894" i="22"/>
  <c r="I895" i="22"/>
  <c r="J895" i="22"/>
  <c r="I896" i="22"/>
  <c r="J896" i="22"/>
  <c r="I897" i="22"/>
  <c r="J897" i="22"/>
  <c r="I898" i="22"/>
  <c r="J898" i="22"/>
  <c r="I899" i="22"/>
  <c r="J899" i="22"/>
  <c r="I900" i="22"/>
  <c r="J900" i="22"/>
  <c r="I901" i="22"/>
  <c r="J901" i="22"/>
  <c r="I902" i="22"/>
  <c r="J902" i="22"/>
  <c r="I903" i="22"/>
  <c r="J903" i="22"/>
  <c r="I904" i="22"/>
  <c r="J904" i="22"/>
  <c r="I905" i="22"/>
  <c r="J905" i="22"/>
  <c r="P935" i="23"/>
  <c r="O935" i="23"/>
  <c r="N935" i="23"/>
  <c r="P934" i="23"/>
  <c r="O934" i="23"/>
  <c r="N934" i="23"/>
  <c r="P933" i="23"/>
  <c r="O933" i="23"/>
  <c r="N933" i="23"/>
  <c r="P932" i="23"/>
  <c r="O932" i="23"/>
  <c r="N932" i="23"/>
  <c r="P931" i="23"/>
  <c r="O931" i="23"/>
  <c r="N931" i="23"/>
  <c r="P930" i="23"/>
  <c r="O930" i="23"/>
  <c r="N930" i="23"/>
  <c r="P929" i="23"/>
  <c r="O929" i="23"/>
  <c r="N929" i="23"/>
  <c r="P928" i="23"/>
  <c r="O928" i="23"/>
  <c r="N928" i="23"/>
  <c r="P927" i="23"/>
  <c r="O927" i="23"/>
  <c r="N927" i="23"/>
  <c r="P926" i="23"/>
  <c r="O926" i="23"/>
  <c r="N926" i="23"/>
  <c r="P925" i="23"/>
  <c r="O925" i="23"/>
  <c r="N925" i="23"/>
  <c r="P924" i="23"/>
  <c r="O924" i="23"/>
  <c r="N924" i="23"/>
  <c r="P923" i="23"/>
  <c r="O923" i="23"/>
  <c r="N923" i="23"/>
  <c r="P922" i="23"/>
  <c r="O922" i="23"/>
  <c r="N922" i="23"/>
  <c r="M922" i="23"/>
  <c r="P921" i="23"/>
  <c r="O921" i="23"/>
  <c r="N921" i="23"/>
  <c r="P920" i="23"/>
  <c r="O920" i="23"/>
  <c r="N920" i="23"/>
  <c r="M920" i="23"/>
  <c r="P919" i="23"/>
  <c r="O919" i="23"/>
  <c r="N919" i="23"/>
  <c r="P918" i="23"/>
  <c r="O918" i="23"/>
  <c r="N918" i="23"/>
  <c r="P917" i="23"/>
  <c r="O917" i="23"/>
  <c r="N917" i="23"/>
  <c r="P916" i="23"/>
  <c r="O916" i="23"/>
  <c r="N916" i="23"/>
  <c r="P915" i="23"/>
  <c r="O915" i="23"/>
  <c r="N915" i="23"/>
  <c r="P914" i="23"/>
  <c r="O914" i="23"/>
  <c r="N914" i="23"/>
  <c r="P913" i="23"/>
  <c r="O913" i="23"/>
  <c r="N913" i="23"/>
  <c r="I881" i="22"/>
  <c r="J881" i="22"/>
  <c r="I882" i="22"/>
  <c r="J882" i="22"/>
  <c r="I883" i="22"/>
  <c r="J883" i="22"/>
  <c r="I884" i="22"/>
  <c r="J884" i="22"/>
  <c r="I885" i="22"/>
  <c r="J885" i="22"/>
  <c r="I886" i="22"/>
  <c r="J886" i="22"/>
  <c r="I887" i="22"/>
  <c r="J887" i="22"/>
  <c r="I888" i="22"/>
  <c r="J888" i="22"/>
  <c r="I889" i="22"/>
  <c r="J889" i="22"/>
  <c r="I890" i="22"/>
  <c r="J890" i="22"/>
  <c r="I891" i="22"/>
  <c r="J891" i="22"/>
  <c r="I892" i="22"/>
  <c r="J892" i="22"/>
  <c r="I893" i="22"/>
  <c r="J893" i="22"/>
  <c r="I857" i="22"/>
  <c r="J857" i="22"/>
  <c r="I858" i="22"/>
  <c r="J858" i="22"/>
  <c r="I859" i="22"/>
  <c r="J859" i="22"/>
  <c r="I860" i="22"/>
  <c r="J860" i="22"/>
  <c r="I861" i="22"/>
  <c r="J861" i="22"/>
  <c r="I862" i="22"/>
  <c r="J862" i="22"/>
  <c r="I863" i="22"/>
  <c r="J863" i="22"/>
  <c r="I864" i="22"/>
  <c r="J864" i="22"/>
  <c r="I865" i="22"/>
  <c r="J865" i="22"/>
  <c r="I866" i="22"/>
  <c r="J866" i="22"/>
  <c r="I867" i="22"/>
  <c r="J867" i="22"/>
  <c r="I868" i="22"/>
  <c r="J868" i="22"/>
  <c r="I869" i="22"/>
  <c r="J869" i="22"/>
  <c r="I870" i="22"/>
  <c r="J870" i="22"/>
  <c r="I871" i="22"/>
  <c r="J871" i="22"/>
  <c r="I872" i="22"/>
  <c r="J872" i="22"/>
  <c r="I873" i="22"/>
  <c r="J873" i="22"/>
  <c r="I874" i="22"/>
  <c r="J874" i="22"/>
  <c r="I875" i="22"/>
  <c r="J875" i="22"/>
  <c r="I876" i="22"/>
  <c r="J876" i="22"/>
  <c r="I877" i="22"/>
  <c r="J877" i="22"/>
  <c r="I878" i="22"/>
  <c r="J878" i="22"/>
  <c r="I879" i="22"/>
  <c r="J879" i="22"/>
  <c r="I880" i="22"/>
  <c r="J880" i="22"/>
  <c r="M886" i="23"/>
  <c r="N886" i="23"/>
  <c r="O886" i="23"/>
  <c r="P886" i="23"/>
  <c r="N887" i="23"/>
  <c r="O887" i="23"/>
  <c r="P887" i="23"/>
  <c r="M888" i="23"/>
  <c r="N888" i="23"/>
  <c r="O888" i="23"/>
  <c r="P888" i="23"/>
  <c r="M889" i="23"/>
  <c r="N889" i="23"/>
  <c r="O889" i="23"/>
  <c r="P889" i="23"/>
  <c r="N890" i="23"/>
  <c r="O890" i="23"/>
  <c r="P890" i="23"/>
  <c r="N891" i="23"/>
  <c r="O891" i="23"/>
  <c r="P891" i="23"/>
  <c r="N892" i="23"/>
  <c r="O892" i="23"/>
  <c r="P892" i="23"/>
  <c r="N893" i="23"/>
  <c r="O893" i="23"/>
  <c r="P893" i="23"/>
  <c r="M894" i="23"/>
  <c r="N894" i="23"/>
  <c r="O894" i="23"/>
  <c r="P894" i="23"/>
  <c r="N895" i="23"/>
  <c r="O895" i="23"/>
  <c r="P895" i="23"/>
  <c r="N896" i="23"/>
  <c r="O896" i="23"/>
  <c r="P896" i="23"/>
  <c r="M897" i="23"/>
  <c r="N897" i="23"/>
  <c r="O897" i="23"/>
  <c r="P897" i="23"/>
  <c r="N898" i="23"/>
  <c r="O898" i="23"/>
  <c r="P898" i="23"/>
  <c r="N899" i="23"/>
  <c r="O899" i="23"/>
  <c r="P899" i="23"/>
  <c r="N900" i="23"/>
  <c r="O900" i="23"/>
  <c r="P900" i="23"/>
  <c r="N901" i="23"/>
  <c r="O901" i="23"/>
  <c r="P901" i="23"/>
  <c r="N902" i="23"/>
  <c r="O902" i="23"/>
  <c r="P902" i="23"/>
  <c r="N903" i="23"/>
  <c r="O903" i="23"/>
  <c r="P903" i="23"/>
  <c r="N904" i="23"/>
  <c r="O904" i="23"/>
  <c r="P904" i="23"/>
  <c r="N905" i="23"/>
  <c r="O905" i="23"/>
  <c r="P905" i="23"/>
  <c r="M906" i="23"/>
  <c r="N906" i="23"/>
  <c r="O906" i="23"/>
  <c r="P906" i="23"/>
  <c r="N907" i="23"/>
  <c r="O907" i="23"/>
  <c r="P907" i="23"/>
  <c r="N908" i="23"/>
  <c r="O908" i="23"/>
  <c r="P908" i="23"/>
  <c r="N909" i="23"/>
  <c r="O909" i="23"/>
  <c r="P909" i="23"/>
  <c r="N910" i="23"/>
  <c r="O910" i="23"/>
  <c r="P910" i="23"/>
  <c r="N911" i="23"/>
  <c r="O911" i="23"/>
  <c r="P911" i="23"/>
  <c r="N912" i="23"/>
  <c r="O912" i="23"/>
  <c r="P912" i="23"/>
  <c r="I844" i="22"/>
  <c r="J844" i="22"/>
  <c r="I845" i="22"/>
  <c r="J845" i="22"/>
  <c r="I846" i="22"/>
  <c r="J846" i="22"/>
  <c r="I847" i="22"/>
  <c r="J847" i="22"/>
  <c r="I848" i="22"/>
  <c r="J848" i="22"/>
  <c r="I849" i="22"/>
  <c r="J849" i="22"/>
  <c r="I850" i="22"/>
  <c r="J850" i="22"/>
  <c r="I851" i="22"/>
  <c r="J851" i="22"/>
  <c r="I852" i="22"/>
  <c r="J852" i="22"/>
  <c r="I853" i="22"/>
  <c r="J853" i="22"/>
  <c r="I854" i="22"/>
  <c r="J854" i="22"/>
  <c r="I855" i="22"/>
  <c r="J855" i="22"/>
  <c r="I856" i="22"/>
  <c r="J856" i="22"/>
  <c r="I818" i="22"/>
  <c r="J818" i="22"/>
  <c r="I819" i="22"/>
  <c r="J819" i="22"/>
  <c r="I820" i="22"/>
  <c r="J820" i="22"/>
  <c r="I821" i="22"/>
  <c r="J821" i="22"/>
  <c r="I822" i="22"/>
  <c r="J822" i="22"/>
  <c r="I823" i="22"/>
  <c r="J823" i="22"/>
  <c r="I824" i="22"/>
  <c r="J824" i="22"/>
  <c r="I825" i="22"/>
  <c r="J825" i="22"/>
  <c r="I826" i="22"/>
  <c r="J826" i="22"/>
  <c r="I827" i="22"/>
  <c r="J827" i="22"/>
  <c r="I828" i="22"/>
  <c r="J828" i="22"/>
  <c r="I829" i="22"/>
  <c r="J829" i="22"/>
  <c r="I830" i="22"/>
  <c r="J830" i="22"/>
  <c r="I831" i="22"/>
  <c r="J831" i="22"/>
  <c r="I832" i="22"/>
  <c r="J832" i="22"/>
  <c r="I833" i="22"/>
  <c r="J833" i="22"/>
  <c r="I834" i="22"/>
  <c r="J834" i="22"/>
  <c r="I835" i="22"/>
  <c r="J835" i="22"/>
  <c r="I836" i="22"/>
  <c r="J836" i="22"/>
  <c r="I837" i="22"/>
  <c r="J837" i="22"/>
  <c r="I838" i="22"/>
  <c r="J838" i="22"/>
  <c r="I839" i="22"/>
  <c r="J839" i="22"/>
  <c r="I840" i="22"/>
  <c r="J840" i="22"/>
  <c r="I841" i="22"/>
  <c r="J841" i="22"/>
  <c r="I842" i="22"/>
  <c r="J842" i="22"/>
  <c r="I843" i="22"/>
  <c r="J843" i="22"/>
  <c r="N850" i="23"/>
  <c r="O850" i="23"/>
  <c r="P850" i="23"/>
  <c r="M851" i="23"/>
  <c r="N851" i="23"/>
  <c r="O851" i="23"/>
  <c r="P851" i="23"/>
  <c r="N852" i="23"/>
  <c r="O852" i="23"/>
  <c r="P852" i="23"/>
  <c r="N853" i="23"/>
  <c r="O853" i="23"/>
  <c r="P853" i="23"/>
  <c r="N854" i="23"/>
  <c r="O854" i="23"/>
  <c r="P854" i="23"/>
  <c r="N855" i="23"/>
  <c r="O855" i="23"/>
  <c r="P855" i="23"/>
  <c r="N856" i="23"/>
  <c r="O856" i="23"/>
  <c r="P856" i="23"/>
  <c r="N857" i="23"/>
  <c r="O857" i="23"/>
  <c r="P857" i="23"/>
  <c r="N858" i="23"/>
  <c r="O858" i="23"/>
  <c r="P858" i="23"/>
  <c r="N859" i="23"/>
  <c r="O859" i="23"/>
  <c r="P859" i="23"/>
  <c r="N860" i="23"/>
  <c r="O860" i="23"/>
  <c r="P860" i="23"/>
  <c r="N861" i="23"/>
  <c r="O861" i="23"/>
  <c r="P861" i="23"/>
  <c r="N862" i="23"/>
  <c r="O862" i="23"/>
  <c r="P862" i="23"/>
  <c r="M863" i="23"/>
  <c r="N863" i="23"/>
  <c r="O863" i="23"/>
  <c r="P863" i="23"/>
  <c r="N864" i="23"/>
  <c r="O864" i="23"/>
  <c r="P864" i="23"/>
  <c r="N865" i="23"/>
  <c r="O865" i="23"/>
  <c r="P865" i="23"/>
  <c r="N866" i="23"/>
  <c r="O866" i="23"/>
  <c r="P866" i="23"/>
  <c r="N867" i="23"/>
  <c r="O867" i="23"/>
  <c r="P867" i="23"/>
  <c r="N868" i="23"/>
  <c r="O868" i="23"/>
  <c r="P868" i="23"/>
  <c r="N869" i="23"/>
  <c r="O869" i="23"/>
  <c r="P869" i="23"/>
  <c r="N870" i="23"/>
  <c r="O870" i="23"/>
  <c r="P870" i="23"/>
  <c r="N871" i="23"/>
  <c r="O871" i="23"/>
  <c r="P871" i="23"/>
  <c r="M872" i="23"/>
  <c r="N872" i="23"/>
  <c r="O872" i="23"/>
  <c r="P872" i="23"/>
  <c r="N873" i="23"/>
  <c r="O873" i="23"/>
  <c r="P873" i="23"/>
  <c r="N874" i="23"/>
  <c r="O874" i="23"/>
  <c r="P874" i="23"/>
  <c r="M875" i="23"/>
  <c r="N875" i="23"/>
  <c r="O875" i="23"/>
  <c r="P875" i="23"/>
  <c r="N876" i="23"/>
  <c r="O876" i="23"/>
  <c r="P876" i="23"/>
  <c r="M877" i="23"/>
  <c r="N877" i="23"/>
  <c r="O877" i="23"/>
  <c r="P877" i="23"/>
  <c r="N878" i="23"/>
  <c r="O878" i="23"/>
  <c r="P878" i="23"/>
  <c r="N879" i="23"/>
  <c r="O879" i="23"/>
  <c r="P879" i="23"/>
  <c r="N880" i="23"/>
  <c r="O880" i="23"/>
  <c r="P880" i="23"/>
  <c r="M881" i="23"/>
  <c r="N881" i="23"/>
  <c r="O881" i="23"/>
  <c r="P881" i="23"/>
  <c r="N882" i="23"/>
  <c r="O882" i="23"/>
  <c r="P882" i="23"/>
  <c r="N883" i="23"/>
  <c r="O883" i="23"/>
  <c r="P883" i="23"/>
  <c r="N884" i="23"/>
  <c r="O884" i="23"/>
  <c r="P884" i="23"/>
  <c r="N885" i="23"/>
  <c r="O885" i="23"/>
  <c r="P885" i="23"/>
  <c r="I774" i="22"/>
  <c r="J774" i="22"/>
  <c r="I775" i="22"/>
  <c r="J775" i="22"/>
  <c r="I776" i="22"/>
  <c r="J776" i="22"/>
  <c r="I777" i="22"/>
  <c r="J777" i="22"/>
  <c r="I778" i="22"/>
  <c r="J778" i="22"/>
  <c r="I779" i="22"/>
  <c r="J779" i="22"/>
  <c r="I780" i="22"/>
  <c r="J780" i="22"/>
  <c r="I781" i="22"/>
  <c r="J781" i="22"/>
  <c r="I782" i="22"/>
  <c r="J782" i="22"/>
  <c r="I783" i="22"/>
  <c r="J783" i="22"/>
  <c r="I784" i="22"/>
  <c r="J784" i="22"/>
  <c r="I785" i="22"/>
  <c r="J785" i="22"/>
  <c r="I786" i="22"/>
  <c r="J786" i="22"/>
  <c r="I787" i="22"/>
  <c r="J787" i="22"/>
  <c r="I788" i="22"/>
  <c r="J788" i="22"/>
  <c r="I789" i="22"/>
  <c r="J789" i="22"/>
  <c r="I790" i="22"/>
  <c r="J790" i="22"/>
  <c r="I791" i="22"/>
  <c r="J791" i="22"/>
  <c r="I792" i="22"/>
  <c r="J792" i="22"/>
  <c r="I793" i="22"/>
  <c r="J793" i="22"/>
  <c r="I794" i="22"/>
  <c r="J794" i="22"/>
  <c r="I795" i="22"/>
  <c r="J795" i="22"/>
  <c r="I796" i="22"/>
  <c r="J796" i="22"/>
  <c r="I797" i="22"/>
  <c r="J797" i="22"/>
  <c r="I798" i="22"/>
  <c r="J798" i="22"/>
  <c r="I799" i="22"/>
  <c r="J799" i="22"/>
  <c r="I800" i="22"/>
  <c r="J800" i="22"/>
  <c r="I801" i="22"/>
  <c r="J801" i="22"/>
  <c r="I802" i="22"/>
  <c r="J802" i="22"/>
  <c r="I803" i="22"/>
  <c r="J803" i="22"/>
  <c r="I804" i="22"/>
  <c r="J804" i="22"/>
  <c r="I805" i="22"/>
  <c r="J805" i="22"/>
  <c r="I806" i="22"/>
  <c r="J806" i="22"/>
  <c r="I807" i="22"/>
  <c r="J807" i="22"/>
  <c r="I808" i="22"/>
  <c r="J808" i="22"/>
  <c r="I809" i="22"/>
  <c r="J809" i="22"/>
  <c r="I810" i="22"/>
  <c r="J810" i="22"/>
  <c r="I811" i="22"/>
  <c r="J811" i="22"/>
  <c r="I812" i="22"/>
  <c r="J812" i="22"/>
  <c r="I813" i="22"/>
  <c r="J813" i="22"/>
  <c r="I814" i="22"/>
  <c r="J814" i="22"/>
  <c r="I815" i="22"/>
  <c r="J815" i="22"/>
  <c r="I816" i="22"/>
  <c r="J816" i="22"/>
  <c r="I817" i="22"/>
  <c r="J817" i="22"/>
  <c r="N808" i="23"/>
  <c r="O808" i="23"/>
  <c r="P808" i="23"/>
  <c r="N809" i="23"/>
  <c r="O809" i="23"/>
  <c r="P809" i="23"/>
  <c r="N810" i="23"/>
  <c r="O810" i="23"/>
  <c r="P810" i="23"/>
  <c r="N811" i="23"/>
  <c r="O811" i="23"/>
  <c r="P811" i="23"/>
  <c r="N812" i="23"/>
  <c r="O812" i="23"/>
  <c r="P812" i="23"/>
  <c r="N813" i="23"/>
  <c r="O813" i="23"/>
  <c r="P813" i="23"/>
  <c r="N814" i="23"/>
  <c r="O814" i="23"/>
  <c r="P814" i="23"/>
  <c r="M815" i="23"/>
  <c r="N815" i="23"/>
  <c r="O815" i="23"/>
  <c r="P815" i="23"/>
  <c r="N816" i="23"/>
  <c r="O816" i="23"/>
  <c r="P816" i="23"/>
  <c r="M817" i="23"/>
  <c r="N817" i="23"/>
  <c r="O817" i="23"/>
  <c r="P817" i="23"/>
  <c r="N818" i="23"/>
  <c r="O818" i="23"/>
  <c r="P818" i="23"/>
  <c r="N819" i="23"/>
  <c r="O819" i="23"/>
  <c r="P819" i="23"/>
  <c r="N820" i="23"/>
  <c r="O820" i="23"/>
  <c r="P820" i="23"/>
  <c r="N821" i="23"/>
  <c r="O821" i="23"/>
  <c r="P821" i="23"/>
  <c r="N822" i="23"/>
  <c r="O822" i="23"/>
  <c r="P822" i="23"/>
  <c r="N823" i="23"/>
  <c r="O823" i="23"/>
  <c r="P823" i="23"/>
  <c r="M824" i="23"/>
  <c r="N824" i="23"/>
  <c r="O824" i="23"/>
  <c r="P824" i="23"/>
  <c r="N825" i="23"/>
  <c r="O825" i="23"/>
  <c r="P825" i="23"/>
  <c r="M826" i="23"/>
  <c r="N826" i="23"/>
  <c r="O826" i="23"/>
  <c r="P826" i="23"/>
  <c r="N827" i="23"/>
  <c r="O827" i="23"/>
  <c r="P827" i="23"/>
  <c r="N828" i="23"/>
  <c r="O828" i="23"/>
  <c r="P828" i="23"/>
  <c r="N829" i="23"/>
  <c r="O829" i="23"/>
  <c r="P829" i="23"/>
  <c r="N830" i="23"/>
  <c r="O830" i="23"/>
  <c r="P830" i="23"/>
  <c r="N831" i="23"/>
  <c r="O831" i="23"/>
  <c r="P831" i="23"/>
  <c r="N832" i="23"/>
  <c r="O832" i="23"/>
  <c r="P832" i="23"/>
  <c r="M833" i="23"/>
  <c r="N833" i="23"/>
  <c r="O833" i="23"/>
  <c r="P833" i="23"/>
  <c r="N834" i="23"/>
  <c r="O834" i="23"/>
  <c r="P834" i="23"/>
  <c r="N835" i="23"/>
  <c r="O835" i="23"/>
  <c r="P835" i="23"/>
  <c r="N836" i="23"/>
  <c r="O836" i="23"/>
  <c r="P836" i="23"/>
  <c r="N837" i="23"/>
  <c r="O837" i="23"/>
  <c r="P837" i="23"/>
  <c r="N838" i="23"/>
  <c r="O838" i="23"/>
  <c r="P838" i="23"/>
  <c r="M839" i="23"/>
  <c r="N839" i="23"/>
  <c r="O839" i="23"/>
  <c r="P839" i="23"/>
  <c r="M840" i="23"/>
  <c r="N840" i="23"/>
  <c r="O840" i="23"/>
  <c r="P840" i="23"/>
  <c r="N841" i="23"/>
  <c r="O841" i="23"/>
  <c r="P841" i="23"/>
  <c r="N842" i="23"/>
  <c r="O842" i="23"/>
  <c r="P842" i="23"/>
  <c r="N843" i="23"/>
  <c r="O843" i="23"/>
  <c r="P843" i="23"/>
  <c r="N844" i="23"/>
  <c r="O844" i="23"/>
  <c r="P844" i="23"/>
  <c r="N845" i="23"/>
  <c r="O845" i="23"/>
  <c r="P845" i="23"/>
  <c r="M846" i="23"/>
  <c r="N846" i="23"/>
  <c r="O846" i="23"/>
  <c r="P846" i="23"/>
  <c r="N847" i="23"/>
  <c r="O847" i="23"/>
  <c r="P847" i="23"/>
  <c r="M848" i="23"/>
  <c r="N848" i="23"/>
  <c r="O848" i="23"/>
  <c r="P848" i="23"/>
  <c r="N849" i="23"/>
  <c r="O849" i="23"/>
  <c r="P849" i="23"/>
  <c r="I760" i="22"/>
  <c r="J760" i="22"/>
  <c r="I761" i="22"/>
  <c r="J761" i="22"/>
  <c r="I762" i="22"/>
  <c r="J762" i="22"/>
  <c r="I763" i="22"/>
  <c r="J763" i="22"/>
  <c r="I764" i="22"/>
  <c r="J764" i="22"/>
  <c r="I765" i="22"/>
  <c r="J765" i="22"/>
  <c r="I766" i="22"/>
  <c r="J766" i="22"/>
  <c r="I767" i="22"/>
  <c r="J767" i="22"/>
  <c r="I768" i="22"/>
  <c r="J768" i="22"/>
  <c r="I769" i="22"/>
  <c r="J769" i="22"/>
  <c r="I770" i="22"/>
  <c r="J770" i="22"/>
  <c r="I771" i="22"/>
  <c r="J771" i="22"/>
  <c r="I772" i="22"/>
  <c r="J772" i="22"/>
  <c r="I773" i="22"/>
  <c r="J773" i="22"/>
  <c r="N807" i="23"/>
  <c r="O807" i="23"/>
  <c r="P807" i="23"/>
  <c r="I745" i="22"/>
  <c r="J745" i="22"/>
  <c r="I746" i="22"/>
  <c r="J746" i="22"/>
  <c r="I747" i="22"/>
  <c r="J747" i="22"/>
  <c r="I748" i="22"/>
  <c r="J748" i="22"/>
  <c r="I749" i="22"/>
  <c r="J749" i="22"/>
  <c r="I750" i="22"/>
  <c r="J750" i="22"/>
  <c r="I751" i="22"/>
  <c r="J751" i="22"/>
  <c r="I752" i="22"/>
  <c r="J752" i="22"/>
  <c r="I753" i="22"/>
  <c r="J753" i="22"/>
  <c r="I754" i="22"/>
  <c r="J754" i="22"/>
  <c r="I755" i="22"/>
  <c r="J755" i="22"/>
  <c r="I756" i="22"/>
  <c r="J756" i="22"/>
  <c r="I757" i="22"/>
  <c r="J757" i="22"/>
  <c r="I758" i="22"/>
  <c r="J758" i="22"/>
  <c r="I759" i="22"/>
  <c r="J759" i="22"/>
  <c r="P806" i="23"/>
  <c r="O806" i="23"/>
  <c r="N806" i="23"/>
  <c r="M806" i="23"/>
  <c r="N803" i="23"/>
  <c r="O803" i="23"/>
  <c r="P803" i="23"/>
  <c r="M804" i="23"/>
  <c r="N804" i="23"/>
  <c r="O804" i="23"/>
  <c r="P804" i="23"/>
  <c r="N805" i="23"/>
  <c r="O805" i="23"/>
  <c r="P805" i="23"/>
  <c r="I726" i="22"/>
  <c r="J726" i="22"/>
  <c r="I727" i="22"/>
  <c r="J727" i="22"/>
  <c r="I728" i="22"/>
  <c r="J728" i="22"/>
  <c r="I729" i="22"/>
  <c r="J729" i="22"/>
  <c r="I730" i="22"/>
  <c r="J730" i="22"/>
  <c r="I731" i="22"/>
  <c r="J731" i="22"/>
  <c r="I732" i="22"/>
  <c r="J732" i="22"/>
  <c r="I733" i="22"/>
  <c r="J733" i="22"/>
  <c r="I734" i="22"/>
  <c r="J734" i="22"/>
  <c r="I735" i="22"/>
  <c r="J735" i="22"/>
  <c r="I736" i="22"/>
  <c r="J736" i="22"/>
  <c r="I737" i="22"/>
  <c r="J737" i="22"/>
  <c r="I738" i="22"/>
  <c r="J738" i="22"/>
  <c r="I739" i="22"/>
  <c r="J739" i="22"/>
  <c r="I740" i="22"/>
  <c r="J740" i="22"/>
  <c r="I741" i="22"/>
  <c r="J741" i="22"/>
  <c r="I742" i="22"/>
  <c r="J742" i="22"/>
  <c r="I743" i="22"/>
  <c r="J743" i="22"/>
  <c r="I744" i="22"/>
  <c r="J744" i="22"/>
  <c r="I659" i="22"/>
  <c r="J659" i="22"/>
  <c r="I660" i="22"/>
  <c r="J660" i="22"/>
  <c r="I661" i="22"/>
  <c r="J661" i="22"/>
  <c r="I662" i="22"/>
  <c r="J662" i="22"/>
  <c r="I663" i="22"/>
  <c r="J663" i="22"/>
  <c r="I664" i="22"/>
  <c r="J664" i="22"/>
  <c r="I665" i="22"/>
  <c r="J665" i="22"/>
  <c r="I666" i="22"/>
  <c r="J666" i="22"/>
  <c r="I667" i="22"/>
  <c r="J667" i="22"/>
  <c r="I668" i="22"/>
  <c r="J668" i="22"/>
  <c r="I669" i="22"/>
  <c r="J669" i="22"/>
  <c r="I670" i="22"/>
  <c r="J670" i="22"/>
  <c r="I671" i="22"/>
  <c r="J671" i="22"/>
  <c r="I672" i="22"/>
  <c r="J672" i="22"/>
  <c r="I673" i="22"/>
  <c r="J673" i="22"/>
  <c r="I674" i="22"/>
  <c r="J674" i="22"/>
  <c r="I675" i="22"/>
  <c r="J675" i="22"/>
  <c r="I676" i="22"/>
  <c r="J676" i="22"/>
  <c r="I677" i="22"/>
  <c r="J677" i="22"/>
  <c r="I678" i="22"/>
  <c r="J678" i="22"/>
  <c r="I679" i="22"/>
  <c r="J679" i="22"/>
  <c r="I680" i="22"/>
  <c r="J680" i="22"/>
  <c r="I681" i="22"/>
  <c r="J681" i="22"/>
  <c r="I682" i="22"/>
  <c r="J682" i="22"/>
  <c r="I683" i="22"/>
  <c r="J683" i="22"/>
  <c r="I684" i="22"/>
  <c r="J684" i="22"/>
  <c r="I685" i="22"/>
  <c r="J685" i="22"/>
  <c r="I686" i="22"/>
  <c r="J686" i="22"/>
  <c r="I687" i="22"/>
  <c r="J687" i="22"/>
  <c r="I688" i="22"/>
  <c r="J688" i="22"/>
  <c r="I689" i="22"/>
  <c r="J689" i="22"/>
  <c r="I690" i="22"/>
  <c r="J690" i="22"/>
  <c r="I691" i="22"/>
  <c r="J691" i="22"/>
  <c r="I692" i="22"/>
  <c r="J692" i="22"/>
  <c r="I693" i="22"/>
  <c r="J693" i="22"/>
  <c r="I694" i="22"/>
  <c r="J694" i="22"/>
  <c r="I695" i="22"/>
  <c r="J695" i="22"/>
  <c r="I696" i="22"/>
  <c r="J696" i="22"/>
  <c r="I697" i="22"/>
  <c r="J697" i="22"/>
  <c r="I698" i="22"/>
  <c r="J698" i="22"/>
  <c r="I699" i="22"/>
  <c r="J699" i="22"/>
  <c r="I700" i="22"/>
  <c r="J700" i="22"/>
  <c r="I701" i="22"/>
  <c r="J701" i="22"/>
  <c r="I702" i="22"/>
  <c r="J702" i="22"/>
  <c r="I703" i="22"/>
  <c r="J703" i="22"/>
  <c r="I704" i="22"/>
  <c r="J704" i="22"/>
  <c r="I705" i="22"/>
  <c r="J705" i="22"/>
  <c r="I706" i="22"/>
  <c r="J706" i="22"/>
  <c r="I707" i="22"/>
  <c r="J707" i="22"/>
  <c r="I708" i="22"/>
  <c r="J708" i="22"/>
  <c r="I709" i="22"/>
  <c r="J709" i="22"/>
  <c r="I710" i="22"/>
  <c r="J710" i="22"/>
  <c r="I711" i="22"/>
  <c r="J711" i="22"/>
  <c r="I712" i="22"/>
  <c r="J712" i="22"/>
  <c r="I713" i="22"/>
  <c r="J713" i="22"/>
  <c r="I714" i="22"/>
  <c r="J714" i="22"/>
  <c r="I715" i="22"/>
  <c r="J715" i="22"/>
  <c r="I716" i="22"/>
  <c r="J716" i="22"/>
  <c r="I717" i="22"/>
  <c r="J717" i="22"/>
  <c r="I718" i="22"/>
  <c r="J718" i="22"/>
  <c r="I719" i="22"/>
  <c r="J719" i="22"/>
  <c r="I720" i="22"/>
  <c r="J720" i="22"/>
  <c r="I721" i="22"/>
  <c r="J721" i="22"/>
  <c r="I722" i="22"/>
  <c r="J722" i="22"/>
  <c r="I723" i="22"/>
  <c r="J723" i="22"/>
  <c r="I724" i="22"/>
  <c r="J724" i="22"/>
  <c r="I725" i="22"/>
  <c r="J725" i="22"/>
  <c r="M722" i="23"/>
  <c r="N722" i="23"/>
  <c r="O722" i="23"/>
  <c r="P722" i="23"/>
  <c r="N723" i="23"/>
  <c r="O723" i="23"/>
  <c r="P723" i="23"/>
  <c r="M724" i="23"/>
  <c r="N724" i="23"/>
  <c r="O724" i="23"/>
  <c r="P724" i="23"/>
  <c r="N725" i="23"/>
  <c r="O725" i="23"/>
  <c r="P725" i="23"/>
  <c r="M726" i="23"/>
  <c r="N726" i="23"/>
  <c r="O726" i="23"/>
  <c r="P726" i="23"/>
  <c r="N727" i="23"/>
  <c r="O727" i="23"/>
  <c r="P727" i="23"/>
  <c r="N728" i="23"/>
  <c r="O728" i="23"/>
  <c r="P728" i="23"/>
  <c r="M729" i="23"/>
  <c r="N729" i="23"/>
  <c r="O729" i="23"/>
  <c r="P729" i="23"/>
  <c r="N730" i="23"/>
  <c r="O730" i="23"/>
  <c r="P730" i="23"/>
  <c r="M731" i="23"/>
  <c r="N731" i="23"/>
  <c r="O731" i="23"/>
  <c r="P731" i="23"/>
  <c r="N732" i="23"/>
  <c r="O732" i="23"/>
  <c r="P732" i="23"/>
  <c r="N733" i="23"/>
  <c r="O733" i="23"/>
  <c r="P733" i="23"/>
  <c r="N734" i="23"/>
  <c r="O734" i="23"/>
  <c r="P734" i="23"/>
  <c r="N735" i="23"/>
  <c r="O735" i="23"/>
  <c r="P735" i="23"/>
  <c r="N736" i="23"/>
  <c r="O736" i="23"/>
  <c r="P736" i="23"/>
  <c r="M737" i="23"/>
  <c r="N737" i="23"/>
  <c r="O737" i="23"/>
  <c r="P737" i="23"/>
  <c r="N738" i="23"/>
  <c r="O738" i="23"/>
  <c r="P738" i="23"/>
  <c r="N739" i="23"/>
  <c r="O739" i="23"/>
  <c r="P739" i="23"/>
  <c r="N740" i="23"/>
  <c r="O740" i="23"/>
  <c r="P740" i="23"/>
  <c r="N741" i="23"/>
  <c r="O741" i="23"/>
  <c r="P741" i="23"/>
  <c r="M742" i="23"/>
  <c r="N742" i="23"/>
  <c r="O742" i="23"/>
  <c r="P742" i="23"/>
  <c r="N743" i="23"/>
  <c r="O743" i="23"/>
  <c r="P743" i="23"/>
  <c r="N744" i="23"/>
  <c r="O744" i="23"/>
  <c r="P744" i="23"/>
  <c r="N745" i="23"/>
  <c r="O745" i="23"/>
  <c r="P745" i="23"/>
  <c r="N746" i="23"/>
  <c r="O746" i="23"/>
  <c r="P746" i="23"/>
  <c r="N747" i="23"/>
  <c r="O747" i="23"/>
  <c r="P747" i="23"/>
  <c r="N748" i="23"/>
  <c r="O748" i="23"/>
  <c r="P748" i="23"/>
  <c r="N749" i="23"/>
  <c r="O749" i="23"/>
  <c r="P749" i="23"/>
  <c r="M750" i="23"/>
  <c r="N750" i="23"/>
  <c r="O750" i="23"/>
  <c r="P750" i="23"/>
  <c r="M751" i="23"/>
  <c r="N751" i="23"/>
  <c r="O751" i="23"/>
  <c r="P751" i="23"/>
  <c r="N752" i="23"/>
  <c r="O752" i="23"/>
  <c r="P752" i="23"/>
  <c r="N753" i="23"/>
  <c r="O753" i="23"/>
  <c r="P753" i="23"/>
  <c r="N754" i="23"/>
  <c r="O754" i="23"/>
  <c r="P754" i="23"/>
  <c r="M755" i="23"/>
  <c r="N755" i="23"/>
  <c r="O755" i="23"/>
  <c r="P755" i="23"/>
  <c r="N756" i="23"/>
  <c r="O756" i="23"/>
  <c r="P756" i="23"/>
  <c r="N757" i="23"/>
  <c r="O757" i="23"/>
  <c r="P757" i="23"/>
  <c r="N758" i="23"/>
  <c r="O758" i="23"/>
  <c r="P758" i="23"/>
  <c r="N759" i="23"/>
  <c r="O759" i="23"/>
  <c r="P759" i="23"/>
  <c r="N760" i="23"/>
  <c r="O760" i="23"/>
  <c r="P760" i="23"/>
  <c r="N761" i="23"/>
  <c r="O761" i="23"/>
  <c r="P761" i="23"/>
  <c r="N762" i="23"/>
  <c r="O762" i="23"/>
  <c r="P762" i="23"/>
  <c r="N763" i="23"/>
  <c r="O763" i="23"/>
  <c r="P763" i="23"/>
  <c r="N764" i="23"/>
  <c r="O764" i="23"/>
  <c r="P764" i="23"/>
  <c r="M765" i="23"/>
  <c r="N765" i="23"/>
  <c r="O765" i="23"/>
  <c r="P765" i="23"/>
  <c r="N766" i="23"/>
  <c r="O766" i="23"/>
  <c r="P766" i="23"/>
  <c r="N767" i="23"/>
  <c r="O767" i="23"/>
  <c r="P767" i="23"/>
  <c r="M768" i="23"/>
  <c r="N768" i="23"/>
  <c r="O768" i="23"/>
  <c r="P768" i="23"/>
  <c r="M769" i="23"/>
  <c r="N769" i="23"/>
  <c r="O769" i="23"/>
  <c r="P769" i="23"/>
  <c r="M770" i="23"/>
  <c r="N770" i="23"/>
  <c r="O770" i="23"/>
  <c r="P770" i="23"/>
  <c r="N771" i="23"/>
  <c r="O771" i="23"/>
  <c r="P771" i="23"/>
  <c r="N772" i="23"/>
  <c r="O772" i="23"/>
  <c r="P772" i="23"/>
  <c r="N773" i="23"/>
  <c r="O773" i="23"/>
  <c r="P773" i="23"/>
  <c r="N774" i="23"/>
  <c r="O774" i="23"/>
  <c r="P774" i="23"/>
  <c r="M775" i="23"/>
  <c r="N775" i="23"/>
  <c r="O775" i="23"/>
  <c r="P775" i="23"/>
  <c r="M776" i="23"/>
  <c r="N776" i="23"/>
  <c r="O776" i="23"/>
  <c r="P776" i="23"/>
  <c r="N777" i="23"/>
  <c r="O777" i="23"/>
  <c r="P777" i="23"/>
  <c r="N778" i="23"/>
  <c r="O778" i="23"/>
  <c r="P778" i="23"/>
  <c r="M779" i="23"/>
  <c r="N779" i="23"/>
  <c r="O779" i="23"/>
  <c r="P779" i="23"/>
  <c r="M780" i="23"/>
  <c r="N780" i="23"/>
  <c r="O780" i="23"/>
  <c r="P780" i="23"/>
  <c r="M781" i="23"/>
  <c r="N781" i="23"/>
  <c r="O781" i="23"/>
  <c r="P781" i="23"/>
  <c r="N782" i="23"/>
  <c r="O782" i="23"/>
  <c r="P782" i="23"/>
  <c r="N783" i="23"/>
  <c r="O783" i="23"/>
  <c r="P783" i="23"/>
  <c r="N784" i="23"/>
  <c r="O784" i="23"/>
  <c r="P784" i="23"/>
  <c r="N785" i="23"/>
  <c r="O785" i="23"/>
  <c r="P785" i="23"/>
  <c r="N786" i="23"/>
  <c r="O786" i="23"/>
  <c r="P786" i="23"/>
  <c r="M787" i="23"/>
  <c r="N787" i="23"/>
  <c r="O787" i="23"/>
  <c r="P787" i="23"/>
  <c r="N788" i="23"/>
  <c r="O788" i="23"/>
  <c r="P788" i="23"/>
  <c r="N789" i="23"/>
  <c r="O789" i="23"/>
  <c r="P789" i="23"/>
  <c r="M790" i="23"/>
  <c r="N790" i="23"/>
  <c r="O790" i="23"/>
  <c r="P790" i="23"/>
  <c r="N791" i="23"/>
  <c r="O791" i="23"/>
  <c r="P791" i="23"/>
  <c r="M792" i="23"/>
  <c r="N792" i="23"/>
  <c r="O792" i="23"/>
  <c r="P792" i="23"/>
  <c r="N793" i="23"/>
  <c r="O793" i="23"/>
  <c r="P793" i="23"/>
  <c r="N794" i="23"/>
  <c r="O794" i="23"/>
  <c r="P794" i="23"/>
  <c r="N795" i="23"/>
  <c r="O795" i="23"/>
  <c r="P795" i="23"/>
  <c r="N796" i="23"/>
  <c r="O796" i="23"/>
  <c r="P796" i="23"/>
  <c r="N797" i="23"/>
  <c r="O797" i="23"/>
  <c r="P797" i="23"/>
  <c r="M798" i="23"/>
  <c r="N798" i="23"/>
  <c r="O798" i="23"/>
  <c r="P798" i="23"/>
  <c r="M799" i="23"/>
  <c r="N799" i="23"/>
  <c r="O799" i="23"/>
  <c r="P799" i="23"/>
  <c r="N800" i="23"/>
  <c r="O800" i="23"/>
  <c r="P800" i="23"/>
  <c r="M801" i="23"/>
  <c r="N801" i="23"/>
  <c r="O801" i="23"/>
  <c r="P801" i="23"/>
  <c r="N802" i="23"/>
  <c r="O802" i="23"/>
  <c r="P802" i="23"/>
  <c r="I636" i="22"/>
  <c r="J636" i="22"/>
  <c r="I637" i="22"/>
  <c r="J637" i="22"/>
  <c r="I638" i="22"/>
  <c r="J638" i="22"/>
  <c r="I639" i="22"/>
  <c r="J639" i="22"/>
  <c r="I640" i="22"/>
  <c r="J640" i="22"/>
  <c r="I641" i="22"/>
  <c r="J641" i="22"/>
  <c r="I642" i="22"/>
  <c r="J642" i="22"/>
  <c r="I643" i="22"/>
  <c r="J643" i="22"/>
  <c r="I644" i="22"/>
  <c r="J644" i="22"/>
  <c r="I645" i="22"/>
  <c r="J645" i="22"/>
  <c r="I646" i="22"/>
  <c r="J646" i="22"/>
  <c r="I647" i="22"/>
  <c r="J647" i="22"/>
  <c r="I648" i="22"/>
  <c r="J648" i="22"/>
  <c r="I649" i="22"/>
  <c r="J649" i="22"/>
  <c r="I650" i="22"/>
  <c r="J650" i="22"/>
  <c r="I651" i="22"/>
  <c r="J651" i="22"/>
  <c r="I652" i="22"/>
  <c r="J652" i="22"/>
  <c r="I653" i="22"/>
  <c r="J653" i="22"/>
  <c r="I654" i="22"/>
  <c r="J654" i="22"/>
  <c r="I655" i="22"/>
  <c r="J655" i="22"/>
  <c r="I656" i="22"/>
  <c r="J656" i="22"/>
  <c r="I657" i="22"/>
  <c r="J657" i="22"/>
  <c r="I658" i="22"/>
  <c r="J658" i="22"/>
  <c r="M670" i="23"/>
  <c r="N670" i="23"/>
  <c r="O670" i="23"/>
  <c r="P670" i="23"/>
  <c r="M671" i="23"/>
  <c r="N671" i="23"/>
  <c r="O671" i="23"/>
  <c r="P671" i="23"/>
  <c r="M672" i="23"/>
  <c r="N672" i="23"/>
  <c r="O672" i="23"/>
  <c r="P672" i="23"/>
  <c r="M673" i="23"/>
  <c r="N673" i="23"/>
  <c r="O673" i="23"/>
  <c r="P673" i="23"/>
  <c r="M674" i="23"/>
  <c r="N674" i="23"/>
  <c r="O674" i="23"/>
  <c r="P674" i="23"/>
  <c r="M675" i="23"/>
  <c r="N675" i="23"/>
  <c r="O675" i="23"/>
  <c r="P675" i="23"/>
  <c r="M676" i="23"/>
  <c r="N676" i="23"/>
  <c r="O676" i="23"/>
  <c r="P676" i="23"/>
  <c r="M677" i="23"/>
  <c r="N677" i="23"/>
  <c r="O677" i="23"/>
  <c r="P677" i="23"/>
  <c r="M678" i="23"/>
  <c r="N678" i="23"/>
  <c r="O678" i="23"/>
  <c r="P678" i="23"/>
  <c r="M679" i="23"/>
  <c r="N679" i="23"/>
  <c r="O679" i="23"/>
  <c r="P679" i="23"/>
  <c r="M680" i="23"/>
  <c r="N680" i="23"/>
  <c r="O680" i="23"/>
  <c r="P680" i="23"/>
  <c r="M681" i="23"/>
  <c r="N681" i="23"/>
  <c r="O681" i="23"/>
  <c r="P681" i="23"/>
  <c r="M682" i="23"/>
  <c r="N682" i="23"/>
  <c r="O682" i="23"/>
  <c r="P682" i="23"/>
  <c r="M683" i="23"/>
  <c r="N683" i="23"/>
  <c r="O683" i="23"/>
  <c r="P683" i="23"/>
  <c r="M684" i="23"/>
  <c r="N684" i="23"/>
  <c r="O684" i="23"/>
  <c r="P684" i="23"/>
  <c r="M685" i="23"/>
  <c r="N685" i="23"/>
  <c r="O685" i="23"/>
  <c r="P685" i="23"/>
  <c r="M686" i="23"/>
  <c r="N686" i="23"/>
  <c r="O686" i="23"/>
  <c r="P686" i="23"/>
  <c r="M687" i="23"/>
  <c r="N687" i="23"/>
  <c r="O687" i="23"/>
  <c r="P687" i="23"/>
  <c r="M688" i="23"/>
  <c r="N688" i="23"/>
  <c r="O688" i="23"/>
  <c r="P688" i="23"/>
  <c r="M689" i="23"/>
  <c r="N689" i="23"/>
  <c r="O689" i="23"/>
  <c r="P689" i="23"/>
  <c r="M690" i="23"/>
  <c r="N690" i="23"/>
  <c r="O690" i="23"/>
  <c r="P690" i="23"/>
  <c r="M691" i="23"/>
  <c r="N691" i="23"/>
  <c r="O691" i="23"/>
  <c r="P691" i="23"/>
  <c r="M692" i="23"/>
  <c r="N692" i="23"/>
  <c r="O692" i="23"/>
  <c r="P692" i="23"/>
  <c r="M693" i="23"/>
  <c r="N693" i="23"/>
  <c r="O693" i="23"/>
  <c r="P693" i="23"/>
  <c r="M694" i="23"/>
  <c r="N694" i="23"/>
  <c r="O694" i="23"/>
  <c r="P694" i="23"/>
  <c r="M695" i="23"/>
  <c r="N695" i="23"/>
  <c r="O695" i="23"/>
  <c r="P695" i="23"/>
  <c r="M696" i="23"/>
  <c r="N696" i="23"/>
  <c r="O696" i="23"/>
  <c r="P696" i="23"/>
  <c r="M697" i="23"/>
  <c r="N697" i="23"/>
  <c r="O697" i="23"/>
  <c r="P697" i="23"/>
  <c r="M698" i="23"/>
  <c r="N698" i="23"/>
  <c r="O698" i="23"/>
  <c r="P698" i="23"/>
  <c r="M699" i="23"/>
  <c r="N699" i="23"/>
  <c r="O699" i="23"/>
  <c r="P699" i="23"/>
  <c r="M700" i="23"/>
  <c r="N700" i="23"/>
  <c r="O700" i="23"/>
  <c r="P700" i="23"/>
  <c r="M701" i="23"/>
  <c r="N701" i="23"/>
  <c r="O701" i="23"/>
  <c r="P701" i="23"/>
  <c r="M702" i="23"/>
  <c r="N702" i="23"/>
  <c r="O702" i="23"/>
  <c r="P702" i="23"/>
  <c r="M703" i="23"/>
  <c r="N703" i="23"/>
  <c r="O703" i="23"/>
  <c r="P703" i="23"/>
  <c r="M704" i="23"/>
  <c r="N704" i="23"/>
  <c r="O704" i="23"/>
  <c r="P704" i="23"/>
  <c r="M705" i="23"/>
  <c r="N705" i="23"/>
  <c r="O705" i="23"/>
  <c r="P705" i="23"/>
  <c r="M706" i="23"/>
  <c r="N706" i="23"/>
  <c r="O706" i="23"/>
  <c r="P706" i="23"/>
  <c r="M707" i="23"/>
  <c r="N707" i="23"/>
  <c r="O707" i="23"/>
  <c r="P707" i="23"/>
  <c r="M708" i="23"/>
  <c r="N708" i="23"/>
  <c r="O708" i="23"/>
  <c r="P708" i="23"/>
  <c r="M709" i="23"/>
  <c r="N709" i="23"/>
  <c r="O709" i="23"/>
  <c r="P709" i="23"/>
  <c r="M710" i="23"/>
  <c r="N710" i="23"/>
  <c r="O710" i="23"/>
  <c r="P710" i="23"/>
  <c r="N711" i="23"/>
  <c r="O711" i="23"/>
  <c r="P711" i="23"/>
  <c r="N712" i="23"/>
  <c r="O712" i="23"/>
  <c r="P712" i="23"/>
  <c r="N713" i="23"/>
  <c r="O713" i="23"/>
  <c r="P713" i="23"/>
  <c r="M714" i="23"/>
  <c r="N714" i="23"/>
  <c r="O714" i="23"/>
  <c r="P714" i="23"/>
  <c r="M715" i="23"/>
  <c r="N715" i="23"/>
  <c r="O715" i="23"/>
  <c r="P715" i="23"/>
  <c r="N716" i="23"/>
  <c r="O716" i="23"/>
  <c r="P716" i="23"/>
  <c r="N717" i="23"/>
  <c r="O717" i="23"/>
  <c r="P717" i="23"/>
  <c r="M718" i="23"/>
  <c r="N718" i="23"/>
  <c r="O718" i="23"/>
  <c r="P718" i="23"/>
  <c r="N719" i="23"/>
  <c r="O719" i="23"/>
  <c r="P719" i="23"/>
  <c r="M720" i="23"/>
  <c r="N720" i="23"/>
  <c r="O720" i="23"/>
  <c r="P720" i="23"/>
  <c r="N721" i="23"/>
  <c r="O721" i="23"/>
  <c r="P721" i="23"/>
  <c r="I596" i="22"/>
  <c r="J596" i="22"/>
  <c r="I597" i="22"/>
  <c r="J597" i="22"/>
  <c r="I598" i="22"/>
  <c r="J598" i="22"/>
  <c r="I599" i="22"/>
  <c r="J599" i="22"/>
  <c r="I600" i="22"/>
  <c r="J600" i="22"/>
  <c r="I601" i="22"/>
  <c r="J601" i="22"/>
  <c r="I602" i="22"/>
  <c r="J602" i="22"/>
  <c r="I603" i="22"/>
  <c r="J603" i="22"/>
  <c r="I604" i="22"/>
  <c r="J604" i="22"/>
  <c r="I605" i="22"/>
  <c r="J605" i="22"/>
  <c r="I606" i="22"/>
  <c r="J606" i="22"/>
  <c r="I607" i="22"/>
  <c r="J607" i="22"/>
  <c r="I608" i="22"/>
  <c r="J608" i="22"/>
  <c r="I609" i="22"/>
  <c r="J609" i="22"/>
  <c r="I610" i="22"/>
  <c r="J610" i="22"/>
  <c r="I611" i="22"/>
  <c r="J611" i="22"/>
  <c r="I612" i="22"/>
  <c r="J612" i="22"/>
  <c r="I613" i="22"/>
  <c r="J613" i="22"/>
  <c r="I614" i="22"/>
  <c r="J614" i="22"/>
  <c r="I615" i="22"/>
  <c r="J615" i="22"/>
  <c r="I616" i="22"/>
  <c r="J616" i="22"/>
  <c r="I617" i="22"/>
  <c r="J617" i="22"/>
  <c r="I618" i="22"/>
  <c r="J618" i="22"/>
  <c r="I619" i="22"/>
  <c r="J619" i="22"/>
  <c r="I620" i="22"/>
  <c r="J620" i="22"/>
  <c r="I621" i="22"/>
  <c r="J621" i="22"/>
  <c r="I622" i="22"/>
  <c r="J622" i="22"/>
  <c r="I623" i="22"/>
  <c r="J623" i="22"/>
  <c r="I624" i="22"/>
  <c r="J624" i="22"/>
  <c r="I625" i="22"/>
  <c r="J625" i="22"/>
  <c r="I626" i="22"/>
  <c r="J626" i="22"/>
  <c r="I627" i="22"/>
  <c r="J627" i="22"/>
  <c r="I628" i="22"/>
  <c r="J628" i="22"/>
  <c r="I629" i="22"/>
  <c r="J629" i="22"/>
  <c r="I630" i="22"/>
  <c r="J630" i="22"/>
  <c r="I631" i="22"/>
  <c r="J631" i="22"/>
  <c r="I632" i="22"/>
  <c r="J632" i="22"/>
  <c r="I633" i="22"/>
  <c r="J633" i="22"/>
  <c r="I634" i="22"/>
  <c r="J634" i="22"/>
  <c r="I635" i="22"/>
  <c r="J635" i="22"/>
  <c r="M668" i="23"/>
  <c r="N668" i="23"/>
  <c r="O668" i="23"/>
  <c r="P668" i="23"/>
  <c r="N669" i="23"/>
  <c r="O669" i="23"/>
  <c r="P669" i="23"/>
  <c r="I586" i="22"/>
  <c r="J586" i="22"/>
  <c r="I587" i="22"/>
  <c r="J587" i="22"/>
  <c r="I588" i="22"/>
  <c r="J588" i="22"/>
  <c r="I589" i="22"/>
  <c r="J589" i="22"/>
  <c r="I590" i="22"/>
  <c r="J590" i="22"/>
  <c r="I591" i="22"/>
  <c r="J591" i="22"/>
  <c r="I592" i="22"/>
  <c r="J592" i="22"/>
  <c r="I593" i="22"/>
  <c r="J593" i="22"/>
  <c r="I594" i="22"/>
  <c r="J594" i="22"/>
  <c r="I595" i="22"/>
  <c r="J595" i="22"/>
  <c r="N605" i="23"/>
  <c r="O605" i="23"/>
  <c r="P605" i="23"/>
  <c r="M606" i="23"/>
  <c r="N606" i="23"/>
  <c r="O606" i="23"/>
  <c r="P606" i="23"/>
  <c r="N607" i="23"/>
  <c r="O607" i="23"/>
  <c r="P607" i="23"/>
  <c r="N608" i="23"/>
  <c r="O608" i="23"/>
  <c r="P608" i="23"/>
  <c r="N609" i="23"/>
  <c r="O609" i="23"/>
  <c r="P609" i="23"/>
  <c r="N610" i="23"/>
  <c r="O610" i="23"/>
  <c r="P610" i="23"/>
  <c r="M611" i="23"/>
  <c r="N611" i="23"/>
  <c r="O611" i="23"/>
  <c r="P611" i="23"/>
  <c r="M612" i="23"/>
  <c r="N612" i="23"/>
  <c r="O612" i="23"/>
  <c r="P612" i="23"/>
  <c r="M613" i="23"/>
  <c r="N613" i="23"/>
  <c r="O613" i="23"/>
  <c r="P613" i="23"/>
  <c r="M614" i="23"/>
  <c r="N614" i="23"/>
  <c r="O614" i="23"/>
  <c r="P614" i="23"/>
  <c r="N615" i="23"/>
  <c r="O615" i="23"/>
  <c r="P615" i="23"/>
  <c r="M616" i="23"/>
  <c r="N616" i="23"/>
  <c r="O616" i="23"/>
  <c r="P616" i="23"/>
  <c r="M617" i="23"/>
  <c r="N617" i="23"/>
  <c r="O617" i="23"/>
  <c r="P617" i="23"/>
  <c r="M618" i="23"/>
  <c r="N618" i="23"/>
  <c r="O618" i="23"/>
  <c r="P618" i="23"/>
  <c r="M619" i="23"/>
  <c r="N619" i="23"/>
  <c r="O619" i="23"/>
  <c r="P619" i="23"/>
  <c r="M620" i="23"/>
  <c r="N620" i="23"/>
  <c r="O620" i="23"/>
  <c r="P620" i="23"/>
  <c r="M621" i="23"/>
  <c r="N621" i="23"/>
  <c r="O621" i="23"/>
  <c r="P621" i="23"/>
  <c r="M622" i="23"/>
  <c r="N622" i="23"/>
  <c r="O622" i="23"/>
  <c r="P622" i="23"/>
  <c r="M623" i="23"/>
  <c r="N623" i="23"/>
  <c r="O623" i="23"/>
  <c r="P623" i="23"/>
  <c r="M624" i="23"/>
  <c r="N624" i="23"/>
  <c r="O624" i="23"/>
  <c r="P624" i="23"/>
  <c r="N625" i="23"/>
  <c r="O625" i="23"/>
  <c r="P625" i="23"/>
  <c r="M626" i="23"/>
  <c r="N626" i="23"/>
  <c r="O626" i="23"/>
  <c r="P626" i="23"/>
  <c r="M627" i="23"/>
  <c r="N627" i="23"/>
  <c r="O627" i="23"/>
  <c r="P627" i="23"/>
  <c r="N628" i="23"/>
  <c r="O628" i="23"/>
  <c r="P628" i="23"/>
  <c r="M629" i="23"/>
  <c r="N629" i="23"/>
  <c r="O629" i="23"/>
  <c r="P629" i="23"/>
  <c r="M630" i="23"/>
  <c r="N630" i="23"/>
  <c r="O630" i="23"/>
  <c r="P630" i="23"/>
  <c r="M631" i="23"/>
  <c r="N631" i="23"/>
  <c r="O631" i="23"/>
  <c r="P631" i="23"/>
  <c r="M632" i="23"/>
  <c r="N632" i="23"/>
  <c r="O632" i="23"/>
  <c r="P632" i="23"/>
  <c r="M633" i="23"/>
  <c r="N633" i="23"/>
  <c r="O633" i="23"/>
  <c r="P633" i="23"/>
  <c r="M634" i="23"/>
  <c r="N634" i="23"/>
  <c r="O634" i="23"/>
  <c r="P634" i="23"/>
  <c r="M635" i="23"/>
  <c r="N635" i="23"/>
  <c r="O635" i="23"/>
  <c r="P635" i="23"/>
  <c r="M636" i="23"/>
  <c r="N636" i="23"/>
  <c r="O636" i="23"/>
  <c r="P636" i="23"/>
  <c r="M637" i="23"/>
  <c r="N637" i="23"/>
  <c r="O637" i="23"/>
  <c r="P637" i="23"/>
  <c r="N638" i="23"/>
  <c r="O638" i="23"/>
  <c r="P638" i="23"/>
  <c r="M639" i="23"/>
  <c r="N639" i="23"/>
  <c r="O639" i="23"/>
  <c r="P639" i="23"/>
  <c r="M640" i="23"/>
  <c r="N640" i="23"/>
  <c r="O640" i="23"/>
  <c r="P640" i="23"/>
  <c r="N641" i="23"/>
  <c r="O641" i="23"/>
  <c r="P641" i="23"/>
  <c r="N642" i="23"/>
  <c r="O642" i="23"/>
  <c r="P642" i="23"/>
  <c r="N643" i="23"/>
  <c r="O643" i="23"/>
  <c r="P643" i="23"/>
  <c r="M644" i="23"/>
  <c r="N644" i="23"/>
  <c r="O644" i="23"/>
  <c r="P644" i="23"/>
  <c r="M645" i="23"/>
  <c r="N645" i="23"/>
  <c r="O645" i="23"/>
  <c r="P645" i="23"/>
  <c r="M646" i="23"/>
  <c r="N646" i="23"/>
  <c r="O646" i="23"/>
  <c r="P646" i="23"/>
  <c r="M647" i="23"/>
  <c r="N647" i="23"/>
  <c r="O647" i="23"/>
  <c r="P647" i="23"/>
  <c r="N648" i="23"/>
  <c r="O648" i="23"/>
  <c r="P648" i="23"/>
  <c r="N649" i="23"/>
  <c r="O649" i="23"/>
  <c r="P649" i="23"/>
  <c r="N650" i="23"/>
  <c r="O650" i="23"/>
  <c r="P650" i="23"/>
  <c r="N651" i="23"/>
  <c r="O651" i="23"/>
  <c r="P651" i="23"/>
  <c r="N652" i="23"/>
  <c r="O652" i="23"/>
  <c r="P652" i="23"/>
  <c r="N653" i="23"/>
  <c r="O653" i="23"/>
  <c r="P653" i="23"/>
  <c r="N654" i="23"/>
  <c r="O654" i="23"/>
  <c r="P654" i="23"/>
  <c r="N655" i="23"/>
  <c r="O655" i="23"/>
  <c r="P655" i="23"/>
  <c r="N656" i="23"/>
  <c r="O656" i="23"/>
  <c r="P656" i="23"/>
  <c r="N657" i="23"/>
  <c r="O657" i="23"/>
  <c r="P657" i="23"/>
  <c r="N658" i="23"/>
  <c r="O658" i="23"/>
  <c r="P658" i="23"/>
  <c r="N659" i="23"/>
  <c r="O659" i="23"/>
  <c r="P659" i="23"/>
  <c r="N660" i="23"/>
  <c r="O660" i="23"/>
  <c r="P660" i="23"/>
  <c r="N661" i="23"/>
  <c r="O661" i="23"/>
  <c r="P661" i="23"/>
  <c r="N662" i="23"/>
  <c r="O662" i="23"/>
  <c r="P662" i="23"/>
  <c r="N663" i="23"/>
  <c r="O663" i="23"/>
  <c r="P663" i="23"/>
  <c r="N664" i="23"/>
  <c r="O664" i="23"/>
  <c r="P664" i="23"/>
  <c r="N665" i="23"/>
  <c r="O665" i="23"/>
  <c r="P665" i="23"/>
  <c r="N666" i="23"/>
  <c r="O666" i="23"/>
  <c r="P666" i="23"/>
  <c r="M667" i="23"/>
  <c r="N667" i="23"/>
  <c r="O667" i="23"/>
  <c r="P667" i="23"/>
  <c r="I563" i="22"/>
  <c r="J563" i="22"/>
  <c r="I564" i="22"/>
  <c r="J564" i="22"/>
  <c r="I565" i="22"/>
  <c r="J565" i="22"/>
  <c r="I566" i="22"/>
  <c r="J566" i="22"/>
  <c r="I567" i="22"/>
  <c r="J567" i="22"/>
  <c r="I568" i="22"/>
  <c r="J568" i="22"/>
  <c r="I569" i="22"/>
  <c r="J569" i="22"/>
  <c r="I570" i="22"/>
  <c r="J570" i="22"/>
  <c r="I571" i="22"/>
  <c r="J571" i="22"/>
  <c r="I572" i="22"/>
  <c r="J572" i="22"/>
  <c r="I573" i="22"/>
  <c r="J573" i="22"/>
  <c r="I574" i="22"/>
  <c r="J574" i="22"/>
  <c r="I575" i="22"/>
  <c r="J575" i="22"/>
  <c r="I576" i="22"/>
  <c r="J576" i="22"/>
  <c r="I577" i="22"/>
  <c r="J577" i="22"/>
  <c r="I578" i="22"/>
  <c r="J578" i="22"/>
  <c r="I579" i="22"/>
  <c r="J579" i="22"/>
  <c r="I580" i="22"/>
  <c r="J580" i="22"/>
  <c r="I581" i="22"/>
  <c r="J581" i="22"/>
  <c r="I582" i="22"/>
  <c r="J582" i="22"/>
  <c r="I583" i="22"/>
  <c r="J583" i="22"/>
  <c r="I584" i="22"/>
  <c r="J584" i="22"/>
  <c r="I585" i="22"/>
  <c r="J585" i="22"/>
  <c r="I549" i="22"/>
  <c r="J549" i="22"/>
  <c r="I550" i="22"/>
  <c r="J550" i="22"/>
  <c r="I551" i="22"/>
  <c r="J551" i="22"/>
  <c r="I552" i="22"/>
  <c r="J552" i="22"/>
  <c r="I553" i="22"/>
  <c r="J553" i="22"/>
  <c r="I554" i="22"/>
  <c r="J554" i="22"/>
  <c r="I555" i="22"/>
  <c r="J555" i="22"/>
  <c r="I556" i="22"/>
  <c r="J556" i="22"/>
  <c r="I557" i="22"/>
  <c r="J557" i="22"/>
  <c r="I558" i="22"/>
  <c r="J558" i="22"/>
  <c r="I559" i="22"/>
  <c r="J559" i="22"/>
  <c r="I560" i="22"/>
  <c r="J560" i="22"/>
  <c r="I561" i="22"/>
  <c r="J561" i="22"/>
  <c r="I562" i="22"/>
  <c r="J562" i="22"/>
  <c r="I547" i="22"/>
  <c r="J547" i="22"/>
  <c r="I548" i="22"/>
  <c r="J548" i="22"/>
  <c r="P604" i="23"/>
  <c r="O604" i="23"/>
  <c r="N604" i="23"/>
  <c r="P603" i="23"/>
  <c r="O603" i="23"/>
  <c r="N603" i="23"/>
  <c r="M603" i="23"/>
  <c r="P602" i="23"/>
  <c r="O602" i="23"/>
  <c r="N602" i="23"/>
  <c r="M602" i="23"/>
  <c r="P601" i="23"/>
  <c r="O601" i="23"/>
  <c r="N601" i="23"/>
  <c r="M601" i="23"/>
  <c r="P600" i="23"/>
  <c r="O600" i="23"/>
  <c r="N600" i="23"/>
  <c r="M600" i="23"/>
  <c r="P599" i="23"/>
  <c r="O599" i="23"/>
  <c r="N599" i="23"/>
  <c r="M599" i="23"/>
  <c r="P598" i="23"/>
  <c r="O598" i="23"/>
  <c r="N598" i="23"/>
  <c r="M598" i="23"/>
  <c r="P597" i="23"/>
  <c r="O597" i="23"/>
  <c r="N597" i="23"/>
  <c r="P596" i="23"/>
  <c r="O596" i="23"/>
  <c r="N596" i="23"/>
  <c r="M596" i="23"/>
  <c r="P595" i="23"/>
  <c r="O595" i="23"/>
  <c r="N595" i="23"/>
  <c r="P594" i="23"/>
  <c r="O594" i="23"/>
  <c r="N594" i="23"/>
  <c r="M594" i="23"/>
  <c r="P593" i="23"/>
  <c r="O593" i="23"/>
  <c r="N593" i="23"/>
  <c r="M593" i="23"/>
  <c r="P592" i="23"/>
  <c r="O592" i="23"/>
  <c r="N592" i="23"/>
  <c r="M592" i="23"/>
  <c r="P591" i="23"/>
  <c r="O591" i="23"/>
  <c r="N591" i="23"/>
  <c r="P590" i="23"/>
  <c r="O590" i="23"/>
  <c r="N590" i="23"/>
  <c r="M590" i="23"/>
  <c r="P589" i="23"/>
  <c r="O589" i="23"/>
  <c r="N589" i="23"/>
  <c r="M589" i="23"/>
  <c r="P588" i="23"/>
  <c r="O588" i="23"/>
  <c r="N588" i="23"/>
  <c r="M588" i="23"/>
  <c r="P587" i="23"/>
  <c r="O587" i="23"/>
  <c r="N587" i="23"/>
  <c r="M587" i="23"/>
  <c r="P586" i="23"/>
  <c r="O586" i="23"/>
  <c r="N586" i="23"/>
  <c r="M586" i="23"/>
  <c r="P585" i="23"/>
  <c r="O585" i="23"/>
  <c r="N585" i="23"/>
  <c r="P584" i="23"/>
  <c r="O584" i="23"/>
  <c r="N584" i="23"/>
  <c r="P583" i="23"/>
  <c r="O583" i="23"/>
  <c r="N583" i="23"/>
  <c r="P582" i="23"/>
  <c r="O582" i="23"/>
  <c r="N582" i="23"/>
  <c r="P581" i="23"/>
  <c r="O581" i="23"/>
  <c r="N581" i="23"/>
  <c r="M581" i="23"/>
  <c r="P580" i="23"/>
  <c r="O580" i="23"/>
  <c r="N580" i="23"/>
  <c r="M580" i="23"/>
  <c r="P579" i="23"/>
  <c r="O579" i="23"/>
  <c r="N579" i="23"/>
  <c r="M579" i="23"/>
  <c r="I546" i="22"/>
  <c r="J546" i="22"/>
  <c r="E2" i="24"/>
  <c r="I528" i="22" l="1"/>
  <c r="J528" i="22"/>
  <c r="I529" i="22"/>
  <c r="J529" i="22"/>
  <c r="I530" i="22"/>
  <c r="J530" i="22"/>
  <c r="I531" i="22"/>
  <c r="J531" i="22"/>
  <c r="I532" i="22"/>
  <c r="J532" i="22"/>
  <c r="I533" i="22"/>
  <c r="J533" i="22"/>
  <c r="I534" i="22"/>
  <c r="J534" i="22"/>
  <c r="I535" i="22"/>
  <c r="J535" i="22"/>
  <c r="I536" i="22"/>
  <c r="J536" i="22"/>
  <c r="I537" i="22"/>
  <c r="J537" i="22"/>
  <c r="I538" i="22"/>
  <c r="J538" i="22"/>
  <c r="I539" i="22"/>
  <c r="J539" i="22"/>
  <c r="I540" i="22"/>
  <c r="J540" i="22"/>
  <c r="I541" i="22"/>
  <c r="J541" i="22"/>
  <c r="I542" i="22"/>
  <c r="J542" i="22"/>
  <c r="I543" i="22"/>
  <c r="J543" i="22"/>
  <c r="I544" i="22"/>
  <c r="J544" i="22"/>
  <c r="I545" i="22"/>
  <c r="J545" i="22"/>
  <c r="N577" i="23"/>
  <c r="O577" i="23"/>
  <c r="P577" i="23"/>
  <c r="N578" i="23"/>
  <c r="O578" i="23"/>
  <c r="P578" i="23"/>
  <c r="M561" i="23"/>
  <c r="N561" i="23"/>
  <c r="O561" i="23"/>
  <c r="P561" i="23"/>
  <c r="M562" i="23"/>
  <c r="N562" i="23"/>
  <c r="O562" i="23"/>
  <c r="P562" i="23"/>
  <c r="M563" i="23"/>
  <c r="N563" i="23"/>
  <c r="O563" i="23"/>
  <c r="P563" i="23"/>
  <c r="M564" i="23"/>
  <c r="N564" i="23"/>
  <c r="O564" i="23"/>
  <c r="P564" i="23"/>
  <c r="M565" i="23"/>
  <c r="N565" i="23"/>
  <c r="O565" i="23"/>
  <c r="P565" i="23"/>
  <c r="N566" i="23"/>
  <c r="O566" i="23"/>
  <c r="P566" i="23"/>
  <c r="M567" i="23"/>
  <c r="N567" i="23"/>
  <c r="O567" i="23"/>
  <c r="P567" i="23"/>
  <c r="M568" i="23"/>
  <c r="N568" i="23"/>
  <c r="O568" i="23"/>
  <c r="P568" i="23"/>
  <c r="M569" i="23"/>
  <c r="N569" i="23"/>
  <c r="O569" i="23"/>
  <c r="P569" i="23"/>
  <c r="N570" i="23"/>
  <c r="O570" i="23"/>
  <c r="P570" i="23"/>
  <c r="M571" i="23"/>
  <c r="N571" i="23"/>
  <c r="O571" i="23"/>
  <c r="P571" i="23"/>
  <c r="M572" i="23"/>
  <c r="N572" i="23"/>
  <c r="O572" i="23"/>
  <c r="P572" i="23"/>
  <c r="M573" i="23"/>
  <c r="N573" i="23"/>
  <c r="O573" i="23"/>
  <c r="P573" i="23"/>
  <c r="N574" i="23"/>
  <c r="O574" i="23"/>
  <c r="P574" i="23"/>
  <c r="N575" i="23"/>
  <c r="O575" i="23"/>
  <c r="P575" i="23"/>
  <c r="N576" i="23"/>
  <c r="O576" i="23"/>
  <c r="P576" i="23"/>
  <c r="I505" i="22"/>
  <c r="J505" i="22"/>
  <c r="I506" i="22"/>
  <c r="J506" i="22"/>
  <c r="I507" i="22"/>
  <c r="J507" i="22"/>
  <c r="I508" i="22"/>
  <c r="J508" i="22"/>
  <c r="I509" i="22"/>
  <c r="J509" i="22"/>
  <c r="I510" i="22"/>
  <c r="J510" i="22"/>
  <c r="I511" i="22"/>
  <c r="J511" i="22"/>
  <c r="I512" i="22"/>
  <c r="J512" i="22"/>
  <c r="I513" i="22"/>
  <c r="J513" i="22"/>
  <c r="I514" i="22"/>
  <c r="J514" i="22"/>
  <c r="I515" i="22"/>
  <c r="J515" i="22"/>
  <c r="I516" i="22"/>
  <c r="J516" i="22"/>
  <c r="I517" i="22"/>
  <c r="J517" i="22"/>
  <c r="I518" i="22"/>
  <c r="J518" i="22"/>
  <c r="I519" i="22"/>
  <c r="J519" i="22"/>
  <c r="I520" i="22"/>
  <c r="J520" i="22"/>
  <c r="I521" i="22"/>
  <c r="J521" i="22"/>
  <c r="I522" i="22"/>
  <c r="J522" i="22"/>
  <c r="I523" i="22"/>
  <c r="J523" i="22"/>
  <c r="I524" i="22"/>
  <c r="J524" i="22"/>
  <c r="I525" i="22"/>
  <c r="J525" i="22"/>
  <c r="I526" i="22"/>
  <c r="J526" i="22"/>
  <c r="I527" i="22"/>
  <c r="J527" i="22"/>
  <c r="I496" i="22"/>
  <c r="I497" i="22"/>
  <c r="I498" i="22"/>
  <c r="I499" i="22"/>
  <c r="I500" i="22"/>
  <c r="I501" i="22"/>
  <c r="I502" i="22"/>
  <c r="I503" i="22"/>
  <c r="I504" i="22"/>
  <c r="M560" i="23"/>
  <c r="N560" i="23"/>
  <c r="O560" i="23"/>
  <c r="P560" i="23"/>
  <c r="M537" i="23"/>
  <c r="N537" i="23"/>
  <c r="O537" i="23"/>
  <c r="P537" i="23"/>
  <c r="M538" i="23"/>
  <c r="N538" i="23"/>
  <c r="O538" i="23"/>
  <c r="P538" i="23"/>
  <c r="M539" i="23"/>
  <c r="N539" i="23"/>
  <c r="O539" i="23"/>
  <c r="P539" i="23"/>
  <c r="N540" i="23"/>
  <c r="O540" i="23"/>
  <c r="P540" i="23"/>
  <c r="M541" i="23"/>
  <c r="N541" i="23"/>
  <c r="O541" i="23"/>
  <c r="P541" i="23"/>
  <c r="N542" i="23"/>
  <c r="O542" i="23"/>
  <c r="P542" i="23"/>
  <c r="M543" i="23"/>
  <c r="N543" i="23"/>
  <c r="O543" i="23"/>
  <c r="P543" i="23"/>
  <c r="N544" i="23"/>
  <c r="O544" i="23"/>
  <c r="P544" i="23"/>
  <c r="M545" i="23"/>
  <c r="N545" i="23"/>
  <c r="O545" i="23"/>
  <c r="P545" i="23"/>
  <c r="N546" i="23"/>
  <c r="O546" i="23"/>
  <c r="P546" i="23"/>
  <c r="N547" i="23"/>
  <c r="O547" i="23"/>
  <c r="P547" i="23"/>
  <c r="N548" i="23"/>
  <c r="O548" i="23"/>
  <c r="P548" i="23"/>
  <c r="N549" i="23"/>
  <c r="O549" i="23"/>
  <c r="P549" i="23"/>
  <c r="M550" i="23"/>
  <c r="N550" i="23"/>
  <c r="O550" i="23"/>
  <c r="P550" i="23"/>
  <c r="N551" i="23"/>
  <c r="O551" i="23"/>
  <c r="P551" i="23"/>
  <c r="N552" i="23"/>
  <c r="O552" i="23"/>
  <c r="P552" i="23"/>
  <c r="N553" i="23"/>
  <c r="O553" i="23"/>
  <c r="P553" i="23"/>
  <c r="N554" i="23"/>
  <c r="O554" i="23"/>
  <c r="P554" i="23"/>
  <c r="N555" i="23"/>
  <c r="O555" i="23"/>
  <c r="P555" i="23"/>
  <c r="M556" i="23"/>
  <c r="N556" i="23"/>
  <c r="O556" i="23"/>
  <c r="P556" i="23"/>
  <c r="N557" i="23"/>
  <c r="O557" i="23"/>
  <c r="P557" i="23"/>
  <c r="N558" i="23"/>
  <c r="O558" i="23"/>
  <c r="P558" i="23"/>
  <c r="N559" i="23"/>
  <c r="O559" i="23"/>
  <c r="P559" i="23"/>
  <c r="I483" i="22"/>
  <c r="J483" i="22"/>
  <c r="I484" i="22"/>
  <c r="J484" i="22"/>
  <c r="I485" i="22"/>
  <c r="J485" i="22"/>
  <c r="I486" i="22"/>
  <c r="J486" i="22"/>
  <c r="I487" i="22"/>
  <c r="J487" i="22"/>
  <c r="I488" i="22"/>
  <c r="J488" i="22"/>
  <c r="I489" i="22"/>
  <c r="J489" i="22"/>
  <c r="I490" i="22"/>
  <c r="J490" i="22"/>
  <c r="I491" i="22"/>
  <c r="J491" i="22"/>
  <c r="I492" i="22"/>
  <c r="J492" i="22"/>
  <c r="I493" i="22"/>
  <c r="J493" i="22"/>
  <c r="I494" i="22"/>
  <c r="J494" i="22"/>
  <c r="I495" i="22"/>
  <c r="J495" i="22"/>
  <c r="J496" i="22"/>
  <c r="J497" i="22"/>
  <c r="J498" i="22"/>
  <c r="J499" i="22"/>
  <c r="J500" i="22"/>
  <c r="J501" i="22"/>
  <c r="J502" i="22"/>
  <c r="J503" i="22"/>
  <c r="J504" i="22"/>
  <c r="M522" i="23"/>
  <c r="N522" i="23"/>
  <c r="O522" i="23"/>
  <c r="P522" i="23"/>
  <c r="N523" i="23"/>
  <c r="O523" i="23"/>
  <c r="P523" i="23"/>
  <c r="M524" i="23"/>
  <c r="N524" i="23"/>
  <c r="O524" i="23"/>
  <c r="P524" i="23"/>
  <c r="N525" i="23"/>
  <c r="O525" i="23"/>
  <c r="P525" i="23"/>
  <c r="M526" i="23"/>
  <c r="N526" i="23"/>
  <c r="O526" i="23"/>
  <c r="P526" i="23"/>
  <c r="N527" i="23"/>
  <c r="O527" i="23"/>
  <c r="P527" i="23"/>
  <c r="N528" i="23"/>
  <c r="O528" i="23"/>
  <c r="P528" i="23"/>
  <c r="N529" i="23"/>
  <c r="O529" i="23"/>
  <c r="P529" i="23"/>
  <c r="N530" i="23"/>
  <c r="O530" i="23"/>
  <c r="P530" i="23"/>
  <c r="N531" i="23"/>
  <c r="O531" i="23"/>
  <c r="P531" i="23"/>
  <c r="N532" i="23"/>
  <c r="O532" i="23"/>
  <c r="P532" i="23"/>
  <c r="M533" i="23"/>
  <c r="N533" i="23"/>
  <c r="O533" i="23"/>
  <c r="P533" i="23"/>
  <c r="N534" i="23"/>
  <c r="O534" i="23"/>
  <c r="P534" i="23"/>
  <c r="M535" i="23"/>
  <c r="N535" i="23"/>
  <c r="O535" i="23"/>
  <c r="P535" i="23"/>
  <c r="M536" i="23"/>
  <c r="N536" i="23"/>
  <c r="O536" i="23"/>
  <c r="P536" i="23"/>
  <c r="M521" i="23"/>
  <c r="N521" i="23"/>
  <c r="O521" i="23"/>
  <c r="P521" i="23"/>
  <c r="M511" i="23"/>
  <c r="N511" i="23"/>
  <c r="O511" i="23"/>
  <c r="P511" i="23"/>
  <c r="N512" i="23"/>
  <c r="O512" i="23"/>
  <c r="P512" i="23"/>
  <c r="M513" i="23"/>
  <c r="N513" i="23"/>
  <c r="O513" i="23"/>
  <c r="P513" i="23"/>
  <c r="M514" i="23"/>
  <c r="N514" i="23"/>
  <c r="O514" i="23"/>
  <c r="P514" i="23"/>
  <c r="M515" i="23"/>
  <c r="N515" i="23"/>
  <c r="O515" i="23"/>
  <c r="P515" i="23"/>
  <c r="M516" i="23"/>
  <c r="N516" i="23"/>
  <c r="O516" i="23"/>
  <c r="P516" i="23"/>
  <c r="M517" i="23"/>
  <c r="N517" i="23"/>
  <c r="O517" i="23"/>
  <c r="P517" i="23"/>
  <c r="M518" i="23"/>
  <c r="N518" i="23"/>
  <c r="O518" i="23"/>
  <c r="P518" i="23"/>
  <c r="M519" i="23"/>
  <c r="N519" i="23"/>
  <c r="O519" i="23"/>
  <c r="P519" i="23"/>
  <c r="M520" i="23"/>
  <c r="N520" i="23"/>
  <c r="O520" i="23"/>
  <c r="P520" i="23"/>
  <c r="I458" i="22"/>
  <c r="J458" i="22"/>
  <c r="I459" i="22"/>
  <c r="J459" i="22"/>
  <c r="I460" i="22"/>
  <c r="J460" i="22"/>
  <c r="I461" i="22"/>
  <c r="J461" i="22"/>
  <c r="I462" i="22"/>
  <c r="J462" i="22"/>
  <c r="I463" i="22"/>
  <c r="J463" i="22"/>
  <c r="I464" i="22"/>
  <c r="J464" i="22"/>
  <c r="I465" i="22"/>
  <c r="J465" i="22"/>
  <c r="I466" i="22"/>
  <c r="J466" i="22"/>
  <c r="I467" i="22"/>
  <c r="J467" i="22"/>
  <c r="I468" i="22"/>
  <c r="J468" i="22"/>
  <c r="I469" i="22"/>
  <c r="J469" i="22"/>
  <c r="I470" i="22"/>
  <c r="J470" i="22"/>
  <c r="I471" i="22"/>
  <c r="J471" i="22"/>
  <c r="I472" i="22"/>
  <c r="J472" i="22"/>
  <c r="I473" i="22"/>
  <c r="J473" i="22"/>
  <c r="I474" i="22"/>
  <c r="J474" i="22"/>
  <c r="I475" i="22"/>
  <c r="J475" i="22"/>
  <c r="I476" i="22"/>
  <c r="J476" i="22"/>
  <c r="I477" i="22"/>
  <c r="J477" i="22"/>
  <c r="I478" i="22"/>
  <c r="J478" i="22"/>
  <c r="I479" i="22"/>
  <c r="J479" i="22"/>
  <c r="I480" i="22"/>
  <c r="J480" i="22"/>
  <c r="I481" i="22"/>
  <c r="J481" i="22"/>
  <c r="I482" i="22"/>
  <c r="J482" i="22"/>
  <c r="N481" i="23"/>
  <c r="O481" i="23"/>
  <c r="P481" i="23"/>
  <c r="M482" i="23"/>
  <c r="N482" i="23"/>
  <c r="O482" i="23"/>
  <c r="P482" i="23"/>
  <c r="N483" i="23"/>
  <c r="O483" i="23"/>
  <c r="P483" i="23"/>
  <c r="M484" i="23"/>
  <c r="N484" i="23"/>
  <c r="O484" i="23"/>
  <c r="P484" i="23"/>
  <c r="M485" i="23"/>
  <c r="N485" i="23"/>
  <c r="O485" i="23"/>
  <c r="P485" i="23"/>
  <c r="N486" i="23"/>
  <c r="O486" i="23"/>
  <c r="P486" i="23"/>
  <c r="M487" i="23"/>
  <c r="N487" i="23"/>
  <c r="O487" i="23"/>
  <c r="P487" i="23"/>
  <c r="M488" i="23"/>
  <c r="N488" i="23"/>
  <c r="O488" i="23"/>
  <c r="P488" i="23"/>
  <c r="M489" i="23"/>
  <c r="N489" i="23"/>
  <c r="O489" i="23"/>
  <c r="P489" i="23"/>
  <c r="M490" i="23"/>
  <c r="N490" i="23"/>
  <c r="O490" i="23"/>
  <c r="P490" i="23"/>
  <c r="M491" i="23"/>
  <c r="N491" i="23"/>
  <c r="O491" i="23"/>
  <c r="P491" i="23"/>
  <c r="M492" i="23"/>
  <c r="N492" i="23"/>
  <c r="O492" i="23"/>
  <c r="P492" i="23"/>
  <c r="N493" i="23"/>
  <c r="O493" i="23"/>
  <c r="P493" i="23"/>
  <c r="N494" i="23"/>
  <c r="O494" i="23"/>
  <c r="P494" i="23"/>
  <c r="M495" i="23"/>
  <c r="N495" i="23"/>
  <c r="O495" i="23"/>
  <c r="P495" i="23"/>
  <c r="N496" i="23"/>
  <c r="O496" i="23"/>
  <c r="P496" i="23"/>
  <c r="M497" i="23"/>
  <c r="N497" i="23"/>
  <c r="O497" i="23"/>
  <c r="P497" i="23"/>
  <c r="N498" i="23"/>
  <c r="O498" i="23"/>
  <c r="P498" i="23"/>
  <c r="M499" i="23"/>
  <c r="N499" i="23"/>
  <c r="O499" i="23"/>
  <c r="P499" i="23"/>
  <c r="N500" i="23"/>
  <c r="O500" i="23"/>
  <c r="P500" i="23"/>
  <c r="M501" i="23"/>
  <c r="N501" i="23"/>
  <c r="O501" i="23"/>
  <c r="P501" i="23"/>
  <c r="M502" i="23"/>
  <c r="N502" i="23"/>
  <c r="O502" i="23"/>
  <c r="P502" i="23"/>
  <c r="M503" i="23"/>
  <c r="N503" i="23"/>
  <c r="O503" i="23"/>
  <c r="P503" i="23"/>
  <c r="M504" i="23"/>
  <c r="N504" i="23"/>
  <c r="O504" i="23"/>
  <c r="P504" i="23"/>
  <c r="N505" i="23"/>
  <c r="O505" i="23"/>
  <c r="P505" i="23"/>
  <c r="N506" i="23"/>
  <c r="O506" i="23"/>
  <c r="P506" i="23"/>
  <c r="N507" i="23"/>
  <c r="O507" i="23"/>
  <c r="P507" i="23"/>
  <c r="N508" i="23"/>
  <c r="O508" i="23"/>
  <c r="P508" i="23"/>
  <c r="N509" i="23"/>
  <c r="O509" i="23"/>
  <c r="P509" i="23"/>
  <c r="M510" i="23"/>
  <c r="N510" i="23"/>
  <c r="O510" i="23"/>
  <c r="P510" i="23"/>
  <c r="M466" i="23"/>
  <c r="N466" i="23"/>
  <c r="O466" i="23"/>
  <c r="P466" i="23"/>
  <c r="N467" i="23"/>
  <c r="O467" i="23"/>
  <c r="P467" i="23"/>
  <c r="N468" i="23"/>
  <c r="O468" i="23"/>
  <c r="P468" i="23"/>
  <c r="N469" i="23"/>
  <c r="O469" i="23"/>
  <c r="P469" i="23"/>
  <c r="N470" i="23"/>
  <c r="O470" i="23"/>
  <c r="P470" i="23"/>
  <c r="M471" i="23"/>
  <c r="N471" i="23"/>
  <c r="O471" i="23"/>
  <c r="P471" i="23"/>
  <c r="N472" i="23"/>
  <c r="O472" i="23"/>
  <c r="P472" i="23"/>
  <c r="M473" i="23"/>
  <c r="N473" i="23"/>
  <c r="O473" i="23"/>
  <c r="P473" i="23"/>
  <c r="N474" i="23"/>
  <c r="O474" i="23"/>
  <c r="P474" i="23"/>
  <c r="N475" i="23"/>
  <c r="O475" i="23"/>
  <c r="P475" i="23"/>
  <c r="M476" i="23"/>
  <c r="N476" i="23"/>
  <c r="O476" i="23"/>
  <c r="P476" i="23"/>
  <c r="N477" i="23"/>
  <c r="O477" i="23"/>
  <c r="P477" i="23"/>
  <c r="N478" i="23"/>
  <c r="O478" i="23"/>
  <c r="P478" i="23"/>
  <c r="N479" i="23"/>
  <c r="O479" i="23"/>
  <c r="P479" i="23"/>
  <c r="M480" i="23"/>
  <c r="N480" i="23"/>
  <c r="O480" i="23"/>
  <c r="P480" i="23"/>
  <c r="N465" i="23"/>
  <c r="O465" i="23"/>
  <c r="P465" i="23"/>
  <c r="I428" i="22"/>
  <c r="J428" i="22"/>
  <c r="I429" i="22"/>
  <c r="J429" i="22"/>
  <c r="I430" i="22"/>
  <c r="J430" i="22"/>
  <c r="I431" i="22"/>
  <c r="J431" i="22"/>
  <c r="I432" i="22"/>
  <c r="J432" i="22"/>
  <c r="I433" i="22"/>
  <c r="J433" i="22"/>
  <c r="I434" i="22"/>
  <c r="J434" i="22"/>
  <c r="I435" i="22"/>
  <c r="J435" i="22"/>
  <c r="I436" i="22"/>
  <c r="J436" i="22"/>
  <c r="I437" i="22"/>
  <c r="J437" i="22"/>
  <c r="I438" i="22"/>
  <c r="J438" i="22"/>
  <c r="I439" i="22"/>
  <c r="J439" i="22"/>
  <c r="I440" i="22"/>
  <c r="J440" i="22"/>
  <c r="I441" i="22"/>
  <c r="J441" i="22"/>
  <c r="I442" i="22"/>
  <c r="J442" i="22"/>
  <c r="I443" i="22"/>
  <c r="J443" i="22"/>
  <c r="I444" i="22"/>
  <c r="J444" i="22"/>
  <c r="I445" i="22"/>
  <c r="J445" i="22"/>
  <c r="I446" i="22"/>
  <c r="J446" i="22"/>
  <c r="I447" i="22"/>
  <c r="J447" i="22"/>
  <c r="I448" i="22"/>
  <c r="J448" i="22"/>
  <c r="I449" i="22"/>
  <c r="J449" i="22"/>
  <c r="I450" i="22"/>
  <c r="J450" i="22"/>
  <c r="I451" i="22"/>
  <c r="J451" i="22"/>
  <c r="I452" i="22"/>
  <c r="J452" i="22"/>
  <c r="I453" i="22"/>
  <c r="J453" i="22"/>
  <c r="I454" i="22"/>
  <c r="J454" i="22"/>
  <c r="I455" i="22"/>
  <c r="J455" i="22"/>
  <c r="I456" i="22"/>
  <c r="J456" i="22"/>
  <c r="I457" i="22"/>
  <c r="J457" i="22"/>
  <c r="M463" i="23"/>
  <c r="N463" i="23"/>
  <c r="O463" i="23"/>
  <c r="P463" i="23"/>
  <c r="M464" i="23"/>
  <c r="N464" i="23"/>
  <c r="O464" i="23"/>
  <c r="P464" i="23"/>
  <c r="N452" i="23"/>
  <c r="O452" i="23"/>
  <c r="P452" i="23"/>
  <c r="N453" i="23"/>
  <c r="O453" i="23"/>
  <c r="P453" i="23"/>
  <c r="N454" i="23"/>
  <c r="O454" i="23"/>
  <c r="P454" i="23"/>
  <c r="N455" i="23"/>
  <c r="O455" i="23"/>
  <c r="P455" i="23"/>
  <c r="N456" i="23"/>
  <c r="O456" i="23"/>
  <c r="P456" i="23"/>
  <c r="N457" i="23"/>
  <c r="O457" i="23"/>
  <c r="P457" i="23"/>
  <c r="N458" i="23"/>
  <c r="O458" i="23"/>
  <c r="P458" i="23"/>
  <c r="N459" i="23"/>
  <c r="O459" i="23"/>
  <c r="P459" i="23"/>
  <c r="N460" i="23"/>
  <c r="O460" i="23"/>
  <c r="P460" i="23"/>
  <c r="N461" i="23"/>
  <c r="O461" i="23"/>
  <c r="P461" i="23"/>
  <c r="N462" i="23"/>
  <c r="O462" i="23"/>
  <c r="P462" i="23"/>
  <c r="I399" i="22"/>
  <c r="J399" i="22"/>
  <c r="I400" i="22"/>
  <c r="J400" i="22"/>
  <c r="I401" i="22"/>
  <c r="J401" i="22"/>
  <c r="I402" i="22"/>
  <c r="J402" i="22"/>
  <c r="I403" i="22"/>
  <c r="J403" i="22"/>
  <c r="I404" i="22"/>
  <c r="J404" i="22"/>
  <c r="I405" i="22"/>
  <c r="J405" i="22"/>
  <c r="I406" i="22"/>
  <c r="J406" i="22"/>
  <c r="I407" i="22"/>
  <c r="J407" i="22"/>
  <c r="I408" i="22"/>
  <c r="J408" i="22"/>
  <c r="I409" i="22"/>
  <c r="J409" i="22"/>
  <c r="I410" i="22"/>
  <c r="J410" i="22"/>
  <c r="I411" i="22"/>
  <c r="J411" i="22"/>
  <c r="I412" i="22"/>
  <c r="J412" i="22"/>
  <c r="I413" i="22"/>
  <c r="J413" i="22"/>
  <c r="I414" i="22"/>
  <c r="J414" i="22"/>
  <c r="I415" i="22"/>
  <c r="J415" i="22"/>
  <c r="I416" i="22"/>
  <c r="J416" i="22"/>
  <c r="I417" i="22"/>
  <c r="J417" i="22"/>
  <c r="I418" i="22"/>
  <c r="J418" i="22"/>
  <c r="I419" i="22"/>
  <c r="J419" i="22"/>
  <c r="I420" i="22"/>
  <c r="J420" i="22"/>
  <c r="I421" i="22"/>
  <c r="J421" i="22"/>
  <c r="I422" i="22"/>
  <c r="J422" i="22"/>
  <c r="I423" i="22"/>
  <c r="J423" i="22"/>
  <c r="I424" i="22"/>
  <c r="J424" i="22"/>
  <c r="I425" i="22"/>
  <c r="J425" i="22"/>
  <c r="I426" i="22"/>
  <c r="J426" i="22"/>
  <c r="I427" i="22"/>
  <c r="J427" i="22"/>
  <c r="I398" i="22"/>
  <c r="J398" i="22"/>
  <c r="P451" i="23"/>
  <c r="O451" i="23"/>
  <c r="N451" i="23"/>
  <c r="P450" i="23"/>
  <c r="O450" i="23"/>
  <c r="N450" i="23"/>
  <c r="P449" i="23"/>
  <c r="O449" i="23"/>
  <c r="N449" i="23"/>
  <c r="P448" i="23"/>
  <c r="O448" i="23"/>
  <c r="N448" i="23"/>
  <c r="P447" i="23"/>
  <c r="O447" i="23"/>
  <c r="N447" i="23"/>
  <c r="P446" i="23"/>
  <c r="O446" i="23"/>
  <c r="N446" i="23"/>
  <c r="P445" i="23"/>
  <c r="O445" i="23"/>
  <c r="N445" i="23"/>
  <c r="M445" i="23"/>
  <c r="P444" i="23"/>
  <c r="O444" i="23"/>
  <c r="N444" i="23"/>
  <c r="P443" i="23"/>
  <c r="O443" i="23"/>
  <c r="N443" i="23"/>
  <c r="P442" i="23"/>
  <c r="O442" i="23"/>
  <c r="N442" i="23"/>
  <c r="P441" i="23"/>
  <c r="O441" i="23"/>
  <c r="N441" i="23"/>
  <c r="M441" i="23"/>
  <c r="P440" i="23"/>
  <c r="O440" i="23"/>
  <c r="N440" i="23"/>
  <c r="P439" i="23"/>
  <c r="O439" i="23"/>
  <c r="N439" i="23"/>
  <c r="P438" i="23"/>
  <c r="O438" i="23"/>
  <c r="N438" i="23"/>
  <c r="I384" i="22"/>
  <c r="J384" i="22"/>
  <c r="I385" i="22"/>
  <c r="J385" i="22"/>
  <c r="I386" i="22"/>
  <c r="J386" i="22"/>
  <c r="I387" i="22"/>
  <c r="J387" i="22"/>
  <c r="I388" i="22"/>
  <c r="J388" i="22"/>
  <c r="I389" i="22"/>
  <c r="J389" i="22"/>
  <c r="I390" i="22"/>
  <c r="J390" i="22"/>
  <c r="I391" i="22"/>
  <c r="J391" i="22"/>
  <c r="I392" i="22"/>
  <c r="J392" i="22"/>
  <c r="I393" i="22"/>
  <c r="J393" i="22"/>
  <c r="I394" i="22"/>
  <c r="J394" i="22"/>
  <c r="I395" i="22"/>
  <c r="J395" i="22"/>
  <c r="I396" i="22"/>
  <c r="J396" i="22"/>
  <c r="I397" i="22"/>
  <c r="J397" i="22"/>
  <c r="N430" i="23"/>
  <c r="O430" i="23"/>
  <c r="P430" i="23"/>
  <c r="N431" i="23"/>
  <c r="O431" i="23"/>
  <c r="P431" i="23"/>
  <c r="N432" i="23"/>
  <c r="O432" i="23"/>
  <c r="P432" i="23"/>
  <c r="N433" i="23"/>
  <c r="O433" i="23"/>
  <c r="P433" i="23"/>
  <c r="M434" i="23"/>
  <c r="N434" i="23"/>
  <c r="O434" i="23"/>
  <c r="P434" i="23"/>
  <c r="M435" i="23"/>
  <c r="N435" i="23"/>
  <c r="O435" i="23"/>
  <c r="P435" i="23"/>
  <c r="M436" i="23"/>
  <c r="N436" i="23"/>
  <c r="O436" i="23"/>
  <c r="P436" i="23"/>
  <c r="M437" i="23"/>
  <c r="N437" i="23"/>
  <c r="O437" i="23"/>
  <c r="P437" i="23"/>
  <c r="M386" i="23"/>
  <c r="N386" i="23"/>
  <c r="O386" i="23"/>
  <c r="P386" i="23"/>
  <c r="M387" i="23"/>
  <c r="N387" i="23"/>
  <c r="O387" i="23"/>
  <c r="P387" i="23"/>
  <c r="M388" i="23"/>
  <c r="N388" i="23"/>
  <c r="O388" i="23"/>
  <c r="P388" i="23"/>
  <c r="M389" i="23"/>
  <c r="N389" i="23"/>
  <c r="O389" i="23"/>
  <c r="P389" i="23"/>
  <c r="M390" i="23"/>
  <c r="N390" i="23"/>
  <c r="O390" i="23"/>
  <c r="P390" i="23"/>
  <c r="M391" i="23"/>
  <c r="N391" i="23"/>
  <c r="O391" i="23"/>
  <c r="P391" i="23"/>
  <c r="M392" i="23"/>
  <c r="N392" i="23"/>
  <c r="O392" i="23"/>
  <c r="P392" i="23"/>
  <c r="M393" i="23"/>
  <c r="N393" i="23"/>
  <c r="O393" i="23"/>
  <c r="P393" i="23"/>
  <c r="M394" i="23"/>
  <c r="N394" i="23"/>
  <c r="O394" i="23"/>
  <c r="P394" i="23"/>
  <c r="M395" i="23"/>
  <c r="N395" i="23"/>
  <c r="O395" i="23"/>
  <c r="P395" i="23"/>
  <c r="M396" i="23"/>
  <c r="N396" i="23"/>
  <c r="O396" i="23"/>
  <c r="P396" i="23"/>
  <c r="M397" i="23"/>
  <c r="N397" i="23"/>
  <c r="O397" i="23"/>
  <c r="P397" i="23"/>
  <c r="M398" i="23"/>
  <c r="N398" i="23"/>
  <c r="O398" i="23"/>
  <c r="P398" i="23"/>
  <c r="M399" i="23"/>
  <c r="N399" i="23"/>
  <c r="O399" i="23"/>
  <c r="P399" i="23"/>
  <c r="M400" i="23"/>
  <c r="N400" i="23"/>
  <c r="O400" i="23"/>
  <c r="P400" i="23"/>
  <c r="M401" i="23"/>
  <c r="N401" i="23"/>
  <c r="O401" i="23"/>
  <c r="P401" i="23"/>
  <c r="M402" i="23"/>
  <c r="N402" i="23"/>
  <c r="O402" i="23"/>
  <c r="P402" i="23"/>
  <c r="M403" i="23"/>
  <c r="N403" i="23"/>
  <c r="O403" i="23"/>
  <c r="P403" i="23"/>
  <c r="M404" i="23"/>
  <c r="N404" i="23"/>
  <c r="O404" i="23"/>
  <c r="P404" i="23"/>
  <c r="N405" i="23"/>
  <c r="O405" i="23"/>
  <c r="P405" i="23"/>
  <c r="N406" i="23"/>
  <c r="O406" i="23"/>
  <c r="P406" i="23"/>
  <c r="N408" i="23"/>
  <c r="O408" i="23"/>
  <c r="P408" i="23"/>
  <c r="M409" i="23"/>
  <c r="N409" i="23"/>
  <c r="O409" i="23"/>
  <c r="P409" i="23"/>
  <c r="N410" i="23"/>
  <c r="O410" i="23"/>
  <c r="P410" i="23"/>
  <c r="N411" i="23"/>
  <c r="O411" i="23"/>
  <c r="P411" i="23"/>
  <c r="N412" i="23"/>
  <c r="O412" i="23"/>
  <c r="P412" i="23"/>
  <c r="M413" i="23"/>
  <c r="N413" i="23"/>
  <c r="O413" i="23"/>
  <c r="P413" i="23"/>
  <c r="N414" i="23"/>
  <c r="O414" i="23"/>
  <c r="P414" i="23"/>
  <c r="N415" i="23"/>
  <c r="O415" i="23"/>
  <c r="P415" i="23"/>
  <c r="N416" i="23"/>
  <c r="O416" i="23"/>
  <c r="P416" i="23"/>
  <c r="N417" i="23"/>
  <c r="O417" i="23"/>
  <c r="P417" i="23"/>
  <c r="N418" i="23"/>
  <c r="O418" i="23"/>
  <c r="P418" i="23"/>
  <c r="N419" i="23"/>
  <c r="O419" i="23"/>
  <c r="P419" i="23"/>
  <c r="N420" i="23"/>
  <c r="O420" i="23"/>
  <c r="P420" i="23"/>
  <c r="N421" i="23"/>
  <c r="O421" i="23"/>
  <c r="P421" i="23"/>
  <c r="N422" i="23"/>
  <c r="O422" i="23"/>
  <c r="P422" i="23"/>
  <c r="N423" i="23"/>
  <c r="O423" i="23"/>
  <c r="P423" i="23"/>
  <c r="N424" i="23"/>
  <c r="O424" i="23"/>
  <c r="P424" i="23"/>
  <c r="N425" i="23"/>
  <c r="O425" i="23"/>
  <c r="P425" i="23"/>
  <c r="N426" i="23"/>
  <c r="O426" i="23"/>
  <c r="P426" i="23"/>
  <c r="N427" i="23"/>
  <c r="O427" i="23"/>
  <c r="P427" i="23"/>
  <c r="N428" i="23"/>
  <c r="O428" i="23"/>
  <c r="P428" i="23"/>
  <c r="N429" i="23"/>
  <c r="O429" i="23"/>
  <c r="P429" i="23"/>
  <c r="M385" i="23"/>
  <c r="N385" i="23"/>
  <c r="O385" i="23"/>
  <c r="P385" i="23"/>
  <c r="I370" i="22"/>
  <c r="J370" i="22"/>
  <c r="I371" i="22"/>
  <c r="J371" i="22"/>
  <c r="I372" i="22"/>
  <c r="J372" i="22"/>
  <c r="I373" i="22"/>
  <c r="J373" i="22"/>
  <c r="I374" i="22"/>
  <c r="J374" i="22"/>
  <c r="I375" i="22"/>
  <c r="J375" i="22"/>
  <c r="I376" i="22"/>
  <c r="J376" i="22"/>
  <c r="I377" i="22"/>
  <c r="J377" i="22"/>
  <c r="I378" i="22"/>
  <c r="J378" i="22"/>
  <c r="I379" i="22"/>
  <c r="J379" i="22"/>
  <c r="I380" i="22"/>
  <c r="J380" i="22"/>
  <c r="I381" i="22"/>
  <c r="J381" i="22"/>
  <c r="I382" i="22"/>
  <c r="J382" i="22"/>
  <c r="I383" i="22"/>
  <c r="J383" i="22"/>
  <c r="M384" i="23"/>
  <c r="N384" i="23"/>
  <c r="O384" i="23"/>
  <c r="P384" i="23"/>
  <c r="I364" i="22"/>
  <c r="J364" i="22"/>
  <c r="I365" i="22"/>
  <c r="J365" i="22"/>
  <c r="I366" i="22"/>
  <c r="J366" i="22"/>
  <c r="I367" i="22"/>
  <c r="J367" i="22"/>
  <c r="I368" i="22"/>
  <c r="J368" i="22"/>
  <c r="I369" i="22"/>
  <c r="J369" i="22"/>
  <c r="M383" i="23"/>
  <c r="N383" i="23"/>
  <c r="O383" i="23"/>
  <c r="P383" i="23"/>
  <c r="N365" i="23"/>
  <c r="O365" i="23"/>
  <c r="P365" i="23"/>
  <c r="N366" i="23"/>
  <c r="O366" i="23"/>
  <c r="P366" i="23"/>
  <c r="N367" i="23"/>
  <c r="O367" i="23"/>
  <c r="P367" i="23"/>
  <c r="N368" i="23"/>
  <c r="O368" i="23"/>
  <c r="P368" i="23"/>
  <c r="N369" i="23"/>
  <c r="O369" i="23"/>
  <c r="P369" i="23"/>
  <c r="N370" i="23"/>
  <c r="O370" i="23"/>
  <c r="P370" i="23"/>
  <c r="N371" i="23"/>
  <c r="O371" i="23"/>
  <c r="P371" i="23"/>
  <c r="M372" i="23"/>
  <c r="N372" i="23"/>
  <c r="O372" i="23"/>
  <c r="P372" i="23"/>
  <c r="N373" i="23"/>
  <c r="O373" i="23"/>
  <c r="P373" i="23"/>
  <c r="N374" i="23"/>
  <c r="O374" i="23"/>
  <c r="P374" i="23"/>
  <c r="M375" i="23"/>
  <c r="N375" i="23"/>
  <c r="O375" i="23"/>
  <c r="P375" i="23"/>
  <c r="N376" i="23"/>
  <c r="O376" i="23"/>
  <c r="P376" i="23"/>
  <c r="N377" i="23"/>
  <c r="O377" i="23"/>
  <c r="P377" i="23"/>
  <c r="M378" i="23"/>
  <c r="N378" i="23"/>
  <c r="O378" i="23"/>
  <c r="P378" i="23"/>
  <c r="N379" i="23"/>
  <c r="O379" i="23"/>
  <c r="P379" i="23"/>
  <c r="N380" i="23"/>
  <c r="O380" i="23"/>
  <c r="P380" i="23"/>
  <c r="M381" i="23"/>
  <c r="N381" i="23"/>
  <c r="O381" i="23"/>
  <c r="P381" i="23"/>
  <c r="N382" i="23"/>
  <c r="O382" i="23"/>
  <c r="P382" i="23"/>
  <c r="I351" i="22"/>
  <c r="J351" i="22"/>
  <c r="I352" i="22"/>
  <c r="J352" i="22"/>
  <c r="I353" i="22"/>
  <c r="J353" i="22"/>
  <c r="I354" i="22"/>
  <c r="J354" i="22"/>
  <c r="I355" i="22"/>
  <c r="J355" i="22"/>
  <c r="I356" i="22"/>
  <c r="J356" i="22"/>
  <c r="I357" i="22"/>
  <c r="J357" i="22"/>
  <c r="I358" i="22"/>
  <c r="J358" i="22"/>
  <c r="I359" i="22"/>
  <c r="J359" i="22"/>
  <c r="I360" i="22"/>
  <c r="J360" i="22"/>
  <c r="I361" i="22"/>
  <c r="J361" i="22"/>
  <c r="I362" i="22"/>
  <c r="J362" i="22"/>
  <c r="I363" i="22"/>
  <c r="J363" i="22"/>
  <c r="M342" i="23"/>
  <c r="N342" i="23"/>
  <c r="O342" i="23"/>
  <c r="P342" i="23"/>
  <c r="M343" i="23"/>
  <c r="N343" i="23"/>
  <c r="O343" i="23"/>
  <c r="P343" i="23"/>
  <c r="N344" i="23"/>
  <c r="O344" i="23"/>
  <c r="P344" i="23"/>
  <c r="M345" i="23"/>
  <c r="N345" i="23"/>
  <c r="O345" i="23"/>
  <c r="P345" i="23"/>
  <c r="N346" i="23"/>
  <c r="O346" i="23"/>
  <c r="P346" i="23"/>
  <c r="M347" i="23"/>
  <c r="N347" i="23"/>
  <c r="O347" i="23"/>
  <c r="P347" i="23"/>
  <c r="N348" i="23"/>
  <c r="O348" i="23"/>
  <c r="P348" i="23"/>
  <c r="M349" i="23"/>
  <c r="N349" i="23"/>
  <c r="O349" i="23"/>
  <c r="P349" i="23"/>
  <c r="N350" i="23"/>
  <c r="O350" i="23"/>
  <c r="P350" i="23"/>
  <c r="M351" i="23"/>
  <c r="N351" i="23"/>
  <c r="O351" i="23"/>
  <c r="P351" i="23"/>
  <c r="N352" i="23"/>
  <c r="O352" i="23"/>
  <c r="P352" i="23"/>
  <c r="M353" i="23"/>
  <c r="N353" i="23"/>
  <c r="O353" i="23"/>
  <c r="P353" i="23"/>
  <c r="N354" i="23"/>
  <c r="O354" i="23"/>
  <c r="P354" i="23"/>
  <c r="M355" i="23"/>
  <c r="N355" i="23"/>
  <c r="O355" i="23"/>
  <c r="P355" i="23"/>
  <c r="M356" i="23"/>
  <c r="N356" i="23"/>
  <c r="O356" i="23"/>
  <c r="P356" i="23"/>
  <c r="N357" i="23"/>
  <c r="O357" i="23"/>
  <c r="P357" i="23"/>
  <c r="M358" i="23"/>
  <c r="N358" i="23"/>
  <c r="O358" i="23"/>
  <c r="P358" i="23"/>
  <c r="M359" i="23"/>
  <c r="N359" i="23"/>
  <c r="O359" i="23"/>
  <c r="P359" i="23"/>
  <c r="M360" i="23"/>
  <c r="N360" i="23"/>
  <c r="O360" i="23"/>
  <c r="P360" i="23"/>
  <c r="M361" i="23"/>
  <c r="N361" i="23"/>
  <c r="O361" i="23"/>
  <c r="P361" i="23"/>
  <c r="M362" i="23"/>
  <c r="N362" i="23"/>
  <c r="O362" i="23"/>
  <c r="P362" i="23"/>
  <c r="M363" i="23"/>
  <c r="N363" i="23"/>
  <c r="O363" i="23"/>
  <c r="P363" i="23"/>
  <c r="M364" i="23"/>
  <c r="N364" i="23"/>
  <c r="O364" i="23"/>
  <c r="P364" i="23"/>
  <c r="I327" i="22"/>
  <c r="J327" i="22"/>
  <c r="I328" i="22"/>
  <c r="J328" i="22"/>
  <c r="I329" i="22"/>
  <c r="J329" i="22"/>
  <c r="I330" i="22"/>
  <c r="J330" i="22"/>
  <c r="I331" i="22"/>
  <c r="J331" i="22"/>
  <c r="I332" i="22"/>
  <c r="J332" i="22"/>
  <c r="I333" i="22"/>
  <c r="J333" i="22"/>
  <c r="I334" i="22"/>
  <c r="J334" i="22"/>
  <c r="I335" i="22"/>
  <c r="J335" i="22"/>
  <c r="I336" i="22"/>
  <c r="J336" i="22"/>
  <c r="I337" i="22"/>
  <c r="J337" i="22"/>
  <c r="I338" i="22"/>
  <c r="J338" i="22"/>
  <c r="I339" i="22"/>
  <c r="J339" i="22"/>
  <c r="I340" i="22"/>
  <c r="J340" i="22"/>
  <c r="I341" i="22"/>
  <c r="J341" i="22"/>
  <c r="I342" i="22"/>
  <c r="J342" i="22"/>
  <c r="I343" i="22"/>
  <c r="J343" i="22"/>
  <c r="I344" i="22"/>
  <c r="J344" i="22"/>
  <c r="I345" i="22"/>
  <c r="J345" i="22"/>
  <c r="I346" i="22"/>
  <c r="J346" i="22"/>
  <c r="I347" i="22"/>
  <c r="J347" i="22"/>
  <c r="I348" i="22"/>
  <c r="J348" i="22"/>
  <c r="I349" i="22"/>
  <c r="J349" i="22"/>
  <c r="I350" i="22"/>
  <c r="J350" i="22"/>
  <c r="N337" i="23"/>
  <c r="O337" i="23"/>
  <c r="P337" i="23"/>
  <c r="M338" i="23"/>
  <c r="N338" i="23"/>
  <c r="O338" i="23"/>
  <c r="P338" i="23"/>
  <c r="M339" i="23"/>
  <c r="N339" i="23"/>
  <c r="O339" i="23"/>
  <c r="P339" i="23"/>
  <c r="M340" i="23"/>
  <c r="N340" i="23"/>
  <c r="O340" i="23"/>
  <c r="P340" i="23"/>
  <c r="M341" i="23"/>
  <c r="N341" i="23"/>
  <c r="O341" i="23"/>
  <c r="P341" i="23"/>
  <c r="M321" i="23"/>
  <c r="N321" i="23"/>
  <c r="O321" i="23"/>
  <c r="P321" i="23"/>
  <c r="M322" i="23"/>
  <c r="N322" i="23"/>
  <c r="O322" i="23"/>
  <c r="P322" i="23"/>
  <c r="N323" i="23"/>
  <c r="O323" i="23"/>
  <c r="P323" i="23"/>
  <c r="M324" i="23"/>
  <c r="N324" i="23"/>
  <c r="O324" i="23"/>
  <c r="P324" i="23"/>
  <c r="M325" i="23"/>
  <c r="N325" i="23"/>
  <c r="O325" i="23"/>
  <c r="P325" i="23"/>
  <c r="M326" i="23"/>
  <c r="N326" i="23"/>
  <c r="O326" i="23"/>
  <c r="P326" i="23"/>
  <c r="M327" i="23"/>
  <c r="N327" i="23"/>
  <c r="O327" i="23"/>
  <c r="P327" i="23"/>
  <c r="M328" i="23"/>
  <c r="N328" i="23"/>
  <c r="O328" i="23"/>
  <c r="P328" i="23"/>
  <c r="M329" i="23"/>
  <c r="N329" i="23"/>
  <c r="O329" i="23"/>
  <c r="P329" i="23"/>
  <c r="N330" i="23"/>
  <c r="O330" i="23"/>
  <c r="P330" i="23"/>
  <c r="N331" i="23"/>
  <c r="O331" i="23"/>
  <c r="P331" i="23"/>
  <c r="M332" i="23"/>
  <c r="N332" i="23"/>
  <c r="O332" i="23"/>
  <c r="P332" i="23"/>
  <c r="M333" i="23"/>
  <c r="N333" i="23"/>
  <c r="O333" i="23"/>
  <c r="P333" i="23"/>
  <c r="N334" i="23"/>
  <c r="O334" i="23"/>
  <c r="P334" i="23"/>
  <c r="M335" i="23"/>
  <c r="N335" i="23"/>
  <c r="O335" i="23"/>
  <c r="P335" i="23"/>
  <c r="N336" i="23"/>
  <c r="O336" i="23"/>
  <c r="P336" i="23"/>
  <c r="I312" i="22"/>
  <c r="J312" i="22"/>
  <c r="I313" i="22"/>
  <c r="J313" i="22"/>
  <c r="I314" i="22"/>
  <c r="J314" i="22"/>
  <c r="I315" i="22"/>
  <c r="J315" i="22"/>
  <c r="I316" i="22"/>
  <c r="J316" i="22"/>
  <c r="I317" i="22"/>
  <c r="J317" i="22"/>
  <c r="I318" i="22"/>
  <c r="J318" i="22"/>
  <c r="I319" i="22"/>
  <c r="J319" i="22"/>
  <c r="I320" i="22"/>
  <c r="J320" i="22"/>
  <c r="I321" i="22"/>
  <c r="J321" i="22"/>
  <c r="I322" i="22"/>
  <c r="J322" i="22"/>
  <c r="I323" i="22"/>
  <c r="J323" i="22"/>
  <c r="I324" i="22"/>
  <c r="J324" i="22"/>
  <c r="I325" i="22"/>
  <c r="J325" i="22"/>
  <c r="I326" i="22"/>
  <c r="J326" i="22"/>
  <c r="N319" i="23"/>
  <c r="O319" i="23"/>
  <c r="P319" i="23"/>
  <c r="M320" i="23"/>
  <c r="N320" i="23"/>
  <c r="O320" i="23"/>
  <c r="P320" i="23"/>
  <c r="I303" i="22"/>
  <c r="J303" i="22"/>
  <c r="I304" i="22"/>
  <c r="J304" i="22"/>
  <c r="I305" i="22"/>
  <c r="J305" i="22"/>
  <c r="I306" i="22"/>
  <c r="J306" i="22"/>
  <c r="I307" i="22"/>
  <c r="J307" i="22"/>
  <c r="I308" i="22"/>
  <c r="J308" i="22"/>
  <c r="I309" i="22"/>
  <c r="J309" i="22"/>
  <c r="I310" i="22"/>
  <c r="J310" i="22"/>
  <c r="I311" i="22"/>
  <c r="J311" i="22"/>
  <c r="I286" i="22"/>
  <c r="J286" i="22"/>
  <c r="I287" i="22"/>
  <c r="J287" i="22"/>
  <c r="I288" i="22"/>
  <c r="J288" i="22"/>
  <c r="I289" i="22"/>
  <c r="J289" i="22"/>
  <c r="I290" i="22"/>
  <c r="J290" i="22"/>
  <c r="I291" i="22"/>
  <c r="J291" i="22"/>
  <c r="I292" i="22"/>
  <c r="J292" i="22"/>
  <c r="I293" i="22"/>
  <c r="J293" i="22"/>
  <c r="I294" i="22"/>
  <c r="J294" i="22"/>
  <c r="I295" i="22"/>
  <c r="J295" i="22"/>
  <c r="I296" i="22"/>
  <c r="J296" i="22"/>
  <c r="I297" i="22"/>
  <c r="J297" i="22"/>
  <c r="I298" i="22"/>
  <c r="J298" i="22"/>
  <c r="I299" i="22"/>
  <c r="J299" i="22"/>
  <c r="I300" i="22"/>
  <c r="J300" i="22"/>
  <c r="I301" i="22"/>
  <c r="J301" i="22"/>
  <c r="I302" i="22"/>
  <c r="J302" i="22"/>
  <c r="M295" i="23"/>
  <c r="N295" i="23"/>
  <c r="O295" i="23"/>
  <c r="P295" i="23"/>
  <c r="N296" i="23"/>
  <c r="O296" i="23"/>
  <c r="P296" i="23"/>
  <c r="M297" i="23"/>
  <c r="N297" i="23"/>
  <c r="O297" i="23"/>
  <c r="P297" i="23"/>
  <c r="M298" i="23"/>
  <c r="N298" i="23"/>
  <c r="O298" i="23"/>
  <c r="P298" i="23"/>
  <c r="N299" i="23"/>
  <c r="O299" i="23"/>
  <c r="P299" i="23"/>
  <c r="M300" i="23"/>
  <c r="N300" i="23"/>
  <c r="O300" i="23"/>
  <c r="P300" i="23"/>
  <c r="N301" i="23"/>
  <c r="O301" i="23"/>
  <c r="P301" i="23"/>
  <c r="N302" i="23"/>
  <c r="O302" i="23"/>
  <c r="P302" i="23"/>
  <c r="N303" i="23"/>
  <c r="O303" i="23"/>
  <c r="P303" i="23"/>
  <c r="M304" i="23"/>
  <c r="N304" i="23"/>
  <c r="O304" i="23"/>
  <c r="P304" i="23"/>
  <c r="N305" i="23"/>
  <c r="O305" i="23"/>
  <c r="P305" i="23"/>
  <c r="M306" i="23"/>
  <c r="N306" i="23"/>
  <c r="O306" i="23"/>
  <c r="P306" i="23"/>
  <c r="N307" i="23"/>
  <c r="O307" i="23"/>
  <c r="P307" i="23"/>
  <c r="N308" i="23"/>
  <c r="O308" i="23"/>
  <c r="P308" i="23"/>
  <c r="N309" i="23"/>
  <c r="O309" i="23"/>
  <c r="P309" i="23"/>
  <c r="M310" i="23"/>
  <c r="N310" i="23"/>
  <c r="O310" i="23"/>
  <c r="P310" i="23"/>
  <c r="M311" i="23"/>
  <c r="N311" i="23"/>
  <c r="O311" i="23"/>
  <c r="P311" i="23"/>
  <c r="N312" i="23"/>
  <c r="O312" i="23"/>
  <c r="P312" i="23"/>
  <c r="N313" i="23"/>
  <c r="O313" i="23"/>
  <c r="P313" i="23"/>
  <c r="N314" i="23"/>
  <c r="O314" i="23"/>
  <c r="P314" i="23"/>
  <c r="N315" i="23"/>
  <c r="O315" i="23"/>
  <c r="P315" i="23"/>
  <c r="N316" i="23"/>
  <c r="O316" i="23"/>
  <c r="P316" i="23"/>
  <c r="N317" i="23"/>
  <c r="O317" i="23"/>
  <c r="P317" i="23"/>
  <c r="N318" i="23"/>
  <c r="O318" i="23"/>
  <c r="P318" i="23"/>
  <c r="M294" i="23"/>
  <c r="N294" i="23"/>
  <c r="O294" i="23"/>
  <c r="P294" i="23"/>
  <c r="N267" i="23"/>
  <c r="O267" i="23"/>
  <c r="P267" i="23"/>
  <c r="N268" i="23"/>
  <c r="O268" i="23"/>
  <c r="P268" i="23"/>
  <c r="N269" i="23"/>
  <c r="O269" i="23"/>
  <c r="P269" i="23"/>
  <c r="M270" i="23"/>
  <c r="N270" i="23"/>
  <c r="O270" i="23"/>
  <c r="P270" i="23"/>
  <c r="N271" i="23"/>
  <c r="O271" i="23"/>
  <c r="P271" i="23"/>
  <c r="M272" i="23"/>
  <c r="N272" i="23"/>
  <c r="O272" i="23"/>
  <c r="P272" i="23"/>
  <c r="N273" i="23"/>
  <c r="O273" i="23"/>
  <c r="P273" i="23"/>
  <c r="N274" i="23"/>
  <c r="O274" i="23"/>
  <c r="P274" i="23"/>
  <c r="N275" i="23"/>
  <c r="O275" i="23"/>
  <c r="P275" i="23"/>
  <c r="M276" i="23"/>
  <c r="N276" i="23"/>
  <c r="O276" i="23"/>
  <c r="P276" i="23"/>
  <c r="M277" i="23"/>
  <c r="N277" i="23"/>
  <c r="O277" i="23"/>
  <c r="P277" i="23"/>
  <c r="M278" i="23"/>
  <c r="N278" i="23"/>
  <c r="O278" i="23"/>
  <c r="P278" i="23"/>
  <c r="M279" i="23"/>
  <c r="N279" i="23"/>
  <c r="O279" i="23"/>
  <c r="P279" i="23"/>
  <c r="M280" i="23"/>
  <c r="N280" i="23"/>
  <c r="O280" i="23"/>
  <c r="P280" i="23"/>
  <c r="M281" i="23"/>
  <c r="N281" i="23"/>
  <c r="O281" i="23"/>
  <c r="P281" i="23"/>
  <c r="M282" i="23"/>
  <c r="N282" i="23"/>
  <c r="O282" i="23"/>
  <c r="P282" i="23"/>
  <c r="M283" i="23"/>
  <c r="N283" i="23"/>
  <c r="O283" i="23"/>
  <c r="P283" i="23"/>
  <c r="M284" i="23"/>
  <c r="N284" i="23"/>
  <c r="O284" i="23"/>
  <c r="P284" i="23"/>
  <c r="N285" i="23"/>
  <c r="O285" i="23"/>
  <c r="P285" i="23"/>
  <c r="N286" i="23"/>
  <c r="O286" i="23"/>
  <c r="P286" i="23"/>
  <c r="M287" i="23"/>
  <c r="N287" i="23"/>
  <c r="O287" i="23"/>
  <c r="P287" i="23"/>
  <c r="N288" i="23"/>
  <c r="O288" i="23"/>
  <c r="P288" i="23"/>
  <c r="N289" i="23"/>
  <c r="O289" i="23"/>
  <c r="P289" i="23"/>
  <c r="N290" i="23"/>
  <c r="O290" i="23"/>
  <c r="P290" i="23"/>
  <c r="N291" i="23"/>
  <c r="O291" i="23"/>
  <c r="P291" i="23"/>
  <c r="N292" i="23"/>
  <c r="O292" i="23"/>
  <c r="P292" i="23"/>
  <c r="M293" i="23"/>
  <c r="N293" i="23"/>
  <c r="O293" i="23"/>
  <c r="P293" i="23"/>
  <c r="M266" i="23"/>
  <c r="N266" i="23"/>
  <c r="O266" i="23"/>
  <c r="P266" i="23"/>
  <c r="I274" i="22"/>
  <c r="J274" i="22"/>
  <c r="I275" i="22"/>
  <c r="J275" i="22"/>
  <c r="I276" i="22"/>
  <c r="J276" i="22"/>
  <c r="I277" i="22"/>
  <c r="J277" i="22"/>
  <c r="I278" i="22"/>
  <c r="J278" i="22"/>
  <c r="I279" i="22"/>
  <c r="J279" i="22"/>
  <c r="I280" i="22"/>
  <c r="J280" i="22"/>
  <c r="I281" i="22"/>
  <c r="J281" i="22"/>
  <c r="I282" i="22"/>
  <c r="J282" i="22"/>
  <c r="I283" i="22"/>
  <c r="J283" i="22"/>
  <c r="I284" i="22"/>
  <c r="J284" i="22"/>
  <c r="I285" i="22"/>
  <c r="J285" i="22"/>
  <c r="P265" i="23"/>
  <c r="O265" i="23"/>
  <c r="N265" i="23"/>
  <c r="P264" i="23"/>
  <c r="O264" i="23"/>
  <c r="N264" i="23"/>
  <c r="M264" i="23"/>
  <c r="P263" i="23"/>
  <c r="O263" i="23"/>
  <c r="N263" i="23"/>
  <c r="M263" i="23"/>
  <c r="P262" i="23"/>
  <c r="O262" i="23"/>
  <c r="N262" i="23"/>
  <c r="P261" i="23"/>
  <c r="O261" i="23"/>
  <c r="N261" i="23"/>
  <c r="M261" i="23"/>
  <c r="P260" i="23"/>
  <c r="O260" i="23"/>
  <c r="N260" i="23"/>
  <c r="M260" i="23"/>
  <c r="P259" i="23"/>
  <c r="O259" i="23"/>
  <c r="N259" i="23"/>
  <c r="P258" i="23"/>
  <c r="O258" i="23"/>
  <c r="N258" i="23"/>
  <c r="M258" i="23"/>
  <c r="I261" i="22"/>
  <c r="J261" i="22"/>
  <c r="I262" i="22"/>
  <c r="J262" i="22"/>
  <c r="I263" i="22"/>
  <c r="J263" i="22"/>
  <c r="I264" i="22"/>
  <c r="J264" i="22"/>
  <c r="I265" i="22"/>
  <c r="J265" i="22"/>
  <c r="I266" i="22"/>
  <c r="J266" i="22"/>
  <c r="I267" i="22"/>
  <c r="J267" i="22"/>
  <c r="I268" i="22"/>
  <c r="J268" i="22"/>
  <c r="I269" i="22"/>
  <c r="J269" i="22"/>
  <c r="I270" i="22"/>
  <c r="J270" i="22"/>
  <c r="I271" i="22"/>
  <c r="J271" i="22"/>
  <c r="I272" i="22"/>
  <c r="J272" i="22"/>
  <c r="I273" i="22"/>
  <c r="J273" i="22"/>
  <c r="N256" i="23"/>
  <c r="O256" i="23"/>
  <c r="P256" i="23"/>
  <c r="N257" i="23"/>
  <c r="O257" i="23"/>
  <c r="P257" i="23"/>
  <c r="N253" i="23"/>
  <c r="O253" i="23"/>
  <c r="P253" i="23"/>
  <c r="M254" i="23"/>
  <c r="N254" i="23"/>
  <c r="O254" i="23"/>
  <c r="P254" i="23"/>
  <c r="M255" i="23"/>
  <c r="N255" i="23"/>
  <c r="O255" i="23"/>
  <c r="P255" i="23"/>
  <c r="P252" i="23"/>
  <c r="O252" i="23"/>
  <c r="N252" i="23"/>
  <c r="J260" i="22"/>
  <c r="I260" i="22"/>
  <c r="J259" i="22"/>
  <c r="I259" i="22"/>
  <c r="J258" i="22"/>
  <c r="I258" i="22"/>
  <c r="J257" i="22"/>
  <c r="I257" i="22"/>
  <c r="J256" i="22"/>
  <c r="I256" i="22"/>
  <c r="J255" i="22"/>
  <c r="I255" i="22"/>
  <c r="J254" i="22"/>
  <c r="I254" i="22"/>
  <c r="J253" i="22"/>
  <c r="I253" i="22"/>
  <c r="J252" i="22"/>
  <c r="I252" i="22"/>
  <c r="J251" i="22"/>
  <c r="I251" i="22"/>
  <c r="J250" i="22"/>
  <c r="I250" i="22"/>
  <c r="M251" i="23"/>
  <c r="N251" i="23"/>
  <c r="O251" i="23"/>
  <c r="P251" i="23"/>
  <c r="I241" i="22"/>
  <c r="J241" i="22"/>
  <c r="I242" i="22"/>
  <c r="J242" i="22"/>
  <c r="I243" i="22"/>
  <c r="J243" i="22"/>
  <c r="I244" i="22"/>
  <c r="J244" i="22"/>
  <c r="I245" i="22"/>
  <c r="J245" i="22"/>
  <c r="I232" i="22"/>
  <c r="J232" i="22"/>
  <c r="I233" i="22"/>
  <c r="J233" i="22"/>
  <c r="I234" i="22"/>
  <c r="J234" i="22"/>
  <c r="I235" i="22"/>
  <c r="J235" i="22"/>
  <c r="I236" i="22"/>
  <c r="J236" i="22"/>
  <c r="I237" i="22"/>
  <c r="J237" i="22"/>
  <c r="I238" i="22"/>
  <c r="J238" i="22"/>
  <c r="I239" i="22"/>
  <c r="J239" i="22"/>
  <c r="I240" i="22"/>
  <c r="J240" i="22"/>
  <c r="N229" i="23"/>
  <c r="O229" i="23"/>
  <c r="P229" i="23"/>
  <c r="M230" i="23"/>
  <c r="N230" i="23"/>
  <c r="O230" i="23"/>
  <c r="P230" i="23"/>
  <c r="N231" i="23"/>
  <c r="O231" i="23"/>
  <c r="P231" i="23"/>
  <c r="M232" i="23"/>
  <c r="N232" i="23"/>
  <c r="O232" i="23"/>
  <c r="P232" i="23"/>
  <c r="N233" i="23"/>
  <c r="O233" i="23"/>
  <c r="P233" i="23"/>
  <c r="M234" i="23"/>
  <c r="N234" i="23"/>
  <c r="O234" i="23"/>
  <c r="P234" i="23"/>
  <c r="N235" i="23"/>
  <c r="O235" i="23"/>
  <c r="P235" i="23"/>
  <c r="M236" i="23"/>
  <c r="N236" i="23"/>
  <c r="O236" i="23"/>
  <c r="P236" i="23"/>
  <c r="N237" i="23"/>
  <c r="O237" i="23"/>
  <c r="P237" i="23"/>
  <c r="M238" i="23"/>
  <c r="N238" i="23"/>
  <c r="O238" i="23"/>
  <c r="P238" i="23"/>
  <c r="N239" i="23"/>
  <c r="O239" i="23"/>
  <c r="P239" i="23"/>
  <c r="M240" i="23"/>
  <c r="N240" i="23"/>
  <c r="O240" i="23"/>
  <c r="P240" i="23"/>
  <c r="N241" i="23"/>
  <c r="O241" i="23"/>
  <c r="P241" i="23"/>
  <c r="M242" i="23"/>
  <c r="N242" i="23"/>
  <c r="O242" i="23"/>
  <c r="P242" i="23"/>
  <c r="N243" i="23"/>
  <c r="O243" i="23"/>
  <c r="P243" i="23"/>
  <c r="M244" i="23"/>
  <c r="N244" i="23"/>
  <c r="O244" i="23"/>
  <c r="P244" i="23"/>
  <c r="M245" i="23"/>
  <c r="N245" i="23"/>
  <c r="O245" i="23"/>
  <c r="P245" i="23"/>
  <c r="M246" i="23"/>
  <c r="N246" i="23"/>
  <c r="O246" i="23"/>
  <c r="P246" i="23"/>
  <c r="N247" i="23"/>
  <c r="O247" i="23"/>
  <c r="P247" i="23"/>
  <c r="N248" i="23"/>
  <c r="O248" i="23"/>
  <c r="P248" i="23"/>
  <c r="M249" i="23"/>
  <c r="N249" i="23"/>
  <c r="O249" i="23"/>
  <c r="P249" i="23"/>
  <c r="N250" i="23"/>
  <c r="O250" i="23"/>
  <c r="P250" i="23"/>
  <c r="N220" i="23"/>
  <c r="O220" i="23"/>
  <c r="P220" i="23"/>
  <c r="M221" i="23"/>
  <c r="N221" i="23"/>
  <c r="O221" i="23"/>
  <c r="P221" i="23"/>
  <c r="N222" i="23"/>
  <c r="O222" i="23"/>
  <c r="P222" i="23"/>
  <c r="M223" i="23"/>
  <c r="N223" i="23"/>
  <c r="O223" i="23"/>
  <c r="P223" i="23"/>
  <c r="N224" i="23"/>
  <c r="O224" i="23"/>
  <c r="P224" i="23"/>
  <c r="M225" i="23"/>
  <c r="N225" i="23"/>
  <c r="O225" i="23"/>
  <c r="P225" i="23"/>
  <c r="M226" i="23"/>
  <c r="N226" i="23"/>
  <c r="O226" i="23"/>
  <c r="P226" i="23"/>
  <c r="N227" i="23"/>
  <c r="O227" i="23"/>
  <c r="P227" i="23"/>
  <c r="M228" i="23"/>
  <c r="N228" i="23"/>
  <c r="O228" i="23"/>
  <c r="P228" i="23"/>
  <c r="P219" i="23"/>
  <c r="O219" i="23"/>
  <c r="N219" i="23"/>
  <c r="P218" i="23"/>
  <c r="O218" i="23"/>
  <c r="N218" i="23"/>
  <c r="P217" i="23"/>
  <c r="O217" i="23"/>
  <c r="N217" i="23"/>
  <c r="P216" i="23"/>
  <c r="O216" i="23"/>
  <c r="N216" i="23"/>
  <c r="P215" i="23"/>
  <c r="O215" i="23"/>
  <c r="N215" i="23"/>
  <c r="P214" i="23"/>
  <c r="O214" i="23"/>
  <c r="N214" i="23"/>
  <c r="P213" i="23"/>
  <c r="O213" i="23"/>
  <c r="N213" i="23"/>
  <c r="P212" i="23"/>
  <c r="O212" i="23"/>
  <c r="N212" i="23"/>
  <c r="P211" i="23"/>
  <c r="O211" i="23"/>
  <c r="N211" i="23"/>
  <c r="P210" i="23"/>
  <c r="O210" i="23"/>
  <c r="N210" i="23"/>
  <c r="P209" i="23"/>
  <c r="O209" i="23"/>
  <c r="N209" i="23"/>
  <c r="P208" i="23"/>
  <c r="O208" i="23"/>
  <c r="N208" i="23"/>
  <c r="M208" i="23"/>
  <c r="P207" i="23"/>
  <c r="O207" i="23"/>
  <c r="N207" i="23"/>
  <c r="P206" i="23"/>
  <c r="O206" i="23"/>
  <c r="N206" i="23"/>
  <c r="M206" i="23"/>
  <c r="P205" i="23"/>
  <c r="O205" i="23"/>
  <c r="N205" i="23"/>
  <c r="P204" i="23"/>
  <c r="O204" i="23"/>
  <c r="N204" i="23"/>
  <c r="P203" i="23"/>
  <c r="O203" i="23"/>
  <c r="N203" i="23"/>
  <c r="P202" i="23"/>
  <c r="O202" i="23"/>
  <c r="N202" i="23"/>
  <c r="P201" i="23"/>
  <c r="O201" i="23"/>
  <c r="N201" i="23"/>
  <c r="P200" i="23"/>
  <c r="O200" i="23"/>
  <c r="N200" i="23"/>
  <c r="P199" i="23"/>
  <c r="O199" i="23"/>
  <c r="N199" i="23"/>
  <c r="P198" i="23"/>
  <c r="O198" i="23"/>
  <c r="N198" i="23"/>
  <c r="P197" i="23"/>
  <c r="O197" i="23"/>
  <c r="N197" i="23"/>
  <c r="P196" i="23"/>
  <c r="O196" i="23"/>
  <c r="N196" i="23"/>
  <c r="P195" i="23"/>
  <c r="O195" i="23"/>
  <c r="N195" i="23"/>
  <c r="P194" i="23"/>
  <c r="O194" i="23"/>
  <c r="N194" i="23"/>
  <c r="M194" i="23"/>
  <c r="J231" i="22"/>
  <c r="I231" i="22"/>
  <c r="J230" i="22"/>
  <c r="I230" i="22"/>
  <c r="J229" i="22"/>
  <c r="I229" i="22"/>
  <c r="J228" i="22"/>
  <c r="I228" i="22"/>
  <c r="J227" i="22"/>
  <c r="I227" i="22"/>
  <c r="J226" i="22"/>
  <c r="I226" i="22"/>
  <c r="J225" i="22"/>
  <c r="I225" i="22"/>
  <c r="J224" i="22"/>
  <c r="I224" i="22"/>
  <c r="J223" i="22"/>
  <c r="I223" i="22"/>
  <c r="J222" i="22"/>
  <c r="I222" i="22"/>
  <c r="J221" i="22"/>
  <c r="I221" i="22"/>
  <c r="J220" i="22"/>
  <c r="I220" i="22"/>
  <c r="J219" i="22"/>
  <c r="I219" i="22"/>
  <c r="J218" i="22"/>
  <c r="I218" i="22"/>
  <c r="J217" i="22"/>
  <c r="I217" i="22"/>
  <c r="J216" i="22"/>
  <c r="I216" i="22"/>
  <c r="J215" i="22"/>
  <c r="I215" i="22"/>
  <c r="J214" i="22"/>
  <c r="I214" i="22"/>
  <c r="J213" i="22"/>
  <c r="I213" i="22"/>
  <c r="J212" i="22"/>
  <c r="I212" i="22"/>
  <c r="J211" i="22"/>
  <c r="I211" i="22"/>
  <c r="J210" i="22"/>
  <c r="I210" i="22"/>
  <c r="J209" i="22"/>
  <c r="I209" i="22"/>
  <c r="J208" i="22"/>
  <c r="I208" i="22"/>
  <c r="J207" i="22"/>
  <c r="I207" i="22"/>
  <c r="J206" i="22"/>
  <c r="I206" i="22"/>
  <c r="E4" i="24"/>
  <c r="M191" i="23" l="1"/>
  <c r="N191" i="23"/>
  <c r="O191" i="23"/>
  <c r="P191" i="23"/>
  <c r="M192" i="23"/>
  <c r="N192" i="23"/>
  <c r="O192" i="23"/>
  <c r="P192" i="23"/>
  <c r="M193" i="23"/>
  <c r="N193" i="23"/>
  <c r="O193" i="23"/>
  <c r="P193" i="23"/>
  <c r="I193" i="22"/>
  <c r="J193" i="22"/>
  <c r="I194" i="22"/>
  <c r="J194" i="22"/>
  <c r="I195" i="22"/>
  <c r="J195" i="22"/>
  <c r="I196" i="22"/>
  <c r="J196" i="22"/>
  <c r="I197" i="22"/>
  <c r="J197" i="22"/>
  <c r="I198" i="22"/>
  <c r="J198" i="22"/>
  <c r="I199" i="22"/>
  <c r="J199" i="22"/>
  <c r="I200" i="22"/>
  <c r="J200" i="22"/>
  <c r="I201" i="22"/>
  <c r="J201" i="22"/>
  <c r="I202" i="22"/>
  <c r="J202" i="22"/>
  <c r="I203" i="22"/>
  <c r="J203" i="22"/>
  <c r="I204" i="22"/>
  <c r="J204" i="22"/>
  <c r="I205" i="22"/>
  <c r="J205" i="22"/>
  <c r="M182" i="23"/>
  <c r="N182" i="23"/>
  <c r="O182" i="23"/>
  <c r="P182" i="23"/>
  <c r="N183" i="23"/>
  <c r="O183" i="23"/>
  <c r="P183" i="23"/>
  <c r="N184" i="23"/>
  <c r="O184" i="23"/>
  <c r="P184" i="23"/>
  <c r="N185" i="23"/>
  <c r="O185" i="23"/>
  <c r="P185" i="23"/>
  <c r="N186" i="23"/>
  <c r="O186" i="23"/>
  <c r="P186" i="23"/>
  <c r="N187" i="23"/>
  <c r="O187" i="23"/>
  <c r="P187" i="23"/>
  <c r="N188" i="23"/>
  <c r="O188" i="23"/>
  <c r="P188" i="23"/>
  <c r="N189" i="23"/>
  <c r="O189" i="23"/>
  <c r="P189" i="23"/>
  <c r="M190" i="23"/>
  <c r="N190" i="23"/>
  <c r="O190" i="23"/>
  <c r="P190" i="23"/>
  <c r="I181" i="22"/>
  <c r="J181" i="22"/>
  <c r="I182" i="22"/>
  <c r="J182" i="22"/>
  <c r="I183" i="22"/>
  <c r="J183" i="22"/>
  <c r="I184" i="22"/>
  <c r="J184" i="22"/>
  <c r="I185" i="22"/>
  <c r="J185" i="22"/>
  <c r="I186" i="22"/>
  <c r="J186" i="22"/>
  <c r="I187" i="22"/>
  <c r="J187" i="22"/>
  <c r="I188" i="22"/>
  <c r="J188" i="22"/>
  <c r="I189" i="22"/>
  <c r="J189" i="22"/>
  <c r="I190" i="22"/>
  <c r="J190" i="22"/>
  <c r="I191" i="22"/>
  <c r="J191" i="22"/>
  <c r="I192" i="22"/>
  <c r="J192" i="22"/>
  <c r="N168" i="23"/>
  <c r="O168" i="23"/>
  <c r="P168" i="23"/>
  <c r="N169" i="23"/>
  <c r="O169" i="23"/>
  <c r="P169" i="23"/>
  <c r="N170" i="23"/>
  <c r="O170" i="23"/>
  <c r="P170" i="23"/>
  <c r="N171" i="23"/>
  <c r="O171" i="23"/>
  <c r="P171" i="23"/>
  <c r="N172" i="23"/>
  <c r="O172" i="23"/>
  <c r="P172" i="23"/>
  <c r="N173" i="23"/>
  <c r="O173" i="23"/>
  <c r="P173" i="23"/>
  <c r="N174" i="23"/>
  <c r="O174" i="23"/>
  <c r="P174" i="23"/>
  <c r="N175" i="23"/>
  <c r="O175" i="23"/>
  <c r="P175" i="23"/>
  <c r="N176" i="23"/>
  <c r="O176" i="23"/>
  <c r="P176" i="23"/>
  <c r="M177" i="23"/>
  <c r="N177" i="23"/>
  <c r="O177" i="23"/>
  <c r="P177" i="23"/>
  <c r="N178" i="23"/>
  <c r="O178" i="23"/>
  <c r="P178" i="23"/>
  <c r="N179" i="23"/>
  <c r="O179" i="23"/>
  <c r="P179" i="23"/>
  <c r="N180" i="23"/>
  <c r="O180" i="23"/>
  <c r="P180" i="23"/>
  <c r="N181" i="23"/>
  <c r="O181" i="23"/>
  <c r="P181" i="23"/>
  <c r="P167" i="23"/>
  <c r="O167" i="23"/>
  <c r="N167" i="23"/>
  <c r="P166" i="23"/>
  <c r="O166" i="23"/>
  <c r="N166" i="23"/>
  <c r="P165" i="23"/>
  <c r="O165" i="23"/>
  <c r="N165" i="23"/>
  <c r="P164" i="23"/>
  <c r="O164" i="23"/>
  <c r="N164" i="23"/>
  <c r="P163" i="23"/>
  <c r="O163" i="23"/>
  <c r="N163" i="23"/>
  <c r="P162" i="23"/>
  <c r="O162" i="23"/>
  <c r="N162" i="23"/>
  <c r="P161" i="23"/>
  <c r="O161" i="23"/>
  <c r="N161" i="23"/>
  <c r="P160" i="23"/>
  <c r="O160" i="23"/>
  <c r="N160" i="23"/>
  <c r="P159" i="23"/>
  <c r="O159" i="23"/>
  <c r="N159" i="23"/>
  <c r="M159" i="23"/>
  <c r="J180" i="22"/>
  <c r="I180" i="22"/>
  <c r="J179" i="22"/>
  <c r="I179" i="22"/>
  <c r="J178" i="22"/>
  <c r="I178" i="22"/>
  <c r="J177" i="22"/>
  <c r="I177" i="22"/>
  <c r="J176" i="22"/>
  <c r="I176" i="22"/>
  <c r="J175" i="22"/>
  <c r="I175" i="22"/>
  <c r="J174" i="22"/>
  <c r="I174" i="22"/>
  <c r="J173" i="22"/>
  <c r="I173" i="22"/>
  <c r="J172" i="22"/>
  <c r="I172" i="22"/>
  <c r="J171" i="22"/>
  <c r="I171" i="22"/>
  <c r="J170" i="22"/>
  <c r="I170" i="22"/>
  <c r="J169" i="22"/>
  <c r="I169" i="22"/>
  <c r="J168" i="22"/>
  <c r="I168" i="22"/>
  <c r="J167" i="22"/>
  <c r="I167" i="22"/>
  <c r="J166" i="22"/>
  <c r="I166" i="22"/>
  <c r="J165" i="22"/>
  <c r="I165" i="22"/>
  <c r="J164" i="22"/>
  <c r="I164" i="22"/>
  <c r="J163" i="22"/>
  <c r="I163" i="22"/>
  <c r="J162" i="22"/>
  <c r="I162" i="22"/>
  <c r="J161" i="22"/>
  <c r="I161" i="22"/>
  <c r="J160" i="22"/>
  <c r="I160" i="22"/>
  <c r="J159" i="22"/>
  <c r="I159" i="22"/>
  <c r="M158" i="23"/>
  <c r="N158" i="23"/>
  <c r="O158" i="23"/>
  <c r="P158" i="23"/>
  <c r="M136" i="23"/>
  <c r="N136" i="23"/>
  <c r="O136" i="23"/>
  <c r="P136" i="23"/>
  <c r="M137" i="23"/>
  <c r="N137" i="23"/>
  <c r="O137" i="23"/>
  <c r="P137" i="23"/>
  <c r="N138" i="23"/>
  <c r="O138" i="23"/>
  <c r="P138" i="23"/>
  <c r="M139" i="23"/>
  <c r="N139" i="23"/>
  <c r="O139" i="23"/>
  <c r="P139" i="23"/>
  <c r="M140" i="23"/>
  <c r="N140" i="23"/>
  <c r="O140" i="23"/>
  <c r="P140" i="23"/>
  <c r="N141" i="23"/>
  <c r="O141" i="23"/>
  <c r="P141" i="23"/>
  <c r="N142" i="23"/>
  <c r="O142" i="23"/>
  <c r="P142" i="23"/>
  <c r="N143" i="23"/>
  <c r="O143" i="23"/>
  <c r="P143" i="23"/>
  <c r="N144" i="23"/>
  <c r="O144" i="23"/>
  <c r="P144" i="23"/>
  <c r="N145" i="23"/>
  <c r="O145" i="23"/>
  <c r="P145" i="23"/>
  <c r="N146" i="23"/>
  <c r="O146" i="23"/>
  <c r="P146" i="23"/>
  <c r="N147" i="23"/>
  <c r="O147" i="23"/>
  <c r="P147" i="23"/>
  <c r="N148" i="23"/>
  <c r="O148" i="23"/>
  <c r="P148" i="23"/>
  <c r="N149" i="23"/>
  <c r="O149" i="23"/>
  <c r="P149" i="23"/>
  <c r="M150" i="23"/>
  <c r="N150" i="23"/>
  <c r="O150" i="23"/>
  <c r="P150" i="23"/>
  <c r="M151" i="23"/>
  <c r="N151" i="23"/>
  <c r="O151" i="23"/>
  <c r="P151" i="23"/>
  <c r="M152" i="23"/>
  <c r="N152" i="23"/>
  <c r="O152" i="23"/>
  <c r="P152" i="23"/>
  <c r="M153" i="23"/>
  <c r="N153" i="23"/>
  <c r="O153" i="23"/>
  <c r="P153" i="23"/>
  <c r="N154" i="23"/>
  <c r="O154" i="23"/>
  <c r="P154" i="23"/>
  <c r="M155" i="23"/>
  <c r="N155" i="23"/>
  <c r="O155" i="23"/>
  <c r="P155" i="23"/>
  <c r="M156" i="23"/>
  <c r="N156" i="23"/>
  <c r="O156" i="23"/>
  <c r="P156" i="23"/>
  <c r="M157" i="23"/>
  <c r="N157" i="23"/>
  <c r="O157" i="23"/>
  <c r="P157" i="23"/>
  <c r="I147" i="22"/>
  <c r="J147" i="22"/>
  <c r="I148" i="22"/>
  <c r="J148" i="22"/>
  <c r="I149" i="22"/>
  <c r="J149" i="22"/>
  <c r="I150" i="22"/>
  <c r="J150" i="22"/>
  <c r="I151" i="22"/>
  <c r="J151" i="22"/>
  <c r="I152" i="22"/>
  <c r="J152" i="22"/>
  <c r="I153" i="22"/>
  <c r="J153" i="22"/>
  <c r="I154" i="22"/>
  <c r="J154" i="22"/>
  <c r="I155" i="22"/>
  <c r="J155" i="22"/>
  <c r="I156" i="22"/>
  <c r="J156" i="22"/>
  <c r="I157" i="22"/>
  <c r="J157" i="22"/>
  <c r="I158" i="22"/>
  <c r="J158" i="22"/>
  <c r="M133" i="23"/>
  <c r="N133" i="23"/>
  <c r="O133" i="23"/>
  <c r="P133" i="23"/>
  <c r="N134" i="23"/>
  <c r="O134" i="23"/>
  <c r="P134" i="23"/>
  <c r="M135" i="23"/>
  <c r="N135" i="23"/>
  <c r="O135" i="23"/>
  <c r="P135" i="23"/>
  <c r="I129" i="22"/>
  <c r="J129" i="22"/>
  <c r="I130" i="22"/>
  <c r="J130" i="22"/>
  <c r="I131" i="22"/>
  <c r="J131" i="22"/>
  <c r="I132" i="22"/>
  <c r="J132" i="22"/>
  <c r="I133" i="22"/>
  <c r="J133" i="22"/>
  <c r="I134" i="22"/>
  <c r="J134" i="22"/>
  <c r="I135" i="22"/>
  <c r="J135" i="22"/>
  <c r="I136" i="22"/>
  <c r="J136" i="22"/>
  <c r="I137" i="22"/>
  <c r="J137" i="22"/>
  <c r="I138" i="22"/>
  <c r="J138" i="22"/>
  <c r="I139" i="22"/>
  <c r="J139" i="22"/>
  <c r="I140" i="22"/>
  <c r="J140" i="22"/>
  <c r="I141" i="22"/>
  <c r="J141" i="22"/>
  <c r="I142" i="22"/>
  <c r="J142" i="22"/>
  <c r="I143" i="22"/>
  <c r="J143" i="22"/>
  <c r="I144" i="22"/>
  <c r="J144" i="22"/>
  <c r="I145" i="22"/>
  <c r="J145" i="22"/>
  <c r="I146" i="22"/>
  <c r="J146" i="22"/>
  <c r="N119" i="23"/>
  <c r="O119" i="23"/>
  <c r="P119" i="23"/>
  <c r="N120" i="23"/>
  <c r="O120" i="23"/>
  <c r="P120" i="23"/>
  <c r="N121" i="23"/>
  <c r="O121" i="23"/>
  <c r="P121" i="23"/>
  <c r="N122" i="23"/>
  <c r="O122" i="23"/>
  <c r="P122" i="23"/>
  <c r="N123" i="23"/>
  <c r="O123" i="23"/>
  <c r="P123" i="23"/>
  <c r="M124" i="23"/>
  <c r="N124" i="23"/>
  <c r="O124" i="23"/>
  <c r="P124" i="23"/>
  <c r="M125" i="23"/>
  <c r="N125" i="23"/>
  <c r="O125" i="23"/>
  <c r="P125" i="23"/>
  <c r="N126" i="23"/>
  <c r="O126" i="23"/>
  <c r="P126" i="23"/>
  <c r="N127" i="23"/>
  <c r="O127" i="23"/>
  <c r="P127" i="23"/>
  <c r="N128" i="23"/>
  <c r="O128" i="23"/>
  <c r="P128" i="23"/>
  <c r="N129" i="23"/>
  <c r="O129" i="23"/>
  <c r="P129" i="23"/>
  <c r="M130" i="23"/>
  <c r="N130" i="23"/>
  <c r="O130" i="23"/>
  <c r="P130" i="23"/>
  <c r="M131" i="23"/>
  <c r="N131" i="23"/>
  <c r="O131" i="23"/>
  <c r="P131" i="23"/>
  <c r="N132" i="23"/>
  <c r="O132" i="23"/>
  <c r="P132" i="23"/>
  <c r="I120" i="22"/>
  <c r="J120" i="22"/>
  <c r="I121" i="22"/>
  <c r="J121" i="22"/>
  <c r="I122" i="22"/>
  <c r="J122" i="22"/>
  <c r="I123" i="22"/>
  <c r="J123" i="22"/>
  <c r="I124" i="22"/>
  <c r="J124" i="22"/>
  <c r="I125" i="22"/>
  <c r="J125" i="22"/>
  <c r="I126" i="22"/>
  <c r="J126" i="22"/>
  <c r="I127" i="22"/>
  <c r="J127" i="22"/>
  <c r="I128" i="22"/>
  <c r="J128" i="22"/>
  <c r="P118" i="23"/>
  <c r="O118" i="23"/>
  <c r="N118" i="23"/>
  <c r="M118" i="23"/>
  <c r="P117" i="23"/>
  <c r="O117" i="23"/>
  <c r="N117" i="23"/>
  <c r="M117" i="23"/>
  <c r="P116" i="23"/>
  <c r="O116" i="23"/>
  <c r="N116" i="23"/>
  <c r="P115" i="23"/>
  <c r="O115" i="23"/>
  <c r="N115" i="23"/>
  <c r="M115" i="23"/>
  <c r="P114" i="23"/>
  <c r="O114" i="23"/>
  <c r="N114" i="23"/>
  <c r="M114" i="23"/>
  <c r="P113" i="23"/>
  <c r="O113" i="23"/>
  <c r="N113" i="23"/>
  <c r="P112" i="23"/>
  <c r="O112" i="23"/>
  <c r="N112" i="23"/>
  <c r="M112" i="23"/>
  <c r="P111" i="23"/>
  <c r="O111" i="23"/>
  <c r="N111" i="23"/>
  <c r="M111" i="23"/>
  <c r="I115" i="22"/>
  <c r="J115" i="22"/>
  <c r="I116" i="22"/>
  <c r="J116" i="22"/>
  <c r="I117" i="22"/>
  <c r="J117" i="22"/>
  <c r="I118" i="22"/>
  <c r="J118" i="22"/>
  <c r="I119" i="22"/>
  <c r="J119" i="22"/>
  <c r="I104" i="22"/>
  <c r="J104" i="22"/>
  <c r="I105" i="22"/>
  <c r="J105" i="22"/>
  <c r="I106" i="22"/>
  <c r="J106" i="22"/>
  <c r="I107" i="22"/>
  <c r="J107" i="22"/>
  <c r="I108" i="22"/>
  <c r="J108" i="22"/>
  <c r="I109" i="22"/>
  <c r="J109" i="22"/>
  <c r="I110" i="22"/>
  <c r="J110" i="22"/>
  <c r="I111" i="22"/>
  <c r="J111" i="22"/>
  <c r="I112" i="22"/>
  <c r="J112" i="22"/>
  <c r="I113" i="22"/>
  <c r="J113" i="22"/>
  <c r="I114" i="22"/>
  <c r="J114" i="22"/>
  <c r="P110" i="23"/>
  <c r="O110" i="23"/>
  <c r="N110" i="23"/>
  <c r="P109" i="23"/>
  <c r="O109" i="23"/>
  <c r="N109" i="23"/>
  <c r="P108" i="23"/>
  <c r="O108" i="23"/>
  <c r="N108" i="23"/>
  <c r="P107" i="23"/>
  <c r="O107" i="23"/>
  <c r="N107" i="23"/>
  <c r="P106" i="23"/>
  <c r="O106" i="23"/>
  <c r="N106" i="23"/>
  <c r="P105" i="23"/>
  <c r="O105" i="23"/>
  <c r="N105" i="23"/>
  <c r="M105" i="23"/>
  <c r="P104" i="23"/>
  <c r="O104" i="23"/>
  <c r="N104" i="23"/>
  <c r="M104" i="23"/>
  <c r="P103" i="23"/>
  <c r="O103" i="23"/>
  <c r="N103" i="23"/>
  <c r="M103" i="23"/>
  <c r="P102" i="23"/>
  <c r="O102" i="23"/>
  <c r="N102" i="23"/>
  <c r="P101" i="23"/>
  <c r="O101" i="23"/>
  <c r="N101" i="23"/>
  <c r="P100" i="23"/>
  <c r="O100" i="23"/>
  <c r="N100" i="23"/>
  <c r="M100" i="23"/>
  <c r="I103" i="22"/>
  <c r="J103" i="22"/>
  <c r="P99" i="23"/>
  <c r="O99" i="23"/>
  <c r="N99" i="23"/>
  <c r="M99" i="23"/>
  <c r="P98" i="23"/>
  <c r="O98" i="23"/>
  <c r="N98" i="23"/>
  <c r="P97" i="23"/>
  <c r="O97" i="23"/>
  <c r="N97" i="23"/>
  <c r="M97" i="23"/>
  <c r="I95" i="22"/>
  <c r="J95" i="22"/>
  <c r="I96" i="22"/>
  <c r="J96" i="22"/>
  <c r="I97" i="22"/>
  <c r="J97" i="22"/>
  <c r="I98" i="22"/>
  <c r="J98" i="22"/>
  <c r="I99" i="22"/>
  <c r="J99" i="22"/>
  <c r="I100" i="22"/>
  <c r="J100" i="22"/>
  <c r="I101" i="22"/>
  <c r="J101" i="22"/>
  <c r="I102" i="22"/>
  <c r="J102" i="22"/>
  <c r="N79" i="23"/>
  <c r="O79" i="23"/>
  <c r="P79" i="23"/>
  <c r="M80" i="23"/>
  <c r="N80" i="23"/>
  <c r="O80" i="23"/>
  <c r="P80" i="23"/>
  <c r="M81" i="23"/>
  <c r="N81" i="23"/>
  <c r="O81" i="23"/>
  <c r="P81" i="23"/>
  <c r="N82" i="23"/>
  <c r="O82" i="23"/>
  <c r="P82" i="23"/>
  <c r="N83" i="23"/>
  <c r="O83" i="23"/>
  <c r="P83" i="23"/>
  <c r="N84" i="23"/>
  <c r="O84" i="23"/>
  <c r="P84" i="23"/>
  <c r="M85" i="23"/>
  <c r="N85" i="23"/>
  <c r="O85" i="23"/>
  <c r="P85" i="23"/>
  <c r="M86" i="23"/>
  <c r="N86" i="23"/>
  <c r="O86" i="23"/>
  <c r="P86" i="23"/>
  <c r="M87" i="23"/>
  <c r="N87" i="23"/>
  <c r="O87" i="23"/>
  <c r="P87" i="23"/>
  <c r="N88" i="23"/>
  <c r="O88" i="23"/>
  <c r="P88" i="23"/>
  <c r="N89" i="23"/>
  <c r="O89" i="23"/>
  <c r="P89" i="23"/>
  <c r="N90" i="23"/>
  <c r="O90" i="23"/>
  <c r="P90" i="23"/>
  <c r="N91" i="23"/>
  <c r="O91" i="23"/>
  <c r="P91" i="23"/>
  <c r="M92" i="23"/>
  <c r="N92" i="23"/>
  <c r="O92" i="23"/>
  <c r="P92" i="23"/>
  <c r="M93" i="23"/>
  <c r="N93" i="23"/>
  <c r="O93" i="23"/>
  <c r="P93" i="23"/>
  <c r="M94" i="23"/>
  <c r="N94" i="23"/>
  <c r="O94" i="23"/>
  <c r="P94" i="23"/>
  <c r="N95" i="23"/>
  <c r="O95" i="23"/>
  <c r="P95" i="23"/>
  <c r="N96" i="23"/>
  <c r="O96" i="23"/>
  <c r="P96" i="23"/>
  <c r="I83" i="22"/>
  <c r="J83" i="22"/>
  <c r="I84" i="22"/>
  <c r="J84" i="22"/>
  <c r="I85" i="22"/>
  <c r="J85" i="22"/>
  <c r="I86" i="22"/>
  <c r="J86" i="22"/>
  <c r="I87" i="22"/>
  <c r="J87" i="22"/>
  <c r="I88" i="22"/>
  <c r="J88" i="22"/>
  <c r="I89" i="22"/>
  <c r="J89" i="22"/>
  <c r="I90" i="22"/>
  <c r="J90" i="22"/>
  <c r="I91" i="22"/>
  <c r="J91" i="22"/>
  <c r="I92" i="22"/>
  <c r="J92" i="22"/>
  <c r="I93" i="22"/>
  <c r="J93" i="22"/>
  <c r="I94" i="22"/>
  <c r="J94" i="22"/>
  <c r="I82" i="22"/>
  <c r="J82" i="22"/>
  <c r="N75" i="23"/>
  <c r="O75" i="23"/>
  <c r="P75" i="23"/>
  <c r="M76" i="23"/>
  <c r="N76" i="23"/>
  <c r="O76" i="23"/>
  <c r="P76" i="23"/>
  <c r="N77" i="23"/>
  <c r="O77" i="23"/>
  <c r="P77" i="23"/>
  <c r="M78" i="23"/>
  <c r="N78" i="23"/>
  <c r="O78" i="23"/>
  <c r="P78" i="23"/>
  <c r="I73" i="22"/>
  <c r="J73" i="22"/>
  <c r="I74" i="22"/>
  <c r="J74" i="22"/>
  <c r="I75" i="22"/>
  <c r="J75" i="22"/>
  <c r="I76" i="22"/>
  <c r="J76" i="22"/>
  <c r="I77" i="22"/>
  <c r="J77" i="22"/>
  <c r="I78" i="22"/>
  <c r="J78" i="22"/>
  <c r="I79" i="22"/>
  <c r="J79" i="22"/>
  <c r="I80" i="22"/>
  <c r="J80" i="22"/>
  <c r="I81" i="22"/>
  <c r="J81" i="22"/>
  <c r="M63" i="23"/>
  <c r="N63" i="23"/>
  <c r="O63" i="23"/>
  <c r="P63" i="23"/>
  <c r="N64" i="23"/>
  <c r="O64" i="23"/>
  <c r="P64" i="23"/>
  <c r="M65" i="23"/>
  <c r="N65" i="23"/>
  <c r="O65" i="23"/>
  <c r="P65" i="23"/>
  <c r="N66" i="23"/>
  <c r="O66" i="23"/>
  <c r="P66" i="23"/>
  <c r="M67" i="23"/>
  <c r="N67" i="23"/>
  <c r="O67" i="23"/>
  <c r="P67" i="23"/>
  <c r="N68" i="23"/>
  <c r="O68" i="23"/>
  <c r="P68" i="23"/>
  <c r="M69" i="23"/>
  <c r="N69" i="23"/>
  <c r="O69" i="23"/>
  <c r="P69" i="23"/>
  <c r="N70" i="23"/>
  <c r="O70" i="23"/>
  <c r="P70" i="23"/>
  <c r="M71" i="23"/>
  <c r="N71" i="23"/>
  <c r="O71" i="23"/>
  <c r="P71" i="23"/>
  <c r="M72" i="23"/>
  <c r="N72" i="23"/>
  <c r="O72" i="23"/>
  <c r="P72" i="23"/>
  <c r="N73" i="23"/>
  <c r="O73" i="23"/>
  <c r="P73" i="23"/>
  <c r="N74" i="23"/>
  <c r="O74" i="23"/>
  <c r="P74" i="23"/>
  <c r="N62" i="23"/>
  <c r="O62" i="23"/>
  <c r="P62" i="23"/>
  <c r="N61" i="23" l="1"/>
  <c r="O61" i="23"/>
  <c r="P61" i="23"/>
  <c r="P60" i="23" l="1"/>
  <c r="O60" i="23"/>
  <c r="N60" i="23"/>
  <c r="M60" i="23"/>
  <c r="P59" i="23"/>
  <c r="O59" i="23"/>
  <c r="N59" i="23"/>
  <c r="M59" i="23"/>
  <c r="I55" i="22"/>
  <c r="J55" i="22"/>
  <c r="I56" i="22"/>
  <c r="J56" i="22"/>
  <c r="I57" i="22"/>
  <c r="J57" i="22"/>
  <c r="I58" i="22"/>
  <c r="J58" i="22"/>
  <c r="I59" i="22"/>
  <c r="J59" i="22"/>
  <c r="I60" i="22"/>
  <c r="J60" i="22"/>
  <c r="I61" i="22"/>
  <c r="J61" i="22"/>
  <c r="I62" i="22"/>
  <c r="J62" i="22"/>
  <c r="I63" i="22"/>
  <c r="J63" i="22"/>
  <c r="I64" i="22"/>
  <c r="J64" i="22"/>
  <c r="I65" i="22"/>
  <c r="J65" i="22"/>
  <c r="I66" i="22"/>
  <c r="J66" i="22"/>
  <c r="I67" i="22"/>
  <c r="J67" i="22"/>
  <c r="I68" i="22"/>
  <c r="J68" i="22"/>
  <c r="I69" i="22"/>
  <c r="J69" i="22"/>
  <c r="I70" i="22"/>
  <c r="J70" i="22"/>
  <c r="I71" i="22"/>
  <c r="J71" i="22"/>
  <c r="I72" i="22"/>
  <c r="J72" i="22"/>
  <c r="N51" i="23"/>
  <c r="O51" i="23"/>
  <c r="P51" i="23"/>
  <c r="M52" i="23"/>
  <c r="N52" i="23"/>
  <c r="O52" i="23"/>
  <c r="P52" i="23"/>
  <c r="N53" i="23"/>
  <c r="O53" i="23"/>
  <c r="P53" i="23"/>
  <c r="N54" i="23"/>
  <c r="O54" i="23"/>
  <c r="P54" i="23"/>
  <c r="N55" i="23"/>
  <c r="O55" i="23"/>
  <c r="P55" i="23"/>
  <c r="N56" i="23"/>
  <c r="O56" i="23"/>
  <c r="P56" i="23"/>
  <c r="N57" i="23"/>
  <c r="O57" i="23"/>
  <c r="P57" i="23"/>
  <c r="N58" i="23"/>
  <c r="O58" i="23"/>
  <c r="P58" i="23"/>
  <c r="N50" i="23"/>
  <c r="O50" i="23"/>
  <c r="P50" i="23"/>
  <c r="N47" i="23"/>
  <c r="O47" i="23"/>
  <c r="P47" i="23"/>
  <c r="N48" i="23"/>
  <c r="O48" i="23"/>
  <c r="P48" i="23"/>
  <c r="M49" i="23"/>
  <c r="N49" i="23"/>
  <c r="O49" i="23"/>
  <c r="P49" i="23"/>
  <c r="I53" i="22" l="1"/>
  <c r="J53" i="22"/>
  <c r="I54" i="22"/>
  <c r="J54" i="22"/>
  <c r="N43" i="23" l="1"/>
  <c r="O43" i="23"/>
  <c r="P43" i="23"/>
  <c r="M44" i="23"/>
  <c r="N44" i="23"/>
  <c r="O44" i="23"/>
  <c r="P44" i="23"/>
  <c r="N45" i="23"/>
  <c r="O45" i="23"/>
  <c r="P45" i="23"/>
  <c r="N46" i="23"/>
  <c r="O46" i="23"/>
  <c r="P46" i="23"/>
  <c r="N31" i="23"/>
  <c r="O31" i="23"/>
  <c r="P31" i="23"/>
  <c r="N32" i="23"/>
  <c r="O32" i="23"/>
  <c r="P32" i="23"/>
  <c r="N33" i="23"/>
  <c r="O33" i="23"/>
  <c r="P33" i="23"/>
  <c r="N34" i="23"/>
  <c r="O34" i="23"/>
  <c r="P34" i="23"/>
  <c r="N35" i="23"/>
  <c r="O35" i="23"/>
  <c r="P35" i="23"/>
  <c r="M36" i="23"/>
  <c r="N36" i="23"/>
  <c r="O36" i="23"/>
  <c r="P36" i="23"/>
  <c r="N37" i="23"/>
  <c r="O37" i="23"/>
  <c r="P37" i="23"/>
  <c r="N38" i="23"/>
  <c r="O38" i="23"/>
  <c r="P38" i="23"/>
  <c r="N39" i="23"/>
  <c r="O39" i="23"/>
  <c r="P39" i="23"/>
  <c r="N40" i="23"/>
  <c r="O40" i="23"/>
  <c r="P40" i="23"/>
  <c r="M41" i="23"/>
  <c r="N41" i="23"/>
  <c r="O41" i="23"/>
  <c r="P41" i="23"/>
  <c r="N42" i="23"/>
  <c r="O42" i="23"/>
  <c r="P42" i="23"/>
  <c r="I38" i="22"/>
  <c r="J38" i="22"/>
  <c r="I39" i="22"/>
  <c r="J39" i="22"/>
  <c r="I40" i="22"/>
  <c r="J40" i="22"/>
  <c r="I41" i="22"/>
  <c r="J41" i="22"/>
  <c r="I42" i="22"/>
  <c r="J42" i="22"/>
  <c r="I43" i="22"/>
  <c r="J43" i="22"/>
  <c r="I44" i="22"/>
  <c r="J44" i="22"/>
  <c r="I45" i="22"/>
  <c r="J45" i="22"/>
  <c r="I46" i="22"/>
  <c r="J46" i="22"/>
  <c r="I47" i="22"/>
  <c r="J47" i="22"/>
  <c r="I48" i="22"/>
  <c r="J48" i="22"/>
  <c r="I49" i="22"/>
  <c r="J49" i="22"/>
  <c r="I50" i="22"/>
  <c r="J50" i="22"/>
  <c r="I51" i="22"/>
  <c r="J51" i="22"/>
  <c r="I52" i="22"/>
  <c r="J52" i="22"/>
  <c r="N28" i="23"/>
  <c r="O28" i="23"/>
  <c r="P28" i="23"/>
  <c r="M29" i="23"/>
  <c r="N29" i="23"/>
  <c r="O29" i="23"/>
  <c r="P29" i="23"/>
  <c r="N30" i="23"/>
  <c r="O30" i="23"/>
  <c r="P30" i="23"/>
  <c r="I36" i="22"/>
  <c r="J36" i="22"/>
  <c r="I37" i="22"/>
  <c r="J37" i="22"/>
  <c r="I29" i="22"/>
  <c r="J29" i="22"/>
  <c r="I30" i="22"/>
  <c r="J30" i="22"/>
  <c r="I31" i="22"/>
  <c r="J31" i="22"/>
  <c r="I32" i="22"/>
  <c r="J32" i="22"/>
  <c r="I33" i="22"/>
  <c r="J33" i="22"/>
  <c r="I34" i="22"/>
  <c r="J34" i="22"/>
  <c r="I35" i="22"/>
  <c r="J35" i="22"/>
  <c r="M20" i="23"/>
  <c r="N20" i="23"/>
  <c r="O20" i="23"/>
  <c r="P20" i="23"/>
  <c r="N21" i="23"/>
  <c r="O21" i="23"/>
  <c r="P21" i="23"/>
  <c r="M22" i="23"/>
  <c r="N22" i="23"/>
  <c r="O22" i="23"/>
  <c r="P22" i="23"/>
  <c r="N23" i="23"/>
  <c r="O23" i="23"/>
  <c r="P23" i="23"/>
  <c r="M24" i="23"/>
  <c r="N24" i="23"/>
  <c r="O24" i="23"/>
  <c r="P24" i="23"/>
  <c r="M25" i="23"/>
  <c r="N25" i="23"/>
  <c r="O25" i="23"/>
  <c r="P25" i="23"/>
  <c r="M26" i="23"/>
  <c r="N26" i="23"/>
  <c r="O26" i="23"/>
  <c r="P26" i="23"/>
  <c r="M27" i="23"/>
  <c r="N27" i="23"/>
  <c r="O27" i="23"/>
  <c r="P27" i="23"/>
  <c r="I16" i="22"/>
  <c r="J16" i="22"/>
  <c r="I17" i="22"/>
  <c r="J17" i="22"/>
  <c r="I18" i="22"/>
  <c r="J18" i="22"/>
  <c r="I19" i="22"/>
  <c r="J19" i="22"/>
  <c r="I20" i="22"/>
  <c r="J20" i="22"/>
  <c r="I21" i="22"/>
  <c r="J21" i="22"/>
  <c r="I22" i="22"/>
  <c r="J22" i="22"/>
  <c r="I23" i="22"/>
  <c r="J23" i="22"/>
  <c r="I24" i="22"/>
  <c r="J24" i="22"/>
  <c r="I25" i="22"/>
  <c r="J25" i="22"/>
  <c r="I26" i="22"/>
  <c r="J26" i="22"/>
  <c r="I27" i="22"/>
  <c r="J27" i="22"/>
  <c r="I28" i="22"/>
  <c r="J28" i="22"/>
  <c r="N7" i="23"/>
  <c r="O7" i="23"/>
  <c r="P7" i="23"/>
  <c r="M8" i="23"/>
  <c r="N8" i="23"/>
  <c r="O8" i="23"/>
  <c r="P8" i="23"/>
  <c r="M9" i="23"/>
  <c r="N9" i="23"/>
  <c r="O9" i="23"/>
  <c r="P9" i="23"/>
  <c r="M10" i="23"/>
  <c r="N10" i="23"/>
  <c r="O10" i="23"/>
  <c r="P10" i="23"/>
  <c r="N11" i="23"/>
  <c r="O11" i="23"/>
  <c r="P11" i="23"/>
  <c r="N12" i="23"/>
  <c r="O12" i="23"/>
  <c r="P12" i="23"/>
  <c r="M13" i="23"/>
  <c r="N13" i="23"/>
  <c r="O13" i="23"/>
  <c r="P13" i="23"/>
  <c r="M14" i="23"/>
  <c r="N14" i="23"/>
  <c r="O14" i="23"/>
  <c r="P14" i="23"/>
  <c r="M15" i="23"/>
  <c r="N15" i="23"/>
  <c r="O15" i="23"/>
  <c r="P15" i="23"/>
  <c r="M16" i="23"/>
  <c r="N16" i="23"/>
  <c r="O16" i="23"/>
  <c r="P16" i="23"/>
  <c r="N17" i="23"/>
  <c r="O17" i="23"/>
  <c r="P17" i="23"/>
  <c r="N18" i="23"/>
  <c r="O18" i="23"/>
  <c r="P18" i="23"/>
  <c r="M19" i="23"/>
  <c r="N19" i="23"/>
  <c r="O19" i="23"/>
  <c r="P19" i="23"/>
  <c r="I6" i="22"/>
  <c r="J6" i="22"/>
  <c r="I7" i="22"/>
  <c r="J7" i="22"/>
  <c r="I8" i="22"/>
  <c r="J8" i="22"/>
  <c r="I9" i="22"/>
  <c r="J9" i="22"/>
  <c r="I10" i="22"/>
  <c r="J10" i="22"/>
  <c r="I11" i="22"/>
  <c r="J11" i="22"/>
  <c r="I12" i="22"/>
  <c r="J12" i="22"/>
  <c r="I13" i="22"/>
  <c r="J13" i="22"/>
  <c r="I14" i="22"/>
  <c r="J14" i="22"/>
  <c r="I15" i="22"/>
  <c r="J15" i="22"/>
  <c r="I2" i="22"/>
  <c r="J2" i="22"/>
  <c r="I3" i="22"/>
  <c r="J3" i="22"/>
  <c r="I4" i="22"/>
  <c r="J4" i="22"/>
  <c r="I5" i="22"/>
  <c r="J5" i="22"/>
  <c r="M2" i="23"/>
  <c r="N2" i="23"/>
  <c r="O2" i="23"/>
  <c r="P2" i="23"/>
  <c r="M3" i="23"/>
  <c r="N3" i="23"/>
  <c r="O3" i="23"/>
  <c r="P3" i="23"/>
  <c r="N4" i="23"/>
  <c r="O4" i="23"/>
  <c r="P4" i="23"/>
  <c r="N5" i="23"/>
  <c r="O5" i="23"/>
  <c r="P5" i="23"/>
  <c r="N6" i="23"/>
  <c r="O6" i="23"/>
  <c r="P6" i="23"/>
  <c r="D30" i="27" l="1" a="1"/>
  <c r="D22" i="27" a="1"/>
  <c r="C28" i="27" a="1"/>
  <c r="C22" i="27" a="1"/>
  <c r="D9" i="27" a="1"/>
  <c r="D14" i="27" a="1"/>
  <c r="D11" i="27" a="1"/>
  <c r="C17" i="27" a="1"/>
  <c r="C8" i="27" a="1"/>
  <c r="C31" i="27" a="1"/>
  <c r="C14" i="27" a="1"/>
  <c r="D17" i="27" a="1"/>
  <c r="D10" i="27" a="1"/>
  <c r="C16" i="27" a="1"/>
  <c r="D33" i="27" a="1"/>
  <c r="D27" i="27" a="1"/>
  <c r="C33" i="27" a="1"/>
  <c r="C29" i="27" a="1"/>
  <c r="C23" i="27" a="1"/>
  <c r="C7" i="27" a="1"/>
  <c r="D12" i="27" a="1"/>
  <c r="D7" i="27" a="1"/>
  <c r="C13" i="27" a="1"/>
  <c r="D29" i="27" a="1"/>
  <c r="D26" i="27" a="1"/>
  <c r="C30" i="27" a="1"/>
  <c r="C24" i="27" a="1"/>
  <c r="C27" i="27" a="1"/>
  <c r="D16" i="27" a="1"/>
  <c r="D8" i="27" a="1"/>
  <c r="C12" i="27" a="1"/>
  <c r="D31" i="27" a="1"/>
  <c r="D24" i="27" a="1"/>
  <c r="D13" i="27" a="1"/>
  <c r="D6" i="27" a="1"/>
  <c r="C11" i="27" a="1"/>
  <c r="C6" i="27" a="1"/>
  <c r="D28" i="27" a="1"/>
  <c r="D25" i="27" a="1"/>
  <c r="C32" i="27" a="1"/>
  <c r="C26" i="27" a="1"/>
  <c r="C15" i="27" a="1"/>
  <c r="C10" i="27" a="1"/>
  <c r="C9" i="27" a="1"/>
  <c r="D32" i="27" a="1"/>
  <c r="D23" i="27" a="1"/>
  <c r="C25" i="27" a="1"/>
  <c r="D15" i="27" a="1"/>
  <c r="G8" i="27" a="1"/>
  <c r="H8" i="27" a="1"/>
  <c r="G6" i="27" a="1"/>
  <c r="G7" i="27" a="1"/>
  <c r="H6" i="27" a="1"/>
  <c r="H7" i="27" a="1"/>
  <c r="D8" i="24"/>
  <c r="D33" i="25" l="1"/>
  <c r="D34" i="25"/>
  <c r="D35" i="25"/>
  <c r="D36" i="25"/>
  <c r="D37" i="25"/>
  <c r="D38" i="25"/>
  <c r="D39" i="25"/>
  <c r="D40" i="25"/>
  <c r="D41" i="25"/>
  <c r="D42" i="25"/>
  <c r="D43" i="25"/>
  <c r="D5" i="25" l="1"/>
  <c r="D6" i="25"/>
  <c r="D7" i="25"/>
  <c r="D4" i="25"/>
  <c r="M2445" i="23" s="1"/>
  <c r="D3" i="25"/>
  <c r="M2443" i="23" s="1"/>
  <c r="F2" i="24"/>
  <c r="M2436" i="23" l="1"/>
  <c r="M2447" i="23"/>
  <c r="M2437" i="23"/>
  <c r="M2448" i="23"/>
  <c r="M2438" i="23"/>
  <c r="M2449" i="23"/>
  <c r="M2414" i="23"/>
  <c r="M2435" i="23"/>
  <c r="M2413" i="23"/>
  <c r="M2433" i="23"/>
  <c r="M2377" i="23"/>
  <c r="M2415" i="23"/>
  <c r="M2378" i="23"/>
  <c r="M2416" i="23"/>
  <c r="M2379" i="23"/>
  <c r="M2417" i="23"/>
  <c r="M2374" i="23"/>
  <c r="M2405" i="23"/>
  <c r="M2373" i="23"/>
  <c r="M2395" i="23"/>
  <c r="M2294" i="23"/>
  <c r="M2327" i="23"/>
  <c r="M2335" i="23"/>
  <c r="M2328" i="23"/>
  <c r="M2342" i="23"/>
  <c r="M2329" i="23"/>
  <c r="M2351" i="23"/>
  <c r="M2326" i="23"/>
  <c r="M2107" i="23"/>
  <c r="M2085" i="23"/>
  <c r="M2080" i="23"/>
  <c r="M2106" i="23"/>
  <c r="M2095" i="23"/>
  <c r="M2079" i="23"/>
  <c r="M2084" i="23"/>
  <c r="M2075" i="23"/>
  <c r="M2081" i="23"/>
  <c r="M2076" i="23"/>
  <c r="M2083" i="23"/>
  <c r="M2053" i="23"/>
  <c r="M2077" i="23"/>
  <c r="M2049" i="23"/>
  <c r="M2074" i="23"/>
  <c r="M2042" i="23"/>
  <c r="M2072" i="23"/>
  <c r="M2030" i="23"/>
  <c r="M2052" i="23"/>
  <c r="M2031" i="23"/>
  <c r="M2048" i="23"/>
  <c r="M2019" i="23"/>
  <c r="M2047" i="23"/>
  <c r="M2015" i="23"/>
  <c r="M2032" i="23"/>
  <c r="M2012" i="23"/>
  <c r="M2029" i="23"/>
  <c r="M2002" i="23"/>
  <c r="M2013" i="23"/>
  <c r="M2003" i="23"/>
  <c r="M2014" i="23"/>
  <c r="M1993" i="23"/>
  <c r="M2011" i="23"/>
  <c r="M1998" i="23"/>
  <c r="M2001" i="23"/>
  <c r="M1985" i="23"/>
  <c r="M2004" i="23"/>
  <c r="M1913" i="23"/>
  <c r="M1997" i="23"/>
  <c r="M1975" i="23"/>
  <c r="M1971" i="23"/>
  <c r="M1974" i="23"/>
  <c r="M1942" i="23"/>
  <c r="M1972" i="23"/>
  <c r="M1926" i="23"/>
  <c r="M1928" i="23"/>
  <c r="M1919" i="23"/>
  <c r="M1934" i="23"/>
  <c r="M1976" i="23"/>
  <c r="M1921" i="23"/>
  <c r="M1966" i="23"/>
  <c r="M1915" i="23"/>
  <c r="M1973" i="23"/>
  <c r="M1912" i="23"/>
  <c r="M1920" i="23"/>
  <c r="M1906" i="23"/>
  <c r="M1914" i="23"/>
  <c r="M1909" i="23"/>
  <c r="M1917" i="23"/>
  <c r="M925" i="23"/>
  <c r="M1910" i="23"/>
  <c r="M1874" i="23"/>
  <c r="M1896" i="23"/>
  <c r="M912" i="23"/>
  <c r="M1908" i="23"/>
  <c r="M890" i="23"/>
  <c r="M954" i="23"/>
  <c r="M918" i="23"/>
  <c r="M944" i="23"/>
  <c r="M909" i="23"/>
  <c r="M911" i="23"/>
  <c r="M905" i="23"/>
  <c r="M914" i="23"/>
  <c r="M1718" i="23"/>
  <c r="M901" i="23"/>
  <c r="M865" i="23"/>
  <c r="M902" i="23"/>
  <c r="M873" i="23"/>
  <c r="M896" i="23"/>
  <c r="M1732" i="23"/>
  <c r="M879" i="23"/>
  <c r="M861" i="23"/>
  <c r="M871" i="23"/>
  <c r="M1697" i="23"/>
  <c r="M1731" i="23"/>
  <c r="M1707" i="23"/>
  <c r="M1717" i="23"/>
  <c r="M1651" i="23"/>
  <c r="M1705" i="23"/>
  <c r="M1696" i="23"/>
  <c r="M1713" i="23"/>
  <c r="M1681" i="23"/>
  <c r="M1712" i="23"/>
  <c r="M1694" i="23"/>
  <c r="M1708" i="23"/>
  <c r="M1689" i="23"/>
  <c r="M1661" i="23"/>
  <c r="M1657" i="23"/>
  <c r="M1690" i="23"/>
  <c r="M1658" i="23"/>
  <c r="M1692" i="23"/>
  <c r="M1618" i="23"/>
  <c r="M1699" i="23"/>
  <c r="M1673" i="23"/>
  <c r="M1685" i="23"/>
  <c r="M1656" i="23"/>
  <c r="M1674" i="23"/>
  <c r="M1653" i="23"/>
  <c r="M1652" i="23"/>
  <c r="M1630" i="23"/>
  <c r="M1654" i="23"/>
  <c r="M1617" i="23"/>
  <c r="M1660" i="23"/>
  <c r="M1631" i="23"/>
  <c r="M1655" i="23"/>
  <c r="M1628" i="23"/>
  <c r="M1625" i="23"/>
  <c r="M1599" i="23"/>
  <c r="M1629" i="23"/>
  <c r="M1603" i="23"/>
  <c r="M1619" i="23"/>
  <c r="M1601" i="23"/>
  <c r="M1633" i="23"/>
  <c r="M1600" i="23"/>
  <c r="M1632" i="23"/>
  <c r="M1598" i="23"/>
  <c r="M1605" i="23"/>
  <c r="M1589" i="23"/>
  <c r="M1602" i="23"/>
  <c r="M1586" i="23"/>
  <c r="M1588" i="23"/>
  <c r="M1585" i="23"/>
  <c r="M1592" i="23"/>
  <c r="M1584" i="23"/>
  <c r="M1591" i="23"/>
  <c r="M1579" i="23"/>
  <c r="M1590" i="23"/>
  <c r="M1563" i="23"/>
  <c r="M1582" i="23"/>
  <c r="M1565" i="23"/>
  <c r="M1577" i="23"/>
  <c r="M1561" i="23"/>
  <c r="M1567" i="23"/>
  <c r="M1542" i="23"/>
  <c r="M1573" i="23"/>
  <c r="M1541" i="23"/>
  <c r="M1569" i="23"/>
  <c r="M1553" i="23"/>
  <c r="M1568" i="23"/>
  <c r="M1548" i="23"/>
  <c r="M1500" i="23"/>
  <c r="M1539" i="23"/>
  <c r="M1555" i="23"/>
  <c r="M1519" i="23"/>
  <c r="M1551" i="23"/>
  <c r="M1521" i="23"/>
  <c r="M1540" i="23"/>
  <c r="M1506" i="23"/>
  <c r="M1520" i="23"/>
  <c r="M1509" i="23"/>
  <c r="M1525" i="23"/>
  <c r="M1508" i="23"/>
  <c r="M1524" i="23"/>
  <c r="M1488" i="23"/>
  <c r="M1505" i="23"/>
  <c r="M1490" i="23"/>
  <c r="M1507" i="23"/>
  <c r="M1476" i="23"/>
  <c r="M1489" i="23"/>
  <c r="M1472" i="23"/>
  <c r="M1491" i="23"/>
  <c r="M1465" i="23"/>
  <c r="M1464" i="23"/>
  <c r="M1449" i="23"/>
  <c r="M1475" i="23"/>
  <c r="M1434" i="23"/>
  <c r="M1474" i="23"/>
  <c r="M1446" i="23"/>
  <c r="M1471" i="23"/>
  <c r="M1438" i="23"/>
  <c r="M1450" i="23"/>
  <c r="M1420" i="23"/>
  <c r="M1428" i="23"/>
  <c r="M1421" i="23"/>
  <c r="M1430" i="23"/>
  <c r="M1423" i="23"/>
  <c r="M1433" i="23"/>
  <c r="M1422" i="23"/>
  <c r="M1432" i="23"/>
  <c r="M1346" i="23"/>
  <c r="M1424" i="23"/>
  <c r="M1400" i="23"/>
  <c r="M1383" i="23"/>
  <c r="M1391" i="23"/>
  <c r="M1386" i="23"/>
  <c r="M1401" i="23"/>
  <c r="M1382" i="23"/>
  <c r="M1387" i="23"/>
  <c r="M1378" i="23"/>
  <c r="M1385" i="23"/>
  <c r="M1359" i="23"/>
  <c r="M1375" i="23"/>
  <c r="M1331" i="23"/>
  <c r="M1380" i="23"/>
  <c r="M1345" i="23"/>
  <c r="M1284" i="23"/>
  <c r="M1337" i="23"/>
  <c r="M1291" i="23"/>
  <c r="M1309" i="23"/>
  <c r="M1334" i="23"/>
  <c r="M1314" i="23"/>
  <c r="M1339" i="23"/>
  <c r="M1302" i="23"/>
  <c r="M1311" i="23"/>
  <c r="M1286" i="23"/>
  <c r="M1324" i="23"/>
  <c r="M1250" i="23"/>
  <c r="M1317" i="23"/>
  <c r="M1297" i="23"/>
  <c r="M1301" i="23"/>
  <c r="M1292" i="23"/>
  <c r="M1300" i="23"/>
  <c r="M1268" i="23"/>
  <c r="M1233" i="23"/>
  <c r="M1270" i="23"/>
  <c r="M1304" i="23"/>
  <c r="M1271" i="23"/>
  <c r="M1298" i="23"/>
  <c r="M1240" i="23"/>
  <c r="M1269" i="23"/>
  <c r="M1205" i="23"/>
  <c r="M1283" i="23"/>
  <c r="M1243" i="23"/>
  <c r="M1279" i="23"/>
  <c r="M1245" i="23"/>
  <c r="M1281" i="23"/>
  <c r="M1239" i="23"/>
  <c r="M1264" i="23"/>
  <c r="M1214" i="23"/>
  <c r="M1248" i="23"/>
  <c r="M1238" i="23"/>
  <c r="M1247" i="23"/>
  <c r="M1204" i="23"/>
  <c r="M1235" i="23"/>
  <c r="M1215" i="23"/>
  <c r="M1237" i="23"/>
  <c r="M1216" i="23"/>
  <c r="M1230" i="23"/>
  <c r="M1202" i="23"/>
  <c r="M1212" i="23"/>
  <c r="M1134" i="23"/>
  <c r="M1206" i="23"/>
  <c r="M1135" i="23"/>
  <c r="M1203" i="23"/>
  <c r="M1185" i="23"/>
  <c r="M1210" i="23"/>
  <c r="M1173" i="23"/>
  <c r="M1182" i="23"/>
  <c r="M1181" i="23"/>
  <c r="M1179" i="23"/>
  <c r="M1172" i="23"/>
  <c r="M1175" i="23"/>
  <c r="M1176" i="23"/>
  <c r="M1178" i="23"/>
  <c r="M1026" i="23"/>
  <c r="M1124" i="23"/>
  <c r="M1060" i="23"/>
  <c r="M1042" i="23"/>
  <c r="M1080" i="23"/>
  <c r="M1105" i="23"/>
  <c r="M1079" i="23"/>
  <c r="M1109" i="23"/>
  <c r="M1031" i="23"/>
  <c r="M1115" i="23"/>
  <c r="M1074" i="23"/>
  <c r="M1029" i="23"/>
  <c r="M1011" i="23"/>
  <c r="M1030" i="23"/>
  <c r="M994" i="23"/>
  <c r="M1023" i="23"/>
  <c r="M999" i="23"/>
  <c r="M1038" i="23"/>
  <c r="M989" i="23"/>
  <c r="M1012" i="23"/>
  <c r="M992" i="23"/>
  <c r="M937" i="23"/>
  <c r="M887" i="23"/>
  <c r="M935" i="23"/>
  <c r="M913" i="23"/>
  <c r="M926" i="23"/>
  <c r="M932" i="23"/>
  <c r="M895" i="23"/>
  <c r="M836" i="23"/>
  <c r="M892" i="23"/>
  <c r="M866" i="23"/>
  <c r="M853" i="23"/>
  <c r="M876" i="23"/>
  <c r="M859" i="23"/>
  <c r="M854" i="23"/>
  <c r="M847" i="23"/>
  <c r="M652" i="23"/>
  <c r="M834" i="23"/>
  <c r="M832" i="23"/>
  <c r="M843" i="23"/>
  <c r="M830" i="23"/>
  <c r="M849" i="23"/>
  <c r="M825" i="23"/>
  <c r="M821" i="23"/>
  <c r="M835" i="23"/>
  <c r="M789" i="23"/>
  <c r="M812" i="23"/>
  <c r="M650" i="23"/>
  <c r="M814" i="23"/>
  <c r="M785" i="23"/>
  <c r="M818" i="23"/>
  <c r="M784" i="23"/>
  <c r="M816" i="23"/>
  <c r="M803" i="23"/>
  <c r="M805" i="23"/>
  <c r="M782" i="23"/>
  <c r="M777" i="23"/>
  <c r="M712" i="23"/>
  <c r="M800" i="23"/>
  <c r="M772" i="23"/>
  <c r="M783" i="23"/>
  <c r="M756" i="23"/>
  <c r="M752" i="23"/>
  <c r="M754" i="23"/>
  <c r="M762" i="23"/>
  <c r="M743" i="23"/>
  <c r="M760" i="23"/>
  <c r="M745" i="23"/>
  <c r="M759" i="23"/>
  <c r="M732" i="23"/>
  <c r="M763" i="23"/>
  <c r="M609" i="23"/>
  <c r="M725" i="23"/>
  <c r="M648" i="23"/>
  <c r="M595" i="23"/>
  <c r="M649" i="23"/>
  <c r="M638" i="23"/>
  <c r="M651" i="23"/>
  <c r="M653" i="23"/>
  <c r="M655" i="23"/>
  <c r="M666" i="23"/>
  <c r="M582" i="23"/>
  <c r="M654" i="23"/>
  <c r="M585" i="23"/>
  <c r="M597" i="23"/>
  <c r="M574" i="23"/>
  <c r="M608" i="23"/>
  <c r="M583" i="23"/>
  <c r="M605" i="23"/>
  <c r="M584" i="23"/>
  <c r="M591" i="23"/>
  <c r="M532" i="23"/>
  <c r="M578" i="23"/>
  <c r="M534" i="23"/>
  <c r="M483" i="23"/>
  <c r="M525" i="23"/>
  <c r="M566" i="23"/>
  <c r="M528" i="23"/>
  <c r="M552" i="23"/>
  <c r="M527" i="23"/>
  <c r="M577" i="23"/>
  <c r="M368" i="23"/>
  <c r="M530" i="23"/>
  <c r="M507" i="23"/>
  <c r="M531" i="23"/>
  <c r="M500" i="23"/>
  <c r="M529" i="23"/>
  <c r="M505" i="23"/>
  <c r="M427" i="23"/>
  <c r="M508" i="23"/>
  <c r="M454" i="23"/>
  <c r="M477" i="23"/>
  <c r="M493" i="23"/>
  <c r="M478" i="23"/>
  <c r="M494" i="23"/>
  <c r="M462" i="23"/>
  <c r="M470" i="23"/>
  <c r="M448" i="23"/>
  <c r="M468" i="23"/>
  <c r="M455" i="23"/>
  <c r="M465" i="23"/>
  <c r="M449" i="23"/>
  <c r="M461" i="23"/>
  <c r="M424" i="23"/>
  <c r="M457" i="23"/>
  <c r="M432" i="23"/>
  <c r="M433" i="23"/>
  <c r="M451" i="23"/>
  <c r="M425" i="23"/>
  <c r="M450" i="23"/>
  <c r="M379" i="23"/>
  <c r="M429" i="23"/>
  <c r="M366" i="23"/>
  <c r="M406" i="23"/>
  <c r="M365" i="23"/>
  <c r="M369" i="23"/>
  <c r="M350" i="23"/>
  <c r="M374" i="23"/>
  <c r="M352" i="23"/>
  <c r="M373" i="23"/>
  <c r="M330" i="23"/>
  <c r="M344" i="23"/>
  <c r="M312" i="23"/>
  <c r="M346" i="23"/>
  <c r="M309" i="23"/>
  <c r="M357" i="23"/>
  <c r="M286" i="23"/>
  <c r="M302" i="23"/>
  <c r="M307" i="23"/>
  <c r="M334" i="23"/>
  <c r="M308" i="23"/>
  <c r="M336" i="23"/>
  <c r="M268" i="23"/>
  <c r="M299" i="23"/>
  <c r="M288" i="23"/>
  <c r="M296" i="23"/>
  <c r="M259" i="23"/>
  <c r="M273" i="23"/>
  <c r="M235" i="23"/>
  <c r="M275" i="23"/>
  <c r="M233" i="23"/>
  <c r="M285" i="23"/>
  <c r="M231" i="23"/>
  <c r="M290" i="23"/>
  <c r="M256" i="23"/>
  <c r="M253" i="23"/>
  <c r="M229" i="23"/>
  <c r="M248" i="23"/>
  <c r="M227" i="23"/>
  <c r="M247" i="23"/>
  <c r="M199" i="23"/>
  <c r="M210" i="23"/>
  <c r="M201" i="23"/>
  <c r="M198" i="23"/>
  <c r="M197" i="23"/>
  <c r="M171" i="23"/>
  <c r="M195" i="23"/>
  <c r="M222" i="23"/>
  <c r="M189" i="23"/>
  <c r="M196" i="23"/>
  <c r="M188" i="23"/>
  <c r="M162" i="23"/>
  <c r="M184" i="23"/>
  <c r="M164" i="23"/>
  <c r="M185" i="23"/>
  <c r="M166" i="23"/>
  <c r="M186" i="23"/>
  <c r="M170" i="23"/>
  <c r="M168" i="23"/>
  <c r="M165" i="23"/>
  <c r="M174" i="23"/>
  <c r="M141" i="23"/>
  <c r="M169" i="23"/>
  <c r="M142" i="23"/>
  <c r="M161" i="23"/>
  <c r="M143" i="23"/>
  <c r="M163" i="23"/>
  <c r="M128" i="23"/>
  <c r="M147" i="23"/>
  <c r="M127" i="23"/>
  <c r="M145" i="23"/>
  <c r="M122" i="23"/>
  <c r="M119" i="23"/>
  <c r="M123" i="23"/>
  <c r="M120" i="23"/>
  <c r="M106" i="23"/>
  <c r="M126" i="23"/>
  <c r="M107" i="23"/>
  <c r="M116" i="23"/>
  <c r="M101" i="23"/>
  <c r="M113" i="23"/>
  <c r="M96" i="23"/>
  <c r="M102" i="23"/>
  <c r="M98" i="23"/>
  <c r="M109" i="23"/>
  <c r="M82" i="23"/>
  <c r="M79" i="23"/>
  <c r="M83" i="23"/>
  <c r="M89" i="23"/>
  <c r="M18" i="23"/>
  <c r="M91" i="23"/>
  <c r="M42" i="23"/>
  <c r="M88" i="23"/>
  <c r="M74" i="23"/>
  <c r="M84" i="23"/>
  <c r="M66" i="23"/>
  <c r="M75" i="23"/>
  <c r="M68" i="23"/>
  <c r="M77" i="23"/>
  <c r="M61" i="23"/>
  <c r="M64" i="23"/>
  <c r="M54" i="23"/>
  <c r="M50" i="23"/>
  <c r="M56" i="23"/>
  <c r="M58" i="23"/>
  <c r="M55" i="23"/>
  <c r="M57" i="23"/>
  <c r="M46" i="23"/>
  <c r="M48" i="23"/>
  <c r="M35" i="23"/>
  <c r="M51" i="23"/>
  <c r="M43" i="23"/>
  <c r="M53" i="23"/>
  <c r="M33" i="23"/>
  <c r="M32" i="23"/>
  <c r="M21" i="23"/>
  <c r="M38" i="23"/>
  <c r="M23" i="23"/>
  <c r="M39" i="23"/>
  <c r="M40" i="23"/>
  <c r="M6" i="23"/>
  <c r="M34" i="23"/>
  <c r="M4" i="23"/>
  <c r="M11" i="23"/>
  <c r="M5" i="23"/>
  <c r="F4" i="24"/>
  <c r="F8" i="24" l="1"/>
  <c r="D29" i="25"/>
  <c r="M1070" i="23" s="1"/>
  <c r="D30" i="25"/>
  <c r="D31" i="25"/>
  <c r="D32" i="25"/>
  <c r="D22" i="25" l="1"/>
  <c r="M2348" i="23" s="1"/>
  <c r="D23" i="25"/>
  <c r="M2349" i="23" s="1"/>
  <c r="D24" i="25"/>
  <c r="D25" i="25"/>
  <c r="M2352" i="23" s="1"/>
  <c r="D26" i="25"/>
  <c r="D27" i="25"/>
  <c r="D28" i="25"/>
  <c r="M1151" i="23" l="1"/>
  <c r="M2350" i="23"/>
  <c r="M1159" i="23"/>
  <c r="M2353" i="23"/>
  <c r="M1161" i="23"/>
  <c r="M2354" i="23"/>
  <c r="M1068" i="23"/>
  <c r="M1166" i="23"/>
  <c r="M1165" i="23"/>
  <c r="M1156" i="23"/>
  <c r="M1157" i="23"/>
  <c r="M1147" i="23"/>
  <c r="M1155" i="23"/>
  <c r="M1145" i="23"/>
  <c r="M1062" i="23"/>
  <c r="M1163" i="23"/>
  <c r="M1064" i="23"/>
  <c r="M719" i="23"/>
  <c r="M1063" i="23"/>
  <c r="M747" i="23"/>
  <c r="M1059" i="23"/>
  <c r="M1066" i="23"/>
  <c r="M723" i="23"/>
  <c r="M1058" i="23"/>
  <c r="M713" i="23"/>
  <c r="D20" i="25" l="1"/>
  <c r="D21" i="25"/>
  <c r="M1262" i="23" l="1"/>
  <c r="M2345" i="23"/>
  <c r="M1263" i="23"/>
  <c r="M2347" i="23"/>
  <c r="M1154" i="23"/>
  <c r="M1144" i="23"/>
  <c r="M1150" i="23"/>
  <c r="M1140" i="23"/>
  <c r="M993" i="23"/>
  <c r="M1057" i="23"/>
  <c r="M997" i="23"/>
  <c r="M1054" i="23"/>
  <c r="M741" i="23"/>
  <c r="M921" i="23"/>
  <c r="M721" i="23"/>
  <c r="D18" i="25" l="1"/>
  <c r="M2341" i="23" s="1"/>
  <c r="D19" i="25"/>
  <c r="M2100" i="23" l="1"/>
  <c r="M2343" i="23"/>
  <c r="M2099" i="23"/>
  <c r="M1261" i="23"/>
  <c r="M1952" i="23"/>
  <c r="M1950" i="23"/>
  <c r="M1259" i="23"/>
  <c r="M1949" i="23"/>
  <c r="M1951" i="23"/>
  <c r="M1148" i="23"/>
  <c r="M1133" i="23"/>
  <c r="M1149" i="23"/>
  <c r="M1137" i="23"/>
  <c r="M996" i="23"/>
  <c r="M1050" i="23"/>
  <c r="M1007" i="23"/>
  <c r="M1053" i="23"/>
  <c r="M748" i="23"/>
  <c r="M810" i="23"/>
  <c r="M749" i="23"/>
  <c r="M740" i="23"/>
  <c r="M559" i="23"/>
  <c r="M717" i="23"/>
  <c r="M416" i="23"/>
  <c r="M558" i="23"/>
  <c r="M422" i="23"/>
  <c r="M420" i="23"/>
  <c r="M440" i="23"/>
  <c r="G7" i="24" l="1"/>
  <c r="G6" i="24" l="1"/>
  <c r="Y1" i="23" l="1"/>
  <c r="E8" i="24" l="1"/>
  <c r="V1" i="23"/>
  <c r="C2" i="24"/>
  <c r="C4" i="24"/>
  <c r="D8" i="25"/>
  <c r="D9" i="25"/>
  <c r="D10" i="25"/>
  <c r="D11" i="25"/>
  <c r="M2425" i="23" s="1"/>
  <c r="D12" i="25"/>
  <c r="D13" i="25"/>
  <c r="D14" i="25"/>
  <c r="D15" i="25"/>
  <c r="D16" i="25"/>
  <c r="M2338" i="23" s="1"/>
  <c r="D17" i="25"/>
  <c r="M2339" i="23" s="1"/>
  <c r="D2" i="25"/>
  <c r="M2439" i="23" l="1"/>
  <c r="M2452" i="23"/>
  <c r="M2454" i="23"/>
  <c r="M2440" i="23"/>
  <c r="H2364" i="22"/>
  <c r="H2366" i="22"/>
  <c r="H2367" i="22"/>
  <c r="H2368" i="22"/>
  <c r="H2365" i="22"/>
  <c r="H2369" i="22"/>
  <c r="H2370" i="22"/>
  <c r="H2372" i="22"/>
  <c r="H2371" i="22"/>
  <c r="H2373" i="22"/>
  <c r="J2454" i="23"/>
  <c r="K2454" i="23" s="1"/>
  <c r="L2454" i="23" s="1"/>
  <c r="J2455" i="23"/>
  <c r="K2455" i="23" s="1"/>
  <c r="L2455" i="23" s="1"/>
  <c r="J2458" i="23"/>
  <c r="K2458" i="23" s="1"/>
  <c r="L2458" i="23" s="1"/>
  <c r="J2459" i="23"/>
  <c r="K2459" i="23" s="1"/>
  <c r="L2459" i="23" s="1"/>
  <c r="J2456" i="23"/>
  <c r="K2456" i="23" s="1"/>
  <c r="L2456" i="23" s="1"/>
  <c r="J2460" i="23"/>
  <c r="K2460" i="23" s="1"/>
  <c r="L2460" i="23" s="1"/>
  <c r="J2453" i="23"/>
  <c r="K2453" i="23" s="1"/>
  <c r="L2453" i="23" s="1"/>
  <c r="J2462" i="23"/>
  <c r="K2462" i="23" s="1"/>
  <c r="L2462" i="23" s="1"/>
  <c r="J2457" i="23"/>
  <c r="K2457" i="23" s="1"/>
  <c r="L2457" i="23" s="1"/>
  <c r="J2461" i="23"/>
  <c r="K2461" i="23" s="1"/>
  <c r="L2461" i="23" s="1"/>
  <c r="M2344" i="23"/>
  <c r="M2432" i="23"/>
  <c r="J2446" i="23"/>
  <c r="K2446" i="23" s="1"/>
  <c r="L2446" i="23" s="1"/>
  <c r="J2441" i="23"/>
  <c r="K2441" i="23" s="1"/>
  <c r="L2441" i="23" s="1"/>
  <c r="J2448" i="23"/>
  <c r="K2448" i="23" s="1"/>
  <c r="L2448" i="23" s="1"/>
  <c r="J2440" i="23"/>
  <c r="K2440" i="23" s="1"/>
  <c r="L2440" i="23" s="1"/>
  <c r="J2444" i="23"/>
  <c r="K2444" i="23" s="1"/>
  <c r="L2444" i="23" s="1"/>
  <c r="J2449" i="23"/>
  <c r="K2449" i="23" s="1"/>
  <c r="L2449" i="23" s="1"/>
  <c r="J2442" i="23"/>
  <c r="K2442" i="23" s="1"/>
  <c r="L2442" i="23" s="1"/>
  <c r="J2447" i="23"/>
  <c r="K2447" i="23" s="1"/>
  <c r="L2447" i="23" s="1"/>
  <c r="J2451" i="23"/>
  <c r="K2451" i="23" s="1"/>
  <c r="L2451" i="23" s="1"/>
  <c r="J2443" i="23"/>
  <c r="K2443" i="23" s="1"/>
  <c r="L2443" i="23" s="1"/>
  <c r="J2439" i="23"/>
  <c r="K2439" i="23" s="1"/>
  <c r="L2439" i="23" s="1"/>
  <c r="J2445" i="23"/>
  <c r="K2445" i="23" s="1"/>
  <c r="L2445" i="23" s="1"/>
  <c r="J2450" i="23"/>
  <c r="K2450" i="23" s="1"/>
  <c r="L2450" i="23" s="1"/>
  <c r="J2452" i="23"/>
  <c r="K2452" i="23" s="1"/>
  <c r="L2452" i="23" s="1"/>
  <c r="M2334" i="23"/>
  <c r="M2427" i="23"/>
  <c r="M2336" i="23"/>
  <c r="M2428" i="23"/>
  <c r="M2337" i="23"/>
  <c r="M2429" i="23"/>
  <c r="M2380" i="23"/>
  <c r="M2420" i="23"/>
  <c r="M2381" i="23"/>
  <c r="M2421" i="23"/>
  <c r="M2412" i="23"/>
  <c r="M2422" i="23"/>
  <c r="M2333" i="23"/>
  <c r="M2426" i="23"/>
  <c r="M2372" i="23"/>
  <c r="M2376" i="23"/>
  <c r="M2332" i="23"/>
  <c r="M2431" i="23"/>
  <c r="J2413" i="23"/>
  <c r="K2413" i="23" s="1"/>
  <c r="L2413" i="23" s="1"/>
  <c r="J2411" i="23"/>
  <c r="K2411" i="23" s="1"/>
  <c r="L2411" i="23" s="1"/>
  <c r="J2427" i="23"/>
  <c r="K2427" i="23" s="1"/>
  <c r="L2427" i="23" s="1"/>
  <c r="J2431" i="23"/>
  <c r="K2431" i="23" s="1"/>
  <c r="L2431" i="23" s="1"/>
  <c r="J2434" i="23"/>
  <c r="K2434" i="23" s="1"/>
  <c r="L2434" i="23" s="1"/>
  <c r="J2437" i="23"/>
  <c r="K2437" i="23" s="1"/>
  <c r="L2437" i="23" s="1"/>
  <c r="J2429" i="23"/>
  <c r="K2429" i="23" s="1"/>
  <c r="L2429" i="23" s="1"/>
  <c r="J2409" i="23"/>
  <c r="K2409" i="23" s="1"/>
  <c r="L2409" i="23" s="1"/>
  <c r="J2408" i="23"/>
  <c r="K2408" i="23" s="1"/>
  <c r="L2408" i="23" s="1"/>
  <c r="J2410" i="23"/>
  <c r="K2410" i="23" s="1"/>
  <c r="L2410" i="23" s="1"/>
  <c r="J2414" i="23"/>
  <c r="K2414" i="23" s="1"/>
  <c r="L2414" i="23" s="1"/>
  <c r="J2415" i="23"/>
  <c r="K2415" i="23" s="1"/>
  <c r="L2415" i="23" s="1"/>
  <c r="J2416" i="23"/>
  <c r="K2416" i="23" s="1"/>
  <c r="L2416" i="23" s="1"/>
  <c r="J2417" i="23"/>
  <c r="K2417" i="23" s="1"/>
  <c r="L2417" i="23" s="1"/>
  <c r="J2418" i="23"/>
  <c r="K2418" i="23" s="1"/>
  <c r="L2418" i="23" s="1"/>
  <c r="J2419" i="23"/>
  <c r="K2419" i="23" s="1"/>
  <c r="L2419" i="23" s="1"/>
  <c r="J2420" i="23"/>
  <c r="K2420" i="23" s="1"/>
  <c r="L2420" i="23" s="1"/>
  <c r="J2421" i="23"/>
  <c r="K2421" i="23" s="1"/>
  <c r="L2421" i="23" s="1"/>
  <c r="J2422" i="23"/>
  <c r="K2422" i="23" s="1"/>
  <c r="L2422" i="23" s="1"/>
  <c r="J2423" i="23"/>
  <c r="K2423" i="23" s="1"/>
  <c r="L2423" i="23" s="1"/>
  <c r="J2425" i="23"/>
  <c r="K2425" i="23" s="1"/>
  <c r="L2425" i="23" s="1"/>
  <c r="J2426" i="23"/>
  <c r="K2426" i="23" s="1"/>
  <c r="L2426" i="23" s="1"/>
  <c r="J2430" i="23"/>
  <c r="K2430" i="23" s="1"/>
  <c r="L2430" i="23" s="1"/>
  <c r="J2433" i="23"/>
  <c r="K2433" i="23" s="1"/>
  <c r="L2433" i="23" s="1"/>
  <c r="J2436" i="23"/>
  <c r="K2436" i="23" s="1"/>
  <c r="L2436" i="23" s="1"/>
  <c r="J2412" i="23"/>
  <c r="K2412" i="23" s="1"/>
  <c r="L2412" i="23" s="1"/>
  <c r="J2424" i="23"/>
  <c r="K2424" i="23" s="1"/>
  <c r="L2424" i="23" s="1"/>
  <c r="J2428" i="23"/>
  <c r="K2428" i="23" s="1"/>
  <c r="L2428" i="23" s="1"/>
  <c r="J2432" i="23"/>
  <c r="K2432" i="23" s="1"/>
  <c r="L2432" i="23" s="1"/>
  <c r="J2435" i="23"/>
  <c r="K2435" i="23" s="1"/>
  <c r="L2435" i="23" s="1"/>
  <c r="J2438" i="23"/>
  <c r="K2438" i="23" s="1"/>
  <c r="L2438" i="23" s="1"/>
  <c r="M2356" i="23"/>
  <c r="M2346" i="23"/>
  <c r="J2371" i="23"/>
  <c r="K2371" i="23" s="1"/>
  <c r="L2371" i="23" s="1"/>
  <c r="J2374" i="23"/>
  <c r="K2374" i="23" s="1"/>
  <c r="L2374" i="23" s="1"/>
  <c r="J2376" i="23"/>
  <c r="K2376" i="23" s="1"/>
  <c r="L2376" i="23" s="1"/>
  <c r="J2378" i="23"/>
  <c r="K2378" i="23" s="1"/>
  <c r="L2378" i="23" s="1"/>
  <c r="J2381" i="23"/>
  <c r="K2381" i="23" s="1"/>
  <c r="L2381" i="23" s="1"/>
  <c r="J2383" i="23"/>
  <c r="K2383" i="23" s="1"/>
  <c r="L2383" i="23" s="1"/>
  <c r="J2385" i="23"/>
  <c r="K2385" i="23" s="1"/>
  <c r="L2385" i="23" s="1"/>
  <c r="J2388" i="23"/>
  <c r="K2388" i="23" s="1"/>
  <c r="L2388" i="23" s="1"/>
  <c r="J2391" i="23"/>
  <c r="K2391" i="23" s="1"/>
  <c r="L2391" i="23" s="1"/>
  <c r="J2394" i="23"/>
  <c r="K2394" i="23" s="1"/>
  <c r="L2394" i="23" s="1"/>
  <c r="J2395" i="23"/>
  <c r="K2395" i="23" s="1"/>
  <c r="L2395" i="23" s="1"/>
  <c r="J2398" i="23"/>
  <c r="K2398" i="23" s="1"/>
  <c r="L2398" i="23" s="1"/>
  <c r="J2401" i="23"/>
  <c r="K2401" i="23" s="1"/>
  <c r="L2401" i="23" s="1"/>
  <c r="J2404" i="23"/>
  <c r="K2404" i="23" s="1"/>
  <c r="L2404" i="23" s="1"/>
  <c r="J2407" i="23"/>
  <c r="K2407" i="23" s="1"/>
  <c r="L2407" i="23" s="1"/>
  <c r="J2372" i="23"/>
  <c r="K2372" i="23" s="1"/>
  <c r="L2372" i="23" s="1"/>
  <c r="J2375" i="23"/>
  <c r="K2375" i="23" s="1"/>
  <c r="L2375" i="23" s="1"/>
  <c r="J2377" i="23"/>
  <c r="K2377" i="23" s="1"/>
  <c r="L2377" i="23" s="1"/>
  <c r="J2379" i="23"/>
  <c r="K2379" i="23" s="1"/>
  <c r="L2379" i="23" s="1"/>
  <c r="J2382" i="23"/>
  <c r="K2382" i="23" s="1"/>
  <c r="L2382" i="23" s="1"/>
  <c r="J2386" i="23"/>
  <c r="K2386" i="23" s="1"/>
  <c r="L2386" i="23" s="1"/>
  <c r="J2389" i="23"/>
  <c r="K2389" i="23" s="1"/>
  <c r="L2389" i="23" s="1"/>
  <c r="J2392" i="23"/>
  <c r="K2392" i="23" s="1"/>
  <c r="L2392" i="23" s="1"/>
  <c r="J2396" i="23"/>
  <c r="K2396" i="23" s="1"/>
  <c r="L2396" i="23" s="1"/>
  <c r="J2399" i="23"/>
  <c r="K2399" i="23" s="1"/>
  <c r="L2399" i="23" s="1"/>
  <c r="J2402" i="23"/>
  <c r="K2402" i="23" s="1"/>
  <c r="L2402" i="23" s="1"/>
  <c r="J2405" i="23"/>
  <c r="K2405" i="23" s="1"/>
  <c r="L2405" i="23" s="1"/>
  <c r="J2373" i="23"/>
  <c r="K2373" i="23" s="1"/>
  <c r="L2373" i="23" s="1"/>
  <c r="J2380" i="23"/>
  <c r="K2380" i="23" s="1"/>
  <c r="L2380" i="23" s="1"/>
  <c r="J2384" i="23"/>
  <c r="K2384" i="23" s="1"/>
  <c r="L2384" i="23" s="1"/>
  <c r="J2387" i="23"/>
  <c r="K2387" i="23" s="1"/>
  <c r="L2387" i="23" s="1"/>
  <c r="J2390" i="23"/>
  <c r="K2390" i="23" s="1"/>
  <c r="L2390" i="23" s="1"/>
  <c r="J2393" i="23"/>
  <c r="K2393" i="23" s="1"/>
  <c r="L2393" i="23" s="1"/>
  <c r="J2397" i="23"/>
  <c r="K2397" i="23" s="1"/>
  <c r="L2397" i="23" s="1"/>
  <c r="J2400" i="23"/>
  <c r="K2400" i="23" s="1"/>
  <c r="L2400" i="23" s="1"/>
  <c r="J2403" i="23"/>
  <c r="K2403" i="23" s="1"/>
  <c r="L2403" i="23" s="1"/>
  <c r="J2406" i="23"/>
  <c r="K2406" i="23" s="1"/>
  <c r="L2406" i="23" s="1"/>
  <c r="M2290" i="23"/>
  <c r="M2317" i="23"/>
  <c r="M2330" i="23"/>
  <c r="M2318" i="23"/>
  <c r="M2331" i="23"/>
  <c r="M2319" i="23"/>
  <c r="M2316" i="23"/>
  <c r="M2357" i="23"/>
  <c r="K2183" i="23"/>
  <c r="L2183" i="23" s="1"/>
  <c r="K2233" i="23"/>
  <c r="L2233" i="23" s="1"/>
  <c r="K2234" i="23"/>
  <c r="L2234" i="23" s="1"/>
  <c r="K2235" i="23"/>
  <c r="L2235" i="23" s="1"/>
  <c r="K2236" i="23"/>
  <c r="L2236" i="23" s="1"/>
  <c r="K2237" i="23"/>
  <c r="L2237" i="23" s="1"/>
  <c r="K2238" i="23"/>
  <c r="L2238" i="23" s="1"/>
  <c r="K2239" i="23"/>
  <c r="L2239" i="23" s="1"/>
  <c r="K2256" i="23"/>
  <c r="L2256" i="23" s="1"/>
  <c r="K2257" i="23"/>
  <c r="L2257" i="23" s="1"/>
  <c r="J2258" i="23"/>
  <c r="K2258" i="23" s="1"/>
  <c r="L2258" i="23" s="1"/>
  <c r="K2259" i="23"/>
  <c r="L2259" i="23" s="1"/>
  <c r="K2260" i="23"/>
  <c r="L2260" i="23" s="1"/>
  <c r="K2261" i="23"/>
  <c r="L2261" i="23" s="1"/>
  <c r="K2295" i="23"/>
  <c r="L2295" i="23" s="1"/>
  <c r="K2296" i="23"/>
  <c r="L2296" i="23" s="1"/>
  <c r="K2240" i="23"/>
  <c r="L2240" i="23" s="1"/>
  <c r="K2241" i="23"/>
  <c r="L2241" i="23" s="1"/>
  <c r="K2242" i="23"/>
  <c r="L2242" i="23" s="1"/>
  <c r="K2243" i="23"/>
  <c r="L2243" i="23" s="1"/>
  <c r="K2244" i="23"/>
  <c r="L2244" i="23" s="1"/>
  <c r="K2245" i="23"/>
  <c r="L2245" i="23" s="1"/>
  <c r="K2246" i="23"/>
  <c r="L2246" i="23" s="1"/>
  <c r="K2247" i="23"/>
  <c r="L2247" i="23" s="1"/>
  <c r="K2248" i="23"/>
  <c r="L2248" i="23" s="1"/>
  <c r="K2249" i="23"/>
  <c r="L2249" i="23" s="1"/>
  <c r="K2250" i="23"/>
  <c r="L2250" i="23" s="1"/>
  <c r="K2251" i="23"/>
  <c r="L2251" i="23" s="1"/>
  <c r="J2252" i="23"/>
  <c r="K2252" i="23" s="1"/>
  <c r="L2252" i="23" s="1"/>
  <c r="J2253" i="23"/>
  <c r="K2253" i="23" s="1"/>
  <c r="L2253" i="23" s="1"/>
  <c r="K2254" i="23"/>
  <c r="L2254" i="23" s="1"/>
  <c r="K2255" i="23"/>
  <c r="L2255" i="23" s="1"/>
  <c r="K2273" i="23"/>
  <c r="L2273" i="23" s="1"/>
  <c r="K2274" i="23"/>
  <c r="L2274" i="23" s="1"/>
  <c r="K2313" i="23"/>
  <c r="L2313" i="23" s="1"/>
  <c r="K2314" i="23"/>
  <c r="L2314" i="23" s="1"/>
  <c r="K2315" i="23"/>
  <c r="L2315" i="23" s="1"/>
  <c r="J2316" i="23"/>
  <c r="K2316" i="23" s="1"/>
  <c r="L2316" i="23" s="1"/>
  <c r="J2317" i="23"/>
  <c r="K2317" i="23" s="1"/>
  <c r="L2317" i="23" s="1"/>
  <c r="J2318" i="23"/>
  <c r="K2318" i="23" s="1"/>
  <c r="L2318" i="23" s="1"/>
  <c r="J2319" i="23"/>
  <c r="K2319" i="23" s="1"/>
  <c r="L2319" i="23" s="1"/>
  <c r="J2320" i="23"/>
  <c r="K2320" i="23" s="1"/>
  <c r="L2320" i="23" s="1"/>
  <c r="J2321" i="23"/>
  <c r="K2321" i="23" s="1"/>
  <c r="L2321" i="23" s="1"/>
  <c r="J2322" i="23"/>
  <c r="K2322" i="23" s="1"/>
  <c r="L2322" i="23" s="1"/>
  <c r="J2323" i="23"/>
  <c r="K2323" i="23" s="1"/>
  <c r="L2323" i="23" s="1"/>
  <c r="J2324" i="23"/>
  <c r="K2324" i="23" s="1"/>
  <c r="L2324" i="23" s="1"/>
  <c r="J2325" i="23"/>
  <c r="K2325" i="23" s="1"/>
  <c r="L2325" i="23" s="1"/>
  <c r="J2326" i="23"/>
  <c r="K2326" i="23" s="1"/>
  <c r="L2326" i="23" s="1"/>
  <c r="J2327" i="23"/>
  <c r="K2327" i="23" s="1"/>
  <c r="L2327" i="23" s="1"/>
  <c r="J2328" i="23"/>
  <c r="K2328" i="23" s="1"/>
  <c r="L2328" i="23" s="1"/>
  <c r="J2329" i="23"/>
  <c r="K2329" i="23" s="1"/>
  <c r="L2329" i="23" s="1"/>
  <c r="J2330" i="23"/>
  <c r="K2330" i="23" s="1"/>
  <c r="L2330" i="23" s="1"/>
  <c r="J2331" i="23"/>
  <c r="K2331" i="23" s="1"/>
  <c r="L2331" i="23" s="1"/>
  <c r="J2332" i="23"/>
  <c r="K2332" i="23" s="1"/>
  <c r="L2332" i="23" s="1"/>
  <c r="J2333" i="23"/>
  <c r="K2333" i="23" s="1"/>
  <c r="L2333" i="23" s="1"/>
  <c r="J2334" i="23"/>
  <c r="K2334" i="23" s="1"/>
  <c r="L2334" i="23" s="1"/>
  <c r="J2335" i="23"/>
  <c r="K2335" i="23" s="1"/>
  <c r="L2335" i="23" s="1"/>
  <c r="J2336" i="23"/>
  <c r="K2336" i="23" s="1"/>
  <c r="L2336" i="23" s="1"/>
  <c r="J2337" i="23"/>
  <c r="K2337" i="23" s="1"/>
  <c r="L2337" i="23" s="1"/>
  <c r="J2338" i="23"/>
  <c r="K2338" i="23" s="1"/>
  <c r="L2338" i="23" s="1"/>
  <c r="J2339" i="23"/>
  <c r="K2339" i="23" s="1"/>
  <c r="L2339" i="23" s="1"/>
  <c r="J2340" i="23"/>
  <c r="K2340" i="23" s="1"/>
  <c r="L2340" i="23" s="1"/>
  <c r="J2341" i="23"/>
  <c r="K2341" i="23" s="1"/>
  <c r="L2341" i="23" s="1"/>
  <c r="J2342" i="23"/>
  <c r="K2342" i="23" s="1"/>
  <c r="L2342" i="23" s="1"/>
  <c r="J2343" i="23"/>
  <c r="K2343" i="23" s="1"/>
  <c r="L2343" i="23" s="1"/>
  <c r="J2344" i="23"/>
  <c r="K2344" i="23" s="1"/>
  <c r="L2344" i="23" s="1"/>
  <c r="J2345" i="23"/>
  <c r="K2345" i="23" s="1"/>
  <c r="L2345" i="23" s="1"/>
  <c r="J2346" i="23"/>
  <c r="K2346" i="23" s="1"/>
  <c r="L2346" i="23" s="1"/>
  <c r="J2347" i="23"/>
  <c r="K2347" i="23" s="1"/>
  <c r="L2347" i="23" s="1"/>
  <c r="J2348" i="23"/>
  <c r="K2348" i="23" s="1"/>
  <c r="L2348" i="23" s="1"/>
  <c r="J2349" i="23"/>
  <c r="K2349" i="23" s="1"/>
  <c r="L2349" i="23" s="1"/>
  <c r="J2350" i="23"/>
  <c r="K2350" i="23" s="1"/>
  <c r="L2350" i="23" s="1"/>
  <c r="J2351" i="23"/>
  <c r="K2351" i="23" s="1"/>
  <c r="L2351" i="23" s="1"/>
  <c r="J2352" i="23"/>
  <c r="K2352" i="23" s="1"/>
  <c r="L2352" i="23" s="1"/>
  <c r="J2353" i="23"/>
  <c r="K2353" i="23" s="1"/>
  <c r="L2353" i="23" s="1"/>
  <c r="J2354" i="23"/>
  <c r="K2354" i="23" s="1"/>
  <c r="L2354" i="23" s="1"/>
  <c r="K2297" i="23"/>
  <c r="L2297" i="23" s="1"/>
  <c r="K2298" i="23"/>
  <c r="L2298" i="23" s="1"/>
  <c r="K2299" i="23"/>
  <c r="L2299" i="23" s="1"/>
  <c r="K2300" i="23"/>
  <c r="L2300" i="23" s="1"/>
  <c r="K2301" i="23"/>
  <c r="L2301" i="23" s="1"/>
  <c r="J2302" i="23"/>
  <c r="K2302" i="23" s="1"/>
  <c r="L2302" i="23" s="1"/>
  <c r="K2303" i="23"/>
  <c r="L2303" i="23" s="1"/>
  <c r="K2304" i="23"/>
  <c r="L2304" i="23" s="1"/>
  <c r="J2305" i="23"/>
  <c r="K2305" i="23" s="1"/>
  <c r="L2305" i="23" s="1"/>
  <c r="K2306" i="23"/>
  <c r="L2306" i="23" s="1"/>
  <c r="K2307" i="23"/>
  <c r="L2307" i="23" s="1"/>
  <c r="K2308" i="23"/>
  <c r="L2308" i="23" s="1"/>
  <c r="K2309" i="23"/>
  <c r="L2309" i="23" s="1"/>
  <c r="K2310" i="23"/>
  <c r="L2310" i="23" s="1"/>
  <c r="K2311" i="23"/>
  <c r="L2311" i="23" s="1"/>
  <c r="K2312" i="23"/>
  <c r="L2312" i="23" s="1"/>
  <c r="J2355" i="23"/>
  <c r="K2355" i="23" s="1"/>
  <c r="L2355" i="23" s="1"/>
  <c r="J2356" i="23"/>
  <c r="K2356" i="23" s="1"/>
  <c r="L2356" i="23" s="1"/>
  <c r="J2357" i="23"/>
  <c r="K2357" i="23" s="1"/>
  <c r="L2357" i="23" s="1"/>
  <c r="J2358" i="23"/>
  <c r="K2358" i="23" s="1"/>
  <c r="L2358" i="23" s="1"/>
  <c r="J2359" i="23"/>
  <c r="K2359" i="23" s="1"/>
  <c r="L2359" i="23" s="1"/>
  <c r="J2360" i="23"/>
  <c r="K2360" i="23" s="1"/>
  <c r="L2360" i="23" s="1"/>
  <c r="J2361" i="23"/>
  <c r="K2361" i="23" s="1"/>
  <c r="L2361" i="23" s="1"/>
  <c r="J2362" i="23"/>
  <c r="K2362" i="23" s="1"/>
  <c r="L2362" i="23" s="1"/>
  <c r="J2363" i="23"/>
  <c r="K2363" i="23" s="1"/>
  <c r="L2363" i="23" s="1"/>
  <c r="J2364" i="23"/>
  <c r="K2364" i="23" s="1"/>
  <c r="L2364" i="23" s="1"/>
  <c r="J2365" i="23"/>
  <c r="K2365" i="23" s="1"/>
  <c r="L2365" i="23" s="1"/>
  <c r="J2366" i="23"/>
  <c r="K2366" i="23" s="1"/>
  <c r="L2366" i="23" s="1"/>
  <c r="J2367" i="23"/>
  <c r="K2367" i="23" s="1"/>
  <c r="L2367" i="23" s="1"/>
  <c r="J2368" i="23"/>
  <c r="K2368" i="23" s="1"/>
  <c r="L2368" i="23" s="1"/>
  <c r="J2369" i="23"/>
  <c r="K2369" i="23" s="1"/>
  <c r="L2369" i="23" s="1"/>
  <c r="K2208" i="23"/>
  <c r="L2208" i="23" s="1"/>
  <c r="K2209" i="23"/>
  <c r="L2209" i="23" s="1"/>
  <c r="K2211" i="23"/>
  <c r="L2211" i="23" s="1"/>
  <c r="K2212" i="23"/>
  <c r="L2212" i="23" s="1"/>
  <c r="K2213" i="23"/>
  <c r="L2213" i="23" s="1"/>
  <c r="K2220" i="23"/>
  <c r="L2220" i="23" s="1"/>
  <c r="K2222" i="23"/>
  <c r="L2222" i="23" s="1"/>
  <c r="K2224" i="23"/>
  <c r="L2224" i="23" s="1"/>
  <c r="K2225" i="23"/>
  <c r="L2225" i="23" s="1"/>
  <c r="K2226" i="23"/>
  <c r="L2226" i="23" s="1"/>
  <c r="K2227" i="23"/>
  <c r="L2227" i="23" s="1"/>
  <c r="K2228" i="23"/>
  <c r="L2228" i="23" s="1"/>
  <c r="K2229" i="23"/>
  <c r="L2229" i="23" s="1"/>
  <c r="K2230" i="23"/>
  <c r="L2230" i="23" s="1"/>
  <c r="K2231" i="23"/>
  <c r="L2231" i="23" s="1"/>
  <c r="K2232" i="23"/>
  <c r="L2232" i="23" s="1"/>
  <c r="K2291" i="23"/>
  <c r="L2291" i="23" s="1"/>
  <c r="K2292" i="23"/>
  <c r="L2292" i="23" s="1"/>
  <c r="K2185" i="23"/>
  <c r="L2185" i="23" s="1"/>
  <c r="K2186" i="23"/>
  <c r="L2186" i="23" s="1"/>
  <c r="K2187" i="23"/>
  <c r="L2187" i="23" s="1"/>
  <c r="K2188" i="23"/>
  <c r="L2188" i="23" s="1"/>
  <c r="K2189" i="23"/>
  <c r="L2189" i="23" s="1"/>
  <c r="K2190" i="23"/>
  <c r="L2190" i="23" s="1"/>
  <c r="K2191" i="23"/>
  <c r="L2191" i="23" s="1"/>
  <c r="K2192" i="23"/>
  <c r="L2192" i="23" s="1"/>
  <c r="K2193" i="23"/>
  <c r="L2193" i="23" s="1"/>
  <c r="K2194" i="23"/>
  <c r="L2194" i="23" s="1"/>
  <c r="K2195" i="23"/>
  <c r="L2195" i="23" s="1"/>
  <c r="K2196" i="23"/>
  <c r="L2196" i="23" s="1"/>
  <c r="K2197" i="23"/>
  <c r="L2197" i="23" s="1"/>
  <c r="K2198" i="23"/>
  <c r="L2198" i="23" s="1"/>
  <c r="K2275" i="23"/>
  <c r="L2275" i="23" s="1"/>
  <c r="K2200" i="23"/>
  <c r="L2200" i="23" s="1"/>
  <c r="K2202" i="23"/>
  <c r="L2202" i="23" s="1"/>
  <c r="K2204" i="23"/>
  <c r="L2204" i="23" s="1"/>
  <c r="K2206" i="23"/>
  <c r="L2206" i="23" s="1"/>
  <c r="K2207" i="23"/>
  <c r="L2207" i="23" s="1"/>
  <c r="K2210" i="23"/>
  <c r="L2210" i="23" s="1"/>
  <c r="K2214" i="23"/>
  <c r="L2214" i="23" s="1"/>
  <c r="K2215" i="23"/>
  <c r="L2215" i="23" s="1"/>
  <c r="K2216" i="23"/>
  <c r="L2216" i="23" s="1"/>
  <c r="K2217" i="23"/>
  <c r="L2217" i="23" s="1"/>
  <c r="K2218" i="23"/>
  <c r="L2218" i="23" s="1"/>
  <c r="K2219" i="23"/>
  <c r="L2219" i="23" s="1"/>
  <c r="K2221" i="23"/>
  <c r="L2221" i="23" s="1"/>
  <c r="K2223" i="23"/>
  <c r="L2223" i="23" s="1"/>
  <c r="K2276" i="23"/>
  <c r="L2276" i="23" s="1"/>
  <c r="K2277" i="23"/>
  <c r="L2277" i="23" s="1"/>
  <c r="K2278" i="23"/>
  <c r="L2278" i="23" s="1"/>
  <c r="K2279" i="23"/>
  <c r="L2279" i="23" s="1"/>
  <c r="K2280" i="23"/>
  <c r="L2280" i="23" s="1"/>
  <c r="K2281" i="23"/>
  <c r="L2281" i="23" s="1"/>
  <c r="K2282" i="23"/>
  <c r="L2282" i="23" s="1"/>
  <c r="K2283" i="23"/>
  <c r="L2283" i="23" s="1"/>
  <c r="K2284" i="23"/>
  <c r="L2284" i="23" s="1"/>
  <c r="K2285" i="23"/>
  <c r="L2285" i="23" s="1"/>
  <c r="K2286" i="23"/>
  <c r="L2286" i="23" s="1"/>
  <c r="K2287" i="23"/>
  <c r="L2287" i="23" s="1"/>
  <c r="K2288" i="23"/>
  <c r="L2288" i="23" s="1"/>
  <c r="K2289" i="23"/>
  <c r="L2289" i="23" s="1"/>
  <c r="K2184" i="23"/>
  <c r="L2184" i="23" s="1"/>
  <c r="K2201" i="23"/>
  <c r="L2201" i="23" s="1"/>
  <c r="K2203" i="23"/>
  <c r="L2203" i="23" s="1"/>
  <c r="K2205" i="23"/>
  <c r="L2205" i="23" s="1"/>
  <c r="K2262" i="23"/>
  <c r="L2262" i="23" s="1"/>
  <c r="K2263" i="23"/>
  <c r="L2263" i="23" s="1"/>
  <c r="K2264" i="23"/>
  <c r="L2264" i="23" s="1"/>
  <c r="K2265" i="23"/>
  <c r="L2265" i="23" s="1"/>
  <c r="K2266" i="23"/>
  <c r="L2266" i="23" s="1"/>
  <c r="K2267" i="23"/>
  <c r="L2267" i="23" s="1"/>
  <c r="K2268" i="23"/>
  <c r="L2268" i="23" s="1"/>
  <c r="K2269" i="23"/>
  <c r="L2269" i="23" s="1"/>
  <c r="K2270" i="23"/>
  <c r="L2270" i="23" s="1"/>
  <c r="K2271" i="23"/>
  <c r="L2271" i="23" s="1"/>
  <c r="K2272" i="23"/>
  <c r="L2272" i="23" s="1"/>
  <c r="J2290" i="23"/>
  <c r="K2290" i="23" s="1"/>
  <c r="L2290" i="23" s="1"/>
  <c r="J2294" i="23"/>
  <c r="K2294" i="23" s="1"/>
  <c r="L2294" i="23" s="1"/>
  <c r="J2370" i="23"/>
  <c r="K2370" i="23" s="1"/>
  <c r="L2370" i="23" s="1"/>
  <c r="J2293" i="23"/>
  <c r="K2293" i="23" s="1"/>
  <c r="L2293" i="23" s="1"/>
  <c r="J2199" i="23"/>
  <c r="K2199" i="23" s="1"/>
  <c r="L2199" i="23" s="1"/>
  <c r="M2103" i="23"/>
  <c r="H2260" i="22"/>
  <c r="H2286" i="22"/>
  <c r="H2290" i="22"/>
  <c r="H2293" i="22"/>
  <c r="H2298" i="22"/>
  <c r="H2299" i="22"/>
  <c r="H2302" i="22"/>
  <c r="H2305" i="22"/>
  <c r="H2315" i="22"/>
  <c r="H2320" i="22"/>
  <c r="H2324" i="22"/>
  <c r="H2327" i="22"/>
  <c r="H2330" i="22"/>
  <c r="H2332" i="22"/>
  <c r="H2333" i="22"/>
  <c r="H2346" i="22"/>
  <c r="H2357" i="22"/>
  <c r="H2358" i="22"/>
  <c r="H2283" i="22"/>
  <c r="H2289" i="22"/>
  <c r="H2292" i="22"/>
  <c r="H2296" i="22"/>
  <c r="H2303" i="22"/>
  <c r="H2308" i="22"/>
  <c r="H2311" i="22"/>
  <c r="H2318" i="22"/>
  <c r="H2331" i="22"/>
  <c r="H2336" i="22"/>
  <c r="H2337" i="22"/>
  <c r="H2342" i="22"/>
  <c r="H2343" i="22"/>
  <c r="H2344" i="22"/>
  <c r="H2347" i="22"/>
  <c r="H2352" i="22"/>
  <c r="H2355" i="22"/>
  <c r="H2362" i="22"/>
  <c r="H2210" i="22"/>
  <c r="H2216" i="22"/>
  <c r="H2218" i="22"/>
  <c r="H2220" i="22"/>
  <c r="H2222" i="22"/>
  <c r="H2224" i="22"/>
  <c r="H2227" i="22"/>
  <c r="H2229" i="22"/>
  <c r="H2234" i="22"/>
  <c r="H2236" i="22"/>
  <c r="H2237" i="22"/>
  <c r="H2239" i="22"/>
  <c r="H2244" i="22"/>
  <c r="H2246" i="22"/>
  <c r="H2248" i="22"/>
  <c r="H2249" i="22"/>
  <c r="H2251" i="22"/>
  <c r="H2252" i="22"/>
  <c r="H2253" i="22"/>
  <c r="H2254" i="22"/>
  <c r="H2257" i="22"/>
  <c r="H2258" i="22"/>
  <c r="H2266" i="22"/>
  <c r="H2268" i="22"/>
  <c r="H2269" i="22"/>
  <c r="H2271" i="22"/>
  <c r="H2272" i="22"/>
  <c r="H2273" i="22"/>
  <c r="H2274" i="22"/>
  <c r="H2279" i="22"/>
  <c r="H2280" i="22"/>
  <c r="H2287" i="22"/>
  <c r="H2291" i="22"/>
  <c r="H2294" i="22"/>
  <c r="H2297" i="22"/>
  <c r="H2300" i="22"/>
  <c r="H2304" i="22"/>
  <c r="H2307" i="22"/>
  <c r="H2312" i="22"/>
  <c r="H2313" i="22"/>
  <c r="H2314" i="22"/>
  <c r="H2317" i="22"/>
  <c r="H2325" i="22"/>
  <c r="H2338" i="22"/>
  <c r="H2339" i="22"/>
  <c r="H2340" i="22"/>
  <c r="H2341" i="22"/>
  <c r="H2350" i="22"/>
  <c r="H2354" i="22"/>
  <c r="H2359" i="22"/>
  <c r="H2204" i="22"/>
  <c r="H2205" i="22"/>
  <c r="H2213" i="22"/>
  <c r="H2215" i="22"/>
  <c r="H2217" i="22"/>
  <c r="H2231" i="22"/>
  <c r="H2232" i="22"/>
  <c r="H2233" i="22"/>
  <c r="H2235" i="22"/>
  <c r="H2238" i="22"/>
  <c r="H2240" i="22"/>
  <c r="H2241" i="22"/>
  <c r="H2242" i="22"/>
  <c r="H2245" i="22"/>
  <c r="H2247" i="22"/>
  <c r="H2250" i="22"/>
  <c r="H2255" i="22"/>
  <c r="H2256" i="22"/>
  <c r="H2259" i="22"/>
  <c r="H2261" i="22"/>
  <c r="H2262" i="22"/>
  <c r="H2263" i="22"/>
  <c r="H2264" i="22"/>
  <c r="H2265" i="22"/>
  <c r="H2267" i="22"/>
  <c r="H2275" i="22"/>
  <c r="H2276" i="22"/>
  <c r="H2282" i="22"/>
  <c r="H2285" i="22"/>
  <c r="H2295" i="22"/>
  <c r="H2316" i="22"/>
  <c r="H2321" i="22"/>
  <c r="H2328" i="22"/>
  <c r="H2335" i="22"/>
  <c r="H2345" i="22"/>
  <c r="H2348" i="22"/>
  <c r="H2351" i="22"/>
  <c r="H2353" i="22"/>
  <c r="H2356" i="22"/>
  <c r="H2361" i="22"/>
  <c r="H2203" i="22"/>
  <c r="H2206" i="22"/>
  <c r="H2207" i="22"/>
  <c r="H2208" i="22"/>
  <c r="H2209" i="22"/>
  <c r="H2211" i="22"/>
  <c r="H2212" i="22"/>
  <c r="H2214" i="22"/>
  <c r="H2219" i="22"/>
  <c r="H2221" i="22"/>
  <c r="H2223" i="22"/>
  <c r="H2225" i="22"/>
  <c r="H2226" i="22"/>
  <c r="H2228" i="22"/>
  <c r="H2230" i="22"/>
  <c r="H2243" i="22"/>
  <c r="H2270" i="22"/>
  <c r="H2277" i="22"/>
  <c r="H2278" i="22"/>
  <c r="H2281" i="22"/>
  <c r="H2284" i="22"/>
  <c r="H2288" i="22"/>
  <c r="H2301" i="22"/>
  <c r="H2306" i="22"/>
  <c r="H2309" i="22"/>
  <c r="H2310" i="22"/>
  <c r="H2319" i="22"/>
  <c r="H2322" i="22"/>
  <c r="H2323" i="22"/>
  <c r="H2326" i="22"/>
  <c r="H2329" i="22"/>
  <c r="H2334" i="22"/>
  <c r="H2349" i="22"/>
  <c r="H2360" i="22"/>
  <c r="H2363" i="22"/>
  <c r="M2181" i="23"/>
  <c r="M2157" i="23"/>
  <c r="H2150" i="22"/>
  <c r="H2152" i="22"/>
  <c r="H2155" i="22"/>
  <c r="H2162" i="22"/>
  <c r="H2169" i="22"/>
  <c r="H2170" i="22"/>
  <c r="H2171" i="22"/>
  <c r="H2172" i="22"/>
  <c r="H2178" i="22"/>
  <c r="H2180" i="22"/>
  <c r="H2181" i="22"/>
  <c r="H2185" i="22"/>
  <c r="H2186" i="22"/>
  <c r="H2187" i="22"/>
  <c r="H2190" i="22"/>
  <c r="H2194" i="22"/>
  <c r="H2201" i="22"/>
  <c r="H2202" i="22"/>
  <c r="H2148" i="22"/>
  <c r="H2157" i="22"/>
  <c r="H2161" i="22"/>
  <c r="H2168" i="22"/>
  <c r="H2175" i="22"/>
  <c r="H2177" i="22"/>
  <c r="H2191" i="22"/>
  <c r="H2153" i="22"/>
  <c r="H2154" i="22"/>
  <c r="H2158" i="22"/>
  <c r="H2159" i="22"/>
  <c r="H2160" i="22"/>
  <c r="H2163" i="22"/>
  <c r="H2164" i="22"/>
  <c r="H2165" i="22"/>
  <c r="H2166" i="22"/>
  <c r="H2167" i="22"/>
  <c r="H2173" i="22"/>
  <c r="H2174" i="22"/>
  <c r="H2179" i="22"/>
  <c r="H2182" i="22"/>
  <c r="H2189" i="22"/>
  <c r="H2195" i="22"/>
  <c r="H2196" i="22"/>
  <c r="H2197" i="22"/>
  <c r="H2198" i="22"/>
  <c r="H2199" i="22"/>
  <c r="H2147" i="22"/>
  <c r="H2149" i="22"/>
  <c r="H2151" i="22"/>
  <c r="H2156" i="22"/>
  <c r="H2176" i="22"/>
  <c r="H2183" i="22"/>
  <c r="H2184" i="22"/>
  <c r="H2188" i="22"/>
  <c r="H2192" i="22"/>
  <c r="H2193" i="22"/>
  <c r="H2200" i="22"/>
  <c r="H2135" i="22"/>
  <c r="H2137" i="22"/>
  <c r="H2141" i="22"/>
  <c r="H2136" i="22"/>
  <c r="H2139" i="22"/>
  <c r="H2142" i="22"/>
  <c r="H2146" i="22"/>
  <c r="H2140" i="22"/>
  <c r="H2145" i="22"/>
  <c r="H2143" i="22"/>
  <c r="H2138" i="22"/>
  <c r="H2144" i="22"/>
  <c r="M2102" i="23"/>
  <c r="K2109" i="23"/>
  <c r="L2109" i="23" s="1"/>
  <c r="K2110" i="23"/>
  <c r="L2110" i="23" s="1"/>
  <c r="K2111" i="23"/>
  <c r="L2111" i="23" s="1"/>
  <c r="K2113" i="23"/>
  <c r="L2113" i="23" s="1"/>
  <c r="K2116" i="23"/>
  <c r="L2116" i="23" s="1"/>
  <c r="K2118" i="23"/>
  <c r="L2118" i="23" s="1"/>
  <c r="K2120" i="23"/>
  <c r="L2120" i="23" s="1"/>
  <c r="K2133" i="23"/>
  <c r="L2133" i="23" s="1"/>
  <c r="K2136" i="23"/>
  <c r="L2136" i="23" s="1"/>
  <c r="K2139" i="23"/>
  <c r="L2139" i="23" s="1"/>
  <c r="K2152" i="23"/>
  <c r="L2152" i="23" s="1"/>
  <c r="K2153" i="23"/>
  <c r="L2153" i="23" s="1"/>
  <c r="K2154" i="23"/>
  <c r="L2154" i="23" s="1"/>
  <c r="K2156" i="23"/>
  <c r="L2156" i="23" s="1"/>
  <c r="K2158" i="23"/>
  <c r="L2158" i="23" s="1"/>
  <c r="K2141" i="23"/>
  <c r="L2141" i="23" s="1"/>
  <c r="K2142" i="23"/>
  <c r="L2142" i="23" s="1"/>
  <c r="K2143" i="23"/>
  <c r="L2143" i="23" s="1"/>
  <c r="K2144" i="23"/>
  <c r="L2144" i="23" s="1"/>
  <c r="K2145" i="23"/>
  <c r="L2145" i="23" s="1"/>
  <c r="J2146" i="23"/>
  <c r="K2146" i="23" s="1"/>
  <c r="L2146" i="23" s="1"/>
  <c r="J2147" i="23"/>
  <c r="K2147" i="23" s="1"/>
  <c r="L2147" i="23" s="1"/>
  <c r="J2148" i="23"/>
  <c r="K2148" i="23" s="1"/>
  <c r="L2148" i="23" s="1"/>
  <c r="K2149" i="23"/>
  <c r="L2149" i="23" s="1"/>
  <c r="K2150" i="23"/>
  <c r="L2150" i="23" s="1"/>
  <c r="K2151" i="23"/>
  <c r="L2151" i="23" s="1"/>
  <c r="K2163" i="23"/>
  <c r="L2163" i="23" s="1"/>
  <c r="K2165" i="23"/>
  <c r="L2165" i="23" s="1"/>
  <c r="K2167" i="23"/>
  <c r="L2167" i="23" s="1"/>
  <c r="K2169" i="23"/>
  <c r="L2169" i="23" s="1"/>
  <c r="K2171" i="23"/>
  <c r="L2171" i="23" s="1"/>
  <c r="K2173" i="23"/>
  <c r="L2173" i="23" s="1"/>
  <c r="K2174" i="23"/>
  <c r="L2174" i="23" s="1"/>
  <c r="K2175" i="23"/>
  <c r="L2175" i="23" s="1"/>
  <c r="K2176" i="23"/>
  <c r="L2176" i="23" s="1"/>
  <c r="K2177" i="23"/>
  <c r="L2177" i="23" s="1"/>
  <c r="K2178" i="23"/>
  <c r="L2178" i="23" s="1"/>
  <c r="K2179" i="23"/>
  <c r="L2179" i="23" s="1"/>
  <c r="K2180" i="23"/>
  <c r="L2180" i="23" s="1"/>
  <c r="J2181" i="23"/>
  <c r="K2181" i="23" s="1"/>
  <c r="L2181" i="23" s="1"/>
  <c r="J2182" i="23"/>
  <c r="K2182" i="23" s="1"/>
  <c r="L2182" i="23" s="1"/>
  <c r="K2112" i="23"/>
  <c r="L2112" i="23" s="1"/>
  <c r="K2114" i="23"/>
  <c r="L2114" i="23" s="1"/>
  <c r="K2115" i="23"/>
  <c r="L2115" i="23" s="1"/>
  <c r="K2124" i="23"/>
  <c r="L2124" i="23" s="1"/>
  <c r="K2126" i="23"/>
  <c r="L2126" i="23" s="1"/>
  <c r="K2132" i="23"/>
  <c r="L2132" i="23" s="1"/>
  <c r="K2135" i="23"/>
  <c r="L2135" i="23" s="1"/>
  <c r="K2137" i="23"/>
  <c r="L2137" i="23" s="1"/>
  <c r="K2138" i="23"/>
  <c r="L2138" i="23" s="1"/>
  <c r="K2140" i="23"/>
  <c r="L2140" i="23" s="1"/>
  <c r="K2155" i="23"/>
  <c r="L2155" i="23" s="1"/>
  <c r="K2159" i="23"/>
  <c r="L2159" i="23" s="1"/>
  <c r="K2160" i="23"/>
  <c r="L2160" i="23" s="1"/>
  <c r="K2161" i="23"/>
  <c r="L2161" i="23" s="1"/>
  <c r="K2162" i="23"/>
  <c r="L2162" i="23" s="1"/>
  <c r="K2168" i="23"/>
  <c r="L2168" i="23" s="1"/>
  <c r="K2170" i="23"/>
  <c r="L2170" i="23" s="1"/>
  <c r="K2172" i="23"/>
  <c r="L2172" i="23" s="1"/>
  <c r="K2117" i="23"/>
  <c r="L2117" i="23" s="1"/>
  <c r="K2119" i="23"/>
  <c r="L2119" i="23" s="1"/>
  <c r="K2121" i="23"/>
  <c r="L2121" i="23" s="1"/>
  <c r="K2122" i="23"/>
  <c r="L2122" i="23" s="1"/>
  <c r="K2123" i="23"/>
  <c r="L2123" i="23" s="1"/>
  <c r="K2125" i="23"/>
  <c r="L2125" i="23" s="1"/>
  <c r="K2127" i="23"/>
  <c r="L2127" i="23" s="1"/>
  <c r="K2134" i="23"/>
  <c r="L2134" i="23" s="1"/>
  <c r="J2130" i="23"/>
  <c r="K2130" i="23" s="1"/>
  <c r="L2130" i="23" s="1"/>
  <c r="J2164" i="23"/>
  <c r="K2164" i="23" s="1"/>
  <c r="L2164" i="23" s="1"/>
  <c r="J2157" i="23"/>
  <c r="K2157" i="23" s="1"/>
  <c r="L2157" i="23" s="1"/>
  <c r="J2128" i="23"/>
  <c r="K2128" i="23" s="1"/>
  <c r="L2128" i="23" s="1"/>
  <c r="J2166" i="23"/>
  <c r="K2166" i="23" s="1"/>
  <c r="L2166" i="23" s="1"/>
  <c r="J2129" i="23"/>
  <c r="K2129" i="23" s="1"/>
  <c r="L2129" i="23" s="1"/>
  <c r="J2131" i="23"/>
  <c r="K2131" i="23" s="1"/>
  <c r="L2131" i="23" s="1"/>
  <c r="M2105" i="23"/>
  <c r="H2102" i="22"/>
  <c r="H2113" i="22"/>
  <c r="H2117" i="22"/>
  <c r="H2118" i="22"/>
  <c r="H2130" i="22"/>
  <c r="H2131" i="22"/>
  <c r="H2132" i="22"/>
  <c r="H2103" i="22"/>
  <c r="H2106" i="22"/>
  <c r="H2109" i="22"/>
  <c r="H2114" i="22"/>
  <c r="H2119" i="22"/>
  <c r="H2120" i="22"/>
  <c r="H2125" i="22"/>
  <c r="H2126" i="22"/>
  <c r="H2127" i="22"/>
  <c r="H2092" i="22"/>
  <c r="H2093" i="22"/>
  <c r="H2099" i="22"/>
  <c r="H2115" i="22"/>
  <c r="H2116" i="22"/>
  <c r="H2121" i="22"/>
  <c r="H2122" i="22"/>
  <c r="H2123" i="22"/>
  <c r="H2128" i="22"/>
  <c r="H2129" i="22"/>
  <c r="H2134" i="22"/>
  <c r="H2100" i="22"/>
  <c r="H2110" i="22"/>
  <c r="H2111" i="22"/>
  <c r="H2112" i="22"/>
  <c r="H2124" i="22"/>
  <c r="H2133" i="22"/>
  <c r="H2094" i="22"/>
  <c r="H2095" i="22"/>
  <c r="H2096" i="22"/>
  <c r="H2097" i="22"/>
  <c r="H2098" i="22"/>
  <c r="H2101" i="22"/>
  <c r="H2104" i="22"/>
  <c r="H2105" i="22"/>
  <c r="H2107" i="22"/>
  <c r="H2108" i="22"/>
  <c r="M2101" i="23"/>
  <c r="H2079" i="22"/>
  <c r="H2080" i="22"/>
  <c r="H2081" i="22"/>
  <c r="H2082" i="22"/>
  <c r="H2084" i="22"/>
  <c r="H2085" i="22"/>
  <c r="H2086" i="22"/>
  <c r="H2087" i="22"/>
  <c r="H2088" i="22"/>
  <c r="H2089" i="22"/>
  <c r="H2090" i="22"/>
  <c r="H2083" i="22"/>
  <c r="H2091" i="22"/>
  <c r="H2066" i="22"/>
  <c r="H2070" i="22"/>
  <c r="H2067" i="22"/>
  <c r="H2069" i="22"/>
  <c r="H2071" i="22"/>
  <c r="H2076" i="22"/>
  <c r="H2077" i="22"/>
  <c r="H2072" i="22"/>
  <c r="H2073" i="22"/>
  <c r="H2065" i="22"/>
  <c r="H2068" i="22"/>
  <c r="H2074" i="22"/>
  <c r="H2075" i="22"/>
  <c r="H2078" i="22"/>
  <c r="M2092" i="23"/>
  <c r="M2093" i="23"/>
  <c r="M2096" i="23"/>
  <c r="M2097" i="23"/>
  <c r="M1678" i="23"/>
  <c r="H2059" i="22"/>
  <c r="H2058" i="22"/>
  <c r="H2061" i="22"/>
  <c r="H2062" i="22"/>
  <c r="H2064" i="22"/>
  <c r="H2060" i="22"/>
  <c r="H2063" i="22"/>
  <c r="H2055" i="22"/>
  <c r="H2054" i="22"/>
  <c r="H2056" i="22"/>
  <c r="H2057" i="22"/>
  <c r="M2050" i="23"/>
  <c r="H2046" i="22"/>
  <c r="H2048" i="22"/>
  <c r="H2051" i="22"/>
  <c r="H2037" i="22"/>
  <c r="H2042" i="22"/>
  <c r="H2043" i="22"/>
  <c r="H2047" i="22"/>
  <c r="H2038" i="22"/>
  <c r="H2039" i="22"/>
  <c r="H2044" i="22"/>
  <c r="H2053" i="22"/>
  <c r="H2041" i="22"/>
  <c r="H2049" i="22"/>
  <c r="H2052" i="22"/>
  <c r="H2040" i="22"/>
  <c r="H2045" i="22"/>
  <c r="H2050" i="22"/>
  <c r="M2088" i="23"/>
  <c r="H2035" i="22"/>
  <c r="H2036" i="22"/>
  <c r="M2082" i="23"/>
  <c r="M2091" i="23"/>
  <c r="H2031" i="22"/>
  <c r="H2032" i="22"/>
  <c r="H2034" i="22"/>
  <c r="H2033" i="22"/>
  <c r="H2022" i="22"/>
  <c r="H2028" i="22"/>
  <c r="H2013" i="22"/>
  <c r="H2026" i="22"/>
  <c r="H2029" i="22"/>
  <c r="H2014" i="22"/>
  <c r="H2016" i="22"/>
  <c r="H2017" i="22"/>
  <c r="H2019" i="22"/>
  <c r="H2020" i="22"/>
  <c r="H2021" i="22"/>
  <c r="H2023" i="22"/>
  <c r="H2024" i="22"/>
  <c r="H2027" i="22"/>
  <c r="H2018" i="22"/>
  <c r="H2015" i="22"/>
  <c r="H2025" i="22"/>
  <c r="H2030" i="22"/>
  <c r="J2106" i="23"/>
  <c r="J2105" i="23"/>
  <c r="J2107" i="23"/>
  <c r="J2104" i="23"/>
  <c r="J2108" i="23"/>
  <c r="H2005" i="22"/>
  <c r="H2006" i="22"/>
  <c r="H2008" i="22"/>
  <c r="H2009" i="22"/>
  <c r="H2011" i="22"/>
  <c r="H2007" i="22"/>
  <c r="H2012" i="22"/>
  <c r="H2010" i="22"/>
  <c r="M2078" i="23"/>
  <c r="M2086" i="23"/>
  <c r="M2087" i="23"/>
  <c r="M2089" i="23"/>
  <c r="M2056" i="23"/>
  <c r="M2090" i="23"/>
  <c r="M2060" i="23"/>
  <c r="M2094" i="23"/>
  <c r="M1947" i="23"/>
  <c r="M2098" i="23"/>
  <c r="M2067" i="23"/>
  <c r="M2073" i="23"/>
  <c r="H2004" i="22"/>
  <c r="H249" i="22"/>
  <c r="H248" i="22"/>
  <c r="H247" i="22"/>
  <c r="H246" i="22"/>
  <c r="J2103" i="23"/>
  <c r="J2102" i="23"/>
  <c r="J2101" i="23"/>
  <c r="H1987" i="22"/>
  <c r="H1988" i="22"/>
  <c r="H1989" i="22"/>
  <c r="H1991" i="22"/>
  <c r="H1992" i="22"/>
  <c r="H1993" i="22"/>
  <c r="H1995" i="22"/>
  <c r="H1997" i="22"/>
  <c r="H1998" i="22"/>
  <c r="H2000" i="22"/>
  <c r="H2002" i="22"/>
  <c r="H1990" i="22"/>
  <c r="H1994" i="22"/>
  <c r="H1996" i="22"/>
  <c r="H1999" i="22"/>
  <c r="H2001" i="22"/>
  <c r="H2003" i="22"/>
  <c r="J2087" i="23"/>
  <c r="J2088" i="23"/>
  <c r="J2089" i="23"/>
  <c r="J2078" i="23"/>
  <c r="J2094" i="23"/>
  <c r="J2081" i="23"/>
  <c r="J2073" i="23"/>
  <c r="J2091" i="23"/>
  <c r="J2100" i="23"/>
  <c r="J2077" i="23"/>
  <c r="J2082" i="23"/>
  <c r="J2090" i="23"/>
  <c r="J2096" i="23"/>
  <c r="J2099" i="23"/>
  <c r="J2080" i="23"/>
  <c r="J2085" i="23"/>
  <c r="J2097" i="23"/>
  <c r="J2075" i="23"/>
  <c r="J2074" i="23"/>
  <c r="J2095" i="23"/>
  <c r="J2079" i="23"/>
  <c r="J2084" i="23"/>
  <c r="J2086" i="23"/>
  <c r="J2093" i="23"/>
  <c r="J2098" i="23"/>
  <c r="J2072" i="23"/>
  <c r="J2083" i="23"/>
  <c r="J2092" i="23"/>
  <c r="J2076" i="23"/>
  <c r="M2033" i="23"/>
  <c r="M2054" i="23"/>
  <c r="M2036" i="23"/>
  <c r="M2055" i="23"/>
  <c r="M2023" i="23"/>
  <c r="M2057" i="23"/>
  <c r="M2024" i="23"/>
  <c r="M2058" i="23"/>
  <c r="M2026" i="23"/>
  <c r="M2059" i="23"/>
  <c r="M1944" i="23"/>
  <c r="M2061" i="23"/>
  <c r="M1946" i="23"/>
  <c r="M2062" i="23"/>
  <c r="M2040" i="23"/>
  <c r="M2009" i="23"/>
  <c r="H1985" i="22"/>
  <c r="H1986" i="22"/>
  <c r="H1977" i="22"/>
  <c r="H1978" i="22"/>
  <c r="H1983" i="22"/>
  <c r="H1981" i="22"/>
  <c r="H1984" i="22"/>
  <c r="H1976" i="22"/>
  <c r="H1979" i="22"/>
  <c r="H1980" i="22"/>
  <c r="H1982" i="22"/>
  <c r="J2070" i="23"/>
  <c r="J2065" i="23"/>
  <c r="J2071" i="23"/>
  <c r="J2063" i="23"/>
  <c r="J2064" i="23"/>
  <c r="J2068" i="23"/>
  <c r="J2069" i="23"/>
  <c r="J2067" i="23"/>
  <c r="J2066" i="23"/>
  <c r="H1962" i="22"/>
  <c r="H1964" i="22"/>
  <c r="H1966" i="22"/>
  <c r="H1968" i="22"/>
  <c r="H1970" i="22"/>
  <c r="H1972" i="22"/>
  <c r="H1974" i="22"/>
  <c r="H1963" i="22"/>
  <c r="H1965" i="22"/>
  <c r="H1967" i="22"/>
  <c r="H1969" i="22"/>
  <c r="H1971" i="22"/>
  <c r="H1973" i="22"/>
  <c r="H1975" i="22"/>
  <c r="J2054" i="23"/>
  <c r="J2042" i="23"/>
  <c r="J2056" i="23"/>
  <c r="J2059" i="23"/>
  <c r="J2047" i="23"/>
  <c r="J2041" i="23"/>
  <c r="J2058" i="23"/>
  <c r="J2040" i="23"/>
  <c r="J2046" i="23"/>
  <c r="J2050" i="23"/>
  <c r="J2057" i="23"/>
  <c r="J2045" i="23"/>
  <c r="J2048" i="23"/>
  <c r="J2061" i="23"/>
  <c r="J2062" i="23"/>
  <c r="J2043" i="23"/>
  <c r="J2044" i="23"/>
  <c r="J2055" i="23"/>
  <c r="J2049" i="23"/>
  <c r="J2051" i="23"/>
  <c r="J2052" i="23"/>
  <c r="J2053" i="23"/>
  <c r="J2060" i="23"/>
  <c r="M2010" i="23"/>
  <c r="M2016" i="23"/>
  <c r="H1951" i="22"/>
  <c r="H1952" i="22"/>
  <c r="H1953" i="22"/>
  <c r="H1956" i="22"/>
  <c r="H1957" i="22"/>
  <c r="H1958" i="22"/>
  <c r="H1949" i="22"/>
  <c r="H1950" i="22"/>
  <c r="H1954" i="22"/>
  <c r="H1955" i="22"/>
  <c r="H1959" i="22"/>
  <c r="H1960" i="22"/>
  <c r="H1961" i="22"/>
  <c r="M2005" i="23"/>
  <c r="M2017" i="23"/>
  <c r="M2006" i="23"/>
  <c r="M2018" i="23"/>
  <c r="M2007" i="23"/>
  <c r="M2022" i="23"/>
  <c r="M1941" i="23"/>
  <c r="M2027" i="23"/>
  <c r="H1935" i="22"/>
  <c r="H1937" i="22"/>
  <c r="H1938" i="22"/>
  <c r="H1939" i="22"/>
  <c r="H1941" i="22"/>
  <c r="H1943" i="22"/>
  <c r="H1944" i="22"/>
  <c r="H1948" i="22"/>
  <c r="H1936" i="22"/>
  <c r="H1940" i="22"/>
  <c r="H1942" i="22"/>
  <c r="H1945" i="22"/>
  <c r="H1946" i="22"/>
  <c r="H1947" i="22"/>
  <c r="J2017" i="23"/>
  <c r="J2018" i="23"/>
  <c r="J2019" i="23"/>
  <c r="J2020" i="23"/>
  <c r="J2027" i="23"/>
  <c r="J2028" i="23"/>
  <c r="J2029" i="23"/>
  <c r="J2030" i="23"/>
  <c r="J2036" i="23"/>
  <c r="J2037" i="23"/>
  <c r="J2013" i="23"/>
  <c r="J2024" i="23"/>
  <c r="J2022" i="23"/>
  <c r="J2034" i="23"/>
  <c r="J2038" i="23"/>
  <c r="J2026" i="23"/>
  <c r="J2025" i="23"/>
  <c r="J2010" i="23"/>
  <c r="J2015" i="23"/>
  <c r="J2032" i="23"/>
  <c r="J2011" i="23"/>
  <c r="J2016" i="23"/>
  <c r="J2021" i="23"/>
  <c r="J2033" i="23"/>
  <c r="J2031" i="23"/>
  <c r="J2035" i="23"/>
  <c r="J2039" i="23"/>
  <c r="J2014" i="23"/>
  <c r="J2008" i="23"/>
  <c r="J2009" i="23"/>
  <c r="J2012" i="23"/>
  <c r="J2023" i="23"/>
  <c r="M1981" i="23"/>
  <c r="M1999" i="23"/>
  <c r="M1984" i="23"/>
  <c r="M1862" i="23"/>
  <c r="H1932" i="22"/>
  <c r="H1934" i="22"/>
  <c r="H1933" i="22"/>
  <c r="H1918" i="22"/>
  <c r="H1922" i="22"/>
  <c r="H1926" i="22"/>
  <c r="H1930" i="22"/>
  <c r="H1920" i="22"/>
  <c r="H1924" i="22"/>
  <c r="H1928" i="22"/>
  <c r="H1919" i="22"/>
  <c r="H1927" i="22"/>
  <c r="H1931" i="22"/>
  <c r="H1921" i="22"/>
  <c r="H1925" i="22"/>
  <c r="H1929" i="22"/>
  <c r="H1923" i="22"/>
  <c r="M1827" i="23"/>
  <c r="M1907" i="23"/>
  <c r="H1912" i="22"/>
  <c r="H1916" i="22"/>
  <c r="H1911" i="22"/>
  <c r="H1915" i="22"/>
  <c r="H1910" i="22"/>
  <c r="H1914" i="22"/>
  <c r="H1909" i="22"/>
  <c r="H1913" i="22"/>
  <c r="H1917" i="22"/>
  <c r="J2006" i="23"/>
  <c r="K2006" i="23" s="1"/>
  <c r="L2006" i="23" s="1"/>
  <c r="J1990" i="23"/>
  <c r="K1990" i="23" s="1"/>
  <c r="L1990" i="23" s="1"/>
  <c r="J1997" i="23"/>
  <c r="K1997" i="23" s="1"/>
  <c r="L1997" i="23" s="1"/>
  <c r="J2000" i="23"/>
  <c r="K2000" i="23" s="1"/>
  <c r="L2000" i="23" s="1"/>
  <c r="J2007" i="23"/>
  <c r="K2007" i="23" s="1"/>
  <c r="L2007" i="23" s="1"/>
  <c r="J1991" i="23"/>
  <c r="K1991" i="23" s="1"/>
  <c r="L1991" i="23" s="1"/>
  <c r="J2002" i="23"/>
  <c r="K2002" i="23" s="1"/>
  <c r="L2002" i="23" s="1"/>
  <c r="J1986" i="23"/>
  <c r="K1986" i="23" s="1"/>
  <c r="L1986" i="23" s="1"/>
  <c r="J1993" i="23"/>
  <c r="K1993" i="23" s="1"/>
  <c r="L1993" i="23" s="1"/>
  <c r="J1996" i="23"/>
  <c r="K1996" i="23" s="1"/>
  <c r="L1996" i="23" s="1"/>
  <c r="J2003" i="23"/>
  <c r="K2003" i="23" s="1"/>
  <c r="L2003" i="23" s="1"/>
  <c r="J1987" i="23"/>
  <c r="K1987" i="23" s="1"/>
  <c r="L1987" i="23" s="1"/>
  <c r="J2001" i="23"/>
  <c r="K2001" i="23" s="1"/>
  <c r="L2001" i="23" s="1"/>
  <c r="J1995" i="23"/>
  <c r="K1995" i="23" s="1"/>
  <c r="L1995" i="23" s="1"/>
  <c r="J1998" i="23"/>
  <c r="K1998" i="23" s="1"/>
  <c r="L1998" i="23" s="1"/>
  <c r="J2005" i="23"/>
  <c r="K2005" i="23" s="1"/>
  <c r="L2005" i="23" s="1"/>
  <c r="J1985" i="23"/>
  <c r="K1985" i="23" s="1"/>
  <c r="L1985" i="23" s="1"/>
  <c r="J1992" i="23"/>
  <c r="K1992" i="23" s="1"/>
  <c r="L1992" i="23" s="1"/>
  <c r="J1999" i="23"/>
  <c r="K1999" i="23" s="1"/>
  <c r="L1999" i="23" s="1"/>
  <c r="J1989" i="23"/>
  <c r="K1989" i="23" s="1"/>
  <c r="L1989" i="23" s="1"/>
  <c r="J1994" i="23"/>
  <c r="K1994" i="23" s="1"/>
  <c r="L1994" i="23" s="1"/>
  <c r="J2004" i="23"/>
  <c r="K2004" i="23" s="1"/>
  <c r="L2004" i="23" s="1"/>
  <c r="J1988" i="23"/>
  <c r="K1988" i="23" s="1"/>
  <c r="L1988" i="23" s="1"/>
  <c r="M1939" i="23"/>
  <c r="M1953" i="23"/>
  <c r="M1937" i="23"/>
  <c r="M1979" i="23"/>
  <c r="M1940" i="23"/>
  <c r="M1954" i="23"/>
  <c r="M1936" i="23"/>
  <c r="M1978" i="23"/>
  <c r="M1935" i="23"/>
  <c r="M1977" i="23"/>
  <c r="M1918" i="23"/>
  <c r="M1930" i="23"/>
  <c r="J1984" i="23"/>
  <c r="K1984" i="23" s="1"/>
  <c r="L1984" i="23" s="1"/>
  <c r="J1983" i="23"/>
  <c r="K1983" i="23" s="1"/>
  <c r="L1983" i="23" s="1"/>
  <c r="J1956" i="23"/>
  <c r="K1956" i="23" s="1"/>
  <c r="L1956" i="23" s="1"/>
  <c r="J1979" i="23"/>
  <c r="K1979" i="23" s="1"/>
  <c r="L1979" i="23" s="1"/>
  <c r="J1982" i="23"/>
  <c r="K1982" i="23" s="1"/>
  <c r="L1982" i="23" s="1"/>
  <c r="J1966" i="23"/>
  <c r="K1966" i="23" s="1"/>
  <c r="L1966" i="23" s="1"/>
  <c r="J1976" i="23"/>
  <c r="K1976" i="23" s="1"/>
  <c r="L1976" i="23" s="1"/>
  <c r="J1980" i="23"/>
  <c r="K1980" i="23" s="1"/>
  <c r="L1980" i="23" s="1"/>
  <c r="J1965" i="23"/>
  <c r="K1965" i="23" s="1"/>
  <c r="L1965" i="23" s="1"/>
  <c r="J1967" i="23"/>
  <c r="K1967" i="23" s="1"/>
  <c r="L1967" i="23" s="1"/>
  <c r="J1968" i="23"/>
  <c r="K1968" i="23" s="1"/>
  <c r="L1968" i="23" s="1"/>
  <c r="J1978" i="23"/>
  <c r="K1978" i="23" s="1"/>
  <c r="L1978" i="23" s="1"/>
  <c r="J1962" i="23"/>
  <c r="K1962" i="23" s="1"/>
  <c r="L1962" i="23" s="1"/>
  <c r="J1964" i="23"/>
  <c r="K1964" i="23" s="1"/>
  <c r="L1964" i="23" s="1"/>
  <c r="J1977" i="23"/>
  <c r="K1977" i="23" s="1"/>
  <c r="L1977" i="23" s="1"/>
  <c r="J1961" i="23"/>
  <c r="K1961" i="23" s="1"/>
  <c r="L1961" i="23" s="1"/>
  <c r="J1981" i="23"/>
  <c r="K1981" i="23" s="1"/>
  <c r="L1981" i="23" s="1"/>
  <c r="J1959" i="23"/>
  <c r="K1959" i="23" s="1"/>
  <c r="L1959" i="23" s="1"/>
  <c r="J1960" i="23"/>
  <c r="K1960" i="23" s="1"/>
  <c r="L1960" i="23" s="1"/>
  <c r="J1974" i="23"/>
  <c r="K1974" i="23" s="1"/>
  <c r="L1974" i="23" s="1"/>
  <c r="J1958" i="23"/>
  <c r="K1958" i="23" s="1"/>
  <c r="L1958" i="23" s="1"/>
  <c r="J1975" i="23"/>
  <c r="K1975" i="23" s="1"/>
  <c r="L1975" i="23" s="1"/>
  <c r="J1973" i="23"/>
  <c r="K1973" i="23" s="1"/>
  <c r="L1973" i="23" s="1"/>
  <c r="J1957" i="23"/>
  <c r="K1957" i="23" s="1"/>
  <c r="L1957" i="23" s="1"/>
  <c r="J1972" i="23"/>
  <c r="K1972" i="23" s="1"/>
  <c r="L1972" i="23" s="1"/>
  <c r="J1955" i="23"/>
  <c r="K1955" i="23" s="1"/>
  <c r="L1955" i="23" s="1"/>
  <c r="J1971" i="23"/>
  <c r="K1971" i="23" s="1"/>
  <c r="L1971" i="23" s="1"/>
  <c r="J1970" i="23"/>
  <c r="K1970" i="23" s="1"/>
  <c r="L1970" i="23" s="1"/>
  <c r="J1954" i="23"/>
  <c r="K1954" i="23" s="1"/>
  <c r="L1954" i="23" s="1"/>
  <c r="J1963" i="23"/>
  <c r="K1963" i="23" s="1"/>
  <c r="L1963" i="23" s="1"/>
  <c r="J1969" i="23"/>
  <c r="K1969" i="23" s="1"/>
  <c r="L1969" i="23" s="1"/>
  <c r="J1953" i="23"/>
  <c r="K1953" i="23" s="1"/>
  <c r="L1953" i="23" s="1"/>
  <c r="M930" i="23"/>
  <c r="M1938" i="23"/>
  <c r="M1888" i="23"/>
  <c r="M1911" i="23"/>
  <c r="J1951" i="23"/>
  <c r="K1951" i="23" s="1"/>
  <c r="L1951" i="23" s="1"/>
  <c r="J1952" i="23"/>
  <c r="K1952" i="23" s="1"/>
  <c r="L1952" i="23" s="1"/>
  <c r="M916" i="23"/>
  <c r="M1844" i="23"/>
  <c r="J1947" i="23"/>
  <c r="K1947" i="23" s="1"/>
  <c r="L1947" i="23" s="1"/>
  <c r="J1931" i="23"/>
  <c r="K1931" i="23" s="1"/>
  <c r="L1931" i="23" s="1"/>
  <c r="J1946" i="23"/>
  <c r="K1946" i="23" s="1"/>
  <c r="L1946" i="23" s="1"/>
  <c r="J1930" i="23"/>
  <c r="K1930" i="23" s="1"/>
  <c r="L1930" i="23" s="1"/>
  <c r="J1945" i="23"/>
  <c r="K1945" i="23" s="1"/>
  <c r="L1945" i="23" s="1"/>
  <c r="J1929" i="23"/>
  <c r="K1929" i="23" s="1"/>
  <c r="L1929" i="23" s="1"/>
  <c r="J1944" i="23"/>
  <c r="K1944" i="23" s="1"/>
  <c r="L1944" i="23" s="1"/>
  <c r="J1928" i="23"/>
  <c r="K1928" i="23" s="1"/>
  <c r="L1928" i="23" s="1"/>
  <c r="J1934" i="23"/>
  <c r="K1934" i="23" s="1"/>
  <c r="L1934" i="23" s="1"/>
  <c r="J1943" i="23"/>
  <c r="K1943" i="23" s="1"/>
  <c r="L1943" i="23" s="1"/>
  <c r="J1927" i="23"/>
  <c r="K1927" i="23" s="1"/>
  <c r="L1927" i="23" s="1"/>
  <c r="J1942" i="23"/>
  <c r="K1942" i="23" s="1"/>
  <c r="L1942" i="23" s="1"/>
  <c r="J1926" i="23"/>
  <c r="K1926" i="23" s="1"/>
  <c r="L1926" i="23" s="1"/>
  <c r="J1941" i="23"/>
  <c r="K1941" i="23" s="1"/>
  <c r="L1941" i="23" s="1"/>
  <c r="J1925" i="23"/>
  <c r="K1925" i="23" s="1"/>
  <c r="L1925" i="23" s="1"/>
  <c r="J1940" i="23"/>
  <c r="K1940" i="23" s="1"/>
  <c r="L1940" i="23" s="1"/>
  <c r="J1924" i="23"/>
  <c r="K1924" i="23" s="1"/>
  <c r="L1924" i="23" s="1"/>
  <c r="J1935" i="23"/>
  <c r="K1935" i="23" s="1"/>
  <c r="L1935" i="23" s="1"/>
  <c r="J1949" i="23"/>
  <c r="K1949" i="23" s="1"/>
  <c r="L1949" i="23" s="1"/>
  <c r="J1933" i="23"/>
  <c r="K1933" i="23" s="1"/>
  <c r="L1933" i="23" s="1"/>
  <c r="J1932" i="23"/>
  <c r="K1932" i="23" s="1"/>
  <c r="L1932" i="23" s="1"/>
  <c r="J1939" i="23"/>
  <c r="K1939" i="23" s="1"/>
  <c r="L1939" i="23" s="1"/>
  <c r="J1923" i="23"/>
  <c r="K1923" i="23" s="1"/>
  <c r="L1923" i="23" s="1"/>
  <c r="J1938" i="23"/>
  <c r="K1938" i="23" s="1"/>
  <c r="L1938" i="23" s="1"/>
  <c r="J1922" i="23"/>
  <c r="K1922" i="23" s="1"/>
  <c r="L1922" i="23" s="1"/>
  <c r="J1937" i="23"/>
  <c r="K1937" i="23" s="1"/>
  <c r="L1937" i="23" s="1"/>
  <c r="J1921" i="23"/>
  <c r="K1921" i="23" s="1"/>
  <c r="L1921" i="23" s="1"/>
  <c r="J1936" i="23"/>
  <c r="K1936" i="23" s="1"/>
  <c r="L1936" i="23" s="1"/>
  <c r="J1920" i="23"/>
  <c r="K1920" i="23" s="1"/>
  <c r="L1920" i="23" s="1"/>
  <c r="J1950" i="23"/>
  <c r="K1950" i="23" s="1"/>
  <c r="L1950" i="23" s="1"/>
  <c r="J1948" i="23"/>
  <c r="K1948" i="23" s="1"/>
  <c r="L1948" i="23" s="1"/>
  <c r="K1743" i="23"/>
  <c r="L1743" i="23" s="1"/>
  <c r="K1744" i="23"/>
  <c r="L1744" i="23" s="1"/>
  <c r="K1745" i="23"/>
  <c r="L1745" i="23" s="1"/>
  <c r="K1746" i="23"/>
  <c r="L1746" i="23" s="1"/>
  <c r="K1747" i="23"/>
  <c r="L1747" i="23" s="1"/>
  <c r="K1748" i="23"/>
  <c r="L1748" i="23" s="1"/>
  <c r="K1749" i="23"/>
  <c r="L1749" i="23" s="1"/>
  <c r="K1750" i="23"/>
  <c r="L1750" i="23" s="1"/>
  <c r="K1751" i="23"/>
  <c r="L1751" i="23" s="1"/>
  <c r="K1752" i="23"/>
  <c r="L1752" i="23" s="1"/>
  <c r="K1753" i="23"/>
  <c r="L1753" i="23" s="1"/>
  <c r="K1754" i="23"/>
  <c r="L1754" i="23" s="1"/>
  <c r="K1755" i="23"/>
  <c r="L1755" i="23" s="1"/>
  <c r="K1756" i="23"/>
  <c r="L1756" i="23" s="1"/>
  <c r="K1757" i="23"/>
  <c r="L1757" i="23" s="1"/>
  <c r="K1758" i="23"/>
  <c r="L1758" i="23" s="1"/>
  <c r="K1759" i="23"/>
  <c r="L1759" i="23" s="1"/>
  <c r="K1760" i="23"/>
  <c r="L1760" i="23" s="1"/>
  <c r="K1761" i="23"/>
  <c r="L1761" i="23" s="1"/>
  <c r="K1762" i="23"/>
  <c r="L1762" i="23" s="1"/>
  <c r="K1763" i="23"/>
  <c r="L1763" i="23" s="1"/>
  <c r="K1764" i="23"/>
  <c r="L1764" i="23" s="1"/>
  <c r="K1765" i="23"/>
  <c r="L1765" i="23" s="1"/>
  <c r="K1766" i="23"/>
  <c r="L1766" i="23" s="1"/>
  <c r="K1767" i="23"/>
  <c r="L1767" i="23" s="1"/>
  <c r="K1768" i="23"/>
  <c r="L1768" i="23" s="1"/>
  <c r="K1769" i="23"/>
  <c r="L1769" i="23" s="1"/>
  <c r="K1770" i="23"/>
  <c r="L1770" i="23" s="1"/>
  <c r="K1771" i="23"/>
  <c r="L1771" i="23" s="1"/>
  <c r="K1773" i="23"/>
  <c r="L1773" i="23" s="1"/>
  <c r="K1774" i="23"/>
  <c r="L1774" i="23" s="1"/>
  <c r="K1775" i="23"/>
  <c r="L1775" i="23" s="1"/>
  <c r="K1776" i="23"/>
  <c r="L1776" i="23" s="1"/>
  <c r="K1777" i="23"/>
  <c r="L1777" i="23" s="1"/>
  <c r="K1778" i="23"/>
  <c r="L1778" i="23" s="1"/>
  <c r="K1779" i="23"/>
  <c r="L1779" i="23" s="1"/>
  <c r="K1780" i="23"/>
  <c r="L1780" i="23" s="1"/>
  <c r="K1781" i="23"/>
  <c r="L1781" i="23" s="1"/>
  <c r="K1782" i="23"/>
  <c r="L1782" i="23" s="1"/>
  <c r="K1783" i="23"/>
  <c r="L1783" i="23" s="1"/>
  <c r="K1784" i="23"/>
  <c r="L1784" i="23" s="1"/>
  <c r="K1785" i="23"/>
  <c r="L1785" i="23" s="1"/>
  <c r="K1786" i="23"/>
  <c r="L1786" i="23" s="1"/>
  <c r="K1787" i="23"/>
  <c r="L1787" i="23" s="1"/>
  <c r="K1788" i="23"/>
  <c r="L1788" i="23" s="1"/>
  <c r="K1789" i="23"/>
  <c r="L1789" i="23" s="1"/>
  <c r="K1790" i="23"/>
  <c r="L1790" i="23" s="1"/>
  <c r="K1791" i="23"/>
  <c r="L1791" i="23" s="1"/>
  <c r="K1792" i="23"/>
  <c r="L1792" i="23" s="1"/>
  <c r="K1793" i="23"/>
  <c r="L1793" i="23" s="1"/>
  <c r="K1794" i="23"/>
  <c r="L1794" i="23" s="1"/>
  <c r="K1795" i="23"/>
  <c r="L1795" i="23" s="1"/>
  <c r="K1796" i="23"/>
  <c r="L1796" i="23" s="1"/>
  <c r="K1797" i="23"/>
  <c r="L1797" i="23" s="1"/>
  <c r="K1798" i="23"/>
  <c r="L1798" i="23" s="1"/>
  <c r="K1799" i="23"/>
  <c r="L1799" i="23" s="1"/>
  <c r="K1800" i="23"/>
  <c r="L1800" i="23" s="1"/>
  <c r="K1801" i="23"/>
  <c r="L1801" i="23" s="1"/>
  <c r="K1802" i="23"/>
  <c r="L1802" i="23" s="1"/>
  <c r="K1803" i="23"/>
  <c r="L1803" i="23" s="1"/>
  <c r="K1804" i="23"/>
  <c r="L1804" i="23" s="1"/>
  <c r="K1805" i="23"/>
  <c r="L1805" i="23" s="1"/>
  <c r="K1806" i="23"/>
  <c r="L1806" i="23" s="1"/>
  <c r="K1807" i="23"/>
  <c r="L1807" i="23" s="1"/>
  <c r="K1808" i="23"/>
  <c r="L1808" i="23" s="1"/>
  <c r="K1809" i="23"/>
  <c r="L1809" i="23" s="1"/>
  <c r="K1810" i="23"/>
  <c r="L1810" i="23" s="1"/>
  <c r="K1811" i="23"/>
  <c r="L1811" i="23" s="1"/>
  <c r="K1812" i="23"/>
  <c r="L1812" i="23" s="1"/>
  <c r="K1813" i="23"/>
  <c r="L1813" i="23" s="1"/>
  <c r="K1814" i="23"/>
  <c r="L1814" i="23" s="1"/>
  <c r="K1815" i="23"/>
  <c r="L1815" i="23" s="1"/>
  <c r="K1816" i="23"/>
  <c r="L1816" i="23" s="1"/>
  <c r="K1817" i="23"/>
  <c r="L1817" i="23" s="1"/>
  <c r="K1818" i="23"/>
  <c r="L1818" i="23" s="1"/>
  <c r="K1819" i="23"/>
  <c r="L1819" i="23" s="1"/>
  <c r="K1820" i="23"/>
  <c r="L1820" i="23" s="1"/>
  <c r="K1821" i="23"/>
  <c r="L1821" i="23" s="1"/>
  <c r="K1822" i="23"/>
  <c r="L1822" i="23" s="1"/>
  <c r="K1823" i="23"/>
  <c r="L1823" i="23" s="1"/>
  <c r="K1824" i="23"/>
  <c r="L1824" i="23" s="1"/>
  <c r="K1825" i="23"/>
  <c r="L1825" i="23" s="1"/>
  <c r="K1826" i="23"/>
  <c r="L1826" i="23" s="1"/>
  <c r="K1828" i="23"/>
  <c r="L1828" i="23" s="1"/>
  <c r="K1832" i="23"/>
  <c r="L1832" i="23" s="1"/>
  <c r="K1836" i="23"/>
  <c r="L1836" i="23" s="1"/>
  <c r="K1840" i="23"/>
  <c r="L1840" i="23" s="1"/>
  <c r="K1848" i="23"/>
  <c r="L1848" i="23" s="1"/>
  <c r="K1856" i="23"/>
  <c r="L1856" i="23" s="1"/>
  <c r="K1864" i="23"/>
  <c r="L1864" i="23" s="1"/>
  <c r="K1872" i="23"/>
  <c r="L1872" i="23" s="1"/>
  <c r="K1880" i="23"/>
  <c r="L1880" i="23" s="1"/>
  <c r="K1855" i="23"/>
  <c r="L1855" i="23" s="1"/>
  <c r="K1831" i="23"/>
  <c r="L1831" i="23" s="1"/>
  <c r="K1835" i="23"/>
  <c r="L1835" i="23" s="1"/>
  <c r="K1839" i="23"/>
  <c r="L1839" i="23" s="1"/>
  <c r="K1843" i="23"/>
  <c r="L1843" i="23" s="1"/>
  <c r="K1847" i="23"/>
  <c r="L1847" i="23" s="1"/>
  <c r="K1854" i="23"/>
  <c r="L1854" i="23" s="1"/>
  <c r="K1830" i="23"/>
  <c r="L1830" i="23" s="1"/>
  <c r="K1834" i="23"/>
  <c r="L1834" i="23" s="1"/>
  <c r="K1838" i="23"/>
  <c r="L1838" i="23" s="1"/>
  <c r="K1842" i="23"/>
  <c r="L1842" i="23" s="1"/>
  <c r="K1852" i="23"/>
  <c r="L1852" i="23" s="1"/>
  <c r="K1860" i="23"/>
  <c r="L1860" i="23" s="1"/>
  <c r="K1868" i="23"/>
  <c r="L1868" i="23" s="1"/>
  <c r="K1892" i="23"/>
  <c r="L1892" i="23" s="1"/>
  <c r="K1891" i="23"/>
  <c r="L1891" i="23" s="1"/>
  <c r="K1899" i="23"/>
  <c r="L1899" i="23" s="1"/>
  <c r="J1907" i="23"/>
  <c r="K1907" i="23" s="1"/>
  <c r="L1907" i="23" s="1"/>
  <c r="J1908" i="23"/>
  <c r="K1908" i="23" s="1"/>
  <c r="L1908" i="23" s="1"/>
  <c r="J1909" i="23"/>
  <c r="K1909" i="23" s="1"/>
  <c r="L1909" i="23" s="1"/>
  <c r="J1910" i="23"/>
  <c r="K1910" i="23" s="1"/>
  <c r="L1910" i="23" s="1"/>
  <c r="J1911" i="23"/>
  <c r="K1911" i="23" s="1"/>
  <c r="L1911" i="23" s="1"/>
  <c r="J1912" i="23"/>
  <c r="K1912" i="23" s="1"/>
  <c r="L1912" i="23" s="1"/>
  <c r="J1913" i="23"/>
  <c r="K1913" i="23" s="1"/>
  <c r="L1913" i="23" s="1"/>
  <c r="J1914" i="23"/>
  <c r="K1914" i="23" s="1"/>
  <c r="L1914" i="23" s="1"/>
  <c r="J1915" i="23"/>
  <c r="K1915" i="23" s="1"/>
  <c r="L1915" i="23" s="1"/>
  <c r="J1916" i="23"/>
  <c r="K1916" i="23" s="1"/>
  <c r="L1916" i="23" s="1"/>
  <c r="J1917" i="23"/>
  <c r="K1917" i="23" s="1"/>
  <c r="L1917" i="23" s="1"/>
  <c r="J1918" i="23"/>
  <c r="K1918" i="23" s="1"/>
  <c r="L1918" i="23" s="1"/>
  <c r="J1919" i="23"/>
  <c r="K1919" i="23" s="1"/>
  <c r="L1919" i="23" s="1"/>
  <c r="K1829" i="23"/>
  <c r="L1829" i="23" s="1"/>
  <c r="K1833" i="23"/>
  <c r="L1833" i="23" s="1"/>
  <c r="K1837" i="23"/>
  <c r="L1837" i="23" s="1"/>
  <c r="K1841" i="23"/>
  <c r="L1841" i="23" s="1"/>
  <c r="K1845" i="23"/>
  <c r="L1845" i="23" s="1"/>
  <c r="K1850" i="23"/>
  <c r="L1850" i="23" s="1"/>
  <c r="K1858" i="23"/>
  <c r="L1858" i="23" s="1"/>
  <c r="K1866" i="23"/>
  <c r="L1866" i="23" s="1"/>
  <c r="K1882" i="23"/>
  <c r="L1882" i="23" s="1"/>
  <c r="K1857" i="23"/>
  <c r="L1857" i="23" s="1"/>
  <c r="K1865" i="23"/>
  <c r="L1865" i="23" s="1"/>
  <c r="K1851" i="23"/>
  <c r="L1851" i="23" s="1"/>
  <c r="K1859" i="23"/>
  <c r="L1859" i="23" s="1"/>
  <c r="K1867" i="23"/>
  <c r="L1867" i="23" s="1"/>
  <c r="K1849" i="23"/>
  <c r="L1849" i="23" s="1"/>
  <c r="K1877" i="23"/>
  <c r="L1877" i="23" s="1"/>
  <c r="K1881" i="23"/>
  <c r="L1881" i="23" s="1"/>
  <c r="K1895" i="23"/>
  <c r="L1895" i="23" s="1"/>
  <c r="K1869" i="23"/>
  <c r="L1869" i="23" s="1"/>
  <c r="K1901" i="23"/>
  <c r="L1901" i="23" s="1"/>
  <c r="K1904" i="23"/>
  <c r="L1904" i="23" s="1"/>
  <c r="K1879" i="23"/>
  <c r="L1879" i="23" s="1"/>
  <c r="K1893" i="23"/>
  <c r="L1893" i="23" s="1"/>
  <c r="K1903" i="23"/>
  <c r="L1903" i="23" s="1"/>
  <c r="K1861" i="23"/>
  <c r="L1861" i="23" s="1"/>
  <c r="K1889" i="23"/>
  <c r="L1889" i="23" s="1"/>
  <c r="J1888" i="23"/>
  <c r="K1888" i="23" s="1"/>
  <c r="L1888" i="23" s="1"/>
  <c r="J1902" i="23"/>
  <c r="K1902" i="23" s="1"/>
  <c r="L1902" i="23" s="1"/>
  <c r="J1873" i="23"/>
  <c r="K1873" i="23" s="1"/>
  <c r="L1873" i="23" s="1"/>
  <c r="J1827" i="23"/>
  <c r="K1827" i="23" s="1"/>
  <c r="L1827" i="23" s="1"/>
  <c r="J1896" i="23"/>
  <c r="K1896" i="23" s="1"/>
  <c r="L1896" i="23" s="1"/>
  <c r="J1874" i="23"/>
  <c r="K1874" i="23" s="1"/>
  <c r="L1874" i="23" s="1"/>
  <c r="J1906" i="23"/>
  <c r="K1906" i="23" s="1"/>
  <c r="L1906" i="23" s="1"/>
  <c r="J1887" i="23"/>
  <c r="K1887" i="23" s="1"/>
  <c r="L1887" i="23" s="1"/>
  <c r="J1878" i="23"/>
  <c r="K1878" i="23" s="1"/>
  <c r="L1878" i="23" s="1"/>
  <c r="J1894" i="23"/>
  <c r="K1894" i="23" s="1"/>
  <c r="L1894" i="23" s="1"/>
  <c r="J1898" i="23"/>
  <c r="K1898" i="23" s="1"/>
  <c r="L1898" i="23" s="1"/>
  <c r="J1871" i="23"/>
  <c r="K1871" i="23" s="1"/>
  <c r="L1871" i="23" s="1"/>
  <c r="J1900" i="23"/>
  <c r="K1900" i="23" s="1"/>
  <c r="L1900" i="23" s="1"/>
  <c r="J1884" i="23"/>
  <c r="K1884" i="23" s="1"/>
  <c r="L1884" i="23" s="1"/>
  <c r="J1890" i="23"/>
  <c r="K1890" i="23" s="1"/>
  <c r="L1890" i="23" s="1"/>
  <c r="J1863" i="23"/>
  <c r="K1863" i="23" s="1"/>
  <c r="L1863" i="23" s="1"/>
  <c r="J1885" i="23"/>
  <c r="K1885" i="23" s="1"/>
  <c r="L1885" i="23" s="1"/>
  <c r="J1886" i="23"/>
  <c r="K1886" i="23" s="1"/>
  <c r="L1886" i="23" s="1"/>
  <c r="J1846" i="23"/>
  <c r="K1846" i="23" s="1"/>
  <c r="L1846" i="23" s="1"/>
  <c r="J1883" i="23"/>
  <c r="K1883" i="23" s="1"/>
  <c r="L1883" i="23" s="1"/>
  <c r="J1772" i="23"/>
  <c r="K1772" i="23" s="1"/>
  <c r="L1772" i="23" s="1"/>
  <c r="J1905" i="23"/>
  <c r="K1905" i="23" s="1"/>
  <c r="L1905" i="23" s="1"/>
  <c r="J1862" i="23"/>
  <c r="K1862" i="23" s="1"/>
  <c r="L1862" i="23" s="1"/>
  <c r="J1844" i="23"/>
  <c r="K1844" i="23" s="1"/>
  <c r="L1844" i="23" s="1"/>
  <c r="J1875" i="23"/>
  <c r="K1875" i="23" s="1"/>
  <c r="L1875" i="23" s="1"/>
  <c r="J1870" i="23"/>
  <c r="K1870" i="23" s="1"/>
  <c r="L1870" i="23" s="1"/>
  <c r="J1876" i="23"/>
  <c r="K1876" i="23" s="1"/>
  <c r="L1876" i="23" s="1"/>
  <c r="J1897" i="23"/>
  <c r="K1897" i="23" s="1"/>
  <c r="L1897" i="23" s="1"/>
  <c r="J1853" i="23"/>
  <c r="K1853" i="23" s="1"/>
  <c r="L1853" i="23" s="1"/>
  <c r="J407" i="23"/>
  <c r="K407" i="23" s="1"/>
  <c r="L407" i="23" s="1"/>
  <c r="H1720" i="22"/>
  <c r="H1728" i="22"/>
  <c r="H1736" i="22"/>
  <c r="H1744" i="22"/>
  <c r="H1752" i="22"/>
  <c r="H1760" i="22"/>
  <c r="H1768" i="22"/>
  <c r="H1776" i="22"/>
  <c r="H1784" i="22"/>
  <c r="H1792" i="22"/>
  <c r="H1800" i="22"/>
  <c r="H1808" i="22"/>
  <c r="H1816" i="22"/>
  <c r="H1824" i="22"/>
  <c r="H1832" i="22"/>
  <c r="H1840" i="22"/>
  <c r="H1848" i="22"/>
  <c r="H1856" i="22"/>
  <c r="H1864" i="22"/>
  <c r="H1872" i="22"/>
  <c r="H1880" i="22"/>
  <c r="H1888" i="22"/>
  <c r="H1896" i="22"/>
  <c r="H1904" i="22"/>
  <c r="H1907" i="22"/>
  <c r="H1748" i="22"/>
  <c r="H1804" i="22"/>
  <c r="H1828" i="22"/>
  <c r="H1836" i="22"/>
  <c r="H1908" i="22"/>
  <c r="H1730" i="22"/>
  <c r="H1762" i="22"/>
  <c r="H1794" i="22"/>
  <c r="H1818" i="22"/>
  <c r="H1826" i="22"/>
  <c r="H1834" i="22"/>
  <c r="H1842" i="22"/>
  <c r="H1850" i="22"/>
  <c r="H1906" i="22"/>
  <c r="H1725" i="22"/>
  <c r="H1733" i="22"/>
  <c r="H1773" i="22"/>
  <c r="H1797" i="22"/>
  <c r="H1837" i="22"/>
  <c r="H1845" i="22"/>
  <c r="H1853" i="22"/>
  <c r="H1723" i="22"/>
  <c r="H1731" i="22"/>
  <c r="H1739" i="22"/>
  <c r="H1747" i="22"/>
  <c r="H1755" i="22"/>
  <c r="H1763" i="22"/>
  <c r="H1771" i="22"/>
  <c r="H1779" i="22"/>
  <c r="H1787" i="22"/>
  <c r="H1795" i="22"/>
  <c r="H1803" i="22"/>
  <c r="H1811" i="22"/>
  <c r="H1819" i="22"/>
  <c r="H1827" i="22"/>
  <c r="H1835" i="22"/>
  <c r="H1843" i="22"/>
  <c r="H1851" i="22"/>
  <c r="H1859" i="22"/>
  <c r="H1867" i="22"/>
  <c r="H1875" i="22"/>
  <c r="H1883" i="22"/>
  <c r="H1891" i="22"/>
  <c r="H1899" i="22"/>
  <c r="H1726" i="22"/>
  <c r="H1734" i="22"/>
  <c r="H1742" i="22"/>
  <c r="H1750" i="22"/>
  <c r="H1758" i="22"/>
  <c r="H1766" i="22"/>
  <c r="H1774" i="22"/>
  <c r="H1782" i="22"/>
  <c r="H1790" i="22"/>
  <c r="H1798" i="22"/>
  <c r="H1806" i="22"/>
  <c r="H1814" i="22"/>
  <c r="H1822" i="22"/>
  <c r="H1830" i="22"/>
  <c r="H1838" i="22"/>
  <c r="H1846" i="22"/>
  <c r="H1854" i="22"/>
  <c r="H1862" i="22"/>
  <c r="H1870" i="22"/>
  <c r="H1878" i="22"/>
  <c r="H1886" i="22"/>
  <c r="H1894" i="22"/>
  <c r="H1902" i="22"/>
  <c r="H1724" i="22"/>
  <c r="H1764" i="22"/>
  <c r="H1780" i="22"/>
  <c r="H1788" i="22"/>
  <c r="H1812" i="22"/>
  <c r="H1852" i="22"/>
  <c r="H1746" i="22"/>
  <c r="H1754" i="22"/>
  <c r="H1786" i="22"/>
  <c r="H1802" i="22"/>
  <c r="H1810" i="22"/>
  <c r="H1858" i="22"/>
  <c r="H1741" i="22"/>
  <c r="H1789" i="22"/>
  <c r="H1821" i="22"/>
  <c r="H1829" i="22"/>
  <c r="H1861" i="22"/>
  <c r="H1869" i="22"/>
  <c r="H1877" i="22"/>
  <c r="H1885" i="22"/>
  <c r="H1893" i="22"/>
  <c r="H1901" i="22"/>
  <c r="H1721" i="22"/>
  <c r="H1729" i="22"/>
  <c r="H1737" i="22"/>
  <c r="H1745" i="22"/>
  <c r="H1753" i="22"/>
  <c r="H1761" i="22"/>
  <c r="H1769" i="22"/>
  <c r="H1777" i="22"/>
  <c r="H1785" i="22"/>
  <c r="H1793" i="22"/>
  <c r="H1801" i="22"/>
  <c r="H1809" i="22"/>
  <c r="H1817" i="22"/>
  <c r="H1825" i="22"/>
  <c r="H1833" i="22"/>
  <c r="H1841" i="22"/>
  <c r="H1849" i="22"/>
  <c r="H1857" i="22"/>
  <c r="H1865" i="22"/>
  <c r="H1873" i="22"/>
  <c r="H1881" i="22"/>
  <c r="H1889" i="22"/>
  <c r="H1897" i="22"/>
  <c r="H1905" i="22"/>
  <c r="H1732" i="22"/>
  <c r="H1740" i="22"/>
  <c r="H1756" i="22"/>
  <c r="H1772" i="22"/>
  <c r="H1796" i="22"/>
  <c r="H1820" i="22"/>
  <c r="H1844" i="22"/>
  <c r="H1868" i="22"/>
  <c r="H1876" i="22"/>
  <c r="H1884" i="22"/>
  <c r="H1892" i="22"/>
  <c r="H1738" i="22"/>
  <c r="H1770" i="22"/>
  <c r="H1874" i="22"/>
  <c r="H1882" i="22"/>
  <c r="H1890" i="22"/>
  <c r="H1749" i="22"/>
  <c r="H1813" i="22"/>
  <c r="H1860" i="22"/>
  <c r="H1900" i="22"/>
  <c r="H1778" i="22"/>
  <c r="H1866" i="22"/>
  <c r="H1898" i="22"/>
  <c r="H1757" i="22"/>
  <c r="H1765" i="22"/>
  <c r="H1781" i="22"/>
  <c r="H1805" i="22"/>
  <c r="H1727" i="22"/>
  <c r="H1735" i="22"/>
  <c r="H1743" i="22"/>
  <c r="H1751" i="22"/>
  <c r="H1759" i="22"/>
  <c r="H1767" i="22"/>
  <c r="H1775" i="22"/>
  <c r="H1783" i="22"/>
  <c r="H1791" i="22"/>
  <c r="H1799" i="22"/>
  <c r="H1807" i="22"/>
  <c r="H1815" i="22"/>
  <c r="H1823" i="22"/>
  <c r="H1831" i="22"/>
  <c r="H1839" i="22"/>
  <c r="H1847" i="22"/>
  <c r="H1855" i="22"/>
  <c r="H1863" i="22"/>
  <c r="H1871" i="22"/>
  <c r="H1879" i="22"/>
  <c r="H1887" i="22"/>
  <c r="H1895" i="22"/>
  <c r="H1903" i="22"/>
  <c r="H1722" i="22"/>
  <c r="J1406" i="23"/>
  <c r="K1406" i="23" s="1"/>
  <c r="L1406" i="23" s="1"/>
  <c r="M891" i="23"/>
  <c r="M917" i="23"/>
  <c r="M904" i="23"/>
  <c r="M874" i="23"/>
  <c r="M908" i="23"/>
  <c r="M928" i="23"/>
  <c r="M1687" i="23"/>
  <c r="M931" i="23"/>
  <c r="M907" i="23"/>
  <c r="M915" i="23"/>
  <c r="M900" i="23"/>
  <c r="M898" i="23"/>
  <c r="M809" i="23"/>
  <c r="M858" i="23"/>
  <c r="M791" i="23"/>
  <c r="M820" i="23"/>
  <c r="M857" i="23"/>
  <c r="M794" i="23"/>
  <c r="M1683" i="23"/>
  <c r="M868" i="23"/>
  <c r="M1684" i="23"/>
  <c r="M869" i="23"/>
  <c r="M844" i="23"/>
  <c r="M856" i="23"/>
  <c r="M1664" i="23"/>
  <c r="M1728" i="23"/>
  <c r="H1706" i="22"/>
  <c r="H1710" i="22"/>
  <c r="H1711" i="22"/>
  <c r="H1712" i="22"/>
  <c r="H1713" i="22"/>
  <c r="H1714" i="22"/>
  <c r="H1716" i="22"/>
  <c r="H1717" i="22"/>
  <c r="H1718" i="22"/>
  <c r="H1707" i="22"/>
  <c r="H1708" i="22"/>
  <c r="H1715" i="22"/>
  <c r="H1703" i="22"/>
  <c r="H1704" i="22"/>
  <c r="H1705" i="22"/>
  <c r="H1709" i="22"/>
  <c r="H1719" i="22"/>
  <c r="J1736" i="23"/>
  <c r="K1736" i="23" s="1"/>
  <c r="L1736" i="23" s="1"/>
  <c r="J1733" i="23"/>
  <c r="K1733" i="23" s="1"/>
  <c r="L1733" i="23" s="1"/>
  <c r="J1730" i="23"/>
  <c r="K1730" i="23" s="1"/>
  <c r="L1730" i="23" s="1"/>
  <c r="J1742" i="23"/>
  <c r="K1742" i="23" s="1"/>
  <c r="L1742" i="23" s="1"/>
  <c r="J1739" i="23"/>
  <c r="K1739" i="23" s="1"/>
  <c r="L1739" i="23" s="1"/>
  <c r="J1740" i="23"/>
  <c r="K1740" i="23" s="1"/>
  <c r="L1740" i="23" s="1"/>
  <c r="J1741" i="23"/>
  <c r="K1741" i="23" s="1"/>
  <c r="L1741" i="23" s="1"/>
  <c r="J1731" i="23"/>
  <c r="K1731" i="23" s="1"/>
  <c r="L1731" i="23" s="1"/>
  <c r="J1728" i="23"/>
  <c r="K1728" i="23" s="1"/>
  <c r="L1728" i="23" s="1"/>
  <c r="J1735" i="23"/>
  <c r="K1735" i="23" s="1"/>
  <c r="L1735" i="23" s="1"/>
  <c r="J1738" i="23"/>
  <c r="K1738" i="23" s="1"/>
  <c r="L1738" i="23" s="1"/>
  <c r="J1732" i="23"/>
  <c r="K1732" i="23" s="1"/>
  <c r="L1732" i="23" s="1"/>
  <c r="J1729" i="23"/>
  <c r="K1729" i="23" s="1"/>
  <c r="L1729" i="23" s="1"/>
  <c r="J1734" i="23"/>
  <c r="K1734" i="23" s="1"/>
  <c r="L1734" i="23" s="1"/>
  <c r="J1737" i="23"/>
  <c r="K1737" i="23" s="1"/>
  <c r="L1737" i="23" s="1"/>
  <c r="J1727" i="23"/>
  <c r="K1727" i="23" s="1"/>
  <c r="L1727" i="23" s="1"/>
  <c r="J1725" i="23"/>
  <c r="K1725" i="23" s="1"/>
  <c r="L1725" i="23" s="1"/>
  <c r="J1726" i="23"/>
  <c r="K1726" i="23" s="1"/>
  <c r="L1726" i="23" s="1"/>
  <c r="H1690" i="22"/>
  <c r="H1694" i="22"/>
  <c r="H1695" i="22"/>
  <c r="H1697" i="22"/>
  <c r="H1702" i="22"/>
  <c r="H1699" i="22"/>
  <c r="H1691" i="22"/>
  <c r="H1692" i="22"/>
  <c r="H1696" i="22"/>
  <c r="H1698" i="22"/>
  <c r="H1693" i="22"/>
  <c r="H1700" i="22"/>
  <c r="H1701" i="22"/>
  <c r="H1677" i="22"/>
  <c r="H1680" i="22"/>
  <c r="H1683" i="22"/>
  <c r="H1684" i="22"/>
  <c r="H1686" i="22"/>
  <c r="H1688" i="22"/>
  <c r="H1678" i="22"/>
  <c r="H1679" i="22"/>
  <c r="H1682" i="22"/>
  <c r="H1685" i="22"/>
  <c r="H1689" i="22"/>
  <c r="H1681" i="22"/>
  <c r="H1687" i="22"/>
  <c r="J1724" i="23"/>
  <c r="K1724" i="23" s="1"/>
  <c r="L1724" i="23" s="1"/>
  <c r="J1721" i="23"/>
  <c r="K1721" i="23" s="1"/>
  <c r="L1721" i="23" s="1"/>
  <c r="J1720" i="23"/>
  <c r="K1720" i="23" s="1"/>
  <c r="L1720" i="23" s="1"/>
  <c r="J1723" i="23"/>
  <c r="K1723" i="23" s="1"/>
  <c r="L1723" i="23" s="1"/>
  <c r="J1716" i="23"/>
  <c r="K1716" i="23" s="1"/>
  <c r="L1716" i="23" s="1"/>
  <c r="J1717" i="23"/>
  <c r="K1717" i="23" s="1"/>
  <c r="L1717" i="23" s="1"/>
  <c r="J1719" i="23"/>
  <c r="K1719" i="23" s="1"/>
  <c r="L1719" i="23" s="1"/>
  <c r="J1718" i="23"/>
  <c r="K1718" i="23" s="1"/>
  <c r="L1718" i="23" s="1"/>
  <c r="J1722" i="23"/>
  <c r="K1722" i="23" s="1"/>
  <c r="L1722" i="23" s="1"/>
  <c r="J1715" i="23"/>
  <c r="K1715" i="23" s="1"/>
  <c r="L1715" i="23" s="1"/>
  <c r="H1662" i="22"/>
  <c r="H1664" i="22"/>
  <c r="H1666" i="22"/>
  <c r="H1668" i="22"/>
  <c r="H1670" i="22"/>
  <c r="H1672" i="22"/>
  <c r="H1674" i="22"/>
  <c r="H1676" i="22"/>
  <c r="H1661" i="22"/>
  <c r="H1663" i="22"/>
  <c r="H1665" i="22"/>
  <c r="H1667" i="22"/>
  <c r="H1669" i="22"/>
  <c r="H1671" i="22"/>
  <c r="H1673" i="22"/>
  <c r="H1675" i="22"/>
  <c r="M1487" i="23"/>
  <c r="M1693" i="23"/>
  <c r="M1682" i="23"/>
  <c r="M1714" i="23"/>
  <c r="I1711" i="23"/>
  <c r="J1711" i="23" s="1"/>
  <c r="K1711" i="23" s="1"/>
  <c r="L1711" i="23" s="1"/>
  <c r="I1712" i="23"/>
  <c r="J1712" i="23" s="1"/>
  <c r="K1712" i="23" s="1"/>
  <c r="L1712" i="23" s="1"/>
  <c r="I1713" i="23"/>
  <c r="J1713" i="23" s="1"/>
  <c r="K1713" i="23" s="1"/>
  <c r="L1713" i="23" s="1"/>
  <c r="I1714" i="23"/>
  <c r="J1714" i="23" s="1"/>
  <c r="K1714" i="23" s="1"/>
  <c r="L1714" i="23" s="1"/>
  <c r="I1704" i="23"/>
  <c r="J1704" i="23" s="1"/>
  <c r="K1704" i="23" s="1"/>
  <c r="L1704" i="23" s="1"/>
  <c r="I1697" i="23"/>
  <c r="J1697" i="23" s="1"/>
  <c r="K1697" i="23" s="1"/>
  <c r="L1697" i="23" s="1"/>
  <c r="I1695" i="23"/>
  <c r="J1695" i="23" s="1"/>
  <c r="K1695" i="23" s="1"/>
  <c r="L1695" i="23" s="1"/>
  <c r="I1668" i="23"/>
  <c r="J1668" i="23" s="1"/>
  <c r="K1668" i="23" s="1"/>
  <c r="L1668" i="23" s="1"/>
  <c r="I1703" i="23"/>
  <c r="J1703" i="23" s="1"/>
  <c r="K1703" i="23" s="1"/>
  <c r="L1703" i="23" s="1"/>
  <c r="I1702" i="23"/>
  <c r="J1702" i="23" s="1"/>
  <c r="K1702" i="23" s="1"/>
  <c r="L1702" i="23" s="1"/>
  <c r="I1701" i="23"/>
  <c r="J1701" i="23" s="1"/>
  <c r="K1701" i="23" s="1"/>
  <c r="L1701" i="23" s="1"/>
  <c r="I1700" i="23"/>
  <c r="J1700" i="23" s="1"/>
  <c r="K1700" i="23" s="1"/>
  <c r="L1700" i="23" s="1"/>
  <c r="I1699" i="23"/>
  <c r="J1699" i="23" s="1"/>
  <c r="K1699" i="23" s="1"/>
  <c r="L1699" i="23" s="1"/>
  <c r="I1698" i="23"/>
  <c r="J1698" i="23" s="1"/>
  <c r="K1698" i="23" s="1"/>
  <c r="L1698" i="23" s="1"/>
  <c r="I1696" i="23"/>
  <c r="J1696" i="23" s="1"/>
  <c r="K1696" i="23" s="1"/>
  <c r="L1696" i="23" s="1"/>
  <c r="I1687" i="23"/>
  <c r="J1687" i="23" s="1"/>
  <c r="K1687" i="23" s="1"/>
  <c r="L1687" i="23" s="1"/>
  <c r="I1708" i="23"/>
  <c r="J1708" i="23" s="1"/>
  <c r="K1708" i="23" s="1"/>
  <c r="L1708" i="23" s="1"/>
  <c r="I1694" i="23"/>
  <c r="J1694" i="23" s="1"/>
  <c r="K1694" i="23" s="1"/>
  <c r="L1694" i="23" s="1"/>
  <c r="I1693" i="23"/>
  <c r="J1693" i="23" s="1"/>
  <c r="K1693" i="23" s="1"/>
  <c r="L1693" i="23" s="1"/>
  <c r="I1692" i="23"/>
  <c r="J1692" i="23" s="1"/>
  <c r="K1692" i="23" s="1"/>
  <c r="L1692" i="23" s="1"/>
  <c r="I1691" i="23"/>
  <c r="J1691" i="23" s="1"/>
  <c r="K1691" i="23" s="1"/>
  <c r="L1691" i="23" s="1"/>
  <c r="I1690" i="23"/>
  <c r="J1690" i="23" s="1"/>
  <c r="K1690" i="23" s="1"/>
  <c r="L1690" i="23" s="1"/>
  <c r="I1689" i="23"/>
  <c r="J1689" i="23" s="1"/>
  <c r="K1689" i="23" s="1"/>
  <c r="L1689" i="23" s="1"/>
  <c r="I1688" i="23"/>
  <c r="J1688" i="23" s="1"/>
  <c r="K1688" i="23" s="1"/>
  <c r="L1688" i="23" s="1"/>
  <c r="I1686" i="23"/>
  <c r="J1686" i="23" s="1"/>
  <c r="K1686" i="23" s="1"/>
  <c r="L1686" i="23" s="1"/>
  <c r="I1685" i="23"/>
  <c r="J1685" i="23" s="1"/>
  <c r="K1685" i="23" s="1"/>
  <c r="L1685" i="23" s="1"/>
  <c r="I1684" i="23"/>
  <c r="J1684" i="23" s="1"/>
  <c r="K1684" i="23" s="1"/>
  <c r="L1684" i="23" s="1"/>
  <c r="I1683" i="23"/>
  <c r="J1683" i="23" s="1"/>
  <c r="K1683" i="23" s="1"/>
  <c r="L1683" i="23" s="1"/>
  <c r="I1682" i="23"/>
  <c r="J1682" i="23" s="1"/>
  <c r="K1682" i="23" s="1"/>
  <c r="L1682" i="23" s="1"/>
  <c r="I1681" i="23"/>
  <c r="J1681" i="23" s="1"/>
  <c r="K1681" i="23" s="1"/>
  <c r="L1681" i="23" s="1"/>
  <c r="I1680" i="23"/>
  <c r="J1680" i="23" s="1"/>
  <c r="K1680" i="23" s="1"/>
  <c r="L1680" i="23" s="1"/>
  <c r="I1676" i="23"/>
  <c r="J1676" i="23" s="1"/>
  <c r="K1676" i="23" s="1"/>
  <c r="L1676" i="23" s="1"/>
  <c r="I1661" i="23"/>
  <c r="J1661" i="23" s="1"/>
  <c r="K1661" i="23" s="1"/>
  <c r="L1661" i="23" s="1"/>
  <c r="I1662" i="23"/>
  <c r="J1662" i="23" s="1"/>
  <c r="K1662" i="23" s="1"/>
  <c r="L1662" i="23" s="1"/>
  <c r="I1663" i="23"/>
  <c r="J1663" i="23" s="1"/>
  <c r="K1663" i="23" s="1"/>
  <c r="L1663" i="23" s="1"/>
  <c r="I1664" i="23"/>
  <c r="J1664" i="23" s="1"/>
  <c r="K1664" i="23" s="1"/>
  <c r="L1664" i="23" s="1"/>
  <c r="I1665" i="23"/>
  <c r="J1665" i="23" s="1"/>
  <c r="K1665" i="23" s="1"/>
  <c r="L1665" i="23" s="1"/>
  <c r="I1666" i="23"/>
  <c r="J1666" i="23" s="1"/>
  <c r="K1666" i="23" s="1"/>
  <c r="L1666" i="23" s="1"/>
  <c r="I1667" i="23"/>
  <c r="J1667" i="23" s="1"/>
  <c r="K1667" i="23" s="1"/>
  <c r="L1667" i="23" s="1"/>
  <c r="I1669" i="23"/>
  <c r="J1669" i="23" s="1"/>
  <c r="K1669" i="23" s="1"/>
  <c r="L1669" i="23" s="1"/>
  <c r="I1670" i="23"/>
  <c r="J1670" i="23" s="1"/>
  <c r="K1670" i="23" s="1"/>
  <c r="L1670" i="23" s="1"/>
  <c r="I1671" i="23"/>
  <c r="J1671" i="23" s="1"/>
  <c r="K1671" i="23" s="1"/>
  <c r="L1671" i="23" s="1"/>
  <c r="I1672" i="23"/>
  <c r="J1672" i="23" s="1"/>
  <c r="K1672" i="23" s="1"/>
  <c r="L1672" i="23" s="1"/>
  <c r="I1673" i="23"/>
  <c r="J1673" i="23" s="1"/>
  <c r="K1673" i="23" s="1"/>
  <c r="L1673" i="23" s="1"/>
  <c r="I1674" i="23"/>
  <c r="J1674" i="23" s="1"/>
  <c r="K1674" i="23" s="1"/>
  <c r="L1674" i="23" s="1"/>
  <c r="I1675" i="23"/>
  <c r="J1675" i="23" s="1"/>
  <c r="K1675" i="23" s="1"/>
  <c r="L1675" i="23" s="1"/>
  <c r="I1709" i="23"/>
  <c r="J1709" i="23" s="1"/>
  <c r="K1709" i="23" s="1"/>
  <c r="L1709" i="23" s="1"/>
  <c r="I1677" i="23"/>
  <c r="J1677" i="23" s="1"/>
  <c r="K1677" i="23" s="1"/>
  <c r="L1677" i="23" s="1"/>
  <c r="I1678" i="23"/>
  <c r="J1678" i="23" s="1"/>
  <c r="K1678" i="23" s="1"/>
  <c r="L1678" i="23" s="1"/>
  <c r="I1679" i="23"/>
  <c r="J1679" i="23" s="1"/>
  <c r="K1679" i="23" s="1"/>
  <c r="L1679" i="23" s="1"/>
  <c r="I1705" i="23"/>
  <c r="J1705" i="23" s="1"/>
  <c r="K1705" i="23" s="1"/>
  <c r="L1705" i="23" s="1"/>
  <c r="I1706" i="23"/>
  <c r="J1706" i="23" s="1"/>
  <c r="K1706" i="23" s="1"/>
  <c r="L1706" i="23" s="1"/>
  <c r="I1707" i="23"/>
  <c r="J1707" i="23" s="1"/>
  <c r="K1707" i="23" s="1"/>
  <c r="L1707" i="23" s="1"/>
  <c r="I1710" i="23"/>
  <c r="J1710" i="23" s="1"/>
  <c r="K1710" i="23" s="1"/>
  <c r="L1710" i="23" s="1"/>
  <c r="I1644" i="23"/>
  <c r="J1644" i="23" s="1"/>
  <c r="K1644" i="23" s="1"/>
  <c r="L1644" i="23" s="1"/>
  <c r="I1650" i="23"/>
  <c r="J1650" i="23" s="1"/>
  <c r="K1650" i="23" s="1"/>
  <c r="L1650" i="23" s="1"/>
  <c r="I1652" i="23"/>
  <c r="J1652" i="23" s="1"/>
  <c r="K1652" i="23" s="1"/>
  <c r="L1652" i="23" s="1"/>
  <c r="I1654" i="23"/>
  <c r="J1654" i="23" s="1"/>
  <c r="K1654" i="23" s="1"/>
  <c r="L1654" i="23" s="1"/>
  <c r="I1656" i="23"/>
  <c r="J1656" i="23" s="1"/>
  <c r="K1656" i="23" s="1"/>
  <c r="L1656" i="23" s="1"/>
  <c r="I1642" i="23"/>
  <c r="J1642" i="23" s="1"/>
  <c r="K1642" i="23" s="1"/>
  <c r="L1642" i="23" s="1"/>
  <c r="I1638" i="23"/>
  <c r="J1638" i="23" s="1"/>
  <c r="K1638" i="23" s="1"/>
  <c r="L1638" i="23" s="1"/>
  <c r="I1626" i="23"/>
  <c r="J1626" i="23" s="1"/>
  <c r="K1626" i="23" s="1"/>
  <c r="L1626" i="23" s="1"/>
  <c r="I1645" i="23"/>
  <c r="J1645" i="23" s="1"/>
  <c r="K1645" i="23" s="1"/>
  <c r="L1645" i="23" s="1"/>
  <c r="I1646" i="23"/>
  <c r="J1646" i="23" s="1"/>
  <c r="K1646" i="23" s="1"/>
  <c r="L1646" i="23" s="1"/>
  <c r="I1647" i="23"/>
  <c r="J1647" i="23" s="1"/>
  <c r="K1647" i="23" s="1"/>
  <c r="L1647" i="23" s="1"/>
  <c r="I1648" i="23"/>
  <c r="J1648" i="23" s="1"/>
  <c r="K1648" i="23" s="1"/>
  <c r="L1648" i="23" s="1"/>
  <c r="I1649" i="23"/>
  <c r="J1649" i="23" s="1"/>
  <c r="K1649" i="23" s="1"/>
  <c r="L1649" i="23" s="1"/>
  <c r="I1651" i="23"/>
  <c r="J1651" i="23" s="1"/>
  <c r="K1651" i="23" s="1"/>
  <c r="L1651" i="23" s="1"/>
  <c r="I1653" i="23"/>
  <c r="J1653" i="23" s="1"/>
  <c r="K1653" i="23" s="1"/>
  <c r="L1653" i="23" s="1"/>
  <c r="I1655" i="23"/>
  <c r="J1655" i="23" s="1"/>
  <c r="K1655" i="23" s="1"/>
  <c r="L1655" i="23" s="1"/>
  <c r="I1643" i="23"/>
  <c r="J1643" i="23" s="1"/>
  <c r="K1643" i="23" s="1"/>
  <c r="L1643" i="23" s="1"/>
  <c r="I1639" i="23"/>
  <c r="J1639" i="23" s="1"/>
  <c r="K1639" i="23" s="1"/>
  <c r="L1639" i="23" s="1"/>
  <c r="I1611" i="23"/>
  <c r="J1611" i="23" s="1"/>
  <c r="K1611" i="23" s="1"/>
  <c r="L1611" i="23" s="1"/>
  <c r="I1657" i="23"/>
  <c r="J1657" i="23" s="1"/>
  <c r="K1657" i="23" s="1"/>
  <c r="L1657" i="23" s="1"/>
  <c r="I1658" i="23"/>
  <c r="J1658" i="23" s="1"/>
  <c r="K1658" i="23" s="1"/>
  <c r="L1658" i="23" s="1"/>
  <c r="I1659" i="23"/>
  <c r="J1659" i="23" s="1"/>
  <c r="K1659" i="23" s="1"/>
  <c r="L1659" i="23" s="1"/>
  <c r="I1660" i="23"/>
  <c r="J1660" i="23" s="1"/>
  <c r="K1660" i="23" s="1"/>
  <c r="L1660" i="23" s="1"/>
  <c r="I1640" i="23"/>
  <c r="J1640" i="23" s="1"/>
  <c r="K1640" i="23" s="1"/>
  <c r="L1640" i="23" s="1"/>
  <c r="I1628" i="23"/>
  <c r="J1628" i="23" s="1"/>
  <c r="K1628" i="23" s="1"/>
  <c r="L1628" i="23" s="1"/>
  <c r="I1613" i="23"/>
  <c r="J1613" i="23" s="1"/>
  <c r="K1613" i="23" s="1"/>
  <c r="L1613" i="23" s="1"/>
  <c r="I1637" i="23"/>
  <c r="J1637" i="23" s="1"/>
  <c r="K1637" i="23" s="1"/>
  <c r="L1637" i="23" s="1"/>
  <c r="I1636" i="23"/>
  <c r="J1636" i="23" s="1"/>
  <c r="K1636" i="23" s="1"/>
  <c r="L1636" i="23" s="1"/>
  <c r="I1635" i="23"/>
  <c r="J1635" i="23" s="1"/>
  <c r="K1635" i="23" s="1"/>
  <c r="L1635" i="23" s="1"/>
  <c r="I1634" i="23"/>
  <c r="J1634" i="23" s="1"/>
  <c r="K1634" i="23" s="1"/>
  <c r="L1634" i="23" s="1"/>
  <c r="I1633" i="23"/>
  <c r="J1633" i="23" s="1"/>
  <c r="K1633" i="23" s="1"/>
  <c r="L1633" i="23" s="1"/>
  <c r="I1632" i="23"/>
  <c r="J1632" i="23" s="1"/>
  <c r="K1632" i="23" s="1"/>
  <c r="L1632" i="23" s="1"/>
  <c r="I1631" i="23"/>
  <c r="J1631" i="23" s="1"/>
  <c r="K1631" i="23" s="1"/>
  <c r="L1631" i="23" s="1"/>
  <c r="I1630" i="23"/>
  <c r="J1630" i="23" s="1"/>
  <c r="K1630" i="23" s="1"/>
  <c r="L1630" i="23" s="1"/>
  <c r="I1629" i="23"/>
  <c r="J1629" i="23" s="1"/>
  <c r="K1629" i="23" s="1"/>
  <c r="L1629" i="23" s="1"/>
  <c r="I1625" i="23"/>
  <c r="J1625" i="23" s="1"/>
  <c r="K1625" i="23" s="1"/>
  <c r="L1625" i="23" s="1"/>
  <c r="I1624" i="23"/>
  <c r="J1624" i="23" s="1"/>
  <c r="K1624" i="23" s="1"/>
  <c r="L1624" i="23" s="1"/>
  <c r="I1623" i="23"/>
  <c r="J1623" i="23" s="1"/>
  <c r="K1623" i="23" s="1"/>
  <c r="L1623" i="23" s="1"/>
  <c r="I1622" i="23"/>
  <c r="J1622" i="23" s="1"/>
  <c r="K1622" i="23" s="1"/>
  <c r="L1622" i="23" s="1"/>
  <c r="I1621" i="23"/>
  <c r="J1621" i="23" s="1"/>
  <c r="K1621" i="23" s="1"/>
  <c r="L1621" i="23" s="1"/>
  <c r="I1620" i="23"/>
  <c r="J1620" i="23" s="1"/>
  <c r="K1620" i="23" s="1"/>
  <c r="L1620" i="23" s="1"/>
  <c r="I1619" i="23"/>
  <c r="J1619" i="23" s="1"/>
  <c r="K1619" i="23" s="1"/>
  <c r="L1619" i="23" s="1"/>
  <c r="I1618" i="23"/>
  <c r="J1618" i="23" s="1"/>
  <c r="K1618" i="23" s="1"/>
  <c r="L1618" i="23" s="1"/>
  <c r="I1617" i="23"/>
  <c r="J1617" i="23" s="1"/>
  <c r="K1617" i="23" s="1"/>
  <c r="L1617" i="23" s="1"/>
  <c r="I1614" i="23"/>
  <c r="J1614" i="23" s="1"/>
  <c r="K1614" i="23" s="1"/>
  <c r="L1614" i="23" s="1"/>
  <c r="I1615" i="23"/>
  <c r="J1615" i="23" s="1"/>
  <c r="K1615" i="23" s="1"/>
  <c r="L1615" i="23" s="1"/>
  <c r="I1616" i="23"/>
  <c r="J1616" i="23" s="1"/>
  <c r="K1616" i="23" s="1"/>
  <c r="L1616" i="23" s="1"/>
  <c r="I1598" i="23"/>
  <c r="J1598" i="23" s="1"/>
  <c r="K1598" i="23" s="1"/>
  <c r="L1598" i="23" s="1"/>
  <c r="I1599" i="23"/>
  <c r="J1599" i="23" s="1"/>
  <c r="K1599" i="23" s="1"/>
  <c r="L1599" i="23" s="1"/>
  <c r="I1600" i="23"/>
  <c r="J1600" i="23" s="1"/>
  <c r="K1600" i="23" s="1"/>
  <c r="L1600" i="23" s="1"/>
  <c r="I1601" i="23"/>
  <c r="J1601" i="23" s="1"/>
  <c r="K1601" i="23" s="1"/>
  <c r="L1601" i="23" s="1"/>
  <c r="I1602" i="23"/>
  <c r="J1602" i="23" s="1"/>
  <c r="K1602" i="23" s="1"/>
  <c r="L1602" i="23" s="1"/>
  <c r="I1603" i="23"/>
  <c r="J1603" i="23" s="1"/>
  <c r="K1603" i="23" s="1"/>
  <c r="L1603" i="23" s="1"/>
  <c r="I1604" i="23"/>
  <c r="J1604" i="23" s="1"/>
  <c r="K1604" i="23" s="1"/>
  <c r="L1604" i="23" s="1"/>
  <c r="I1605" i="23"/>
  <c r="J1605" i="23" s="1"/>
  <c r="K1605" i="23" s="1"/>
  <c r="L1605" i="23" s="1"/>
  <c r="I1606" i="23"/>
  <c r="J1606" i="23" s="1"/>
  <c r="K1606" i="23" s="1"/>
  <c r="L1606" i="23" s="1"/>
  <c r="I1607" i="23"/>
  <c r="J1607" i="23" s="1"/>
  <c r="K1607" i="23" s="1"/>
  <c r="L1607" i="23" s="1"/>
  <c r="I1608" i="23"/>
  <c r="J1608" i="23" s="1"/>
  <c r="K1608" i="23" s="1"/>
  <c r="L1608" i="23" s="1"/>
  <c r="I1609" i="23"/>
  <c r="J1609" i="23" s="1"/>
  <c r="K1609" i="23" s="1"/>
  <c r="L1609" i="23" s="1"/>
  <c r="I1610" i="23"/>
  <c r="J1610" i="23" s="1"/>
  <c r="K1610" i="23" s="1"/>
  <c r="L1610" i="23" s="1"/>
  <c r="I1641" i="23"/>
  <c r="J1641" i="23" s="1"/>
  <c r="K1641" i="23" s="1"/>
  <c r="L1641" i="23" s="1"/>
  <c r="I1627" i="23"/>
  <c r="J1627" i="23" s="1"/>
  <c r="K1627" i="23" s="1"/>
  <c r="L1627" i="23" s="1"/>
  <c r="I1612" i="23"/>
  <c r="J1612" i="23" s="1"/>
  <c r="K1612" i="23" s="1"/>
  <c r="L1612" i="23" s="1"/>
  <c r="M1596" i="23"/>
  <c r="M1686" i="23"/>
  <c r="M1533" i="23"/>
  <c r="M1688" i="23"/>
  <c r="M1534" i="23"/>
  <c r="M1691" i="23"/>
  <c r="M1478" i="23"/>
  <c r="M1700" i="23"/>
  <c r="M1254" i="23"/>
  <c r="M1701" i="23"/>
  <c r="M1255" i="23"/>
  <c r="M1702" i="23"/>
  <c r="H1655" i="22"/>
  <c r="H1658" i="22"/>
  <c r="H1660" i="22"/>
  <c r="H1659" i="22"/>
  <c r="H1656" i="22"/>
  <c r="H1657" i="22"/>
  <c r="H1654" i="22"/>
  <c r="M1663" i="23"/>
  <c r="M1680" i="23"/>
  <c r="H1652" i="22"/>
  <c r="H1653" i="22"/>
  <c r="M1644" i="23"/>
  <c r="M1662" i="23"/>
  <c r="H1642" i="22"/>
  <c r="H1650" i="22"/>
  <c r="H1645" i="22"/>
  <c r="H1648" i="22"/>
  <c r="H1643" i="22"/>
  <c r="H1651" i="22"/>
  <c r="H1646" i="22"/>
  <c r="H1649" i="22"/>
  <c r="H1647" i="22"/>
  <c r="H1644" i="22"/>
  <c r="H1632" i="22"/>
  <c r="H1640" i="22"/>
  <c r="H1641" i="22"/>
  <c r="H1635" i="22"/>
  <c r="H1638" i="22"/>
  <c r="H1633" i="22"/>
  <c r="H1636" i="22"/>
  <c r="H1639" i="22"/>
  <c r="H1634" i="22"/>
  <c r="H1637" i="22"/>
  <c r="M1643" i="23"/>
  <c r="M1646" i="23"/>
  <c r="H1608" i="22"/>
  <c r="H1612" i="22"/>
  <c r="H1616" i="22"/>
  <c r="H1620" i="22"/>
  <c r="H1624" i="22"/>
  <c r="H1628" i="22"/>
  <c r="H1609" i="22"/>
  <c r="H1613" i="22"/>
  <c r="H1617" i="22"/>
  <c r="H1621" i="22"/>
  <c r="H1625" i="22"/>
  <c r="H1629" i="22"/>
  <c r="H1610" i="22"/>
  <c r="H1614" i="22"/>
  <c r="H1618" i="22"/>
  <c r="H1622" i="22"/>
  <c r="H1626" i="22"/>
  <c r="H1630" i="22"/>
  <c r="H1611" i="22"/>
  <c r="H1615" i="22"/>
  <c r="H1619" i="22"/>
  <c r="H1623" i="22"/>
  <c r="H1627" i="22"/>
  <c r="H1631" i="22"/>
  <c r="M1621" i="23"/>
  <c r="M1622" i="23"/>
  <c r="H1603" i="22"/>
  <c r="H1605" i="22"/>
  <c r="H1607" i="22"/>
  <c r="H1604" i="22"/>
  <c r="H1606" i="22"/>
  <c r="H1600" i="22"/>
  <c r="H1601" i="22"/>
  <c r="H1602" i="22"/>
  <c r="M1583" i="23"/>
  <c r="M1626" i="23"/>
  <c r="H1583" i="22"/>
  <c r="H1585" i="22"/>
  <c r="H1587" i="22"/>
  <c r="H1589" i="22"/>
  <c r="H1591" i="22"/>
  <c r="H1593" i="22"/>
  <c r="H1595" i="22"/>
  <c r="H1597" i="22"/>
  <c r="H1599" i="22"/>
  <c r="H1580" i="22"/>
  <c r="H1582" i="22"/>
  <c r="H1584" i="22"/>
  <c r="H1586" i="22"/>
  <c r="H1588" i="22"/>
  <c r="H1590" i="22"/>
  <c r="H1592" i="22"/>
  <c r="H1594" i="22"/>
  <c r="H1596" i="22"/>
  <c r="H1598" i="22"/>
  <c r="H1581" i="22"/>
  <c r="M1594" i="23"/>
  <c r="M1610" i="23"/>
  <c r="M1593" i="23"/>
  <c r="M1608" i="23"/>
  <c r="H1578" i="22"/>
  <c r="H1579" i="22"/>
  <c r="M1587" i="23"/>
  <c r="M1604" i="23"/>
  <c r="M1530" i="23"/>
  <c r="M1595" i="23"/>
  <c r="H1562" i="22"/>
  <c r="H1570" i="22"/>
  <c r="H1566" i="22"/>
  <c r="H1569" i="22"/>
  <c r="H1564" i="22"/>
  <c r="H1567" i="22"/>
  <c r="H1565" i="22"/>
  <c r="H1573" i="22"/>
  <c r="H1568" i="22"/>
  <c r="H1576" i="22"/>
  <c r="H1575" i="22"/>
  <c r="H1563" i="22"/>
  <c r="H1571" i="22"/>
  <c r="H1577" i="22"/>
  <c r="H1572" i="22"/>
  <c r="H1574" i="22"/>
  <c r="M1575" i="23"/>
  <c r="M1518" i="23"/>
  <c r="M1578" i="23"/>
  <c r="M1581" i="23"/>
  <c r="M1574" i="23"/>
  <c r="M1552" i="23"/>
  <c r="H1546" i="22"/>
  <c r="H1554" i="22"/>
  <c r="H1549" i="22"/>
  <c r="H1557" i="22"/>
  <c r="H1551" i="22"/>
  <c r="H1552" i="22"/>
  <c r="H1560" i="22"/>
  <c r="H1555" i="22"/>
  <c r="H1558" i="22"/>
  <c r="H1559" i="22"/>
  <c r="H1547" i="22"/>
  <c r="H1550" i="22"/>
  <c r="H1553" i="22"/>
  <c r="H1561" i="22"/>
  <c r="H1548" i="22"/>
  <c r="H1556" i="22"/>
  <c r="M1407" i="23"/>
  <c r="M1576" i="23"/>
  <c r="H1538" i="22"/>
  <c r="H1541" i="22"/>
  <c r="H1544" i="22"/>
  <c r="H1539" i="22"/>
  <c r="H1542" i="22"/>
  <c r="H1545" i="22"/>
  <c r="H1540" i="22"/>
  <c r="H1543" i="22"/>
  <c r="I1579" i="23"/>
  <c r="J1579" i="23" s="1"/>
  <c r="K1579" i="23" s="1"/>
  <c r="L1579" i="23" s="1"/>
  <c r="I1587" i="23"/>
  <c r="J1587" i="23" s="1"/>
  <c r="K1587" i="23" s="1"/>
  <c r="L1587" i="23" s="1"/>
  <c r="I1595" i="23"/>
  <c r="J1595" i="23" s="1"/>
  <c r="K1595" i="23" s="1"/>
  <c r="L1595" i="23" s="1"/>
  <c r="I1584" i="23"/>
  <c r="J1584" i="23" s="1"/>
  <c r="K1584" i="23" s="1"/>
  <c r="L1584" i="23" s="1"/>
  <c r="I1592" i="23"/>
  <c r="J1592" i="23" s="1"/>
  <c r="K1592" i="23" s="1"/>
  <c r="L1592" i="23" s="1"/>
  <c r="I1568" i="23"/>
  <c r="J1568" i="23" s="1"/>
  <c r="K1568" i="23" s="1"/>
  <c r="L1568" i="23" s="1"/>
  <c r="I1576" i="23"/>
  <c r="J1576" i="23" s="1"/>
  <c r="K1576" i="23" s="1"/>
  <c r="L1576" i="23" s="1"/>
  <c r="I1573" i="23"/>
  <c r="J1573" i="23" s="1"/>
  <c r="K1573" i="23" s="1"/>
  <c r="L1573" i="23" s="1"/>
  <c r="I1574" i="23"/>
  <c r="J1574" i="23" s="1"/>
  <c r="K1574" i="23" s="1"/>
  <c r="L1574" i="23" s="1"/>
  <c r="I1581" i="23"/>
  <c r="J1581" i="23" s="1"/>
  <c r="K1581" i="23" s="1"/>
  <c r="L1581" i="23" s="1"/>
  <c r="I1589" i="23"/>
  <c r="J1589" i="23" s="1"/>
  <c r="K1589" i="23" s="1"/>
  <c r="L1589" i="23" s="1"/>
  <c r="I1597" i="23"/>
  <c r="J1597" i="23" s="1"/>
  <c r="K1597" i="23" s="1"/>
  <c r="L1597" i="23" s="1"/>
  <c r="I1565" i="23"/>
  <c r="J1565" i="23" s="1"/>
  <c r="K1565" i="23" s="1"/>
  <c r="L1565" i="23" s="1"/>
  <c r="I1585" i="23"/>
  <c r="J1585" i="23" s="1"/>
  <c r="K1585" i="23" s="1"/>
  <c r="L1585" i="23" s="1"/>
  <c r="I1578" i="23"/>
  <c r="J1578" i="23" s="1"/>
  <c r="K1578" i="23" s="1"/>
  <c r="L1578" i="23" s="1"/>
  <c r="I1586" i="23"/>
  <c r="J1586" i="23" s="1"/>
  <c r="K1586" i="23" s="1"/>
  <c r="L1586" i="23" s="1"/>
  <c r="I1594" i="23"/>
  <c r="J1594" i="23" s="1"/>
  <c r="K1594" i="23" s="1"/>
  <c r="L1594" i="23" s="1"/>
  <c r="I1570" i="23"/>
  <c r="J1570" i="23" s="1"/>
  <c r="K1570" i="23" s="1"/>
  <c r="L1570" i="23" s="1"/>
  <c r="I1582" i="23"/>
  <c r="J1582" i="23" s="1"/>
  <c r="K1582" i="23" s="1"/>
  <c r="L1582" i="23" s="1"/>
  <c r="I1583" i="23"/>
  <c r="J1583" i="23" s="1"/>
  <c r="K1583" i="23" s="1"/>
  <c r="L1583" i="23" s="1"/>
  <c r="I1591" i="23"/>
  <c r="J1591" i="23" s="1"/>
  <c r="K1591" i="23" s="1"/>
  <c r="L1591" i="23" s="1"/>
  <c r="I1567" i="23"/>
  <c r="J1567" i="23" s="1"/>
  <c r="K1567" i="23" s="1"/>
  <c r="L1567" i="23" s="1"/>
  <c r="I1575" i="23"/>
  <c r="J1575" i="23" s="1"/>
  <c r="K1575" i="23" s="1"/>
  <c r="L1575" i="23" s="1"/>
  <c r="I1577" i="23"/>
  <c r="J1577" i="23" s="1"/>
  <c r="K1577" i="23" s="1"/>
  <c r="L1577" i="23" s="1"/>
  <c r="I1566" i="23"/>
  <c r="J1566" i="23" s="1"/>
  <c r="K1566" i="23" s="1"/>
  <c r="L1566" i="23" s="1"/>
  <c r="I1580" i="23"/>
  <c r="J1580" i="23" s="1"/>
  <c r="K1580" i="23" s="1"/>
  <c r="L1580" i="23" s="1"/>
  <c r="I1588" i="23"/>
  <c r="J1588" i="23" s="1"/>
  <c r="K1588" i="23" s="1"/>
  <c r="L1588" i="23" s="1"/>
  <c r="I1596" i="23"/>
  <c r="J1596" i="23" s="1"/>
  <c r="K1596" i="23" s="1"/>
  <c r="L1596" i="23" s="1"/>
  <c r="I1572" i="23"/>
  <c r="J1572" i="23" s="1"/>
  <c r="K1572" i="23" s="1"/>
  <c r="L1572" i="23" s="1"/>
  <c r="I1569" i="23"/>
  <c r="J1569" i="23" s="1"/>
  <c r="K1569" i="23" s="1"/>
  <c r="L1569" i="23" s="1"/>
  <c r="I1571" i="23"/>
  <c r="J1571" i="23" s="1"/>
  <c r="K1571" i="23" s="1"/>
  <c r="L1571" i="23" s="1"/>
  <c r="I1593" i="23"/>
  <c r="J1593" i="23" s="1"/>
  <c r="K1593" i="23" s="1"/>
  <c r="L1593" i="23" s="1"/>
  <c r="I1590" i="23"/>
  <c r="J1590" i="23" s="1"/>
  <c r="K1590" i="23" s="1"/>
  <c r="L1590" i="23" s="1"/>
  <c r="H1518" i="22"/>
  <c r="H1526" i="22"/>
  <c r="H1534" i="22"/>
  <c r="H1521" i="22"/>
  <c r="H1529" i="22"/>
  <c r="H1537" i="22"/>
  <c r="H1532" i="22"/>
  <c r="H1524" i="22"/>
  <c r="H1519" i="22"/>
  <c r="H1527" i="22"/>
  <c r="H1535" i="22"/>
  <c r="H1530" i="22"/>
  <c r="H1525" i="22"/>
  <c r="H1533" i="22"/>
  <c r="H1522" i="22"/>
  <c r="H1520" i="22"/>
  <c r="H1528" i="22"/>
  <c r="H1536" i="22"/>
  <c r="H1523" i="22"/>
  <c r="H1531" i="22"/>
  <c r="M1527" i="23"/>
  <c r="M1522" i="23"/>
  <c r="M1550" i="23"/>
  <c r="M1554" i="23"/>
  <c r="H1487" i="22"/>
  <c r="H1495" i="22"/>
  <c r="H1503" i="22"/>
  <c r="H1511" i="22"/>
  <c r="H1505" i="22"/>
  <c r="H1490" i="22"/>
  <c r="H1498" i="22"/>
  <c r="H1506" i="22"/>
  <c r="H1514" i="22"/>
  <c r="H1497" i="22"/>
  <c r="H1493" i="22"/>
  <c r="H1501" i="22"/>
  <c r="H1509" i="22"/>
  <c r="H1517" i="22"/>
  <c r="H1488" i="22"/>
  <c r="H1496" i="22"/>
  <c r="H1504" i="22"/>
  <c r="H1512" i="22"/>
  <c r="H1491" i="22"/>
  <c r="H1499" i="22"/>
  <c r="H1507" i="22"/>
  <c r="H1515" i="22"/>
  <c r="H1494" i="22"/>
  <c r="H1502" i="22"/>
  <c r="H1510" i="22"/>
  <c r="H1489" i="22"/>
  <c r="H1513" i="22"/>
  <c r="H1492" i="22"/>
  <c r="H1500" i="22"/>
  <c r="H1508" i="22"/>
  <c r="H1516" i="22"/>
  <c r="I1511" i="23"/>
  <c r="J1511" i="23" s="1"/>
  <c r="K1511" i="23" s="1"/>
  <c r="L1511" i="23" s="1"/>
  <c r="I1519" i="23"/>
  <c r="J1519" i="23" s="1"/>
  <c r="K1519" i="23" s="1"/>
  <c r="L1519" i="23" s="1"/>
  <c r="I1521" i="23"/>
  <c r="J1521" i="23" s="1"/>
  <c r="K1521" i="23" s="1"/>
  <c r="L1521" i="23" s="1"/>
  <c r="I1530" i="23"/>
  <c r="J1530" i="23" s="1"/>
  <c r="K1530" i="23" s="1"/>
  <c r="L1530" i="23" s="1"/>
  <c r="I1532" i="23"/>
  <c r="J1532" i="23" s="1"/>
  <c r="K1532" i="23" s="1"/>
  <c r="L1532" i="23" s="1"/>
  <c r="I1534" i="23"/>
  <c r="J1534" i="23" s="1"/>
  <c r="K1534" i="23" s="1"/>
  <c r="L1534" i="23" s="1"/>
  <c r="I1539" i="23"/>
  <c r="J1539" i="23" s="1"/>
  <c r="K1539" i="23" s="1"/>
  <c r="L1539" i="23" s="1"/>
  <c r="I1547" i="23"/>
  <c r="J1547" i="23" s="1"/>
  <c r="K1547" i="23" s="1"/>
  <c r="L1547" i="23" s="1"/>
  <c r="I1555" i="23"/>
  <c r="J1555" i="23" s="1"/>
  <c r="K1555" i="23" s="1"/>
  <c r="L1555" i="23" s="1"/>
  <c r="I1563" i="23"/>
  <c r="J1563" i="23" s="1"/>
  <c r="K1563" i="23" s="1"/>
  <c r="L1563" i="23" s="1"/>
  <c r="I1497" i="23"/>
  <c r="J1497" i="23" s="1"/>
  <c r="K1497" i="23" s="1"/>
  <c r="L1497" i="23" s="1"/>
  <c r="I1516" i="23"/>
  <c r="J1516" i="23" s="1"/>
  <c r="K1516" i="23" s="1"/>
  <c r="L1516" i="23" s="1"/>
  <c r="I1523" i="23"/>
  <c r="J1523" i="23" s="1"/>
  <c r="K1523" i="23" s="1"/>
  <c r="L1523" i="23" s="1"/>
  <c r="I1536" i="23"/>
  <c r="J1536" i="23" s="1"/>
  <c r="K1536" i="23" s="1"/>
  <c r="L1536" i="23" s="1"/>
  <c r="I1544" i="23"/>
  <c r="J1544" i="23" s="1"/>
  <c r="K1544" i="23" s="1"/>
  <c r="L1544" i="23" s="1"/>
  <c r="I1552" i="23"/>
  <c r="J1552" i="23" s="1"/>
  <c r="K1552" i="23" s="1"/>
  <c r="L1552" i="23" s="1"/>
  <c r="I1560" i="23"/>
  <c r="J1560" i="23" s="1"/>
  <c r="K1560" i="23" s="1"/>
  <c r="L1560" i="23" s="1"/>
  <c r="I1494" i="23"/>
  <c r="J1494" i="23" s="1"/>
  <c r="K1494" i="23" s="1"/>
  <c r="L1494" i="23" s="1"/>
  <c r="I1502" i="23"/>
  <c r="J1502" i="23" s="1"/>
  <c r="K1502" i="23" s="1"/>
  <c r="L1502" i="23" s="1"/>
  <c r="I1513" i="23"/>
  <c r="J1513" i="23" s="1"/>
  <c r="K1513" i="23" s="1"/>
  <c r="L1513" i="23" s="1"/>
  <c r="I1525" i="23"/>
  <c r="J1525" i="23" s="1"/>
  <c r="K1525" i="23" s="1"/>
  <c r="L1525" i="23" s="1"/>
  <c r="I1541" i="23"/>
  <c r="J1541" i="23" s="1"/>
  <c r="K1541" i="23" s="1"/>
  <c r="L1541" i="23" s="1"/>
  <c r="I1549" i="23"/>
  <c r="J1549" i="23" s="1"/>
  <c r="K1549" i="23" s="1"/>
  <c r="L1549" i="23" s="1"/>
  <c r="I1557" i="23"/>
  <c r="J1557" i="23" s="1"/>
  <c r="K1557" i="23" s="1"/>
  <c r="L1557" i="23" s="1"/>
  <c r="I1499" i="23"/>
  <c r="J1499" i="23" s="1"/>
  <c r="K1499" i="23" s="1"/>
  <c r="L1499" i="23" s="1"/>
  <c r="I1518" i="23"/>
  <c r="J1518" i="23" s="1"/>
  <c r="K1518" i="23" s="1"/>
  <c r="L1518" i="23" s="1"/>
  <c r="I1527" i="23"/>
  <c r="J1527" i="23" s="1"/>
  <c r="K1527" i="23" s="1"/>
  <c r="L1527" i="23" s="1"/>
  <c r="I1529" i="23"/>
  <c r="J1529" i="23" s="1"/>
  <c r="K1529" i="23" s="1"/>
  <c r="L1529" i="23" s="1"/>
  <c r="I1538" i="23"/>
  <c r="J1538" i="23" s="1"/>
  <c r="K1538" i="23" s="1"/>
  <c r="L1538" i="23" s="1"/>
  <c r="I1546" i="23"/>
  <c r="J1546" i="23" s="1"/>
  <c r="K1546" i="23" s="1"/>
  <c r="L1546" i="23" s="1"/>
  <c r="I1554" i="23"/>
  <c r="J1554" i="23" s="1"/>
  <c r="K1554" i="23" s="1"/>
  <c r="L1554" i="23" s="1"/>
  <c r="I1562" i="23"/>
  <c r="J1562" i="23" s="1"/>
  <c r="K1562" i="23" s="1"/>
  <c r="L1562" i="23" s="1"/>
  <c r="I1496" i="23"/>
  <c r="J1496" i="23" s="1"/>
  <c r="K1496" i="23" s="1"/>
  <c r="L1496" i="23" s="1"/>
  <c r="I1504" i="23"/>
  <c r="J1504" i="23" s="1"/>
  <c r="K1504" i="23" s="1"/>
  <c r="L1504" i="23" s="1"/>
  <c r="I1506" i="23"/>
  <c r="J1506" i="23" s="1"/>
  <c r="K1506" i="23" s="1"/>
  <c r="L1506" i="23" s="1"/>
  <c r="I1508" i="23"/>
  <c r="J1508" i="23" s="1"/>
  <c r="K1508" i="23" s="1"/>
  <c r="L1508" i="23" s="1"/>
  <c r="I1510" i="23"/>
  <c r="J1510" i="23" s="1"/>
  <c r="K1510" i="23" s="1"/>
  <c r="L1510" i="23" s="1"/>
  <c r="I1515" i="23"/>
  <c r="J1515" i="23" s="1"/>
  <c r="K1515" i="23" s="1"/>
  <c r="L1515" i="23" s="1"/>
  <c r="I1520" i="23"/>
  <c r="J1520" i="23" s="1"/>
  <c r="K1520" i="23" s="1"/>
  <c r="L1520" i="23" s="1"/>
  <c r="I1522" i="23"/>
  <c r="J1522" i="23" s="1"/>
  <c r="K1522" i="23" s="1"/>
  <c r="L1522" i="23" s="1"/>
  <c r="I1531" i="23"/>
  <c r="J1531" i="23" s="1"/>
  <c r="K1531" i="23" s="1"/>
  <c r="L1531" i="23" s="1"/>
  <c r="I1533" i="23"/>
  <c r="J1533" i="23" s="1"/>
  <c r="K1533" i="23" s="1"/>
  <c r="L1533" i="23" s="1"/>
  <c r="I1535" i="23"/>
  <c r="J1535" i="23" s="1"/>
  <c r="K1535" i="23" s="1"/>
  <c r="L1535" i="23" s="1"/>
  <c r="I1543" i="23"/>
  <c r="J1543" i="23" s="1"/>
  <c r="K1543" i="23" s="1"/>
  <c r="L1543" i="23" s="1"/>
  <c r="I1551" i="23"/>
  <c r="J1551" i="23" s="1"/>
  <c r="K1551" i="23" s="1"/>
  <c r="L1551" i="23" s="1"/>
  <c r="I1559" i="23"/>
  <c r="J1559" i="23" s="1"/>
  <c r="K1559" i="23" s="1"/>
  <c r="L1559" i="23" s="1"/>
  <c r="I1493" i="23"/>
  <c r="J1493" i="23" s="1"/>
  <c r="K1493" i="23" s="1"/>
  <c r="L1493" i="23" s="1"/>
  <c r="I1501" i="23"/>
  <c r="J1501" i="23" s="1"/>
  <c r="K1501" i="23" s="1"/>
  <c r="L1501" i="23" s="1"/>
  <c r="I1512" i="23"/>
  <c r="J1512" i="23" s="1"/>
  <c r="K1512" i="23" s="1"/>
  <c r="L1512" i="23" s="1"/>
  <c r="I1540" i="23"/>
  <c r="J1540" i="23" s="1"/>
  <c r="K1540" i="23" s="1"/>
  <c r="L1540" i="23" s="1"/>
  <c r="I1548" i="23"/>
  <c r="J1548" i="23" s="1"/>
  <c r="K1548" i="23" s="1"/>
  <c r="L1548" i="23" s="1"/>
  <c r="I1556" i="23"/>
  <c r="J1556" i="23" s="1"/>
  <c r="K1556" i="23" s="1"/>
  <c r="L1556" i="23" s="1"/>
  <c r="I1564" i="23"/>
  <c r="J1564" i="23" s="1"/>
  <c r="K1564" i="23" s="1"/>
  <c r="L1564" i="23" s="1"/>
  <c r="I1498" i="23"/>
  <c r="J1498" i="23" s="1"/>
  <c r="K1498" i="23" s="1"/>
  <c r="L1498" i="23" s="1"/>
  <c r="I1517" i="23"/>
  <c r="J1517" i="23" s="1"/>
  <c r="K1517" i="23" s="1"/>
  <c r="L1517" i="23" s="1"/>
  <c r="I1524" i="23"/>
  <c r="J1524" i="23" s="1"/>
  <c r="K1524" i="23" s="1"/>
  <c r="L1524" i="23" s="1"/>
  <c r="I1526" i="23"/>
  <c r="J1526" i="23" s="1"/>
  <c r="K1526" i="23" s="1"/>
  <c r="L1526" i="23" s="1"/>
  <c r="I1537" i="23"/>
  <c r="J1537" i="23" s="1"/>
  <c r="K1537" i="23" s="1"/>
  <c r="L1537" i="23" s="1"/>
  <c r="I1545" i="23"/>
  <c r="J1545" i="23" s="1"/>
  <c r="K1545" i="23" s="1"/>
  <c r="L1545" i="23" s="1"/>
  <c r="I1553" i="23"/>
  <c r="J1553" i="23" s="1"/>
  <c r="K1553" i="23" s="1"/>
  <c r="L1553" i="23" s="1"/>
  <c r="I1561" i="23"/>
  <c r="J1561" i="23" s="1"/>
  <c r="K1561" i="23" s="1"/>
  <c r="L1561" i="23" s="1"/>
  <c r="I1495" i="23"/>
  <c r="J1495" i="23" s="1"/>
  <c r="K1495" i="23" s="1"/>
  <c r="L1495" i="23" s="1"/>
  <c r="I1503" i="23"/>
  <c r="J1503" i="23" s="1"/>
  <c r="K1503" i="23" s="1"/>
  <c r="L1503" i="23" s="1"/>
  <c r="I1514" i="23"/>
  <c r="J1514" i="23" s="1"/>
  <c r="K1514" i="23" s="1"/>
  <c r="L1514" i="23" s="1"/>
  <c r="I1528" i="23"/>
  <c r="J1528" i="23" s="1"/>
  <c r="K1528" i="23" s="1"/>
  <c r="L1528" i="23" s="1"/>
  <c r="I1542" i="23"/>
  <c r="J1542" i="23" s="1"/>
  <c r="K1542" i="23" s="1"/>
  <c r="L1542" i="23" s="1"/>
  <c r="I1550" i="23"/>
  <c r="J1550" i="23" s="1"/>
  <c r="K1550" i="23" s="1"/>
  <c r="L1550" i="23" s="1"/>
  <c r="I1558" i="23"/>
  <c r="J1558" i="23" s="1"/>
  <c r="K1558" i="23" s="1"/>
  <c r="L1558" i="23" s="1"/>
  <c r="I1492" i="23"/>
  <c r="J1492" i="23" s="1"/>
  <c r="K1492" i="23" s="1"/>
  <c r="L1492" i="23" s="1"/>
  <c r="I1500" i="23"/>
  <c r="J1500" i="23" s="1"/>
  <c r="K1500" i="23" s="1"/>
  <c r="L1500" i="23" s="1"/>
  <c r="I1505" i="23"/>
  <c r="J1505" i="23" s="1"/>
  <c r="K1505" i="23" s="1"/>
  <c r="L1505" i="23" s="1"/>
  <c r="I1507" i="23"/>
  <c r="J1507" i="23" s="1"/>
  <c r="K1507" i="23" s="1"/>
  <c r="L1507" i="23" s="1"/>
  <c r="I1509" i="23"/>
  <c r="J1509" i="23" s="1"/>
  <c r="K1509" i="23" s="1"/>
  <c r="L1509" i="23" s="1"/>
  <c r="M1470" i="23"/>
  <c r="M1532" i="23"/>
  <c r="M1481" i="23"/>
  <c r="M1531" i="23"/>
  <c r="M1480" i="23"/>
  <c r="M1528" i="23"/>
  <c r="M1504" i="23"/>
  <c r="M1473" i="23"/>
  <c r="H1478" i="22"/>
  <c r="H1486" i="22"/>
  <c r="H1481" i="22"/>
  <c r="H1484" i="22"/>
  <c r="H1479" i="22"/>
  <c r="H1482" i="22"/>
  <c r="H1485" i="22"/>
  <c r="H1480" i="22"/>
  <c r="H1483" i="22"/>
  <c r="M1467" i="23"/>
  <c r="M1510" i="23"/>
  <c r="M1463" i="23"/>
  <c r="M1374" i="23"/>
  <c r="M1483" i="23"/>
  <c r="M1479" i="23"/>
  <c r="I1466" i="23"/>
  <c r="J1466" i="23" s="1"/>
  <c r="K1466" i="23" s="1"/>
  <c r="L1466" i="23" s="1"/>
  <c r="I1479" i="23"/>
  <c r="J1479" i="23" s="1"/>
  <c r="K1479" i="23" s="1"/>
  <c r="L1479" i="23" s="1"/>
  <c r="I1447" i="23"/>
  <c r="J1447" i="23" s="1"/>
  <c r="K1447" i="23" s="1"/>
  <c r="L1447" i="23" s="1"/>
  <c r="I1454" i="23"/>
  <c r="J1454" i="23" s="1"/>
  <c r="K1454" i="23" s="1"/>
  <c r="L1454" i="23" s="1"/>
  <c r="I1491" i="23"/>
  <c r="J1491" i="23" s="1"/>
  <c r="K1491" i="23" s="1"/>
  <c r="L1491" i="23" s="1"/>
  <c r="I1486" i="23"/>
  <c r="J1486" i="23" s="1"/>
  <c r="K1486" i="23" s="1"/>
  <c r="L1486" i="23" s="1"/>
  <c r="I1468" i="23"/>
  <c r="J1468" i="23" s="1"/>
  <c r="K1468" i="23" s="1"/>
  <c r="L1468" i="23" s="1"/>
  <c r="I1470" i="23"/>
  <c r="J1470" i="23" s="1"/>
  <c r="K1470" i="23" s="1"/>
  <c r="L1470" i="23" s="1"/>
  <c r="I1472" i="23"/>
  <c r="J1472" i="23" s="1"/>
  <c r="K1472" i="23" s="1"/>
  <c r="L1472" i="23" s="1"/>
  <c r="I1481" i="23"/>
  <c r="J1481" i="23" s="1"/>
  <c r="K1481" i="23" s="1"/>
  <c r="L1481" i="23" s="1"/>
  <c r="I1449" i="23"/>
  <c r="J1449" i="23" s="1"/>
  <c r="K1449" i="23" s="1"/>
  <c r="L1449" i="23" s="1"/>
  <c r="I1451" i="23"/>
  <c r="J1451" i="23" s="1"/>
  <c r="K1451" i="23" s="1"/>
  <c r="L1451" i="23" s="1"/>
  <c r="I1459" i="23"/>
  <c r="J1459" i="23" s="1"/>
  <c r="K1459" i="23" s="1"/>
  <c r="L1459" i="23" s="1"/>
  <c r="I1488" i="23"/>
  <c r="J1488" i="23" s="1"/>
  <c r="K1488" i="23" s="1"/>
  <c r="L1488" i="23" s="1"/>
  <c r="I1463" i="23"/>
  <c r="J1463" i="23" s="1"/>
  <c r="K1463" i="23" s="1"/>
  <c r="L1463" i="23" s="1"/>
  <c r="I1474" i="23"/>
  <c r="J1474" i="23" s="1"/>
  <c r="K1474" i="23" s="1"/>
  <c r="L1474" i="23" s="1"/>
  <c r="I1476" i="23"/>
  <c r="J1476" i="23" s="1"/>
  <c r="K1476" i="23" s="1"/>
  <c r="L1476" i="23" s="1"/>
  <c r="I1483" i="23"/>
  <c r="J1483" i="23" s="1"/>
  <c r="K1483" i="23" s="1"/>
  <c r="L1483" i="23" s="1"/>
  <c r="I1444" i="23"/>
  <c r="J1444" i="23" s="1"/>
  <c r="K1444" i="23" s="1"/>
  <c r="L1444" i="23" s="1"/>
  <c r="I1456" i="23"/>
  <c r="J1456" i="23" s="1"/>
  <c r="K1456" i="23" s="1"/>
  <c r="L1456" i="23" s="1"/>
  <c r="I1485" i="23"/>
  <c r="J1485" i="23" s="1"/>
  <c r="K1485" i="23" s="1"/>
  <c r="L1485" i="23" s="1"/>
  <c r="I1453" i="23"/>
  <c r="J1453" i="23" s="1"/>
  <c r="K1453" i="23" s="1"/>
  <c r="L1453" i="23" s="1"/>
  <c r="I1461" i="23"/>
  <c r="J1461" i="23" s="1"/>
  <c r="K1461" i="23" s="1"/>
  <c r="L1461" i="23" s="1"/>
  <c r="I1490" i="23"/>
  <c r="J1490" i="23" s="1"/>
  <c r="K1490" i="23" s="1"/>
  <c r="L1490" i="23" s="1"/>
  <c r="I1487" i="23"/>
  <c r="J1487" i="23" s="1"/>
  <c r="K1487" i="23" s="1"/>
  <c r="L1487" i="23" s="1"/>
  <c r="I1465" i="23"/>
  <c r="J1465" i="23" s="1"/>
  <c r="K1465" i="23" s="1"/>
  <c r="L1465" i="23" s="1"/>
  <c r="I1478" i="23"/>
  <c r="J1478" i="23" s="1"/>
  <c r="K1478" i="23" s="1"/>
  <c r="L1478" i="23" s="1"/>
  <c r="I1446" i="23"/>
  <c r="J1446" i="23" s="1"/>
  <c r="K1446" i="23" s="1"/>
  <c r="L1446" i="23" s="1"/>
  <c r="I1448" i="23"/>
  <c r="J1448" i="23" s="1"/>
  <c r="K1448" i="23" s="1"/>
  <c r="L1448" i="23" s="1"/>
  <c r="I1458" i="23"/>
  <c r="J1458" i="23" s="1"/>
  <c r="K1458" i="23" s="1"/>
  <c r="L1458" i="23" s="1"/>
  <c r="I1445" i="23"/>
  <c r="J1445" i="23" s="1"/>
  <c r="K1445" i="23" s="1"/>
  <c r="L1445" i="23" s="1"/>
  <c r="I1467" i="23"/>
  <c r="J1467" i="23" s="1"/>
  <c r="K1467" i="23" s="1"/>
  <c r="L1467" i="23" s="1"/>
  <c r="I1469" i="23"/>
  <c r="J1469" i="23" s="1"/>
  <c r="K1469" i="23" s="1"/>
  <c r="L1469" i="23" s="1"/>
  <c r="I1471" i="23"/>
  <c r="J1471" i="23" s="1"/>
  <c r="K1471" i="23" s="1"/>
  <c r="L1471" i="23" s="1"/>
  <c r="I1473" i="23"/>
  <c r="J1473" i="23" s="1"/>
  <c r="K1473" i="23" s="1"/>
  <c r="L1473" i="23" s="1"/>
  <c r="I1480" i="23"/>
  <c r="J1480" i="23" s="1"/>
  <c r="K1480" i="23" s="1"/>
  <c r="L1480" i="23" s="1"/>
  <c r="I1482" i="23"/>
  <c r="J1482" i="23" s="1"/>
  <c r="K1482" i="23" s="1"/>
  <c r="L1482" i="23" s="1"/>
  <c r="I1450" i="23"/>
  <c r="J1450" i="23" s="1"/>
  <c r="K1450" i="23" s="1"/>
  <c r="L1450" i="23" s="1"/>
  <c r="I1455" i="23"/>
  <c r="J1455" i="23" s="1"/>
  <c r="K1455" i="23" s="1"/>
  <c r="L1455" i="23" s="1"/>
  <c r="I1462" i="23"/>
  <c r="J1462" i="23" s="1"/>
  <c r="K1462" i="23" s="1"/>
  <c r="L1462" i="23" s="1"/>
  <c r="I1475" i="23"/>
  <c r="J1475" i="23" s="1"/>
  <c r="K1475" i="23" s="1"/>
  <c r="L1475" i="23" s="1"/>
  <c r="I1484" i="23"/>
  <c r="J1484" i="23" s="1"/>
  <c r="K1484" i="23" s="1"/>
  <c r="L1484" i="23" s="1"/>
  <c r="I1452" i="23"/>
  <c r="J1452" i="23" s="1"/>
  <c r="K1452" i="23" s="1"/>
  <c r="L1452" i="23" s="1"/>
  <c r="I1460" i="23"/>
  <c r="J1460" i="23" s="1"/>
  <c r="K1460" i="23" s="1"/>
  <c r="L1460" i="23" s="1"/>
  <c r="I1457" i="23"/>
  <c r="J1457" i="23" s="1"/>
  <c r="K1457" i="23" s="1"/>
  <c r="L1457" i="23" s="1"/>
  <c r="I1489" i="23"/>
  <c r="J1489" i="23" s="1"/>
  <c r="K1489" i="23" s="1"/>
  <c r="L1489" i="23" s="1"/>
  <c r="I1464" i="23"/>
  <c r="J1464" i="23" s="1"/>
  <c r="K1464" i="23" s="1"/>
  <c r="L1464" i="23" s="1"/>
  <c r="I1477" i="23"/>
  <c r="J1477" i="23" s="1"/>
  <c r="K1477" i="23" s="1"/>
  <c r="L1477" i="23" s="1"/>
  <c r="H1449" i="22"/>
  <c r="H1462" i="22"/>
  <c r="H1470" i="22"/>
  <c r="H1452" i="22"/>
  <c r="H1457" i="22"/>
  <c r="H1465" i="22"/>
  <c r="H1473" i="22"/>
  <c r="H1455" i="22"/>
  <c r="H1460" i="22"/>
  <c r="H1468" i="22"/>
  <c r="H1476" i="22"/>
  <c r="H1450" i="22"/>
  <c r="H1463" i="22"/>
  <c r="H1471" i="22"/>
  <c r="H1477" i="22"/>
  <c r="H1453" i="22"/>
  <c r="H1458" i="22"/>
  <c r="H1466" i="22"/>
  <c r="H1474" i="22"/>
  <c r="H1461" i="22"/>
  <c r="H1469" i="22"/>
  <c r="H1451" i="22"/>
  <c r="H1456" i="22"/>
  <c r="H1464" i="22"/>
  <c r="H1472" i="22"/>
  <c r="H1454" i="22"/>
  <c r="H1459" i="22"/>
  <c r="H1467" i="22"/>
  <c r="H1475" i="22"/>
  <c r="M1218" i="23"/>
  <c r="M1462" i="23"/>
  <c r="M1021" i="23"/>
  <c r="M1468" i="23"/>
  <c r="M1439" i="23"/>
  <c r="M1469" i="23"/>
  <c r="M1447" i="23"/>
  <c r="M1442" i="23"/>
  <c r="H1413" i="22"/>
  <c r="H1437" i="22"/>
  <c r="H1424" i="22"/>
  <c r="H1432" i="22"/>
  <c r="H1440" i="22"/>
  <c r="H1433" i="22"/>
  <c r="H1436" i="22"/>
  <c r="H1444" i="22"/>
  <c r="H1431" i="22"/>
  <c r="H1439" i="22"/>
  <c r="H1416" i="22"/>
  <c r="H1419" i="22"/>
  <c r="H1427" i="22"/>
  <c r="H1435" i="22"/>
  <c r="H1443" i="22"/>
  <c r="H1422" i="22"/>
  <c r="H1430" i="22"/>
  <c r="H1438" i="22"/>
  <c r="H1446" i="22"/>
  <c r="H1428" i="22"/>
  <c r="H1423" i="22"/>
  <c r="H1414" i="22"/>
  <c r="H1417" i="22"/>
  <c r="H1420" i="22"/>
  <c r="H1415" i="22"/>
  <c r="H1418" i="22"/>
  <c r="H1426" i="22"/>
  <c r="H1434" i="22"/>
  <c r="H1442" i="22"/>
  <c r="H1421" i="22"/>
  <c r="H1429" i="22"/>
  <c r="H1445" i="22"/>
  <c r="H1448" i="22"/>
  <c r="H1425" i="22"/>
  <c r="H1441" i="22"/>
  <c r="H1447" i="22"/>
  <c r="M1414" i="23"/>
  <c r="M1410" i="23"/>
  <c r="H1396" i="22"/>
  <c r="H1404" i="22"/>
  <c r="H1412" i="22"/>
  <c r="H1399" i="22"/>
  <c r="H1407" i="22"/>
  <c r="H1409" i="22"/>
  <c r="H1402" i="22"/>
  <c r="H1410" i="22"/>
  <c r="H1397" i="22"/>
  <c r="H1405" i="22"/>
  <c r="H1400" i="22"/>
  <c r="H1408" i="22"/>
  <c r="H1403" i="22"/>
  <c r="H1411" i="22"/>
  <c r="H1401" i="22"/>
  <c r="H1398" i="22"/>
  <c r="H1406" i="22"/>
  <c r="I1431" i="23"/>
  <c r="J1431" i="23" s="1"/>
  <c r="K1431" i="23" s="1"/>
  <c r="L1431" i="23" s="1"/>
  <c r="I1429" i="23"/>
  <c r="J1429" i="23" s="1"/>
  <c r="K1429" i="23" s="1"/>
  <c r="L1429" i="23" s="1"/>
  <c r="I1427" i="23"/>
  <c r="J1427" i="23" s="1"/>
  <c r="K1427" i="23" s="1"/>
  <c r="L1427" i="23" s="1"/>
  <c r="I1425" i="23"/>
  <c r="J1425" i="23" s="1"/>
  <c r="K1425" i="23" s="1"/>
  <c r="L1425" i="23" s="1"/>
  <c r="I1423" i="23"/>
  <c r="J1423" i="23" s="1"/>
  <c r="K1423" i="23" s="1"/>
  <c r="L1423" i="23" s="1"/>
  <c r="I1421" i="23"/>
  <c r="J1421" i="23" s="1"/>
  <c r="K1421" i="23" s="1"/>
  <c r="L1421" i="23" s="1"/>
  <c r="I1409" i="23"/>
  <c r="J1409" i="23" s="1"/>
  <c r="K1409" i="23" s="1"/>
  <c r="L1409" i="23" s="1"/>
  <c r="I1414" i="23"/>
  <c r="J1414" i="23" s="1"/>
  <c r="K1414" i="23" s="1"/>
  <c r="L1414" i="23" s="1"/>
  <c r="I1419" i="23"/>
  <c r="J1419" i="23" s="1"/>
  <c r="K1419" i="23" s="1"/>
  <c r="L1419" i="23" s="1"/>
  <c r="I1398" i="23"/>
  <c r="J1398" i="23" s="1"/>
  <c r="K1398" i="23" s="1"/>
  <c r="L1398" i="23" s="1"/>
  <c r="I1377" i="23"/>
  <c r="J1377" i="23" s="1"/>
  <c r="K1377" i="23" s="1"/>
  <c r="L1377" i="23" s="1"/>
  <c r="I1442" i="23"/>
  <c r="J1442" i="23" s="1"/>
  <c r="K1442" i="23" s="1"/>
  <c r="L1442" i="23" s="1"/>
  <c r="I1440" i="23"/>
  <c r="J1440" i="23" s="1"/>
  <c r="K1440" i="23" s="1"/>
  <c r="L1440" i="23" s="1"/>
  <c r="I1411" i="23"/>
  <c r="J1411" i="23" s="1"/>
  <c r="K1411" i="23" s="1"/>
  <c r="L1411" i="23" s="1"/>
  <c r="I1416" i="23"/>
  <c r="J1416" i="23" s="1"/>
  <c r="K1416" i="23" s="1"/>
  <c r="L1416" i="23" s="1"/>
  <c r="I1395" i="23"/>
  <c r="J1395" i="23" s="1"/>
  <c r="K1395" i="23" s="1"/>
  <c r="L1395" i="23" s="1"/>
  <c r="I1375" i="23"/>
  <c r="J1375" i="23" s="1"/>
  <c r="K1375" i="23" s="1"/>
  <c r="L1375" i="23" s="1"/>
  <c r="I1438" i="23"/>
  <c r="J1438" i="23" s="1"/>
  <c r="K1438" i="23" s="1"/>
  <c r="L1438" i="23" s="1"/>
  <c r="I1436" i="23"/>
  <c r="J1436" i="23" s="1"/>
  <c r="K1436" i="23" s="1"/>
  <c r="L1436" i="23" s="1"/>
  <c r="I1404" i="23"/>
  <c r="J1404" i="23" s="1"/>
  <c r="K1404" i="23" s="1"/>
  <c r="L1404" i="23" s="1"/>
  <c r="I1390" i="23"/>
  <c r="J1390" i="23" s="1"/>
  <c r="K1390" i="23" s="1"/>
  <c r="L1390" i="23" s="1"/>
  <c r="I1392" i="23"/>
  <c r="J1392" i="23" s="1"/>
  <c r="K1392" i="23" s="1"/>
  <c r="L1392" i="23" s="1"/>
  <c r="I1400" i="23"/>
  <c r="J1400" i="23" s="1"/>
  <c r="K1400" i="23" s="1"/>
  <c r="L1400" i="23" s="1"/>
  <c r="I1402" i="23"/>
  <c r="J1402" i="23" s="1"/>
  <c r="K1402" i="23" s="1"/>
  <c r="L1402" i="23" s="1"/>
  <c r="I1373" i="23"/>
  <c r="J1373" i="23" s="1"/>
  <c r="K1373" i="23" s="1"/>
  <c r="L1373" i="23" s="1"/>
  <c r="I1434" i="23"/>
  <c r="J1434" i="23" s="1"/>
  <c r="K1434" i="23" s="1"/>
  <c r="L1434" i="23" s="1"/>
  <c r="I1432" i="23"/>
  <c r="J1432" i="23" s="1"/>
  <c r="K1432" i="23" s="1"/>
  <c r="L1432" i="23" s="1"/>
  <c r="I1408" i="23"/>
  <c r="J1408" i="23" s="1"/>
  <c r="K1408" i="23" s="1"/>
  <c r="L1408" i="23" s="1"/>
  <c r="I1413" i="23"/>
  <c r="J1413" i="23" s="1"/>
  <c r="K1413" i="23" s="1"/>
  <c r="L1413" i="23" s="1"/>
  <c r="I1418" i="23"/>
  <c r="J1418" i="23" s="1"/>
  <c r="K1418" i="23" s="1"/>
  <c r="L1418" i="23" s="1"/>
  <c r="I1397" i="23"/>
  <c r="J1397" i="23" s="1"/>
  <c r="K1397" i="23" s="1"/>
  <c r="L1397" i="23" s="1"/>
  <c r="I1386" i="23"/>
  <c r="J1386" i="23" s="1"/>
  <c r="K1386" i="23" s="1"/>
  <c r="L1386" i="23" s="1"/>
  <c r="I1384" i="23"/>
  <c r="J1384" i="23" s="1"/>
  <c r="K1384" i="23" s="1"/>
  <c r="L1384" i="23" s="1"/>
  <c r="I1382" i="23"/>
  <c r="J1382" i="23" s="1"/>
  <c r="K1382" i="23" s="1"/>
  <c r="L1382" i="23" s="1"/>
  <c r="I1380" i="23"/>
  <c r="J1380" i="23" s="1"/>
  <c r="K1380" i="23" s="1"/>
  <c r="L1380" i="23" s="1"/>
  <c r="I1378" i="23"/>
  <c r="J1378" i="23" s="1"/>
  <c r="K1378" i="23" s="1"/>
  <c r="L1378" i="23" s="1"/>
  <c r="I1443" i="23"/>
  <c r="J1443" i="23" s="1"/>
  <c r="K1443" i="23" s="1"/>
  <c r="L1443" i="23" s="1"/>
  <c r="I1430" i="23"/>
  <c r="J1430" i="23" s="1"/>
  <c r="K1430" i="23" s="1"/>
  <c r="L1430" i="23" s="1"/>
  <c r="I1428" i="23"/>
  <c r="J1428" i="23" s="1"/>
  <c r="K1428" i="23" s="1"/>
  <c r="L1428" i="23" s="1"/>
  <c r="I1426" i="23"/>
  <c r="J1426" i="23" s="1"/>
  <c r="K1426" i="23" s="1"/>
  <c r="L1426" i="23" s="1"/>
  <c r="I1424" i="23"/>
  <c r="J1424" i="23" s="1"/>
  <c r="K1424" i="23" s="1"/>
  <c r="L1424" i="23" s="1"/>
  <c r="I1422" i="23"/>
  <c r="J1422" i="23" s="1"/>
  <c r="K1422" i="23" s="1"/>
  <c r="L1422" i="23" s="1"/>
  <c r="I1420" i="23"/>
  <c r="J1420" i="23" s="1"/>
  <c r="K1420" i="23" s="1"/>
  <c r="L1420" i="23" s="1"/>
  <c r="I1410" i="23"/>
  <c r="J1410" i="23" s="1"/>
  <c r="K1410" i="23" s="1"/>
  <c r="L1410" i="23" s="1"/>
  <c r="I1415" i="23"/>
  <c r="J1415" i="23" s="1"/>
  <c r="K1415" i="23" s="1"/>
  <c r="L1415" i="23" s="1"/>
  <c r="I1394" i="23"/>
  <c r="J1394" i="23" s="1"/>
  <c r="K1394" i="23" s="1"/>
  <c r="L1394" i="23" s="1"/>
  <c r="I1441" i="23"/>
  <c r="J1441" i="23" s="1"/>
  <c r="K1441" i="23" s="1"/>
  <c r="L1441" i="23" s="1"/>
  <c r="I1439" i="23"/>
  <c r="J1439" i="23" s="1"/>
  <c r="K1439" i="23" s="1"/>
  <c r="L1439" i="23" s="1"/>
  <c r="I1405" i="23"/>
  <c r="J1405" i="23" s="1"/>
  <c r="K1405" i="23" s="1"/>
  <c r="L1405" i="23" s="1"/>
  <c r="I1389" i="23"/>
  <c r="J1389" i="23" s="1"/>
  <c r="K1389" i="23" s="1"/>
  <c r="L1389" i="23" s="1"/>
  <c r="I1399" i="23"/>
  <c r="J1399" i="23" s="1"/>
  <c r="K1399" i="23" s="1"/>
  <c r="L1399" i="23" s="1"/>
  <c r="I1376" i="23"/>
  <c r="J1376" i="23" s="1"/>
  <c r="K1376" i="23" s="1"/>
  <c r="L1376" i="23" s="1"/>
  <c r="I1437" i="23"/>
  <c r="J1437" i="23" s="1"/>
  <c r="K1437" i="23" s="1"/>
  <c r="L1437" i="23" s="1"/>
  <c r="I1407" i="23"/>
  <c r="J1407" i="23" s="1"/>
  <c r="K1407" i="23" s="1"/>
  <c r="L1407" i="23" s="1"/>
  <c r="I1412" i="23"/>
  <c r="J1412" i="23" s="1"/>
  <c r="K1412" i="23" s="1"/>
  <c r="L1412" i="23" s="1"/>
  <c r="I1417" i="23"/>
  <c r="J1417" i="23" s="1"/>
  <c r="K1417" i="23" s="1"/>
  <c r="L1417" i="23" s="1"/>
  <c r="I1391" i="23"/>
  <c r="J1391" i="23" s="1"/>
  <c r="K1391" i="23" s="1"/>
  <c r="L1391" i="23" s="1"/>
  <c r="I1396" i="23"/>
  <c r="J1396" i="23" s="1"/>
  <c r="K1396" i="23" s="1"/>
  <c r="L1396" i="23" s="1"/>
  <c r="I1401" i="23"/>
  <c r="J1401" i="23" s="1"/>
  <c r="K1401" i="23" s="1"/>
  <c r="L1401" i="23" s="1"/>
  <c r="I1387" i="23"/>
  <c r="J1387" i="23" s="1"/>
  <c r="K1387" i="23" s="1"/>
  <c r="L1387" i="23" s="1"/>
  <c r="I1374" i="23"/>
  <c r="J1374" i="23" s="1"/>
  <c r="K1374" i="23" s="1"/>
  <c r="L1374" i="23" s="1"/>
  <c r="I1435" i="23"/>
  <c r="J1435" i="23" s="1"/>
  <c r="K1435" i="23" s="1"/>
  <c r="L1435" i="23" s="1"/>
  <c r="I1433" i="23"/>
  <c r="J1433" i="23" s="1"/>
  <c r="K1433" i="23" s="1"/>
  <c r="L1433" i="23" s="1"/>
  <c r="I1393" i="23"/>
  <c r="J1393" i="23" s="1"/>
  <c r="K1393" i="23" s="1"/>
  <c r="L1393" i="23" s="1"/>
  <c r="I1403" i="23"/>
  <c r="J1403" i="23" s="1"/>
  <c r="K1403" i="23" s="1"/>
  <c r="L1403" i="23" s="1"/>
  <c r="I1388" i="23"/>
  <c r="J1388" i="23" s="1"/>
  <c r="K1388" i="23" s="1"/>
  <c r="L1388" i="23" s="1"/>
  <c r="I1385" i="23"/>
  <c r="J1385" i="23" s="1"/>
  <c r="K1385" i="23" s="1"/>
  <c r="L1385" i="23" s="1"/>
  <c r="I1383" i="23"/>
  <c r="J1383" i="23" s="1"/>
  <c r="K1383" i="23" s="1"/>
  <c r="L1383" i="23" s="1"/>
  <c r="I1381" i="23"/>
  <c r="J1381" i="23" s="1"/>
  <c r="K1381" i="23" s="1"/>
  <c r="L1381" i="23" s="1"/>
  <c r="I1379" i="23"/>
  <c r="J1379" i="23" s="1"/>
  <c r="K1379" i="23" s="1"/>
  <c r="L1379" i="23" s="1"/>
  <c r="M1241" i="23"/>
  <c r="M1441" i="23"/>
  <c r="M1429" i="23"/>
  <c r="M1440" i="23"/>
  <c r="M1426" i="23"/>
  <c r="M1437" i="23"/>
  <c r="M1425" i="23"/>
  <c r="M1436" i="23"/>
  <c r="H1381" i="22"/>
  <c r="H1382" i="22"/>
  <c r="H1385" i="22"/>
  <c r="H1393" i="22"/>
  <c r="H1388" i="22"/>
  <c r="H1395" i="22"/>
  <c r="H1383" i="22"/>
  <c r="H1391" i="22"/>
  <c r="H1386" i="22"/>
  <c r="H1394" i="22"/>
  <c r="H1389" i="22"/>
  <c r="H1387" i="22"/>
  <c r="H1390" i="22"/>
  <c r="H1384" i="22"/>
  <c r="H1392" i="22"/>
  <c r="M1351" i="23"/>
  <c r="M1427" i="23"/>
  <c r="M1409" i="23"/>
  <c r="M1419" i="23"/>
  <c r="H1374" i="22"/>
  <c r="H1376" i="22"/>
  <c r="H1378" i="22"/>
  <c r="H1380" i="22"/>
  <c r="H1377" i="22"/>
  <c r="H1375" i="22"/>
  <c r="H1379" i="22"/>
  <c r="M1390" i="23"/>
  <c r="M1373" i="23"/>
  <c r="M1388" i="23"/>
  <c r="M1379" i="23"/>
  <c r="H1358" i="22"/>
  <c r="H1366" i="22"/>
  <c r="H1363" i="22"/>
  <c r="H1361" i="22"/>
  <c r="H1369" i="22"/>
  <c r="H1364" i="22"/>
  <c r="H1372" i="22"/>
  <c r="H1371" i="22"/>
  <c r="H1359" i="22"/>
  <c r="H1367" i="22"/>
  <c r="H1368" i="22"/>
  <c r="H1362" i="22"/>
  <c r="H1370" i="22"/>
  <c r="H1360" i="22"/>
  <c r="H1365" i="22"/>
  <c r="H1373" i="22"/>
  <c r="H1355" i="22"/>
  <c r="H1357" i="22"/>
  <c r="H1356" i="22"/>
  <c r="M1381" i="23"/>
  <c r="M1384" i="23"/>
  <c r="H1348" i="22"/>
  <c r="H1351" i="22"/>
  <c r="H1354" i="22"/>
  <c r="H1349" i="22"/>
  <c r="H1352" i="22"/>
  <c r="H1353" i="22"/>
  <c r="H1350" i="22"/>
  <c r="H1335" i="22"/>
  <c r="H1343" i="22"/>
  <c r="H1338" i="22"/>
  <c r="H1346" i="22"/>
  <c r="H1341" i="22"/>
  <c r="H1336" i="22"/>
  <c r="H1344" i="22"/>
  <c r="H1339" i="22"/>
  <c r="H1347" i="22"/>
  <c r="H1340" i="22"/>
  <c r="H1342" i="22"/>
  <c r="H1337" i="22"/>
  <c r="H1345" i="22"/>
  <c r="M1328" i="23"/>
  <c r="M1354" i="23"/>
  <c r="H1333" i="22"/>
  <c r="H1334" i="22"/>
  <c r="H1321" i="22"/>
  <c r="H1329" i="22"/>
  <c r="H1327" i="22"/>
  <c r="H1324" i="22"/>
  <c r="H1332" i="22"/>
  <c r="H1322" i="22"/>
  <c r="H1330" i="22"/>
  <c r="H1325" i="22"/>
  <c r="H1328" i="22"/>
  <c r="H1323" i="22"/>
  <c r="H1331" i="22"/>
  <c r="H1326" i="22"/>
  <c r="M1347" i="23"/>
  <c r="M1355" i="23"/>
  <c r="H1317" i="22"/>
  <c r="H1319" i="22"/>
  <c r="H1318" i="22"/>
  <c r="H1320" i="22"/>
  <c r="H1310" i="22"/>
  <c r="H1312" i="22"/>
  <c r="H1314" i="22"/>
  <c r="H1316" i="22"/>
  <c r="H1311" i="22"/>
  <c r="H1313" i="22"/>
  <c r="H1315" i="22"/>
  <c r="I1355" i="23"/>
  <c r="J1355" i="23" s="1"/>
  <c r="K1355" i="23" s="1"/>
  <c r="L1355" i="23" s="1"/>
  <c r="I1363" i="23"/>
  <c r="J1363" i="23" s="1"/>
  <c r="K1363" i="23" s="1"/>
  <c r="L1363" i="23" s="1"/>
  <c r="I1371" i="23"/>
  <c r="J1371" i="23" s="1"/>
  <c r="K1371" i="23" s="1"/>
  <c r="L1371" i="23" s="1"/>
  <c r="I1339" i="23"/>
  <c r="J1339" i="23" s="1"/>
  <c r="K1339" i="23" s="1"/>
  <c r="L1339" i="23" s="1"/>
  <c r="I1344" i="23"/>
  <c r="J1344" i="23" s="1"/>
  <c r="K1344" i="23" s="1"/>
  <c r="L1344" i="23" s="1"/>
  <c r="I1329" i="23"/>
  <c r="J1329" i="23" s="1"/>
  <c r="K1329" i="23" s="1"/>
  <c r="L1329" i="23" s="1"/>
  <c r="I1323" i="23"/>
  <c r="J1323" i="23" s="1"/>
  <c r="K1323" i="23" s="1"/>
  <c r="L1323" i="23" s="1"/>
  <c r="I1313" i="23"/>
  <c r="J1313" i="23" s="1"/>
  <c r="K1313" i="23" s="1"/>
  <c r="L1313" i="23" s="1"/>
  <c r="I1300" i="23"/>
  <c r="J1300" i="23" s="1"/>
  <c r="K1300" i="23" s="1"/>
  <c r="L1300" i="23" s="1"/>
  <c r="I1302" i="23"/>
  <c r="J1302" i="23" s="1"/>
  <c r="K1302" i="23" s="1"/>
  <c r="L1302" i="23" s="1"/>
  <c r="I1304" i="23"/>
  <c r="J1304" i="23" s="1"/>
  <c r="K1304" i="23" s="1"/>
  <c r="L1304" i="23" s="1"/>
  <c r="I1288" i="23"/>
  <c r="J1288" i="23" s="1"/>
  <c r="K1288" i="23" s="1"/>
  <c r="L1288" i="23" s="1"/>
  <c r="I1278" i="23"/>
  <c r="J1278" i="23" s="1"/>
  <c r="K1278" i="23" s="1"/>
  <c r="L1278" i="23" s="1"/>
  <c r="I1265" i="23"/>
  <c r="J1265" i="23" s="1"/>
  <c r="K1265" i="23" s="1"/>
  <c r="L1265" i="23" s="1"/>
  <c r="I1262" i="23"/>
  <c r="J1262" i="23" s="1"/>
  <c r="K1262" i="23" s="1"/>
  <c r="L1262" i="23" s="1"/>
  <c r="I1264" i="23"/>
  <c r="J1264" i="23" s="1"/>
  <c r="K1264" i="23" s="1"/>
  <c r="L1264" i="23" s="1"/>
  <c r="I1251" i="23"/>
  <c r="J1251" i="23" s="1"/>
  <c r="K1251" i="23" s="1"/>
  <c r="L1251" i="23" s="1"/>
  <c r="I1229" i="23"/>
  <c r="J1229" i="23" s="1"/>
  <c r="K1229" i="23" s="1"/>
  <c r="L1229" i="23" s="1"/>
  <c r="I1224" i="23"/>
  <c r="J1224" i="23" s="1"/>
  <c r="K1224" i="23" s="1"/>
  <c r="L1224" i="23" s="1"/>
  <c r="I1190" i="23"/>
  <c r="J1190" i="23" s="1"/>
  <c r="K1190" i="23" s="1"/>
  <c r="L1190" i="23" s="1"/>
  <c r="I1198" i="23"/>
  <c r="J1198" i="23" s="1"/>
  <c r="K1198" i="23" s="1"/>
  <c r="L1198" i="23" s="1"/>
  <c r="I1203" i="23"/>
  <c r="J1203" i="23" s="1"/>
  <c r="K1203" i="23" s="1"/>
  <c r="L1203" i="23" s="1"/>
  <c r="I1205" i="23"/>
  <c r="J1205" i="23" s="1"/>
  <c r="K1205" i="23" s="1"/>
  <c r="L1205" i="23" s="1"/>
  <c r="I1207" i="23"/>
  <c r="J1207" i="23" s="1"/>
  <c r="K1207" i="23" s="1"/>
  <c r="L1207" i="23" s="1"/>
  <c r="I1169" i="23"/>
  <c r="J1169" i="23" s="1"/>
  <c r="K1169" i="23" s="1"/>
  <c r="L1169" i="23" s="1"/>
  <c r="I1171" i="23"/>
  <c r="J1171" i="23" s="1"/>
  <c r="K1171" i="23" s="1"/>
  <c r="L1171" i="23" s="1"/>
  <c r="I1173" i="23"/>
  <c r="J1173" i="23" s="1"/>
  <c r="K1173" i="23" s="1"/>
  <c r="L1173" i="23" s="1"/>
  <c r="I1145" i="23"/>
  <c r="J1145" i="23" s="1"/>
  <c r="K1145" i="23" s="1"/>
  <c r="L1145" i="23" s="1"/>
  <c r="I1147" i="23"/>
  <c r="J1147" i="23" s="1"/>
  <c r="K1147" i="23" s="1"/>
  <c r="L1147" i="23" s="1"/>
  <c r="I1149" i="23"/>
  <c r="J1149" i="23" s="1"/>
  <c r="K1149" i="23" s="1"/>
  <c r="L1149" i="23" s="1"/>
  <c r="I1151" i="23"/>
  <c r="J1151" i="23" s="1"/>
  <c r="K1151" i="23" s="1"/>
  <c r="L1151" i="23" s="1"/>
  <c r="I1162" i="23"/>
  <c r="J1162" i="23" s="1"/>
  <c r="K1162" i="23" s="1"/>
  <c r="L1162" i="23" s="1"/>
  <c r="I1102" i="23"/>
  <c r="J1102" i="23" s="1"/>
  <c r="K1102" i="23" s="1"/>
  <c r="L1102" i="23" s="1"/>
  <c r="I1360" i="23"/>
  <c r="J1360" i="23" s="1"/>
  <c r="K1360" i="23" s="1"/>
  <c r="L1360" i="23" s="1"/>
  <c r="I1368" i="23"/>
  <c r="J1368" i="23" s="1"/>
  <c r="K1368" i="23" s="1"/>
  <c r="L1368" i="23" s="1"/>
  <c r="I1334" i="23"/>
  <c r="J1334" i="23" s="1"/>
  <c r="K1334" i="23" s="1"/>
  <c r="L1334" i="23" s="1"/>
  <c r="I1341" i="23"/>
  <c r="J1341" i="23" s="1"/>
  <c r="K1341" i="23" s="1"/>
  <c r="L1341" i="23" s="1"/>
  <c r="I1346" i="23"/>
  <c r="J1346" i="23" s="1"/>
  <c r="K1346" i="23" s="1"/>
  <c r="L1346" i="23" s="1"/>
  <c r="I1348" i="23"/>
  <c r="J1348" i="23" s="1"/>
  <c r="K1348" i="23" s="1"/>
  <c r="L1348" i="23" s="1"/>
  <c r="I1350" i="23"/>
  <c r="J1350" i="23" s="1"/>
  <c r="K1350" i="23" s="1"/>
  <c r="L1350" i="23" s="1"/>
  <c r="I1318" i="23"/>
  <c r="J1318" i="23" s="1"/>
  <c r="K1318" i="23" s="1"/>
  <c r="L1318" i="23" s="1"/>
  <c r="I1311" i="23"/>
  <c r="J1311" i="23" s="1"/>
  <c r="K1311" i="23" s="1"/>
  <c r="L1311" i="23" s="1"/>
  <c r="I1306" i="23"/>
  <c r="J1306" i="23" s="1"/>
  <c r="K1306" i="23" s="1"/>
  <c r="L1306" i="23" s="1"/>
  <c r="I1286" i="23"/>
  <c r="J1286" i="23" s="1"/>
  <c r="K1286" i="23" s="1"/>
  <c r="L1286" i="23" s="1"/>
  <c r="I1280" i="23"/>
  <c r="J1280" i="23" s="1"/>
  <c r="K1280" i="23" s="1"/>
  <c r="L1280" i="23" s="1"/>
  <c r="I1282" i="23"/>
  <c r="J1282" i="23" s="1"/>
  <c r="K1282" i="23" s="1"/>
  <c r="L1282" i="23" s="1"/>
  <c r="I1255" i="23"/>
  <c r="J1255" i="23" s="1"/>
  <c r="K1255" i="23" s="1"/>
  <c r="L1255" i="23" s="1"/>
  <c r="I1230" i="23"/>
  <c r="J1230" i="23" s="1"/>
  <c r="K1230" i="23" s="1"/>
  <c r="L1230" i="23" s="1"/>
  <c r="I1232" i="23"/>
  <c r="J1232" i="23" s="1"/>
  <c r="K1232" i="23" s="1"/>
  <c r="L1232" i="23" s="1"/>
  <c r="I1221" i="23"/>
  <c r="J1221" i="23" s="1"/>
  <c r="K1221" i="23" s="1"/>
  <c r="L1221" i="23" s="1"/>
  <c r="I1187" i="23"/>
  <c r="J1187" i="23" s="1"/>
  <c r="K1187" i="23" s="1"/>
  <c r="L1187" i="23" s="1"/>
  <c r="I1195" i="23"/>
  <c r="J1195" i="23" s="1"/>
  <c r="K1195" i="23" s="1"/>
  <c r="L1195" i="23" s="1"/>
  <c r="I1209" i="23"/>
  <c r="J1209" i="23" s="1"/>
  <c r="K1209" i="23" s="1"/>
  <c r="L1209" i="23" s="1"/>
  <c r="I1175" i="23"/>
  <c r="J1175" i="23" s="1"/>
  <c r="K1175" i="23" s="1"/>
  <c r="L1175" i="23" s="1"/>
  <c r="I1177" i="23"/>
  <c r="J1177" i="23" s="1"/>
  <c r="K1177" i="23" s="1"/>
  <c r="L1177" i="23" s="1"/>
  <c r="I1179" i="23"/>
  <c r="J1179" i="23" s="1"/>
  <c r="K1179" i="23" s="1"/>
  <c r="L1179" i="23" s="1"/>
  <c r="I1181" i="23"/>
  <c r="J1181" i="23" s="1"/>
  <c r="K1181" i="23" s="1"/>
  <c r="L1181" i="23" s="1"/>
  <c r="I1183" i="23"/>
  <c r="J1183" i="23" s="1"/>
  <c r="K1183" i="23" s="1"/>
  <c r="L1183" i="23" s="1"/>
  <c r="I1185" i="23"/>
  <c r="J1185" i="23" s="1"/>
  <c r="K1185" i="23" s="1"/>
  <c r="L1185" i="23" s="1"/>
  <c r="I1122" i="23"/>
  <c r="J1122" i="23" s="1"/>
  <c r="K1122" i="23" s="1"/>
  <c r="L1122" i="23" s="1"/>
  <c r="I1153" i="23"/>
  <c r="J1153" i="23" s="1"/>
  <c r="K1153" i="23" s="1"/>
  <c r="L1153" i="23" s="1"/>
  <c r="I1164" i="23"/>
  <c r="J1164" i="23" s="1"/>
  <c r="K1164" i="23" s="1"/>
  <c r="L1164" i="23" s="1"/>
  <c r="I1109" i="23"/>
  <c r="J1109" i="23" s="1"/>
  <c r="K1109" i="23" s="1"/>
  <c r="L1109" i="23" s="1"/>
  <c r="I1114" i="23"/>
  <c r="J1114" i="23" s="1"/>
  <c r="K1114" i="23" s="1"/>
  <c r="L1114" i="23" s="1"/>
  <c r="I1119" i="23"/>
  <c r="J1119" i="23" s="1"/>
  <c r="K1119" i="23" s="1"/>
  <c r="L1119" i="23" s="1"/>
  <c r="I1078" i="23"/>
  <c r="J1078" i="23" s="1"/>
  <c r="K1078" i="23" s="1"/>
  <c r="L1078" i="23" s="1"/>
  <c r="I1087" i="23"/>
  <c r="J1087" i="23" s="1"/>
  <c r="K1087" i="23" s="1"/>
  <c r="L1087" i="23" s="1"/>
  <c r="I1020" i="23"/>
  <c r="J1020" i="23" s="1"/>
  <c r="K1020" i="23" s="1"/>
  <c r="L1020" i="23" s="1"/>
  <c r="I1033" i="23"/>
  <c r="J1033" i="23" s="1"/>
  <c r="K1033" i="23" s="1"/>
  <c r="L1033" i="23" s="1"/>
  <c r="I1040" i="23"/>
  <c r="J1040" i="23" s="1"/>
  <c r="K1040" i="23" s="1"/>
  <c r="L1040" i="23" s="1"/>
  <c r="I1042" i="23"/>
  <c r="J1042" i="23" s="1"/>
  <c r="K1042" i="23" s="1"/>
  <c r="L1042" i="23" s="1"/>
  <c r="I1044" i="23"/>
  <c r="J1044" i="23" s="1"/>
  <c r="K1044" i="23" s="1"/>
  <c r="L1044" i="23" s="1"/>
  <c r="I1070" i="23"/>
  <c r="J1070" i="23" s="1"/>
  <c r="K1070" i="23" s="1"/>
  <c r="L1070" i="23" s="1"/>
  <c r="I951" i="23"/>
  <c r="J951" i="23" s="1"/>
  <c r="K951" i="23" s="1"/>
  <c r="L951" i="23" s="1"/>
  <c r="I959" i="23"/>
  <c r="J959" i="23" s="1"/>
  <c r="K959" i="23" s="1"/>
  <c r="L959" i="23" s="1"/>
  <c r="I967" i="23"/>
  <c r="J967" i="23" s="1"/>
  <c r="K967" i="23" s="1"/>
  <c r="L967" i="23" s="1"/>
  <c r="I975" i="23"/>
  <c r="J975" i="23" s="1"/>
  <c r="K975" i="23" s="1"/>
  <c r="L975" i="23" s="1"/>
  <c r="I1357" i="23"/>
  <c r="J1357" i="23" s="1"/>
  <c r="K1357" i="23" s="1"/>
  <c r="L1357" i="23" s="1"/>
  <c r="I1365" i="23"/>
  <c r="J1365" i="23" s="1"/>
  <c r="K1365" i="23" s="1"/>
  <c r="L1365" i="23" s="1"/>
  <c r="I1331" i="23"/>
  <c r="J1331" i="23" s="1"/>
  <c r="K1331" i="23" s="1"/>
  <c r="L1331" i="23" s="1"/>
  <c r="I1336" i="23"/>
  <c r="J1336" i="23" s="1"/>
  <c r="K1336" i="23" s="1"/>
  <c r="L1336" i="23" s="1"/>
  <c r="I1352" i="23"/>
  <c r="J1352" i="23" s="1"/>
  <c r="K1352" i="23" s="1"/>
  <c r="L1352" i="23" s="1"/>
  <c r="I1326" i="23"/>
  <c r="J1326" i="23" s="1"/>
  <c r="K1326" i="23" s="1"/>
  <c r="L1326" i="23" s="1"/>
  <c r="I1321" i="23"/>
  <c r="J1321" i="23" s="1"/>
  <c r="K1321" i="23" s="1"/>
  <c r="L1321" i="23" s="1"/>
  <c r="I1316" i="23"/>
  <c r="J1316" i="23" s="1"/>
  <c r="K1316" i="23" s="1"/>
  <c r="L1316" i="23" s="1"/>
  <c r="I1309" i="23"/>
  <c r="J1309" i="23" s="1"/>
  <c r="K1309" i="23" s="1"/>
  <c r="L1309" i="23" s="1"/>
  <c r="I1291" i="23"/>
  <c r="J1291" i="23" s="1"/>
  <c r="K1291" i="23" s="1"/>
  <c r="L1291" i="23" s="1"/>
  <c r="I1268" i="23"/>
  <c r="J1268" i="23" s="1"/>
  <c r="K1268" i="23" s="1"/>
  <c r="L1268" i="23" s="1"/>
  <c r="I1270" i="23"/>
  <c r="J1270" i="23" s="1"/>
  <c r="K1270" i="23" s="1"/>
  <c r="L1270" i="23" s="1"/>
  <c r="I1272" i="23"/>
  <c r="J1272" i="23" s="1"/>
  <c r="K1272" i="23" s="1"/>
  <c r="L1272" i="23" s="1"/>
  <c r="I1267" i="23"/>
  <c r="J1267" i="23" s="1"/>
  <c r="K1267" i="23" s="1"/>
  <c r="L1267" i="23" s="1"/>
  <c r="I1257" i="23"/>
  <c r="J1257" i="23" s="1"/>
  <c r="K1257" i="23" s="1"/>
  <c r="L1257" i="23" s="1"/>
  <c r="I1234" i="23"/>
  <c r="J1234" i="23" s="1"/>
  <c r="K1234" i="23" s="1"/>
  <c r="L1234" i="23" s="1"/>
  <c r="I1226" i="23"/>
  <c r="J1226" i="23" s="1"/>
  <c r="K1226" i="23" s="1"/>
  <c r="L1226" i="23" s="1"/>
  <c r="I1192" i="23"/>
  <c r="J1192" i="23" s="1"/>
  <c r="K1192" i="23" s="1"/>
  <c r="L1192" i="23" s="1"/>
  <c r="I1200" i="23"/>
  <c r="J1200" i="23" s="1"/>
  <c r="K1200" i="23" s="1"/>
  <c r="L1200" i="23" s="1"/>
  <c r="I1211" i="23"/>
  <c r="J1211" i="23" s="1"/>
  <c r="K1211" i="23" s="1"/>
  <c r="L1211" i="23" s="1"/>
  <c r="I1213" i="23"/>
  <c r="J1213" i="23" s="1"/>
  <c r="K1213" i="23" s="1"/>
  <c r="L1213" i="23" s="1"/>
  <c r="I1215" i="23"/>
  <c r="J1215" i="23" s="1"/>
  <c r="K1215" i="23" s="1"/>
  <c r="L1215" i="23" s="1"/>
  <c r="I1217" i="23"/>
  <c r="J1217" i="23" s="1"/>
  <c r="K1217" i="23" s="1"/>
  <c r="L1217" i="23" s="1"/>
  <c r="I1124" i="23"/>
  <c r="J1124" i="23" s="1"/>
  <c r="K1124" i="23" s="1"/>
  <c r="L1124" i="23" s="1"/>
  <c r="I1126" i="23"/>
  <c r="J1126" i="23" s="1"/>
  <c r="K1126" i="23" s="1"/>
  <c r="L1126" i="23" s="1"/>
  <c r="I1128" i="23"/>
  <c r="J1128" i="23" s="1"/>
  <c r="K1128" i="23" s="1"/>
  <c r="L1128" i="23" s="1"/>
  <c r="I1155" i="23"/>
  <c r="J1155" i="23" s="1"/>
  <c r="K1155" i="23" s="1"/>
  <c r="L1155" i="23" s="1"/>
  <c r="I1157" i="23"/>
  <c r="J1157" i="23" s="1"/>
  <c r="K1157" i="23" s="1"/>
  <c r="L1157" i="23" s="1"/>
  <c r="I1166" i="23"/>
  <c r="J1166" i="23" s="1"/>
  <c r="K1166" i="23" s="1"/>
  <c r="L1166" i="23" s="1"/>
  <c r="I1104" i="23"/>
  <c r="J1104" i="23" s="1"/>
  <c r="K1104" i="23" s="1"/>
  <c r="L1104" i="23" s="1"/>
  <c r="I1106" i="23"/>
  <c r="J1106" i="23" s="1"/>
  <c r="K1106" i="23" s="1"/>
  <c r="L1106" i="23" s="1"/>
  <c r="I1111" i="23"/>
  <c r="J1111" i="23" s="1"/>
  <c r="K1111" i="23" s="1"/>
  <c r="L1111" i="23" s="1"/>
  <c r="I1116" i="23"/>
  <c r="J1116" i="23" s="1"/>
  <c r="K1116" i="23" s="1"/>
  <c r="L1116" i="23" s="1"/>
  <c r="I1354" i="23"/>
  <c r="J1354" i="23" s="1"/>
  <c r="K1354" i="23" s="1"/>
  <c r="L1354" i="23" s="1"/>
  <c r="I1362" i="23"/>
  <c r="J1362" i="23" s="1"/>
  <c r="K1362" i="23" s="1"/>
  <c r="L1362" i="23" s="1"/>
  <c r="I1370" i="23"/>
  <c r="J1370" i="23" s="1"/>
  <c r="K1370" i="23" s="1"/>
  <c r="L1370" i="23" s="1"/>
  <c r="I1338" i="23"/>
  <c r="J1338" i="23" s="1"/>
  <c r="K1338" i="23" s="1"/>
  <c r="L1338" i="23" s="1"/>
  <c r="I1343" i="23"/>
  <c r="J1343" i="23" s="1"/>
  <c r="K1343" i="23" s="1"/>
  <c r="L1343" i="23" s="1"/>
  <c r="I1328" i="23"/>
  <c r="J1328" i="23" s="1"/>
  <c r="K1328" i="23" s="1"/>
  <c r="L1328" i="23" s="1"/>
  <c r="I1324" i="23"/>
  <c r="J1324" i="23" s="1"/>
  <c r="K1324" i="23" s="1"/>
  <c r="L1324" i="23" s="1"/>
  <c r="I1314" i="23"/>
  <c r="J1314" i="23" s="1"/>
  <c r="K1314" i="23" s="1"/>
  <c r="L1314" i="23" s="1"/>
  <c r="I1293" i="23"/>
  <c r="J1293" i="23" s="1"/>
  <c r="K1293" i="23" s="1"/>
  <c r="L1293" i="23" s="1"/>
  <c r="I1295" i="23"/>
  <c r="J1295" i="23" s="1"/>
  <c r="K1295" i="23" s="1"/>
  <c r="L1295" i="23" s="1"/>
  <c r="I1297" i="23"/>
  <c r="J1297" i="23" s="1"/>
  <c r="K1297" i="23" s="1"/>
  <c r="L1297" i="23" s="1"/>
  <c r="I1299" i="23"/>
  <c r="J1299" i="23" s="1"/>
  <c r="K1299" i="23" s="1"/>
  <c r="L1299" i="23" s="1"/>
  <c r="I1284" i="23"/>
  <c r="J1284" i="23" s="1"/>
  <c r="K1284" i="23" s="1"/>
  <c r="L1284" i="23" s="1"/>
  <c r="I1277" i="23"/>
  <c r="J1277" i="23" s="1"/>
  <c r="K1277" i="23" s="1"/>
  <c r="L1277" i="23" s="1"/>
  <c r="I1274" i="23"/>
  <c r="J1274" i="23" s="1"/>
  <c r="K1274" i="23" s="1"/>
  <c r="L1274" i="23" s="1"/>
  <c r="I1275" i="23"/>
  <c r="J1275" i="23" s="1"/>
  <c r="K1275" i="23" s="1"/>
  <c r="L1275" i="23" s="1"/>
  <c r="I1259" i="23"/>
  <c r="J1259" i="23" s="1"/>
  <c r="K1259" i="23" s="1"/>
  <c r="L1259" i="23" s="1"/>
  <c r="I1236" i="23"/>
  <c r="J1236" i="23" s="1"/>
  <c r="K1236" i="23" s="1"/>
  <c r="L1236" i="23" s="1"/>
  <c r="I1238" i="23"/>
  <c r="J1238" i="23" s="1"/>
  <c r="K1238" i="23" s="1"/>
  <c r="L1238" i="23" s="1"/>
  <c r="I1240" i="23"/>
  <c r="J1240" i="23" s="1"/>
  <c r="K1240" i="23" s="1"/>
  <c r="L1240" i="23" s="1"/>
  <c r="I1242" i="23"/>
  <c r="J1242" i="23" s="1"/>
  <c r="K1242" i="23" s="1"/>
  <c r="L1242" i="23" s="1"/>
  <c r="I1244" i="23"/>
  <c r="J1244" i="23" s="1"/>
  <c r="K1244" i="23" s="1"/>
  <c r="L1244" i="23" s="1"/>
  <c r="I1246" i="23"/>
  <c r="J1246" i="23" s="1"/>
  <c r="K1246" i="23" s="1"/>
  <c r="L1246" i="23" s="1"/>
  <c r="I1248" i="23"/>
  <c r="J1248" i="23" s="1"/>
  <c r="K1248" i="23" s="1"/>
  <c r="L1248" i="23" s="1"/>
  <c r="I1218" i="23"/>
  <c r="J1218" i="23" s="1"/>
  <c r="K1218" i="23" s="1"/>
  <c r="L1218" i="23" s="1"/>
  <c r="I1223" i="23"/>
  <c r="J1223" i="23" s="1"/>
  <c r="K1223" i="23" s="1"/>
  <c r="L1223" i="23" s="1"/>
  <c r="I1189" i="23"/>
  <c r="J1189" i="23" s="1"/>
  <c r="K1189" i="23" s="1"/>
  <c r="L1189" i="23" s="1"/>
  <c r="I1197" i="23"/>
  <c r="J1197" i="23" s="1"/>
  <c r="K1197" i="23" s="1"/>
  <c r="L1197" i="23" s="1"/>
  <c r="I1130" i="23"/>
  <c r="J1130" i="23" s="1"/>
  <c r="K1130" i="23" s="1"/>
  <c r="L1130" i="23" s="1"/>
  <c r="I1132" i="23"/>
  <c r="J1132" i="23" s="1"/>
  <c r="K1132" i="23" s="1"/>
  <c r="L1132" i="23" s="1"/>
  <c r="I1134" i="23"/>
  <c r="J1134" i="23" s="1"/>
  <c r="K1134" i="23" s="1"/>
  <c r="L1134" i="23" s="1"/>
  <c r="I1136" i="23"/>
  <c r="J1136" i="23" s="1"/>
  <c r="K1136" i="23" s="1"/>
  <c r="L1136" i="23" s="1"/>
  <c r="I1138" i="23"/>
  <c r="J1138" i="23" s="1"/>
  <c r="K1138" i="23" s="1"/>
  <c r="L1138" i="23" s="1"/>
  <c r="I1140" i="23"/>
  <c r="J1140" i="23" s="1"/>
  <c r="K1140" i="23" s="1"/>
  <c r="L1140" i="23" s="1"/>
  <c r="I1142" i="23"/>
  <c r="J1142" i="23" s="1"/>
  <c r="K1142" i="23" s="1"/>
  <c r="L1142" i="23" s="1"/>
  <c r="I1159" i="23"/>
  <c r="J1159" i="23" s="1"/>
  <c r="K1159" i="23" s="1"/>
  <c r="L1159" i="23" s="1"/>
  <c r="I1101" i="23"/>
  <c r="J1101" i="23" s="1"/>
  <c r="K1101" i="23" s="1"/>
  <c r="L1101" i="23" s="1"/>
  <c r="I1095" i="23"/>
  <c r="J1095" i="23" s="1"/>
  <c r="K1095" i="23" s="1"/>
  <c r="L1095" i="23" s="1"/>
  <c r="I1075" i="23"/>
  <c r="J1075" i="23" s="1"/>
  <c r="K1075" i="23" s="1"/>
  <c r="L1075" i="23" s="1"/>
  <c r="I1089" i="23"/>
  <c r="J1089" i="23" s="1"/>
  <c r="K1089" i="23" s="1"/>
  <c r="L1089" i="23" s="1"/>
  <c r="I1026" i="23"/>
  <c r="J1026" i="23" s="1"/>
  <c r="K1026" i="23" s="1"/>
  <c r="L1026" i="23" s="1"/>
  <c r="I1037" i="23"/>
  <c r="J1037" i="23" s="1"/>
  <c r="K1037" i="23" s="1"/>
  <c r="L1037" i="23" s="1"/>
  <c r="I1052" i="23"/>
  <c r="J1052" i="23" s="1"/>
  <c r="K1052" i="23" s="1"/>
  <c r="L1052" i="23" s="1"/>
  <c r="I1067" i="23"/>
  <c r="J1067" i="23" s="1"/>
  <c r="K1067" i="23" s="1"/>
  <c r="L1067" i="23" s="1"/>
  <c r="I953" i="23"/>
  <c r="J953" i="23" s="1"/>
  <c r="K953" i="23" s="1"/>
  <c r="L953" i="23" s="1"/>
  <c r="I961" i="23"/>
  <c r="J961" i="23" s="1"/>
  <c r="K961" i="23" s="1"/>
  <c r="L961" i="23" s="1"/>
  <c r="I969" i="23"/>
  <c r="J969" i="23" s="1"/>
  <c r="K969" i="23" s="1"/>
  <c r="L969" i="23" s="1"/>
  <c r="I977" i="23"/>
  <c r="J977" i="23" s="1"/>
  <c r="K977" i="23" s="1"/>
  <c r="L977" i="23" s="1"/>
  <c r="I982" i="23"/>
  <c r="J982" i="23" s="1"/>
  <c r="K982" i="23" s="1"/>
  <c r="L982" i="23" s="1"/>
  <c r="I991" i="23"/>
  <c r="J991" i="23" s="1"/>
  <c r="K991" i="23" s="1"/>
  <c r="L991" i="23" s="1"/>
  <c r="I936" i="23"/>
  <c r="J936" i="23" s="1"/>
  <c r="K936" i="23" s="1"/>
  <c r="L936" i="23" s="1"/>
  <c r="I1359" i="23"/>
  <c r="J1359" i="23" s="1"/>
  <c r="K1359" i="23" s="1"/>
  <c r="L1359" i="23" s="1"/>
  <c r="I1367" i="23"/>
  <c r="J1367" i="23" s="1"/>
  <c r="K1367" i="23" s="1"/>
  <c r="L1367" i="23" s="1"/>
  <c r="I1333" i="23"/>
  <c r="J1333" i="23" s="1"/>
  <c r="K1333" i="23" s="1"/>
  <c r="L1333" i="23" s="1"/>
  <c r="I1340" i="23"/>
  <c r="J1340" i="23" s="1"/>
  <c r="K1340" i="23" s="1"/>
  <c r="L1340" i="23" s="1"/>
  <c r="I1319" i="23"/>
  <c r="J1319" i="23" s="1"/>
  <c r="K1319" i="23" s="1"/>
  <c r="L1319" i="23" s="1"/>
  <c r="I1307" i="23"/>
  <c r="J1307" i="23" s="1"/>
  <c r="K1307" i="23" s="1"/>
  <c r="L1307" i="23" s="1"/>
  <c r="I1301" i="23"/>
  <c r="J1301" i="23" s="1"/>
  <c r="K1301" i="23" s="1"/>
  <c r="L1301" i="23" s="1"/>
  <c r="I1303" i="23"/>
  <c r="J1303" i="23" s="1"/>
  <c r="K1303" i="23" s="1"/>
  <c r="L1303" i="23" s="1"/>
  <c r="I1305" i="23"/>
  <c r="J1305" i="23" s="1"/>
  <c r="K1305" i="23" s="1"/>
  <c r="L1305" i="23" s="1"/>
  <c r="I1289" i="23"/>
  <c r="J1289" i="23" s="1"/>
  <c r="K1289" i="23" s="1"/>
  <c r="L1289" i="23" s="1"/>
  <c r="I1261" i="23"/>
  <c r="J1261" i="23" s="1"/>
  <c r="K1261" i="23" s="1"/>
  <c r="L1261" i="23" s="1"/>
  <c r="I1263" i="23"/>
  <c r="J1263" i="23" s="1"/>
  <c r="K1263" i="23" s="1"/>
  <c r="L1263" i="23" s="1"/>
  <c r="I1253" i="23"/>
  <c r="J1253" i="23" s="1"/>
  <c r="K1253" i="23" s="1"/>
  <c r="L1253" i="23" s="1"/>
  <c r="I1250" i="23"/>
  <c r="J1250" i="23" s="1"/>
  <c r="K1250" i="23" s="1"/>
  <c r="L1250" i="23" s="1"/>
  <c r="I1252" i="23"/>
  <c r="J1252" i="23" s="1"/>
  <c r="K1252" i="23" s="1"/>
  <c r="L1252" i="23" s="1"/>
  <c r="I1220" i="23"/>
  <c r="J1220" i="23" s="1"/>
  <c r="K1220" i="23" s="1"/>
  <c r="L1220" i="23" s="1"/>
  <c r="I1186" i="23"/>
  <c r="J1186" i="23" s="1"/>
  <c r="K1186" i="23" s="1"/>
  <c r="L1186" i="23" s="1"/>
  <c r="I1194" i="23"/>
  <c r="J1194" i="23" s="1"/>
  <c r="K1194" i="23" s="1"/>
  <c r="L1194" i="23" s="1"/>
  <c r="I1202" i="23"/>
  <c r="J1202" i="23" s="1"/>
  <c r="K1202" i="23" s="1"/>
  <c r="L1202" i="23" s="1"/>
  <c r="I1204" i="23"/>
  <c r="J1204" i="23" s="1"/>
  <c r="K1204" i="23" s="1"/>
  <c r="L1204" i="23" s="1"/>
  <c r="I1206" i="23"/>
  <c r="J1206" i="23" s="1"/>
  <c r="K1206" i="23" s="1"/>
  <c r="L1206" i="23" s="1"/>
  <c r="I1208" i="23"/>
  <c r="J1208" i="23" s="1"/>
  <c r="K1208" i="23" s="1"/>
  <c r="L1208" i="23" s="1"/>
  <c r="I1170" i="23"/>
  <c r="J1170" i="23" s="1"/>
  <c r="K1170" i="23" s="1"/>
  <c r="L1170" i="23" s="1"/>
  <c r="I1172" i="23"/>
  <c r="J1172" i="23" s="1"/>
  <c r="K1172" i="23" s="1"/>
  <c r="L1172" i="23" s="1"/>
  <c r="I1174" i="23"/>
  <c r="J1174" i="23" s="1"/>
  <c r="K1174" i="23" s="1"/>
  <c r="L1174" i="23" s="1"/>
  <c r="I1144" i="23"/>
  <c r="J1144" i="23" s="1"/>
  <c r="K1144" i="23" s="1"/>
  <c r="L1144" i="23" s="1"/>
  <c r="I1146" i="23"/>
  <c r="J1146" i="23" s="1"/>
  <c r="K1146" i="23" s="1"/>
  <c r="L1146" i="23" s="1"/>
  <c r="I1148" i="23"/>
  <c r="J1148" i="23" s="1"/>
  <c r="K1148" i="23" s="1"/>
  <c r="L1148" i="23" s="1"/>
  <c r="I1150" i="23"/>
  <c r="J1150" i="23" s="1"/>
  <c r="K1150" i="23" s="1"/>
  <c r="L1150" i="23" s="1"/>
  <c r="I1152" i="23"/>
  <c r="J1152" i="23" s="1"/>
  <c r="K1152" i="23" s="1"/>
  <c r="L1152" i="23" s="1"/>
  <c r="I1161" i="23"/>
  <c r="J1161" i="23" s="1"/>
  <c r="K1161" i="23" s="1"/>
  <c r="L1161" i="23" s="1"/>
  <c r="I1108" i="23"/>
  <c r="J1108" i="23" s="1"/>
  <c r="K1108" i="23" s="1"/>
  <c r="L1108" i="23" s="1"/>
  <c r="I1113" i="23"/>
  <c r="J1113" i="23" s="1"/>
  <c r="K1113" i="23" s="1"/>
  <c r="L1113" i="23" s="1"/>
  <c r="I1118" i="23"/>
  <c r="J1118" i="23" s="1"/>
  <c r="K1118" i="23" s="1"/>
  <c r="L1118" i="23" s="1"/>
  <c r="I1077" i="23"/>
  <c r="J1077" i="23" s="1"/>
  <c r="K1077" i="23" s="1"/>
  <c r="L1077" i="23" s="1"/>
  <c r="I1086" i="23"/>
  <c r="J1086" i="23" s="1"/>
  <c r="K1086" i="23" s="1"/>
  <c r="L1086" i="23" s="1"/>
  <c r="I1019" i="23"/>
  <c r="J1019" i="23" s="1"/>
  <c r="K1019" i="23" s="1"/>
  <c r="L1019" i="23" s="1"/>
  <c r="I1028" i="23"/>
  <c r="J1028" i="23" s="1"/>
  <c r="K1028" i="23" s="1"/>
  <c r="L1028" i="23" s="1"/>
  <c r="I1030" i="23"/>
  <c r="J1030" i="23" s="1"/>
  <c r="K1030" i="23" s="1"/>
  <c r="L1030" i="23" s="1"/>
  <c r="I1032" i="23"/>
  <c r="J1032" i="23" s="1"/>
  <c r="K1032" i="23" s="1"/>
  <c r="L1032" i="23" s="1"/>
  <c r="I1039" i="23"/>
  <c r="J1039" i="23" s="1"/>
  <c r="K1039" i="23" s="1"/>
  <c r="L1039" i="23" s="1"/>
  <c r="I1054" i="23"/>
  <c r="J1054" i="23" s="1"/>
  <c r="K1054" i="23" s="1"/>
  <c r="L1054" i="23" s="1"/>
  <c r="I1356" i="23"/>
  <c r="J1356" i="23" s="1"/>
  <c r="K1356" i="23" s="1"/>
  <c r="L1356" i="23" s="1"/>
  <c r="I1364" i="23"/>
  <c r="J1364" i="23" s="1"/>
  <c r="K1364" i="23" s="1"/>
  <c r="L1364" i="23" s="1"/>
  <c r="I1330" i="23"/>
  <c r="J1330" i="23" s="1"/>
  <c r="K1330" i="23" s="1"/>
  <c r="L1330" i="23" s="1"/>
  <c r="I1335" i="23"/>
  <c r="J1335" i="23" s="1"/>
  <c r="K1335" i="23" s="1"/>
  <c r="L1335" i="23" s="1"/>
  <c r="I1345" i="23"/>
  <c r="J1345" i="23" s="1"/>
  <c r="K1345" i="23" s="1"/>
  <c r="L1345" i="23" s="1"/>
  <c r="I1347" i="23"/>
  <c r="J1347" i="23" s="1"/>
  <c r="K1347" i="23" s="1"/>
  <c r="L1347" i="23" s="1"/>
  <c r="I1349" i="23"/>
  <c r="J1349" i="23" s="1"/>
  <c r="K1349" i="23" s="1"/>
  <c r="L1349" i="23" s="1"/>
  <c r="I1327" i="23"/>
  <c r="J1327" i="23" s="1"/>
  <c r="K1327" i="23" s="1"/>
  <c r="L1327" i="23" s="1"/>
  <c r="I1322" i="23"/>
  <c r="J1322" i="23" s="1"/>
  <c r="K1322" i="23" s="1"/>
  <c r="L1322" i="23" s="1"/>
  <c r="I1317" i="23"/>
  <c r="J1317" i="23" s="1"/>
  <c r="K1317" i="23" s="1"/>
  <c r="L1317" i="23" s="1"/>
  <c r="I1312" i="23"/>
  <c r="J1312" i="23" s="1"/>
  <c r="K1312" i="23" s="1"/>
  <c r="L1312" i="23" s="1"/>
  <c r="I1287" i="23"/>
  <c r="J1287" i="23" s="1"/>
  <c r="K1287" i="23" s="1"/>
  <c r="L1287" i="23" s="1"/>
  <c r="I1279" i="23"/>
  <c r="J1279" i="23" s="1"/>
  <c r="K1279" i="23" s="1"/>
  <c r="L1279" i="23" s="1"/>
  <c r="I1281" i="23"/>
  <c r="J1281" i="23" s="1"/>
  <c r="K1281" i="23" s="1"/>
  <c r="L1281" i="23" s="1"/>
  <c r="I1266" i="23"/>
  <c r="J1266" i="23" s="1"/>
  <c r="K1266" i="23" s="1"/>
  <c r="L1266" i="23" s="1"/>
  <c r="I1254" i="23"/>
  <c r="J1254" i="23" s="1"/>
  <c r="K1254" i="23" s="1"/>
  <c r="L1254" i="23" s="1"/>
  <c r="I1256" i="23"/>
  <c r="J1256" i="23" s="1"/>
  <c r="K1256" i="23" s="1"/>
  <c r="L1256" i="23" s="1"/>
  <c r="I1231" i="23"/>
  <c r="J1231" i="23" s="1"/>
  <c r="K1231" i="23" s="1"/>
  <c r="L1231" i="23" s="1"/>
  <c r="I1225" i="23"/>
  <c r="J1225" i="23" s="1"/>
  <c r="K1225" i="23" s="1"/>
  <c r="L1225" i="23" s="1"/>
  <c r="I1191" i="23"/>
  <c r="J1191" i="23" s="1"/>
  <c r="K1191" i="23" s="1"/>
  <c r="L1191" i="23" s="1"/>
  <c r="I1199" i="23"/>
  <c r="J1199" i="23" s="1"/>
  <c r="K1199" i="23" s="1"/>
  <c r="L1199" i="23" s="1"/>
  <c r="I1176" i="23"/>
  <c r="J1176" i="23" s="1"/>
  <c r="K1176" i="23" s="1"/>
  <c r="L1176" i="23" s="1"/>
  <c r="I1178" i="23"/>
  <c r="J1178" i="23" s="1"/>
  <c r="K1178" i="23" s="1"/>
  <c r="L1178" i="23" s="1"/>
  <c r="I1180" i="23"/>
  <c r="J1180" i="23" s="1"/>
  <c r="K1180" i="23" s="1"/>
  <c r="L1180" i="23" s="1"/>
  <c r="I1182" i="23"/>
  <c r="J1182" i="23" s="1"/>
  <c r="K1182" i="23" s="1"/>
  <c r="L1182" i="23" s="1"/>
  <c r="I1184" i="23"/>
  <c r="J1184" i="23" s="1"/>
  <c r="K1184" i="23" s="1"/>
  <c r="L1184" i="23" s="1"/>
  <c r="I1168" i="23"/>
  <c r="J1168" i="23" s="1"/>
  <c r="K1168" i="23" s="1"/>
  <c r="L1168" i="23" s="1"/>
  <c r="I1163" i="23"/>
  <c r="J1163" i="23" s="1"/>
  <c r="K1163" i="23" s="1"/>
  <c r="L1163" i="23" s="1"/>
  <c r="I1103" i="23"/>
  <c r="J1103" i="23" s="1"/>
  <c r="K1103" i="23" s="1"/>
  <c r="L1103" i="23" s="1"/>
  <c r="I1110" i="23"/>
  <c r="J1110" i="23" s="1"/>
  <c r="K1110" i="23" s="1"/>
  <c r="L1110" i="23" s="1"/>
  <c r="I1099" i="23"/>
  <c r="J1099" i="23" s="1"/>
  <c r="K1099" i="23" s="1"/>
  <c r="L1099" i="23" s="1"/>
  <c r="I1097" i="23"/>
  <c r="J1097" i="23" s="1"/>
  <c r="K1097" i="23" s="1"/>
  <c r="L1097" i="23" s="1"/>
  <c r="I1091" i="23"/>
  <c r="J1091" i="23" s="1"/>
  <c r="K1091" i="23" s="1"/>
  <c r="L1091" i="23" s="1"/>
  <c r="I1016" i="23"/>
  <c r="J1016" i="23" s="1"/>
  <c r="K1016" i="23" s="1"/>
  <c r="L1016" i="23" s="1"/>
  <c r="I1041" i="23"/>
  <c r="J1041" i="23" s="1"/>
  <c r="K1041" i="23" s="1"/>
  <c r="L1041" i="23" s="1"/>
  <c r="I1043" i="23"/>
  <c r="J1043" i="23" s="1"/>
  <c r="K1043" i="23" s="1"/>
  <c r="L1043" i="23" s="1"/>
  <c r="I1045" i="23"/>
  <c r="J1045" i="23" s="1"/>
  <c r="K1045" i="23" s="1"/>
  <c r="L1045" i="23" s="1"/>
  <c r="I1056" i="23"/>
  <c r="J1056" i="23" s="1"/>
  <c r="K1056" i="23" s="1"/>
  <c r="L1056" i="23" s="1"/>
  <c r="I1071" i="23"/>
  <c r="J1071" i="23" s="1"/>
  <c r="K1071" i="23" s="1"/>
  <c r="L1071" i="23" s="1"/>
  <c r="I955" i="23"/>
  <c r="J955" i="23" s="1"/>
  <c r="K955" i="23" s="1"/>
  <c r="L955" i="23" s="1"/>
  <c r="I963" i="23"/>
  <c r="J963" i="23" s="1"/>
  <c r="K963" i="23" s="1"/>
  <c r="L963" i="23" s="1"/>
  <c r="I971" i="23"/>
  <c r="J971" i="23" s="1"/>
  <c r="K971" i="23" s="1"/>
  <c r="L971" i="23" s="1"/>
  <c r="I979" i="23"/>
  <c r="J979" i="23" s="1"/>
  <c r="K979" i="23" s="1"/>
  <c r="L979" i="23" s="1"/>
  <c r="I984" i="23"/>
  <c r="J984" i="23" s="1"/>
  <c r="K984" i="23" s="1"/>
  <c r="L984" i="23" s="1"/>
  <c r="I986" i="23"/>
  <c r="J986" i="23" s="1"/>
  <c r="K986" i="23" s="1"/>
  <c r="L986" i="23" s="1"/>
  <c r="I999" i="23"/>
  <c r="J999" i="23" s="1"/>
  <c r="K999" i="23" s="1"/>
  <c r="L999" i="23" s="1"/>
  <c r="I1010" i="23"/>
  <c r="J1010" i="23" s="1"/>
  <c r="K1010" i="23" s="1"/>
  <c r="L1010" i="23" s="1"/>
  <c r="I946" i="23"/>
  <c r="J946" i="23" s="1"/>
  <c r="K946" i="23" s="1"/>
  <c r="L946" i="23" s="1"/>
  <c r="I948" i="23"/>
  <c r="J948" i="23" s="1"/>
  <c r="K948" i="23" s="1"/>
  <c r="L948" i="23" s="1"/>
  <c r="I928" i="23"/>
  <c r="J928" i="23" s="1"/>
  <c r="K928" i="23" s="1"/>
  <c r="L928" i="23" s="1"/>
  <c r="I926" i="23"/>
  <c r="J926" i="23" s="1"/>
  <c r="K926" i="23" s="1"/>
  <c r="L926" i="23" s="1"/>
  <c r="I917" i="23"/>
  <c r="J917" i="23" s="1"/>
  <c r="K917" i="23" s="1"/>
  <c r="L917" i="23" s="1"/>
  <c r="I890" i="23"/>
  <c r="J890" i="23" s="1"/>
  <c r="K890" i="23" s="1"/>
  <c r="L890" i="23" s="1"/>
  <c r="I897" i="23"/>
  <c r="J897" i="23" s="1"/>
  <c r="K897" i="23" s="1"/>
  <c r="L897" i="23" s="1"/>
  <c r="I902" i="23"/>
  <c r="J902" i="23" s="1"/>
  <c r="K902" i="23" s="1"/>
  <c r="L902" i="23" s="1"/>
  <c r="I907" i="23"/>
  <c r="J907" i="23" s="1"/>
  <c r="K907" i="23" s="1"/>
  <c r="L907" i="23" s="1"/>
  <c r="I912" i="23"/>
  <c r="J912" i="23" s="1"/>
  <c r="K912" i="23" s="1"/>
  <c r="L912" i="23" s="1"/>
  <c r="I853" i="23"/>
  <c r="J853" i="23" s="1"/>
  <c r="K853" i="23" s="1"/>
  <c r="L853" i="23" s="1"/>
  <c r="I855" i="23"/>
  <c r="J855" i="23" s="1"/>
  <c r="K855" i="23" s="1"/>
  <c r="L855" i="23" s="1"/>
  <c r="I857" i="23"/>
  <c r="J857" i="23" s="1"/>
  <c r="K857" i="23" s="1"/>
  <c r="L857" i="23" s="1"/>
  <c r="I1372" i="23"/>
  <c r="J1372" i="23" s="1"/>
  <c r="K1372" i="23" s="1"/>
  <c r="L1372" i="23" s="1"/>
  <c r="I1361" i="23"/>
  <c r="J1361" i="23" s="1"/>
  <c r="K1361" i="23" s="1"/>
  <c r="L1361" i="23" s="1"/>
  <c r="I1369" i="23"/>
  <c r="J1369" i="23" s="1"/>
  <c r="K1369" i="23" s="1"/>
  <c r="L1369" i="23" s="1"/>
  <c r="I1342" i="23"/>
  <c r="J1342" i="23" s="1"/>
  <c r="K1342" i="23" s="1"/>
  <c r="L1342" i="23" s="1"/>
  <c r="I1351" i="23"/>
  <c r="J1351" i="23" s="1"/>
  <c r="K1351" i="23" s="1"/>
  <c r="L1351" i="23" s="1"/>
  <c r="I1310" i="23"/>
  <c r="J1310" i="23" s="1"/>
  <c r="K1310" i="23" s="1"/>
  <c r="L1310" i="23" s="1"/>
  <c r="I1285" i="23"/>
  <c r="J1285" i="23" s="1"/>
  <c r="K1285" i="23" s="1"/>
  <c r="L1285" i="23" s="1"/>
  <c r="I1276" i="23"/>
  <c r="J1276" i="23" s="1"/>
  <c r="K1276" i="23" s="1"/>
  <c r="L1276" i="23" s="1"/>
  <c r="I1283" i="23"/>
  <c r="J1283" i="23" s="1"/>
  <c r="K1283" i="23" s="1"/>
  <c r="L1283" i="23" s="1"/>
  <c r="I1269" i="23"/>
  <c r="J1269" i="23" s="1"/>
  <c r="K1269" i="23" s="1"/>
  <c r="L1269" i="23" s="1"/>
  <c r="I1271" i="23"/>
  <c r="J1271" i="23" s="1"/>
  <c r="K1271" i="23" s="1"/>
  <c r="L1271" i="23" s="1"/>
  <c r="I1258" i="23"/>
  <c r="J1258" i="23" s="1"/>
  <c r="K1258" i="23" s="1"/>
  <c r="L1258" i="23" s="1"/>
  <c r="I1233" i="23"/>
  <c r="J1233" i="23" s="1"/>
  <c r="K1233" i="23" s="1"/>
  <c r="L1233" i="23" s="1"/>
  <c r="I1222" i="23"/>
  <c r="J1222" i="23" s="1"/>
  <c r="K1222" i="23" s="1"/>
  <c r="L1222" i="23" s="1"/>
  <c r="I1188" i="23"/>
  <c r="J1188" i="23" s="1"/>
  <c r="K1188" i="23" s="1"/>
  <c r="L1188" i="23" s="1"/>
  <c r="I1196" i="23"/>
  <c r="J1196" i="23" s="1"/>
  <c r="K1196" i="23" s="1"/>
  <c r="L1196" i="23" s="1"/>
  <c r="I1210" i="23"/>
  <c r="J1210" i="23" s="1"/>
  <c r="K1210" i="23" s="1"/>
  <c r="L1210" i="23" s="1"/>
  <c r="I1212" i="23"/>
  <c r="J1212" i="23" s="1"/>
  <c r="K1212" i="23" s="1"/>
  <c r="L1212" i="23" s="1"/>
  <c r="I1214" i="23"/>
  <c r="J1214" i="23" s="1"/>
  <c r="K1214" i="23" s="1"/>
  <c r="L1214" i="23" s="1"/>
  <c r="I1216" i="23"/>
  <c r="J1216" i="23" s="1"/>
  <c r="K1216" i="23" s="1"/>
  <c r="L1216" i="23" s="1"/>
  <c r="I1123" i="23"/>
  <c r="J1123" i="23" s="1"/>
  <c r="K1123" i="23" s="1"/>
  <c r="L1123" i="23" s="1"/>
  <c r="I1125" i="23"/>
  <c r="J1125" i="23" s="1"/>
  <c r="K1125" i="23" s="1"/>
  <c r="L1125" i="23" s="1"/>
  <c r="I1127" i="23"/>
  <c r="J1127" i="23" s="1"/>
  <c r="K1127" i="23" s="1"/>
  <c r="L1127" i="23" s="1"/>
  <c r="I1154" i="23"/>
  <c r="J1154" i="23" s="1"/>
  <c r="K1154" i="23" s="1"/>
  <c r="L1154" i="23" s="1"/>
  <c r="I1156" i="23"/>
  <c r="J1156" i="23" s="1"/>
  <c r="K1156" i="23" s="1"/>
  <c r="L1156" i="23" s="1"/>
  <c r="I1158" i="23"/>
  <c r="J1158" i="23" s="1"/>
  <c r="K1158" i="23" s="1"/>
  <c r="L1158" i="23" s="1"/>
  <c r="I1165" i="23"/>
  <c r="J1165" i="23" s="1"/>
  <c r="K1165" i="23" s="1"/>
  <c r="L1165" i="23" s="1"/>
  <c r="I1167" i="23"/>
  <c r="J1167" i="23" s="1"/>
  <c r="K1167" i="23" s="1"/>
  <c r="L1167" i="23" s="1"/>
  <c r="I1105" i="23"/>
  <c r="J1105" i="23" s="1"/>
  <c r="K1105" i="23" s="1"/>
  <c r="L1105" i="23" s="1"/>
  <c r="I1115" i="23"/>
  <c r="J1115" i="23" s="1"/>
  <c r="K1115" i="23" s="1"/>
  <c r="L1115" i="23" s="1"/>
  <c r="I1120" i="23"/>
  <c r="J1120" i="23" s="1"/>
  <c r="K1120" i="23" s="1"/>
  <c r="L1120" i="23" s="1"/>
  <c r="I1079" i="23"/>
  <c r="J1079" i="23" s="1"/>
  <c r="K1079" i="23" s="1"/>
  <c r="L1079" i="23" s="1"/>
  <c r="I1081" i="23"/>
  <c r="J1081" i="23" s="1"/>
  <c r="K1081" i="23" s="1"/>
  <c r="L1081" i="23" s="1"/>
  <c r="I1083" i="23"/>
  <c r="J1083" i="23" s="1"/>
  <c r="K1083" i="23" s="1"/>
  <c r="L1083" i="23" s="1"/>
  <c r="I1088" i="23"/>
  <c r="J1088" i="23" s="1"/>
  <c r="K1088" i="23" s="1"/>
  <c r="L1088" i="23" s="1"/>
  <c r="I1021" i="23"/>
  <c r="J1021" i="23" s="1"/>
  <c r="K1021" i="23" s="1"/>
  <c r="L1021" i="23" s="1"/>
  <c r="I1023" i="23"/>
  <c r="J1023" i="23" s="1"/>
  <c r="K1023" i="23" s="1"/>
  <c r="L1023" i="23" s="1"/>
  <c r="I1025" i="23"/>
  <c r="J1025" i="23" s="1"/>
  <c r="K1025" i="23" s="1"/>
  <c r="L1025" i="23" s="1"/>
  <c r="I1034" i="23"/>
  <c r="J1034" i="23" s="1"/>
  <c r="K1034" i="23" s="1"/>
  <c r="L1034" i="23" s="1"/>
  <c r="I1047" i="23"/>
  <c r="J1047" i="23" s="1"/>
  <c r="K1047" i="23" s="1"/>
  <c r="L1047" i="23" s="1"/>
  <c r="I1049" i="23"/>
  <c r="J1049" i="23" s="1"/>
  <c r="K1049" i="23" s="1"/>
  <c r="L1049" i="23" s="1"/>
  <c r="I1051" i="23"/>
  <c r="J1051" i="23" s="1"/>
  <c r="K1051" i="23" s="1"/>
  <c r="L1051" i="23" s="1"/>
  <c r="I1058" i="23"/>
  <c r="J1058" i="23" s="1"/>
  <c r="K1058" i="23" s="1"/>
  <c r="L1058" i="23" s="1"/>
  <c r="I1060" i="23"/>
  <c r="J1060" i="23" s="1"/>
  <c r="K1060" i="23" s="1"/>
  <c r="L1060" i="23" s="1"/>
  <c r="I1062" i="23"/>
  <c r="J1062" i="23" s="1"/>
  <c r="K1062" i="23" s="1"/>
  <c r="L1062" i="23" s="1"/>
  <c r="I1064" i="23"/>
  <c r="J1064" i="23" s="1"/>
  <c r="K1064" i="23" s="1"/>
  <c r="L1064" i="23" s="1"/>
  <c r="I1015" i="23"/>
  <c r="J1015" i="23" s="1"/>
  <c r="K1015" i="23" s="1"/>
  <c r="L1015" i="23" s="1"/>
  <c r="I952" i="23"/>
  <c r="J952" i="23" s="1"/>
  <c r="K952" i="23" s="1"/>
  <c r="L952" i="23" s="1"/>
  <c r="I960" i="23"/>
  <c r="J960" i="23" s="1"/>
  <c r="K960" i="23" s="1"/>
  <c r="L960" i="23" s="1"/>
  <c r="I968" i="23"/>
  <c r="J968" i="23" s="1"/>
  <c r="K968" i="23" s="1"/>
  <c r="L968" i="23" s="1"/>
  <c r="I976" i="23"/>
  <c r="J976" i="23" s="1"/>
  <c r="K976" i="23" s="1"/>
  <c r="L976" i="23" s="1"/>
  <c r="I988" i="23"/>
  <c r="J988" i="23" s="1"/>
  <c r="K988" i="23" s="1"/>
  <c r="L988" i="23" s="1"/>
  <c r="I990" i="23"/>
  <c r="J990" i="23" s="1"/>
  <c r="K990" i="23" s="1"/>
  <c r="L990" i="23" s="1"/>
  <c r="I1001" i="23"/>
  <c r="J1001" i="23" s="1"/>
  <c r="K1001" i="23" s="1"/>
  <c r="L1001" i="23" s="1"/>
  <c r="I1003" i="23"/>
  <c r="J1003" i="23" s="1"/>
  <c r="K1003" i="23" s="1"/>
  <c r="L1003" i="23" s="1"/>
  <c r="I1012" i="23"/>
  <c r="J1012" i="23" s="1"/>
  <c r="K1012" i="23" s="1"/>
  <c r="L1012" i="23" s="1"/>
  <c r="I924" i="23"/>
  <c r="J924" i="23" s="1"/>
  <c r="K924" i="23" s="1"/>
  <c r="L924" i="23" s="1"/>
  <c r="I915" i="23"/>
  <c r="J915" i="23" s="1"/>
  <c r="K915" i="23" s="1"/>
  <c r="L915" i="23" s="1"/>
  <c r="I904" i="23"/>
  <c r="J904" i="23" s="1"/>
  <c r="K904" i="23" s="1"/>
  <c r="L904" i="23" s="1"/>
  <c r="I863" i="23"/>
  <c r="J863" i="23" s="1"/>
  <c r="K863" i="23" s="1"/>
  <c r="L863" i="23" s="1"/>
  <c r="I879" i="23"/>
  <c r="J879" i="23" s="1"/>
  <c r="K879" i="23" s="1"/>
  <c r="L879" i="23" s="1"/>
  <c r="I1358" i="23"/>
  <c r="J1358" i="23" s="1"/>
  <c r="K1358" i="23" s="1"/>
  <c r="L1358" i="23" s="1"/>
  <c r="I1366" i="23"/>
  <c r="J1366" i="23" s="1"/>
  <c r="K1366" i="23" s="1"/>
  <c r="L1366" i="23" s="1"/>
  <c r="I1332" i="23"/>
  <c r="J1332" i="23" s="1"/>
  <c r="K1332" i="23" s="1"/>
  <c r="L1332" i="23" s="1"/>
  <c r="I1337" i="23"/>
  <c r="J1337" i="23" s="1"/>
  <c r="K1337" i="23" s="1"/>
  <c r="L1337" i="23" s="1"/>
  <c r="I1353" i="23"/>
  <c r="J1353" i="23" s="1"/>
  <c r="K1353" i="23" s="1"/>
  <c r="L1353" i="23" s="1"/>
  <c r="I1325" i="23"/>
  <c r="J1325" i="23" s="1"/>
  <c r="K1325" i="23" s="1"/>
  <c r="L1325" i="23" s="1"/>
  <c r="I1320" i="23"/>
  <c r="J1320" i="23" s="1"/>
  <c r="K1320" i="23" s="1"/>
  <c r="L1320" i="23" s="1"/>
  <c r="I1315" i="23"/>
  <c r="J1315" i="23" s="1"/>
  <c r="K1315" i="23" s="1"/>
  <c r="L1315" i="23" s="1"/>
  <c r="I1308" i="23"/>
  <c r="J1308" i="23" s="1"/>
  <c r="K1308" i="23" s="1"/>
  <c r="L1308" i="23" s="1"/>
  <c r="I1292" i="23"/>
  <c r="J1292" i="23" s="1"/>
  <c r="K1292" i="23" s="1"/>
  <c r="L1292" i="23" s="1"/>
  <c r="I1294" i="23"/>
  <c r="J1294" i="23" s="1"/>
  <c r="K1294" i="23" s="1"/>
  <c r="L1294" i="23" s="1"/>
  <c r="I1296" i="23"/>
  <c r="J1296" i="23" s="1"/>
  <c r="K1296" i="23" s="1"/>
  <c r="L1296" i="23" s="1"/>
  <c r="I1298" i="23"/>
  <c r="J1298" i="23" s="1"/>
  <c r="K1298" i="23" s="1"/>
  <c r="L1298" i="23" s="1"/>
  <c r="I1290" i="23"/>
  <c r="J1290" i="23" s="1"/>
  <c r="K1290" i="23" s="1"/>
  <c r="L1290" i="23" s="1"/>
  <c r="I1273" i="23"/>
  <c r="J1273" i="23" s="1"/>
  <c r="K1273" i="23" s="1"/>
  <c r="L1273" i="23" s="1"/>
  <c r="I1260" i="23"/>
  <c r="J1260" i="23" s="1"/>
  <c r="K1260" i="23" s="1"/>
  <c r="L1260" i="23" s="1"/>
  <c r="I1235" i="23"/>
  <c r="J1235" i="23" s="1"/>
  <c r="K1235" i="23" s="1"/>
  <c r="L1235" i="23" s="1"/>
  <c r="I1237" i="23"/>
  <c r="J1237" i="23" s="1"/>
  <c r="K1237" i="23" s="1"/>
  <c r="L1237" i="23" s="1"/>
  <c r="I1239" i="23"/>
  <c r="J1239" i="23" s="1"/>
  <c r="K1239" i="23" s="1"/>
  <c r="L1239" i="23" s="1"/>
  <c r="I1241" i="23"/>
  <c r="J1241" i="23" s="1"/>
  <c r="K1241" i="23" s="1"/>
  <c r="L1241" i="23" s="1"/>
  <c r="I1243" i="23"/>
  <c r="J1243" i="23" s="1"/>
  <c r="K1243" i="23" s="1"/>
  <c r="L1243" i="23" s="1"/>
  <c r="I1245" i="23"/>
  <c r="J1245" i="23" s="1"/>
  <c r="K1245" i="23" s="1"/>
  <c r="L1245" i="23" s="1"/>
  <c r="I1247" i="23"/>
  <c r="J1247" i="23" s="1"/>
  <c r="K1247" i="23" s="1"/>
  <c r="L1247" i="23" s="1"/>
  <c r="I1249" i="23"/>
  <c r="J1249" i="23" s="1"/>
  <c r="K1249" i="23" s="1"/>
  <c r="L1249" i="23" s="1"/>
  <c r="I1228" i="23"/>
  <c r="J1228" i="23" s="1"/>
  <c r="K1228" i="23" s="1"/>
  <c r="L1228" i="23" s="1"/>
  <c r="I1219" i="23"/>
  <c r="J1219" i="23" s="1"/>
  <c r="K1219" i="23" s="1"/>
  <c r="L1219" i="23" s="1"/>
  <c r="I1227" i="23"/>
  <c r="J1227" i="23" s="1"/>
  <c r="K1227" i="23" s="1"/>
  <c r="L1227" i="23" s="1"/>
  <c r="I1193" i="23"/>
  <c r="J1193" i="23" s="1"/>
  <c r="K1193" i="23" s="1"/>
  <c r="L1193" i="23" s="1"/>
  <c r="I1201" i="23"/>
  <c r="J1201" i="23" s="1"/>
  <c r="K1201" i="23" s="1"/>
  <c r="L1201" i="23" s="1"/>
  <c r="I1129" i="23"/>
  <c r="J1129" i="23" s="1"/>
  <c r="K1129" i="23" s="1"/>
  <c r="L1129" i="23" s="1"/>
  <c r="I1131" i="23"/>
  <c r="J1131" i="23" s="1"/>
  <c r="K1131" i="23" s="1"/>
  <c r="L1131" i="23" s="1"/>
  <c r="I1133" i="23"/>
  <c r="J1133" i="23" s="1"/>
  <c r="K1133" i="23" s="1"/>
  <c r="L1133" i="23" s="1"/>
  <c r="I1135" i="23"/>
  <c r="J1135" i="23" s="1"/>
  <c r="K1135" i="23" s="1"/>
  <c r="L1135" i="23" s="1"/>
  <c r="I1137" i="23"/>
  <c r="J1137" i="23" s="1"/>
  <c r="K1137" i="23" s="1"/>
  <c r="L1137" i="23" s="1"/>
  <c r="I1139" i="23"/>
  <c r="J1139" i="23" s="1"/>
  <c r="K1139" i="23" s="1"/>
  <c r="L1139" i="23" s="1"/>
  <c r="I1141" i="23"/>
  <c r="J1141" i="23" s="1"/>
  <c r="K1141" i="23" s="1"/>
  <c r="L1141" i="23" s="1"/>
  <c r="I1143" i="23"/>
  <c r="J1143" i="23" s="1"/>
  <c r="K1143" i="23" s="1"/>
  <c r="L1143" i="23" s="1"/>
  <c r="I1160" i="23"/>
  <c r="J1160" i="23" s="1"/>
  <c r="K1160" i="23" s="1"/>
  <c r="L1160" i="23" s="1"/>
  <c r="I1107" i="23"/>
  <c r="J1107" i="23" s="1"/>
  <c r="K1107" i="23" s="1"/>
  <c r="L1107" i="23" s="1"/>
  <c r="I1112" i="23"/>
  <c r="J1112" i="23" s="1"/>
  <c r="K1112" i="23" s="1"/>
  <c r="L1112" i="23" s="1"/>
  <c r="I1117" i="23"/>
  <c r="J1117" i="23" s="1"/>
  <c r="K1117" i="23" s="1"/>
  <c r="L1117" i="23" s="1"/>
  <c r="I1094" i="23"/>
  <c r="J1094" i="23" s="1"/>
  <c r="K1094" i="23" s="1"/>
  <c r="L1094" i="23" s="1"/>
  <c r="I1074" i="23"/>
  <c r="J1074" i="23" s="1"/>
  <c r="K1074" i="23" s="1"/>
  <c r="L1074" i="23" s="1"/>
  <c r="I1076" i="23"/>
  <c r="J1076" i="23" s="1"/>
  <c r="K1076" i="23" s="1"/>
  <c r="L1076" i="23" s="1"/>
  <c r="I1085" i="23"/>
  <c r="J1085" i="23" s="1"/>
  <c r="K1085" i="23" s="1"/>
  <c r="L1085" i="23" s="1"/>
  <c r="I1093" i="23"/>
  <c r="J1093" i="23" s="1"/>
  <c r="K1093" i="23" s="1"/>
  <c r="L1093" i="23" s="1"/>
  <c r="I1018" i="23"/>
  <c r="J1018" i="23" s="1"/>
  <c r="K1018" i="23" s="1"/>
  <c r="L1018" i="23" s="1"/>
  <c r="I1027" i="23"/>
  <c r="J1027" i="23" s="1"/>
  <c r="K1027" i="23" s="1"/>
  <c r="L1027" i="23" s="1"/>
  <c r="I1036" i="23"/>
  <c r="J1036" i="23" s="1"/>
  <c r="K1036" i="23" s="1"/>
  <c r="L1036" i="23" s="1"/>
  <c r="I1066" i="23"/>
  <c r="J1066" i="23" s="1"/>
  <c r="K1066" i="23" s="1"/>
  <c r="L1066" i="23" s="1"/>
  <c r="I949" i="23"/>
  <c r="J949" i="23" s="1"/>
  <c r="K949" i="23" s="1"/>
  <c r="L949" i="23" s="1"/>
  <c r="I957" i="23"/>
  <c r="J957" i="23" s="1"/>
  <c r="K957" i="23" s="1"/>
  <c r="L957" i="23" s="1"/>
  <c r="I965" i="23"/>
  <c r="J965" i="23" s="1"/>
  <c r="K965" i="23" s="1"/>
  <c r="L965" i="23" s="1"/>
  <c r="I973" i="23"/>
  <c r="J973" i="23" s="1"/>
  <c r="K973" i="23" s="1"/>
  <c r="L973" i="23" s="1"/>
  <c r="I981" i="23"/>
  <c r="J981" i="23" s="1"/>
  <c r="K981" i="23" s="1"/>
  <c r="L981" i="23" s="1"/>
  <c r="I1005" i="23"/>
  <c r="J1005" i="23" s="1"/>
  <c r="K1005" i="23" s="1"/>
  <c r="L1005" i="23" s="1"/>
  <c r="I922" i="23"/>
  <c r="J922" i="23" s="1"/>
  <c r="K922" i="23" s="1"/>
  <c r="L922" i="23" s="1"/>
  <c r="I913" i="23"/>
  <c r="J913" i="23" s="1"/>
  <c r="K913" i="23" s="1"/>
  <c r="L913" i="23" s="1"/>
  <c r="I887" i="23"/>
  <c r="J887" i="23" s="1"/>
  <c r="K887" i="23" s="1"/>
  <c r="L887" i="23" s="1"/>
  <c r="I892" i="23"/>
  <c r="J892" i="23" s="1"/>
  <c r="K892" i="23" s="1"/>
  <c r="L892" i="23" s="1"/>
  <c r="I894" i="23"/>
  <c r="J894" i="23" s="1"/>
  <c r="K894" i="23" s="1"/>
  <c r="L894" i="23" s="1"/>
  <c r="I899" i="23"/>
  <c r="J899" i="23" s="1"/>
  <c r="K899" i="23" s="1"/>
  <c r="L899" i="23" s="1"/>
  <c r="I909" i="23"/>
  <c r="J909" i="23" s="1"/>
  <c r="K909" i="23" s="1"/>
  <c r="L909" i="23" s="1"/>
  <c r="I865" i="23"/>
  <c r="J865" i="23" s="1"/>
  <c r="K865" i="23" s="1"/>
  <c r="L865" i="23" s="1"/>
  <c r="I874" i="23"/>
  <c r="J874" i="23" s="1"/>
  <c r="K874" i="23" s="1"/>
  <c r="L874" i="23" s="1"/>
  <c r="I881" i="23"/>
  <c r="J881" i="23" s="1"/>
  <c r="K881" i="23" s="1"/>
  <c r="L881" i="23" s="1"/>
  <c r="I818" i="23"/>
  <c r="J818" i="23" s="1"/>
  <c r="K818" i="23" s="1"/>
  <c r="L818" i="23" s="1"/>
  <c r="I820" i="23"/>
  <c r="J820" i="23" s="1"/>
  <c r="K820" i="23" s="1"/>
  <c r="L820" i="23" s="1"/>
  <c r="I835" i="23"/>
  <c r="J835" i="23" s="1"/>
  <c r="K835" i="23" s="1"/>
  <c r="L835" i="23" s="1"/>
  <c r="I837" i="23"/>
  <c r="J837" i="23" s="1"/>
  <c r="K837" i="23" s="1"/>
  <c r="L837" i="23" s="1"/>
  <c r="I839" i="23"/>
  <c r="J839" i="23" s="1"/>
  <c r="K839" i="23" s="1"/>
  <c r="L839" i="23" s="1"/>
  <c r="I730" i="23"/>
  <c r="J730" i="23" s="1"/>
  <c r="K730" i="23" s="1"/>
  <c r="L730" i="23" s="1"/>
  <c r="I751" i="23"/>
  <c r="J751" i="23" s="1"/>
  <c r="K751" i="23" s="1"/>
  <c r="L751" i="23" s="1"/>
  <c r="I777" i="23"/>
  <c r="J777" i="23" s="1"/>
  <c r="K777" i="23" s="1"/>
  <c r="L777" i="23" s="1"/>
  <c r="I779" i="23"/>
  <c r="J779" i="23" s="1"/>
  <c r="K779" i="23" s="1"/>
  <c r="L779" i="23" s="1"/>
  <c r="I788" i="23"/>
  <c r="J788" i="23" s="1"/>
  <c r="K788" i="23" s="1"/>
  <c r="L788" i="23" s="1"/>
  <c r="I790" i="23"/>
  <c r="J790" i="23" s="1"/>
  <c r="K790" i="23" s="1"/>
  <c r="L790" i="23" s="1"/>
  <c r="I801" i="23"/>
  <c r="J801" i="23" s="1"/>
  <c r="K801" i="23" s="1"/>
  <c r="L801" i="23" s="1"/>
  <c r="I675" i="23"/>
  <c r="J675" i="23" s="1"/>
  <c r="K675" i="23" s="1"/>
  <c r="L675" i="23" s="1"/>
  <c r="I683" i="23"/>
  <c r="J683" i="23" s="1"/>
  <c r="K683" i="23" s="1"/>
  <c r="L683" i="23" s="1"/>
  <c r="I691" i="23"/>
  <c r="J691" i="23" s="1"/>
  <c r="K691" i="23" s="1"/>
  <c r="L691" i="23" s="1"/>
  <c r="I699" i="23"/>
  <c r="J699" i="23" s="1"/>
  <c r="K699" i="23" s="1"/>
  <c r="L699" i="23" s="1"/>
  <c r="I707" i="23"/>
  <c r="J707" i="23" s="1"/>
  <c r="K707" i="23" s="1"/>
  <c r="L707" i="23" s="1"/>
  <c r="I1080" i="23"/>
  <c r="J1080" i="23" s="1"/>
  <c r="K1080" i="23" s="1"/>
  <c r="L1080" i="23" s="1"/>
  <c r="I1092" i="23"/>
  <c r="J1092" i="23" s="1"/>
  <c r="K1092" i="23" s="1"/>
  <c r="L1092" i="23" s="1"/>
  <c r="I1046" i="23"/>
  <c r="J1046" i="23" s="1"/>
  <c r="K1046" i="23" s="1"/>
  <c r="L1046" i="23" s="1"/>
  <c r="I1061" i="23"/>
  <c r="J1061" i="23" s="1"/>
  <c r="K1061" i="23" s="1"/>
  <c r="L1061" i="23" s="1"/>
  <c r="I966" i="23"/>
  <c r="J966" i="23" s="1"/>
  <c r="K966" i="23" s="1"/>
  <c r="L966" i="23" s="1"/>
  <c r="I989" i="23"/>
  <c r="J989" i="23" s="1"/>
  <c r="K989" i="23" s="1"/>
  <c r="L989" i="23" s="1"/>
  <c r="I993" i="23"/>
  <c r="J993" i="23" s="1"/>
  <c r="K993" i="23" s="1"/>
  <c r="L993" i="23" s="1"/>
  <c r="I995" i="23"/>
  <c r="J995" i="23" s="1"/>
  <c r="K995" i="23" s="1"/>
  <c r="L995" i="23" s="1"/>
  <c r="I997" i="23"/>
  <c r="J997" i="23" s="1"/>
  <c r="K997" i="23" s="1"/>
  <c r="L997" i="23" s="1"/>
  <c r="I1007" i="23"/>
  <c r="J1007" i="23" s="1"/>
  <c r="K1007" i="23" s="1"/>
  <c r="L1007" i="23" s="1"/>
  <c r="I1013" i="23"/>
  <c r="J1013" i="23" s="1"/>
  <c r="K1013" i="23" s="1"/>
  <c r="L1013" i="23" s="1"/>
  <c r="I886" i="23"/>
  <c r="J886" i="23" s="1"/>
  <c r="K886" i="23" s="1"/>
  <c r="L886" i="23" s="1"/>
  <c r="I888" i="23"/>
  <c r="J888" i="23" s="1"/>
  <c r="K888" i="23" s="1"/>
  <c r="L888" i="23" s="1"/>
  <c r="I901" i="23"/>
  <c r="J901" i="23" s="1"/>
  <c r="K901" i="23" s="1"/>
  <c r="L901" i="23" s="1"/>
  <c r="I910" i="23"/>
  <c r="J910" i="23" s="1"/>
  <c r="K910" i="23" s="1"/>
  <c r="L910" i="23" s="1"/>
  <c r="I873" i="23"/>
  <c r="J873" i="23" s="1"/>
  <c r="K873" i="23" s="1"/>
  <c r="L873" i="23" s="1"/>
  <c r="I810" i="23"/>
  <c r="J810" i="23" s="1"/>
  <c r="K810" i="23" s="1"/>
  <c r="L810" i="23" s="1"/>
  <c r="I812" i="23"/>
  <c r="J812" i="23" s="1"/>
  <c r="K812" i="23" s="1"/>
  <c r="L812" i="23" s="1"/>
  <c r="I814" i="23"/>
  <c r="J814" i="23" s="1"/>
  <c r="K814" i="23" s="1"/>
  <c r="L814" i="23" s="1"/>
  <c r="I847" i="23"/>
  <c r="J847" i="23" s="1"/>
  <c r="K847" i="23" s="1"/>
  <c r="L847" i="23" s="1"/>
  <c r="I803" i="23"/>
  <c r="J803" i="23" s="1"/>
  <c r="K803" i="23" s="1"/>
  <c r="L803" i="23" s="1"/>
  <c r="I727" i="23"/>
  <c r="J727" i="23" s="1"/>
  <c r="K727" i="23" s="1"/>
  <c r="L727" i="23" s="1"/>
  <c r="I729" i="23"/>
  <c r="J729" i="23" s="1"/>
  <c r="K729" i="23" s="1"/>
  <c r="L729" i="23" s="1"/>
  <c r="I731" i="23"/>
  <c r="J731" i="23" s="1"/>
  <c r="K731" i="23" s="1"/>
  <c r="L731" i="23" s="1"/>
  <c r="I752" i="23"/>
  <c r="J752" i="23" s="1"/>
  <c r="K752" i="23" s="1"/>
  <c r="L752" i="23" s="1"/>
  <c r="I754" i="23"/>
  <c r="J754" i="23" s="1"/>
  <c r="K754" i="23" s="1"/>
  <c r="L754" i="23" s="1"/>
  <c r="I782" i="23"/>
  <c r="J782" i="23" s="1"/>
  <c r="K782" i="23" s="1"/>
  <c r="L782" i="23" s="1"/>
  <c r="I784" i="23"/>
  <c r="J784" i="23" s="1"/>
  <c r="K784" i="23" s="1"/>
  <c r="L784" i="23" s="1"/>
  <c r="I786" i="23"/>
  <c r="J786" i="23" s="1"/>
  <c r="K786" i="23" s="1"/>
  <c r="L786" i="23" s="1"/>
  <c r="I792" i="23"/>
  <c r="J792" i="23" s="1"/>
  <c r="K792" i="23" s="1"/>
  <c r="L792" i="23" s="1"/>
  <c r="I682" i="23"/>
  <c r="J682" i="23" s="1"/>
  <c r="K682" i="23" s="1"/>
  <c r="L682" i="23" s="1"/>
  <c r="I687" i="23"/>
  <c r="J687" i="23" s="1"/>
  <c r="K687" i="23" s="1"/>
  <c r="L687" i="23" s="1"/>
  <c r="I692" i="23"/>
  <c r="J692" i="23" s="1"/>
  <c r="K692" i="23" s="1"/>
  <c r="L692" i="23" s="1"/>
  <c r="I705" i="23"/>
  <c r="J705" i="23" s="1"/>
  <c r="K705" i="23" s="1"/>
  <c r="L705" i="23" s="1"/>
  <c r="I710" i="23"/>
  <c r="J710" i="23" s="1"/>
  <c r="K710" i="23" s="1"/>
  <c r="L710" i="23" s="1"/>
  <c r="I719" i="23"/>
  <c r="J719" i="23" s="1"/>
  <c r="K719" i="23" s="1"/>
  <c r="L719" i="23" s="1"/>
  <c r="I612" i="23"/>
  <c r="J612" i="23" s="1"/>
  <c r="K612" i="23" s="1"/>
  <c r="L612" i="23" s="1"/>
  <c r="I617" i="23"/>
  <c r="J617" i="23" s="1"/>
  <c r="K617" i="23" s="1"/>
  <c r="L617" i="23" s="1"/>
  <c r="I625" i="23"/>
  <c r="J625" i="23" s="1"/>
  <c r="K625" i="23" s="1"/>
  <c r="L625" i="23" s="1"/>
  <c r="I635" i="23"/>
  <c r="J635" i="23" s="1"/>
  <c r="K635" i="23" s="1"/>
  <c r="L635" i="23" s="1"/>
  <c r="I640" i="23"/>
  <c r="J640" i="23" s="1"/>
  <c r="K640" i="23" s="1"/>
  <c r="L640" i="23" s="1"/>
  <c r="I647" i="23"/>
  <c r="J647" i="23" s="1"/>
  <c r="K647" i="23" s="1"/>
  <c r="L647" i="23" s="1"/>
  <c r="I599" i="23"/>
  <c r="J599" i="23" s="1"/>
  <c r="K599" i="23" s="1"/>
  <c r="L599" i="23" s="1"/>
  <c r="I580" i="23"/>
  <c r="J580" i="23" s="1"/>
  <c r="K580" i="23" s="1"/>
  <c r="L580" i="23" s="1"/>
  <c r="I649" i="23"/>
  <c r="J649" i="23" s="1"/>
  <c r="K649" i="23" s="1"/>
  <c r="L649" i="23" s="1"/>
  <c r="I653" i="23"/>
  <c r="J653" i="23" s="1"/>
  <c r="K653" i="23" s="1"/>
  <c r="L653" i="23" s="1"/>
  <c r="I657" i="23"/>
  <c r="J657" i="23" s="1"/>
  <c r="K657" i="23" s="1"/>
  <c r="L657" i="23" s="1"/>
  <c r="I661" i="23"/>
  <c r="J661" i="23" s="1"/>
  <c r="K661" i="23" s="1"/>
  <c r="L661" i="23" s="1"/>
  <c r="I665" i="23"/>
  <c r="J665" i="23" s="1"/>
  <c r="K665" i="23" s="1"/>
  <c r="L665" i="23" s="1"/>
  <c r="I597" i="23"/>
  <c r="J597" i="23" s="1"/>
  <c r="K597" i="23" s="1"/>
  <c r="L597" i="23" s="1"/>
  <c r="I587" i="23"/>
  <c r="J587" i="23" s="1"/>
  <c r="K587" i="23" s="1"/>
  <c r="L587" i="23" s="1"/>
  <c r="I750" i="23"/>
  <c r="J750" i="23" s="1"/>
  <c r="K750" i="23" s="1"/>
  <c r="L750" i="23" s="1"/>
  <c r="I695" i="23"/>
  <c r="J695" i="23" s="1"/>
  <c r="K695" i="23" s="1"/>
  <c r="L695" i="23" s="1"/>
  <c r="I630" i="23"/>
  <c r="J630" i="23" s="1"/>
  <c r="K630" i="23" s="1"/>
  <c r="L630" i="23" s="1"/>
  <c r="I1100" i="23"/>
  <c r="J1100" i="23" s="1"/>
  <c r="K1100" i="23" s="1"/>
  <c r="L1100" i="23" s="1"/>
  <c r="I1024" i="23"/>
  <c r="J1024" i="23" s="1"/>
  <c r="K1024" i="23" s="1"/>
  <c r="L1024" i="23" s="1"/>
  <c r="I1035" i="23"/>
  <c r="J1035" i="23" s="1"/>
  <c r="K1035" i="23" s="1"/>
  <c r="L1035" i="23" s="1"/>
  <c r="I1055" i="23"/>
  <c r="J1055" i="23" s="1"/>
  <c r="K1055" i="23" s="1"/>
  <c r="L1055" i="23" s="1"/>
  <c r="I1059" i="23"/>
  <c r="J1059" i="23" s="1"/>
  <c r="K1059" i="23" s="1"/>
  <c r="L1059" i="23" s="1"/>
  <c r="I970" i="23"/>
  <c r="J970" i="23" s="1"/>
  <c r="K970" i="23" s="1"/>
  <c r="L970" i="23" s="1"/>
  <c r="I983" i="23"/>
  <c r="J983" i="23" s="1"/>
  <c r="K983" i="23" s="1"/>
  <c r="L983" i="23" s="1"/>
  <c r="I985" i="23"/>
  <c r="J985" i="23" s="1"/>
  <c r="K985" i="23" s="1"/>
  <c r="L985" i="23" s="1"/>
  <c r="I987" i="23"/>
  <c r="J987" i="23" s="1"/>
  <c r="K987" i="23" s="1"/>
  <c r="L987" i="23" s="1"/>
  <c r="I1009" i="23"/>
  <c r="J1009" i="23" s="1"/>
  <c r="K1009" i="23" s="1"/>
  <c r="L1009" i="23" s="1"/>
  <c r="I1011" i="23"/>
  <c r="J1011" i="23" s="1"/>
  <c r="K1011" i="23" s="1"/>
  <c r="L1011" i="23" s="1"/>
  <c r="I938" i="23"/>
  <c r="J938" i="23" s="1"/>
  <c r="K938" i="23" s="1"/>
  <c r="L938" i="23" s="1"/>
  <c r="I940" i="23"/>
  <c r="J940" i="23" s="1"/>
  <c r="K940" i="23" s="1"/>
  <c r="L940" i="23" s="1"/>
  <c r="I942" i="23"/>
  <c r="J942" i="23" s="1"/>
  <c r="K942" i="23" s="1"/>
  <c r="L942" i="23" s="1"/>
  <c r="I944" i="23"/>
  <c r="J944" i="23" s="1"/>
  <c r="K944" i="23" s="1"/>
  <c r="L944" i="23" s="1"/>
  <c r="I930" i="23"/>
  <c r="J930" i="23" s="1"/>
  <c r="K930" i="23" s="1"/>
  <c r="L930" i="23" s="1"/>
  <c r="I920" i="23"/>
  <c r="J920" i="23" s="1"/>
  <c r="K920" i="23" s="1"/>
  <c r="L920" i="23" s="1"/>
  <c r="I903" i="23"/>
  <c r="J903" i="23" s="1"/>
  <c r="K903" i="23" s="1"/>
  <c r="L903" i="23" s="1"/>
  <c r="I905" i="23"/>
  <c r="J905" i="23" s="1"/>
  <c r="K905" i="23" s="1"/>
  <c r="L905" i="23" s="1"/>
  <c r="I858" i="23"/>
  <c r="J858" i="23" s="1"/>
  <c r="K858" i="23" s="1"/>
  <c r="L858" i="23" s="1"/>
  <c r="I860" i="23"/>
  <c r="J860" i="23" s="1"/>
  <c r="K860" i="23" s="1"/>
  <c r="L860" i="23" s="1"/>
  <c r="I875" i="23"/>
  <c r="J875" i="23" s="1"/>
  <c r="K875" i="23" s="1"/>
  <c r="L875" i="23" s="1"/>
  <c r="I816" i="23"/>
  <c r="J816" i="23" s="1"/>
  <c r="K816" i="23" s="1"/>
  <c r="L816" i="23" s="1"/>
  <c r="I822" i="23"/>
  <c r="J822" i="23" s="1"/>
  <c r="K822" i="23" s="1"/>
  <c r="L822" i="23" s="1"/>
  <c r="I824" i="23"/>
  <c r="J824" i="23" s="1"/>
  <c r="K824" i="23" s="1"/>
  <c r="L824" i="23" s="1"/>
  <c r="I849" i="23"/>
  <c r="J849" i="23" s="1"/>
  <c r="K849" i="23" s="1"/>
  <c r="L849" i="23" s="1"/>
  <c r="I807" i="23"/>
  <c r="J807" i="23" s="1"/>
  <c r="K807" i="23" s="1"/>
  <c r="L807" i="23" s="1"/>
  <c r="I805" i="23"/>
  <c r="J805" i="23" s="1"/>
  <c r="K805" i="23" s="1"/>
  <c r="L805" i="23" s="1"/>
  <c r="I722" i="23"/>
  <c r="J722" i="23" s="1"/>
  <c r="K722" i="23" s="1"/>
  <c r="L722" i="23" s="1"/>
  <c r="I733" i="23"/>
  <c r="J733" i="23" s="1"/>
  <c r="K733" i="23" s="1"/>
  <c r="L733" i="23" s="1"/>
  <c r="I735" i="23"/>
  <c r="J735" i="23" s="1"/>
  <c r="K735" i="23" s="1"/>
  <c r="L735" i="23" s="1"/>
  <c r="I737" i="23"/>
  <c r="J737" i="23" s="1"/>
  <c r="K737" i="23" s="1"/>
  <c r="L737" i="23" s="1"/>
  <c r="I756" i="23"/>
  <c r="J756" i="23" s="1"/>
  <c r="K756" i="23" s="1"/>
  <c r="L756" i="23" s="1"/>
  <c r="I758" i="23"/>
  <c r="J758" i="23" s="1"/>
  <c r="K758" i="23" s="1"/>
  <c r="L758" i="23" s="1"/>
  <c r="I760" i="23"/>
  <c r="J760" i="23" s="1"/>
  <c r="K760" i="23" s="1"/>
  <c r="L760" i="23" s="1"/>
  <c r="I762" i="23"/>
  <c r="J762" i="23" s="1"/>
  <c r="K762" i="23" s="1"/>
  <c r="L762" i="23" s="1"/>
  <c r="I764" i="23"/>
  <c r="J764" i="23" s="1"/>
  <c r="K764" i="23" s="1"/>
  <c r="L764" i="23" s="1"/>
  <c r="I771" i="23"/>
  <c r="J771" i="23" s="1"/>
  <c r="K771" i="23" s="1"/>
  <c r="L771" i="23" s="1"/>
  <c r="I773" i="23"/>
  <c r="J773" i="23" s="1"/>
  <c r="K773" i="23" s="1"/>
  <c r="L773" i="23" s="1"/>
  <c r="I775" i="23"/>
  <c r="J775" i="23" s="1"/>
  <c r="K775" i="23" s="1"/>
  <c r="L775" i="23" s="1"/>
  <c r="I794" i="23"/>
  <c r="J794" i="23" s="1"/>
  <c r="K794" i="23" s="1"/>
  <c r="L794" i="23" s="1"/>
  <c r="I796" i="23"/>
  <c r="J796" i="23" s="1"/>
  <c r="K796" i="23" s="1"/>
  <c r="L796" i="23" s="1"/>
  <c r="I798" i="23"/>
  <c r="J798" i="23" s="1"/>
  <c r="K798" i="23" s="1"/>
  <c r="L798" i="23" s="1"/>
  <c r="I674" i="23"/>
  <c r="J674" i="23" s="1"/>
  <c r="K674" i="23" s="1"/>
  <c r="L674" i="23" s="1"/>
  <c r="I679" i="23"/>
  <c r="J679" i="23" s="1"/>
  <c r="K679" i="23" s="1"/>
  <c r="L679" i="23" s="1"/>
  <c r="I684" i="23"/>
  <c r="J684" i="23" s="1"/>
  <c r="K684" i="23" s="1"/>
  <c r="L684" i="23" s="1"/>
  <c r="I697" i="23"/>
  <c r="J697" i="23" s="1"/>
  <c r="K697" i="23" s="1"/>
  <c r="L697" i="23" s="1"/>
  <c r="I702" i="23"/>
  <c r="J702" i="23" s="1"/>
  <c r="K702" i="23" s="1"/>
  <c r="L702" i="23" s="1"/>
  <c r="I712" i="23"/>
  <c r="J712" i="23" s="1"/>
  <c r="K712" i="23" s="1"/>
  <c r="L712" i="23" s="1"/>
  <c r="I714" i="23"/>
  <c r="J714" i="23" s="1"/>
  <c r="K714" i="23" s="1"/>
  <c r="L714" i="23" s="1"/>
  <c r="I721" i="23"/>
  <c r="J721" i="23" s="1"/>
  <c r="K721" i="23" s="1"/>
  <c r="L721" i="23" s="1"/>
  <c r="I622" i="23"/>
  <c r="J622" i="23" s="1"/>
  <c r="K622" i="23" s="1"/>
  <c r="L622" i="23" s="1"/>
  <c r="I627" i="23"/>
  <c r="J627" i="23" s="1"/>
  <c r="K627" i="23" s="1"/>
  <c r="L627" i="23" s="1"/>
  <c r="I632" i="23"/>
  <c r="J632" i="23" s="1"/>
  <c r="K632" i="23" s="1"/>
  <c r="L632" i="23" s="1"/>
  <c r="I642" i="23"/>
  <c r="J642" i="23" s="1"/>
  <c r="K642" i="23" s="1"/>
  <c r="L642" i="23" s="1"/>
  <c r="I644" i="23"/>
  <c r="J644" i="23" s="1"/>
  <c r="K644" i="23" s="1"/>
  <c r="L644" i="23" s="1"/>
  <c r="I651" i="23"/>
  <c r="J651" i="23" s="1"/>
  <c r="K651" i="23" s="1"/>
  <c r="L651" i="23" s="1"/>
  <c r="I655" i="23"/>
  <c r="J655" i="23" s="1"/>
  <c r="K655" i="23" s="1"/>
  <c r="L655" i="23" s="1"/>
  <c r="I659" i="23"/>
  <c r="J659" i="23" s="1"/>
  <c r="K659" i="23" s="1"/>
  <c r="L659" i="23" s="1"/>
  <c r="I663" i="23"/>
  <c r="J663" i="23" s="1"/>
  <c r="K663" i="23" s="1"/>
  <c r="L663" i="23" s="1"/>
  <c r="I667" i="23"/>
  <c r="J667" i="23" s="1"/>
  <c r="K667" i="23" s="1"/>
  <c r="L667" i="23" s="1"/>
  <c r="I602" i="23"/>
  <c r="J602" i="23" s="1"/>
  <c r="K602" i="23" s="1"/>
  <c r="L602" i="23" s="1"/>
  <c r="I592" i="23"/>
  <c r="J592" i="23" s="1"/>
  <c r="K592" i="23" s="1"/>
  <c r="L592" i="23" s="1"/>
  <c r="I746" i="23"/>
  <c r="J746" i="23" s="1"/>
  <c r="K746" i="23" s="1"/>
  <c r="L746" i="23" s="1"/>
  <c r="I700" i="23"/>
  <c r="J700" i="23" s="1"/>
  <c r="K700" i="23" s="1"/>
  <c r="L700" i="23" s="1"/>
  <c r="I638" i="23"/>
  <c r="J638" i="23" s="1"/>
  <c r="K638" i="23" s="1"/>
  <c r="L638" i="23" s="1"/>
  <c r="I1121" i="23"/>
  <c r="J1121" i="23" s="1"/>
  <c r="K1121" i="23" s="1"/>
  <c r="L1121" i="23" s="1"/>
  <c r="I1022" i="23"/>
  <c r="J1022" i="23" s="1"/>
  <c r="K1022" i="23" s="1"/>
  <c r="L1022" i="23" s="1"/>
  <c r="I1031" i="23"/>
  <c r="J1031" i="23" s="1"/>
  <c r="K1031" i="23" s="1"/>
  <c r="L1031" i="23" s="1"/>
  <c r="I1053" i="23"/>
  <c r="J1053" i="23" s="1"/>
  <c r="K1053" i="23" s="1"/>
  <c r="L1053" i="23" s="1"/>
  <c r="I1057" i="23"/>
  <c r="J1057" i="23" s="1"/>
  <c r="K1057" i="23" s="1"/>
  <c r="L1057" i="23" s="1"/>
  <c r="I1068" i="23"/>
  <c r="J1068" i="23" s="1"/>
  <c r="K1068" i="23" s="1"/>
  <c r="L1068" i="23" s="1"/>
  <c r="I1014" i="23"/>
  <c r="J1014" i="23" s="1"/>
  <c r="K1014" i="23" s="1"/>
  <c r="L1014" i="23" s="1"/>
  <c r="I950" i="23"/>
  <c r="J950" i="23" s="1"/>
  <c r="K950" i="23" s="1"/>
  <c r="L950" i="23" s="1"/>
  <c r="I972" i="23"/>
  <c r="J972" i="23" s="1"/>
  <c r="K972" i="23" s="1"/>
  <c r="L972" i="23" s="1"/>
  <c r="I918" i="23"/>
  <c r="J918" i="23" s="1"/>
  <c r="K918" i="23" s="1"/>
  <c r="L918" i="23" s="1"/>
  <c r="I916" i="23"/>
  <c r="J916" i="23" s="1"/>
  <c r="K916" i="23" s="1"/>
  <c r="L916" i="23" s="1"/>
  <c r="I914" i="23"/>
  <c r="J914" i="23" s="1"/>
  <c r="K914" i="23" s="1"/>
  <c r="L914" i="23" s="1"/>
  <c r="I896" i="23"/>
  <c r="J896" i="23" s="1"/>
  <c r="K896" i="23" s="1"/>
  <c r="L896" i="23" s="1"/>
  <c r="I856" i="23"/>
  <c r="J856" i="23" s="1"/>
  <c r="K856" i="23" s="1"/>
  <c r="L856" i="23" s="1"/>
  <c r="I862" i="23"/>
  <c r="J862" i="23" s="1"/>
  <c r="K862" i="23" s="1"/>
  <c r="L862" i="23" s="1"/>
  <c r="I864" i="23"/>
  <c r="J864" i="23" s="1"/>
  <c r="K864" i="23" s="1"/>
  <c r="L864" i="23" s="1"/>
  <c r="I866" i="23"/>
  <c r="J866" i="23" s="1"/>
  <c r="K866" i="23" s="1"/>
  <c r="L866" i="23" s="1"/>
  <c r="I868" i="23"/>
  <c r="J868" i="23" s="1"/>
  <c r="K868" i="23" s="1"/>
  <c r="L868" i="23" s="1"/>
  <c r="I870" i="23"/>
  <c r="J870" i="23" s="1"/>
  <c r="K870" i="23" s="1"/>
  <c r="L870" i="23" s="1"/>
  <c r="I877" i="23"/>
  <c r="J877" i="23" s="1"/>
  <c r="K877" i="23" s="1"/>
  <c r="L877" i="23" s="1"/>
  <c r="I826" i="23"/>
  <c r="J826" i="23" s="1"/>
  <c r="K826" i="23" s="1"/>
  <c r="L826" i="23" s="1"/>
  <c r="I838" i="23"/>
  <c r="J838" i="23" s="1"/>
  <c r="K838" i="23" s="1"/>
  <c r="L838" i="23" s="1"/>
  <c r="I840" i="23"/>
  <c r="J840" i="23" s="1"/>
  <c r="K840" i="23" s="1"/>
  <c r="L840" i="23" s="1"/>
  <c r="I724" i="23"/>
  <c r="J724" i="23" s="1"/>
  <c r="K724" i="23" s="1"/>
  <c r="L724" i="23" s="1"/>
  <c r="I739" i="23"/>
  <c r="J739" i="23" s="1"/>
  <c r="K739" i="23" s="1"/>
  <c r="L739" i="23" s="1"/>
  <c r="I741" i="23"/>
  <c r="J741" i="23" s="1"/>
  <c r="K741" i="23" s="1"/>
  <c r="L741" i="23" s="1"/>
  <c r="I766" i="23"/>
  <c r="J766" i="23" s="1"/>
  <c r="K766" i="23" s="1"/>
  <c r="L766" i="23" s="1"/>
  <c r="I768" i="23"/>
  <c r="J768" i="23" s="1"/>
  <c r="K768" i="23" s="1"/>
  <c r="L768" i="23" s="1"/>
  <c r="I671" i="23"/>
  <c r="J671" i="23" s="1"/>
  <c r="K671" i="23" s="1"/>
  <c r="L671" i="23" s="1"/>
  <c r="I676" i="23"/>
  <c r="J676" i="23" s="1"/>
  <c r="K676" i="23" s="1"/>
  <c r="L676" i="23" s="1"/>
  <c r="I689" i="23"/>
  <c r="J689" i="23" s="1"/>
  <c r="K689" i="23" s="1"/>
  <c r="L689" i="23" s="1"/>
  <c r="I694" i="23"/>
  <c r="J694" i="23" s="1"/>
  <c r="K694" i="23" s="1"/>
  <c r="L694" i="23" s="1"/>
  <c r="I669" i="23"/>
  <c r="J669" i="23" s="1"/>
  <c r="K669" i="23" s="1"/>
  <c r="L669" i="23" s="1"/>
  <c r="I605" i="23"/>
  <c r="J605" i="23" s="1"/>
  <c r="K605" i="23" s="1"/>
  <c r="L605" i="23" s="1"/>
  <c r="I614" i="23"/>
  <c r="J614" i="23" s="1"/>
  <c r="K614" i="23" s="1"/>
  <c r="L614" i="23" s="1"/>
  <c r="I619" i="23"/>
  <c r="J619" i="23" s="1"/>
  <c r="K619" i="23" s="1"/>
  <c r="L619" i="23" s="1"/>
  <c r="I629" i="23"/>
  <c r="J629" i="23" s="1"/>
  <c r="K629" i="23" s="1"/>
  <c r="L629" i="23" s="1"/>
  <c r="I637" i="23"/>
  <c r="J637" i="23" s="1"/>
  <c r="K637" i="23" s="1"/>
  <c r="L637" i="23" s="1"/>
  <c r="I595" i="23"/>
  <c r="J595" i="23" s="1"/>
  <c r="K595" i="23" s="1"/>
  <c r="L595" i="23" s="1"/>
  <c r="I590" i="23"/>
  <c r="J590" i="23" s="1"/>
  <c r="K590" i="23" s="1"/>
  <c r="L590" i="23" s="1"/>
  <c r="I585" i="23"/>
  <c r="J585" i="23" s="1"/>
  <c r="K585" i="23" s="1"/>
  <c r="L585" i="23" s="1"/>
  <c r="I583" i="23"/>
  <c r="J583" i="23" s="1"/>
  <c r="K583" i="23" s="1"/>
  <c r="L583" i="23" s="1"/>
  <c r="I742" i="23"/>
  <c r="J742" i="23" s="1"/>
  <c r="K742" i="23" s="1"/>
  <c r="L742" i="23" s="1"/>
  <c r="I780" i="23"/>
  <c r="J780" i="23" s="1"/>
  <c r="K780" i="23" s="1"/>
  <c r="L780" i="23" s="1"/>
  <c r="I799" i="23"/>
  <c r="J799" i="23" s="1"/>
  <c r="K799" i="23" s="1"/>
  <c r="L799" i="23" s="1"/>
  <c r="I703" i="23"/>
  <c r="J703" i="23" s="1"/>
  <c r="K703" i="23" s="1"/>
  <c r="L703" i="23" s="1"/>
  <c r="I623" i="23"/>
  <c r="J623" i="23" s="1"/>
  <c r="K623" i="23" s="1"/>
  <c r="L623" i="23" s="1"/>
  <c r="I645" i="23"/>
  <c r="J645" i="23" s="1"/>
  <c r="K645" i="23" s="1"/>
  <c r="L645" i="23" s="1"/>
  <c r="I584" i="23"/>
  <c r="J584" i="23" s="1"/>
  <c r="K584" i="23" s="1"/>
  <c r="L584" i="23" s="1"/>
  <c r="I672" i="23"/>
  <c r="J672" i="23" s="1"/>
  <c r="K672" i="23" s="1"/>
  <c r="L672" i="23" s="1"/>
  <c r="I620" i="23"/>
  <c r="J620" i="23" s="1"/>
  <c r="K620" i="23" s="1"/>
  <c r="L620" i="23" s="1"/>
  <c r="I589" i="23"/>
  <c r="J589" i="23" s="1"/>
  <c r="K589" i="23" s="1"/>
  <c r="L589" i="23" s="1"/>
  <c r="I1029" i="23"/>
  <c r="J1029" i="23" s="1"/>
  <c r="K1029" i="23" s="1"/>
  <c r="L1029" i="23" s="1"/>
  <c r="I954" i="23"/>
  <c r="J954" i="23" s="1"/>
  <c r="K954" i="23" s="1"/>
  <c r="L954" i="23" s="1"/>
  <c r="I974" i="23"/>
  <c r="J974" i="23" s="1"/>
  <c r="K974" i="23" s="1"/>
  <c r="L974" i="23" s="1"/>
  <c r="I1004" i="23"/>
  <c r="J1004" i="23" s="1"/>
  <c r="K1004" i="23" s="1"/>
  <c r="L1004" i="23" s="1"/>
  <c r="I934" i="23"/>
  <c r="J934" i="23" s="1"/>
  <c r="K934" i="23" s="1"/>
  <c r="L934" i="23" s="1"/>
  <c r="I932" i="23"/>
  <c r="J932" i="23" s="1"/>
  <c r="K932" i="23" s="1"/>
  <c r="L932" i="23" s="1"/>
  <c r="I898" i="23"/>
  <c r="J898" i="23" s="1"/>
  <c r="K898" i="23" s="1"/>
  <c r="L898" i="23" s="1"/>
  <c r="I900" i="23"/>
  <c r="J900" i="23" s="1"/>
  <c r="K900" i="23" s="1"/>
  <c r="L900" i="23" s="1"/>
  <c r="I850" i="23"/>
  <c r="J850" i="23" s="1"/>
  <c r="K850" i="23" s="1"/>
  <c r="L850" i="23" s="1"/>
  <c r="I854" i="23"/>
  <c r="J854" i="23" s="1"/>
  <c r="K854" i="23" s="1"/>
  <c r="L854" i="23" s="1"/>
  <c r="I872" i="23"/>
  <c r="J872" i="23" s="1"/>
  <c r="K872" i="23" s="1"/>
  <c r="L872" i="23" s="1"/>
  <c r="I883" i="23"/>
  <c r="J883" i="23" s="1"/>
  <c r="K883" i="23" s="1"/>
  <c r="L883" i="23" s="1"/>
  <c r="I885" i="23"/>
  <c r="J885" i="23" s="1"/>
  <c r="K885" i="23" s="1"/>
  <c r="L885" i="23" s="1"/>
  <c r="I809" i="23"/>
  <c r="J809" i="23" s="1"/>
  <c r="K809" i="23" s="1"/>
  <c r="L809" i="23" s="1"/>
  <c r="I828" i="23"/>
  <c r="J828" i="23" s="1"/>
  <c r="K828" i="23" s="1"/>
  <c r="L828" i="23" s="1"/>
  <c r="I830" i="23"/>
  <c r="J830" i="23" s="1"/>
  <c r="K830" i="23" s="1"/>
  <c r="L830" i="23" s="1"/>
  <c r="I832" i="23"/>
  <c r="J832" i="23" s="1"/>
  <c r="K832" i="23" s="1"/>
  <c r="L832" i="23" s="1"/>
  <c r="I836" i="23"/>
  <c r="J836" i="23" s="1"/>
  <c r="K836" i="23" s="1"/>
  <c r="L836" i="23" s="1"/>
  <c r="I842" i="23"/>
  <c r="J842" i="23" s="1"/>
  <c r="K842" i="23" s="1"/>
  <c r="L842" i="23" s="1"/>
  <c r="I844" i="23"/>
  <c r="J844" i="23" s="1"/>
  <c r="K844" i="23" s="1"/>
  <c r="L844" i="23" s="1"/>
  <c r="I846" i="23"/>
  <c r="J846" i="23" s="1"/>
  <c r="K846" i="23" s="1"/>
  <c r="L846" i="23" s="1"/>
  <c r="I726" i="23"/>
  <c r="J726" i="23" s="1"/>
  <c r="K726" i="23" s="1"/>
  <c r="L726" i="23" s="1"/>
  <c r="I743" i="23"/>
  <c r="J743" i="23" s="1"/>
  <c r="K743" i="23" s="1"/>
  <c r="L743" i="23" s="1"/>
  <c r="I745" i="23"/>
  <c r="J745" i="23" s="1"/>
  <c r="K745" i="23" s="1"/>
  <c r="L745" i="23" s="1"/>
  <c r="I747" i="23"/>
  <c r="J747" i="23" s="1"/>
  <c r="K747" i="23" s="1"/>
  <c r="L747" i="23" s="1"/>
  <c r="I749" i="23"/>
  <c r="J749" i="23" s="1"/>
  <c r="K749" i="23" s="1"/>
  <c r="L749" i="23" s="1"/>
  <c r="I781" i="23"/>
  <c r="J781" i="23" s="1"/>
  <c r="K781" i="23" s="1"/>
  <c r="L781" i="23" s="1"/>
  <c r="I800" i="23"/>
  <c r="J800" i="23" s="1"/>
  <c r="K800" i="23" s="1"/>
  <c r="L800" i="23" s="1"/>
  <c r="I802" i="23"/>
  <c r="J802" i="23" s="1"/>
  <c r="K802" i="23" s="1"/>
  <c r="L802" i="23" s="1"/>
  <c r="I681" i="23"/>
  <c r="J681" i="23" s="1"/>
  <c r="K681" i="23" s="1"/>
  <c r="L681" i="23" s="1"/>
  <c r="I686" i="23"/>
  <c r="J686" i="23" s="1"/>
  <c r="K686" i="23" s="1"/>
  <c r="L686" i="23" s="1"/>
  <c r="I704" i="23"/>
  <c r="J704" i="23" s="1"/>
  <c r="K704" i="23" s="1"/>
  <c r="L704" i="23" s="1"/>
  <c r="I709" i="23"/>
  <c r="J709" i="23" s="1"/>
  <c r="K709" i="23" s="1"/>
  <c r="L709" i="23" s="1"/>
  <c r="I716" i="23"/>
  <c r="J716" i="23" s="1"/>
  <c r="K716" i="23" s="1"/>
  <c r="L716" i="23" s="1"/>
  <c r="I718" i="23"/>
  <c r="J718" i="23" s="1"/>
  <c r="K718" i="23" s="1"/>
  <c r="L718" i="23" s="1"/>
  <c r="I607" i="23"/>
  <c r="J607" i="23" s="1"/>
  <c r="K607" i="23" s="1"/>
  <c r="L607" i="23" s="1"/>
  <c r="I609" i="23"/>
  <c r="J609" i="23" s="1"/>
  <c r="K609" i="23" s="1"/>
  <c r="L609" i="23" s="1"/>
  <c r="I611" i="23"/>
  <c r="J611" i="23" s="1"/>
  <c r="K611" i="23" s="1"/>
  <c r="L611" i="23" s="1"/>
  <c r="I616" i="23"/>
  <c r="J616" i="23" s="1"/>
  <c r="K616" i="23" s="1"/>
  <c r="L616" i="23" s="1"/>
  <c r="I624" i="23"/>
  <c r="J624" i="23" s="1"/>
  <c r="K624" i="23" s="1"/>
  <c r="L624" i="23" s="1"/>
  <c r="I634" i="23"/>
  <c r="J634" i="23" s="1"/>
  <c r="K634" i="23" s="1"/>
  <c r="L634" i="23" s="1"/>
  <c r="I639" i="23"/>
  <c r="J639" i="23" s="1"/>
  <c r="K639" i="23" s="1"/>
  <c r="L639" i="23" s="1"/>
  <c r="I646" i="23"/>
  <c r="J646" i="23" s="1"/>
  <c r="K646" i="23" s="1"/>
  <c r="L646" i="23" s="1"/>
  <c r="I600" i="23"/>
  <c r="J600" i="23" s="1"/>
  <c r="K600" i="23" s="1"/>
  <c r="L600" i="23" s="1"/>
  <c r="I581" i="23"/>
  <c r="J581" i="23" s="1"/>
  <c r="K581" i="23" s="1"/>
  <c r="L581" i="23" s="1"/>
  <c r="I643" i="23"/>
  <c r="J643" i="23" s="1"/>
  <c r="K643" i="23" s="1"/>
  <c r="L643" i="23" s="1"/>
  <c r="I652" i="23"/>
  <c r="J652" i="23" s="1"/>
  <c r="K652" i="23" s="1"/>
  <c r="L652" i="23" s="1"/>
  <c r="I658" i="23"/>
  <c r="J658" i="23" s="1"/>
  <c r="K658" i="23" s="1"/>
  <c r="L658" i="23" s="1"/>
  <c r="I664" i="23"/>
  <c r="J664" i="23" s="1"/>
  <c r="K664" i="23" s="1"/>
  <c r="L664" i="23" s="1"/>
  <c r="I591" i="23"/>
  <c r="J591" i="23" s="1"/>
  <c r="K591" i="23" s="1"/>
  <c r="L591" i="23" s="1"/>
  <c r="I738" i="23"/>
  <c r="J738" i="23" s="1"/>
  <c r="K738" i="23" s="1"/>
  <c r="L738" i="23" s="1"/>
  <c r="I776" i="23"/>
  <c r="J776" i="23" s="1"/>
  <c r="K776" i="23" s="1"/>
  <c r="L776" i="23" s="1"/>
  <c r="I680" i="23"/>
  <c r="J680" i="23" s="1"/>
  <c r="K680" i="23" s="1"/>
  <c r="L680" i="23" s="1"/>
  <c r="I715" i="23"/>
  <c r="J715" i="23" s="1"/>
  <c r="K715" i="23" s="1"/>
  <c r="L715" i="23" s="1"/>
  <c r="I628" i="23"/>
  <c r="J628" i="23" s="1"/>
  <c r="K628" i="23" s="1"/>
  <c r="L628" i="23" s="1"/>
  <c r="I596" i="23"/>
  <c r="J596" i="23" s="1"/>
  <c r="K596" i="23" s="1"/>
  <c r="L596" i="23" s="1"/>
  <c r="I582" i="23"/>
  <c r="J582" i="23" s="1"/>
  <c r="K582" i="23" s="1"/>
  <c r="L582" i="23" s="1"/>
  <c r="I677" i="23"/>
  <c r="J677" i="23" s="1"/>
  <c r="K677" i="23" s="1"/>
  <c r="L677" i="23" s="1"/>
  <c r="I608" i="23"/>
  <c r="J608" i="23" s="1"/>
  <c r="K608" i="23" s="1"/>
  <c r="L608" i="23" s="1"/>
  <c r="I956" i="23"/>
  <c r="J956" i="23" s="1"/>
  <c r="K956" i="23" s="1"/>
  <c r="L956" i="23" s="1"/>
  <c r="I978" i="23"/>
  <c r="J978" i="23" s="1"/>
  <c r="K978" i="23" s="1"/>
  <c r="L978" i="23" s="1"/>
  <c r="I992" i="23"/>
  <c r="J992" i="23" s="1"/>
  <c r="K992" i="23" s="1"/>
  <c r="L992" i="23" s="1"/>
  <c r="I994" i="23"/>
  <c r="J994" i="23" s="1"/>
  <c r="K994" i="23" s="1"/>
  <c r="L994" i="23" s="1"/>
  <c r="I996" i="23"/>
  <c r="J996" i="23" s="1"/>
  <c r="K996" i="23" s="1"/>
  <c r="L996" i="23" s="1"/>
  <c r="I998" i="23"/>
  <c r="J998" i="23" s="1"/>
  <c r="K998" i="23" s="1"/>
  <c r="L998" i="23" s="1"/>
  <c r="I1000" i="23"/>
  <c r="J1000" i="23" s="1"/>
  <c r="K1000" i="23" s="1"/>
  <c r="L1000" i="23" s="1"/>
  <c r="I1002" i="23"/>
  <c r="J1002" i="23" s="1"/>
  <c r="K1002" i="23" s="1"/>
  <c r="L1002" i="23" s="1"/>
  <c r="I1006" i="23"/>
  <c r="J1006" i="23" s="1"/>
  <c r="K1006" i="23" s="1"/>
  <c r="L1006" i="23" s="1"/>
  <c r="I1008" i="23"/>
  <c r="J1008" i="23" s="1"/>
  <c r="K1008" i="23" s="1"/>
  <c r="L1008" i="23" s="1"/>
  <c r="I923" i="23"/>
  <c r="J923" i="23" s="1"/>
  <c r="K923" i="23" s="1"/>
  <c r="L923" i="23" s="1"/>
  <c r="I921" i="23"/>
  <c r="J921" i="23" s="1"/>
  <c r="K921" i="23" s="1"/>
  <c r="L921" i="23" s="1"/>
  <c r="I911" i="23"/>
  <c r="J911" i="23" s="1"/>
  <c r="K911" i="23" s="1"/>
  <c r="L911" i="23" s="1"/>
  <c r="I852" i="23"/>
  <c r="J852" i="23" s="1"/>
  <c r="K852" i="23" s="1"/>
  <c r="L852" i="23" s="1"/>
  <c r="I811" i="23"/>
  <c r="J811" i="23" s="1"/>
  <c r="K811" i="23" s="1"/>
  <c r="L811" i="23" s="1"/>
  <c r="I813" i="23"/>
  <c r="J813" i="23" s="1"/>
  <c r="K813" i="23" s="1"/>
  <c r="L813" i="23" s="1"/>
  <c r="I815" i="23"/>
  <c r="J815" i="23" s="1"/>
  <c r="K815" i="23" s="1"/>
  <c r="L815" i="23" s="1"/>
  <c r="I834" i="23"/>
  <c r="J834" i="23" s="1"/>
  <c r="K834" i="23" s="1"/>
  <c r="L834" i="23" s="1"/>
  <c r="I848" i="23"/>
  <c r="J848" i="23" s="1"/>
  <c r="K848" i="23" s="1"/>
  <c r="L848" i="23" s="1"/>
  <c r="I804" i="23"/>
  <c r="J804" i="23" s="1"/>
  <c r="K804" i="23" s="1"/>
  <c r="L804" i="23" s="1"/>
  <c r="I728" i="23"/>
  <c r="J728" i="23" s="1"/>
  <c r="K728" i="23" s="1"/>
  <c r="L728" i="23" s="1"/>
  <c r="I753" i="23"/>
  <c r="J753" i="23" s="1"/>
  <c r="K753" i="23" s="1"/>
  <c r="L753" i="23" s="1"/>
  <c r="I755" i="23"/>
  <c r="J755" i="23" s="1"/>
  <c r="K755" i="23" s="1"/>
  <c r="L755" i="23" s="1"/>
  <c r="I770" i="23"/>
  <c r="J770" i="23" s="1"/>
  <c r="K770" i="23" s="1"/>
  <c r="L770" i="23" s="1"/>
  <c r="I783" i="23"/>
  <c r="J783" i="23" s="1"/>
  <c r="K783" i="23" s="1"/>
  <c r="L783" i="23" s="1"/>
  <c r="I785" i="23"/>
  <c r="J785" i="23" s="1"/>
  <c r="K785" i="23" s="1"/>
  <c r="L785" i="23" s="1"/>
  <c r="I787" i="23"/>
  <c r="J787" i="23" s="1"/>
  <c r="K787" i="23" s="1"/>
  <c r="L787" i="23" s="1"/>
  <c r="I789" i="23"/>
  <c r="J789" i="23" s="1"/>
  <c r="K789" i="23" s="1"/>
  <c r="L789" i="23" s="1"/>
  <c r="I791" i="23"/>
  <c r="J791" i="23" s="1"/>
  <c r="K791" i="23" s="1"/>
  <c r="L791" i="23" s="1"/>
  <c r="I673" i="23"/>
  <c r="J673" i="23" s="1"/>
  <c r="K673" i="23" s="1"/>
  <c r="L673" i="23" s="1"/>
  <c r="I678" i="23"/>
  <c r="J678" i="23" s="1"/>
  <c r="K678" i="23" s="1"/>
  <c r="L678" i="23" s="1"/>
  <c r="I696" i="23"/>
  <c r="J696" i="23" s="1"/>
  <c r="K696" i="23" s="1"/>
  <c r="L696" i="23" s="1"/>
  <c r="I701" i="23"/>
  <c r="J701" i="23" s="1"/>
  <c r="I720" i="23"/>
  <c r="J720" i="23" s="1"/>
  <c r="K720" i="23" s="1"/>
  <c r="L720" i="23" s="1"/>
  <c r="I621" i="23"/>
  <c r="J621" i="23" s="1"/>
  <c r="K621" i="23" s="1"/>
  <c r="L621" i="23" s="1"/>
  <c r="I626" i="23"/>
  <c r="J626" i="23" s="1"/>
  <c r="K626" i="23" s="1"/>
  <c r="L626" i="23" s="1"/>
  <c r="I631" i="23"/>
  <c r="J631" i="23" s="1"/>
  <c r="K631" i="23" s="1"/>
  <c r="L631" i="23" s="1"/>
  <c r="I603" i="23"/>
  <c r="J603" i="23" s="1"/>
  <c r="K603" i="23" s="1"/>
  <c r="L603" i="23" s="1"/>
  <c r="I593" i="23"/>
  <c r="J593" i="23" s="1"/>
  <c r="K593" i="23" s="1"/>
  <c r="L593" i="23" s="1"/>
  <c r="I588" i="23"/>
  <c r="J588" i="23" s="1"/>
  <c r="K588" i="23" s="1"/>
  <c r="L588" i="23" s="1"/>
  <c r="I636" i="23"/>
  <c r="J636" i="23" s="1"/>
  <c r="K636" i="23" s="1"/>
  <c r="L636" i="23" s="1"/>
  <c r="I648" i="23"/>
  <c r="J648" i="23" s="1"/>
  <c r="K648" i="23" s="1"/>
  <c r="L648" i="23" s="1"/>
  <c r="I654" i="23"/>
  <c r="J654" i="23" s="1"/>
  <c r="K654" i="23" s="1"/>
  <c r="L654" i="23" s="1"/>
  <c r="I660" i="23"/>
  <c r="J660" i="23" s="1"/>
  <c r="K660" i="23" s="1"/>
  <c r="L660" i="23" s="1"/>
  <c r="I666" i="23"/>
  <c r="J666" i="23" s="1"/>
  <c r="K666" i="23" s="1"/>
  <c r="L666" i="23" s="1"/>
  <c r="I579" i="23"/>
  <c r="J579" i="23" s="1"/>
  <c r="K579" i="23" s="1"/>
  <c r="L579" i="23" s="1"/>
  <c r="I740" i="23"/>
  <c r="J740" i="23" s="1"/>
  <c r="K740" i="23" s="1"/>
  <c r="L740" i="23" s="1"/>
  <c r="I767" i="23"/>
  <c r="J767" i="23" s="1"/>
  <c r="K767" i="23" s="1"/>
  <c r="L767" i="23" s="1"/>
  <c r="I698" i="23"/>
  <c r="J698" i="23" s="1"/>
  <c r="K698" i="23" s="1"/>
  <c r="L698" i="23" s="1"/>
  <c r="I606" i="23"/>
  <c r="J606" i="23" s="1"/>
  <c r="K606" i="23" s="1"/>
  <c r="L606" i="23" s="1"/>
  <c r="I586" i="23"/>
  <c r="J586" i="23" s="1"/>
  <c r="K586" i="23" s="1"/>
  <c r="L586" i="23" s="1"/>
  <c r="I769" i="23"/>
  <c r="J769" i="23" s="1"/>
  <c r="K769" i="23" s="1"/>
  <c r="L769" i="23" s="1"/>
  <c r="I610" i="23"/>
  <c r="J610" i="23" s="1"/>
  <c r="K610" i="23" s="1"/>
  <c r="L610" i="23" s="1"/>
  <c r="I594" i="23"/>
  <c r="J594" i="23" s="1"/>
  <c r="K594" i="23" s="1"/>
  <c r="L594" i="23" s="1"/>
  <c r="I1096" i="23"/>
  <c r="J1096" i="23" s="1"/>
  <c r="K1096" i="23" s="1"/>
  <c r="L1096" i="23" s="1"/>
  <c r="I1072" i="23"/>
  <c r="J1072" i="23" s="1"/>
  <c r="K1072" i="23" s="1"/>
  <c r="L1072" i="23" s="1"/>
  <c r="I1038" i="23"/>
  <c r="J1038" i="23" s="1"/>
  <c r="K1038" i="23" s="1"/>
  <c r="L1038" i="23" s="1"/>
  <c r="I958" i="23"/>
  <c r="J958" i="23" s="1"/>
  <c r="K958" i="23" s="1"/>
  <c r="L958" i="23" s="1"/>
  <c r="I980" i="23"/>
  <c r="J980" i="23" s="1"/>
  <c r="K980" i="23" s="1"/>
  <c r="L980" i="23" s="1"/>
  <c r="I937" i="23"/>
  <c r="J937" i="23" s="1"/>
  <c r="K937" i="23" s="1"/>
  <c r="L937" i="23" s="1"/>
  <c r="I939" i="23"/>
  <c r="J939" i="23" s="1"/>
  <c r="K939" i="23" s="1"/>
  <c r="L939" i="23" s="1"/>
  <c r="I941" i="23"/>
  <c r="J941" i="23" s="1"/>
  <c r="K941" i="23" s="1"/>
  <c r="L941" i="23" s="1"/>
  <c r="I943" i="23"/>
  <c r="J943" i="23" s="1"/>
  <c r="K943" i="23" s="1"/>
  <c r="L943" i="23" s="1"/>
  <c r="I947" i="23"/>
  <c r="J947" i="23" s="1"/>
  <c r="K947" i="23" s="1"/>
  <c r="L947" i="23" s="1"/>
  <c r="I929" i="23"/>
  <c r="J929" i="23" s="1"/>
  <c r="K929" i="23" s="1"/>
  <c r="L929" i="23" s="1"/>
  <c r="I927" i="23"/>
  <c r="J927" i="23" s="1"/>
  <c r="K927" i="23" s="1"/>
  <c r="L927" i="23" s="1"/>
  <c r="I925" i="23"/>
  <c r="J925" i="23" s="1"/>
  <c r="K925" i="23" s="1"/>
  <c r="L925" i="23" s="1"/>
  <c r="I919" i="23"/>
  <c r="J919" i="23" s="1"/>
  <c r="K919" i="23" s="1"/>
  <c r="L919" i="23" s="1"/>
  <c r="I889" i="23"/>
  <c r="J889" i="23" s="1"/>
  <c r="K889" i="23" s="1"/>
  <c r="L889" i="23" s="1"/>
  <c r="I859" i="23"/>
  <c r="J859" i="23" s="1"/>
  <c r="K859" i="23" s="1"/>
  <c r="L859" i="23" s="1"/>
  <c r="I861" i="23"/>
  <c r="J861" i="23" s="1"/>
  <c r="K861" i="23" s="1"/>
  <c r="L861" i="23" s="1"/>
  <c r="I817" i="23"/>
  <c r="J817" i="23" s="1"/>
  <c r="K817" i="23" s="1"/>
  <c r="L817" i="23" s="1"/>
  <c r="I819" i="23"/>
  <c r="J819" i="23" s="1"/>
  <c r="K819" i="23" s="1"/>
  <c r="L819" i="23" s="1"/>
  <c r="I821" i="23"/>
  <c r="J821" i="23" s="1"/>
  <c r="K821" i="23" s="1"/>
  <c r="L821" i="23" s="1"/>
  <c r="I823" i="23"/>
  <c r="J823" i="23" s="1"/>
  <c r="K823" i="23" s="1"/>
  <c r="L823" i="23" s="1"/>
  <c r="I732" i="23"/>
  <c r="J732" i="23" s="1"/>
  <c r="K732" i="23" s="1"/>
  <c r="L732" i="23" s="1"/>
  <c r="I734" i="23"/>
  <c r="J734" i="23" s="1"/>
  <c r="K734" i="23" s="1"/>
  <c r="L734" i="23" s="1"/>
  <c r="I736" i="23"/>
  <c r="J736" i="23" s="1"/>
  <c r="K736" i="23" s="1"/>
  <c r="L736" i="23" s="1"/>
  <c r="I757" i="23"/>
  <c r="J757" i="23" s="1"/>
  <c r="K757" i="23" s="1"/>
  <c r="L757" i="23" s="1"/>
  <c r="I759" i="23"/>
  <c r="J759" i="23" s="1"/>
  <c r="K759" i="23" s="1"/>
  <c r="L759" i="23" s="1"/>
  <c r="I761" i="23"/>
  <c r="J761" i="23" s="1"/>
  <c r="K761" i="23" s="1"/>
  <c r="L761" i="23" s="1"/>
  <c r="I763" i="23"/>
  <c r="J763" i="23" s="1"/>
  <c r="K763" i="23" s="1"/>
  <c r="L763" i="23" s="1"/>
  <c r="I765" i="23"/>
  <c r="J765" i="23" s="1"/>
  <c r="K765" i="23" s="1"/>
  <c r="L765" i="23" s="1"/>
  <c r="I772" i="23"/>
  <c r="J772" i="23" s="1"/>
  <c r="K772" i="23" s="1"/>
  <c r="L772" i="23" s="1"/>
  <c r="I774" i="23"/>
  <c r="J774" i="23" s="1"/>
  <c r="K774" i="23" s="1"/>
  <c r="L774" i="23" s="1"/>
  <c r="I793" i="23"/>
  <c r="J793" i="23" s="1"/>
  <c r="K793" i="23" s="1"/>
  <c r="L793" i="23" s="1"/>
  <c r="I795" i="23"/>
  <c r="J795" i="23" s="1"/>
  <c r="K795" i="23" s="1"/>
  <c r="L795" i="23" s="1"/>
  <c r="I797" i="23"/>
  <c r="J797" i="23" s="1"/>
  <c r="K797" i="23" s="1"/>
  <c r="L797" i="23" s="1"/>
  <c r="I670" i="23"/>
  <c r="J670" i="23" s="1"/>
  <c r="K670" i="23" s="1"/>
  <c r="L670" i="23" s="1"/>
  <c r="I688" i="23"/>
  <c r="J688" i="23" s="1"/>
  <c r="K688" i="23" s="1"/>
  <c r="L688" i="23" s="1"/>
  <c r="I693" i="23"/>
  <c r="J693" i="23" s="1"/>
  <c r="K693" i="23" s="1"/>
  <c r="L693" i="23" s="1"/>
  <c r="I706" i="23"/>
  <c r="J706" i="23" s="1"/>
  <c r="K706" i="23" s="1"/>
  <c r="L706" i="23" s="1"/>
  <c r="I711" i="23"/>
  <c r="J711" i="23" s="1"/>
  <c r="K711" i="23" s="1"/>
  <c r="L711" i="23" s="1"/>
  <c r="I713" i="23"/>
  <c r="J713" i="23" s="1"/>
  <c r="K713" i="23" s="1"/>
  <c r="L713" i="23" s="1"/>
  <c r="I668" i="23"/>
  <c r="J668" i="23" s="1"/>
  <c r="K668" i="23" s="1"/>
  <c r="L668" i="23" s="1"/>
  <c r="I613" i="23"/>
  <c r="J613" i="23" s="1"/>
  <c r="K613" i="23" s="1"/>
  <c r="L613" i="23" s="1"/>
  <c r="I618" i="23"/>
  <c r="J618" i="23" s="1"/>
  <c r="K618" i="23" s="1"/>
  <c r="L618" i="23" s="1"/>
  <c r="I641" i="23"/>
  <c r="J641" i="23" s="1"/>
  <c r="K641" i="23" s="1"/>
  <c r="L641" i="23" s="1"/>
  <c r="I650" i="23"/>
  <c r="J650" i="23" s="1"/>
  <c r="K650" i="23" s="1"/>
  <c r="L650" i="23" s="1"/>
  <c r="I656" i="23"/>
  <c r="J656" i="23" s="1"/>
  <c r="K656" i="23" s="1"/>
  <c r="L656" i="23" s="1"/>
  <c r="I662" i="23"/>
  <c r="J662" i="23" s="1"/>
  <c r="K662" i="23" s="1"/>
  <c r="L662" i="23" s="1"/>
  <c r="I598" i="23"/>
  <c r="J598" i="23" s="1"/>
  <c r="K598" i="23" s="1"/>
  <c r="L598" i="23" s="1"/>
  <c r="I825" i="23"/>
  <c r="J825" i="23" s="1"/>
  <c r="K825" i="23" s="1"/>
  <c r="L825" i="23" s="1"/>
  <c r="I723" i="23"/>
  <c r="J723" i="23" s="1"/>
  <c r="K723" i="23" s="1"/>
  <c r="L723" i="23" s="1"/>
  <c r="I778" i="23"/>
  <c r="J778" i="23" s="1"/>
  <c r="K778" i="23" s="1"/>
  <c r="L778" i="23" s="1"/>
  <c r="I685" i="23"/>
  <c r="J685" i="23" s="1"/>
  <c r="K685" i="23" s="1"/>
  <c r="L685" i="23" s="1"/>
  <c r="I708" i="23"/>
  <c r="J708" i="23" s="1"/>
  <c r="K708" i="23" s="1"/>
  <c r="L708" i="23" s="1"/>
  <c r="I633" i="23"/>
  <c r="J633" i="23" s="1"/>
  <c r="K633" i="23" s="1"/>
  <c r="L633" i="23" s="1"/>
  <c r="I601" i="23"/>
  <c r="J601" i="23" s="1"/>
  <c r="K601" i="23" s="1"/>
  <c r="L601" i="23" s="1"/>
  <c r="I748" i="23"/>
  <c r="J748" i="23" s="1"/>
  <c r="K748" i="23" s="1"/>
  <c r="L748" i="23" s="1"/>
  <c r="I717" i="23"/>
  <c r="J717" i="23" s="1"/>
  <c r="K717" i="23" s="1"/>
  <c r="L717" i="23" s="1"/>
  <c r="I604" i="23"/>
  <c r="J604" i="23" s="1"/>
  <c r="K604" i="23" s="1"/>
  <c r="L604" i="23" s="1"/>
  <c r="I1098" i="23"/>
  <c r="J1098" i="23" s="1"/>
  <c r="K1098" i="23" s="1"/>
  <c r="L1098" i="23" s="1"/>
  <c r="I1073" i="23"/>
  <c r="J1073" i="23" s="1"/>
  <c r="K1073" i="23" s="1"/>
  <c r="L1073" i="23" s="1"/>
  <c r="I1084" i="23"/>
  <c r="J1084" i="23" s="1"/>
  <c r="K1084" i="23" s="1"/>
  <c r="L1084" i="23" s="1"/>
  <c r="I1017" i="23"/>
  <c r="J1017" i="23" s="1"/>
  <c r="K1017" i="23" s="1"/>
  <c r="L1017" i="23" s="1"/>
  <c r="I1050" i="23"/>
  <c r="J1050" i="23" s="1"/>
  <c r="K1050" i="23" s="1"/>
  <c r="L1050" i="23" s="1"/>
  <c r="I1065" i="23"/>
  <c r="J1065" i="23" s="1"/>
  <c r="K1065" i="23" s="1"/>
  <c r="L1065" i="23" s="1"/>
  <c r="I1069" i="23"/>
  <c r="J1069" i="23" s="1"/>
  <c r="K1069" i="23" s="1"/>
  <c r="L1069" i="23" s="1"/>
  <c r="I962" i="23"/>
  <c r="J962" i="23" s="1"/>
  <c r="K962" i="23" s="1"/>
  <c r="L962" i="23" s="1"/>
  <c r="I945" i="23"/>
  <c r="J945" i="23" s="1"/>
  <c r="K945" i="23" s="1"/>
  <c r="L945" i="23" s="1"/>
  <c r="I891" i="23"/>
  <c r="J891" i="23" s="1"/>
  <c r="K891" i="23" s="1"/>
  <c r="L891" i="23" s="1"/>
  <c r="I893" i="23"/>
  <c r="J893" i="23" s="1"/>
  <c r="K893" i="23" s="1"/>
  <c r="L893" i="23" s="1"/>
  <c r="I895" i="23"/>
  <c r="J895" i="23" s="1"/>
  <c r="K895" i="23" s="1"/>
  <c r="L895" i="23" s="1"/>
  <c r="I906" i="23"/>
  <c r="J906" i="23" s="1"/>
  <c r="K906" i="23" s="1"/>
  <c r="L906" i="23" s="1"/>
  <c r="I867" i="23"/>
  <c r="J867" i="23" s="1"/>
  <c r="K867" i="23" s="1"/>
  <c r="L867" i="23" s="1"/>
  <c r="I869" i="23"/>
  <c r="J869" i="23" s="1"/>
  <c r="K869" i="23" s="1"/>
  <c r="L869" i="23" s="1"/>
  <c r="I871" i="23"/>
  <c r="J871" i="23" s="1"/>
  <c r="K871" i="23" s="1"/>
  <c r="L871" i="23" s="1"/>
  <c r="I876" i="23"/>
  <c r="J876" i="23" s="1"/>
  <c r="K876" i="23" s="1"/>
  <c r="L876" i="23" s="1"/>
  <c r="I1082" i="23"/>
  <c r="J1082" i="23" s="1"/>
  <c r="K1082" i="23" s="1"/>
  <c r="L1082" i="23" s="1"/>
  <c r="I1090" i="23"/>
  <c r="J1090" i="23" s="1"/>
  <c r="K1090" i="23" s="1"/>
  <c r="L1090" i="23" s="1"/>
  <c r="I1048" i="23"/>
  <c r="J1048" i="23" s="1"/>
  <c r="K1048" i="23" s="1"/>
  <c r="L1048" i="23" s="1"/>
  <c r="I1063" i="23"/>
  <c r="J1063" i="23" s="1"/>
  <c r="K1063" i="23" s="1"/>
  <c r="L1063" i="23" s="1"/>
  <c r="I964" i="23"/>
  <c r="J964" i="23" s="1"/>
  <c r="K964" i="23" s="1"/>
  <c r="L964" i="23" s="1"/>
  <c r="I935" i="23"/>
  <c r="J935" i="23" s="1"/>
  <c r="K935" i="23" s="1"/>
  <c r="L935" i="23" s="1"/>
  <c r="I933" i="23"/>
  <c r="J933" i="23" s="1"/>
  <c r="K933" i="23" s="1"/>
  <c r="L933" i="23" s="1"/>
  <c r="I931" i="23"/>
  <c r="J931" i="23" s="1"/>
  <c r="K931" i="23" s="1"/>
  <c r="L931" i="23" s="1"/>
  <c r="I908" i="23"/>
  <c r="J908" i="23" s="1"/>
  <c r="K908" i="23" s="1"/>
  <c r="L908" i="23" s="1"/>
  <c r="I851" i="23"/>
  <c r="J851" i="23" s="1"/>
  <c r="K851" i="23" s="1"/>
  <c r="L851" i="23" s="1"/>
  <c r="I878" i="23"/>
  <c r="J878" i="23" s="1"/>
  <c r="K878" i="23" s="1"/>
  <c r="L878" i="23" s="1"/>
  <c r="I880" i="23"/>
  <c r="J880" i="23" s="1"/>
  <c r="K880" i="23" s="1"/>
  <c r="L880" i="23" s="1"/>
  <c r="I882" i="23"/>
  <c r="J882" i="23" s="1"/>
  <c r="K882" i="23" s="1"/>
  <c r="L882" i="23" s="1"/>
  <c r="I884" i="23"/>
  <c r="J884" i="23" s="1"/>
  <c r="K884" i="23" s="1"/>
  <c r="L884" i="23" s="1"/>
  <c r="I808" i="23"/>
  <c r="J808" i="23" s="1"/>
  <c r="K808" i="23" s="1"/>
  <c r="L808" i="23" s="1"/>
  <c r="I827" i="23"/>
  <c r="J827" i="23" s="1"/>
  <c r="K827" i="23" s="1"/>
  <c r="L827" i="23" s="1"/>
  <c r="I829" i="23"/>
  <c r="J829" i="23" s="1"/>
  <c r="K829" i="23" s="1"/>
  <c r="L829" i="23" s="1"/>
  <c r="I831" i="23"/>
  <c r="J831" i="23" s="1"/>
  <c r="K831" i="23" s="1"/>
  <c r="L831" i="23" s="1"/>
  <c r="I833" i="23"/>
  <c r="J833" i="23" s="1"/>
  <c r="K833" i="23" s="1"/>
  <c r="L833" i="23" s="1"/>
  <c r="I841" i="23"/>
  <c r="J841" i="23" s="1"/>
  <c r="K841" i="23" s="1"/>
  <c r="L841" i="23" s="1"/>
  <c r="I843" i="23"/>
  <c r="J843" i="23" s="1"/>
  <c r="K843" i="23" s="1"/>
  <c r="L843" i="23" s="1"/>
  <c r="I845" i="23"/>
  <c r="J845" i="23" s="1"/>
  <c r="K845" i="23" s="1"/>
  <c r="L845" i="23" s="1"/>
  <c r="I806" i="23"/>
  <c r="J806" i="23" s="1"/>
  <c r="K806" i="23" s="1"/>
  <c r="L806" i="23" s="1"/>
  <c r="I725" i="23"/>
  <c r="J725" i="23" s="1"/>
  <c r="K725" i="23" s="1"/>
  <c r="L725" i="23" s="1"/>
  <c r="I744" i="23"/>
  <c r="J744" i="23" s="1"/>
  <c r="K744" i="23" s="1"/>
  <c r="L744" i="23" s="1"/>
  <c r="I690" i="23"/>
  <c r="J690" i="23" s="1"/>
  <c r="K690" i="23" s="1"/>
  <c r="L690" i="23" s="1"/>
  <c r="I615" i="23"/>
  <c r="J615" i="23" s="1"/>
  <c r="K615" i="23" s="1"/>
  <c r="L615" i="23" s="1"/>
  <c r="I578" i="23"/>
  <c r="J578" i="23" s="1"/>
  <c r="K578" i="23" s="1"/>
  <c r="L578" i="23" s="1"/>
  <c r="I565" i="23"/>
  <c r="J565" i="23" s="1"/>
  <c r="K565" i="23" s="1"/>
  <c r="L565" i="23" s="1"/>
  <c r="I570" i="23"/>
  <c r="J570" i="23" s="1"/>
  <c r="K570" i="23" s="1"/>
  <c r="L570" i="23" s="1"/>
  <c r="I562" i="23"/>
  <c r="J562" i="23" s="1"/>
  <c r="K562" i="23" s="1"/>
  <c r="L562" i="23" s="1"/>
  <c r="I567" i="23"/>
  <c r="J567" i="23" s="1"/>
  <c r="K567" i="23" s="1"/>
  <c r="L567" i="23" s="1"/>
  <c r="I572" i="23"/>
  <c r="J572" i="23" s="1"/>
  <c r="K572" i="23" s="1"/>
  <c r="L572" i="23" s="1"/>
  <c r="I564" i="23"/>
  <c r="J564" i="23" s="1"/>
  <c r="K564" i="23" s="1"/>
  <c r="L564" i="23" s="1"/>
  <c r="I569" i="23"/>
  <c r="J569" i="23" s="1"/>
  <c r="K569" i="23" s="1"/>
  <c r="L569" i="23" s="1"/>
  <c r="I574" i="23"/>
  <c r="J574" i="23" s="1"/>
  <c r="K574" i="23" s="1"/>
  <c r="L574" i="23" s="1"/>
  <c r="I576" i="23"/>
  <c r="J576" i="23" s="1"/>
  <c r="K576" i="23" s="1"/>
  <c r="L576" i="23" s="1"/>
  <c r="I577" i="23"/>
  <c r="J577" i="23" s="1"/>
  <c r="K577" i="23" s="1"/>
  <c r="L577" i="23" s="1"/>
  <c r="I561" i="23"/>
  <c r="J561" i="23" s="1"/>
  <c r="K561" i="23" s="1"/>
  <c r="L561" i="23" s="1"/>
  <c r="I571" i="23"/>
  <c r="J571" i="23" s="1"/>
  <c r="K571" i="23" s="1"/>
  <c r="L571" i="23" s="1"/>
  <c r="I566" i="23"/>
  <c r="J566" i="23" s="1"/>
  <c r="K566" i="23" s="1"/>
  <c r="L566" i="23" s="1"/>
  <c r="I563" i="23"/>
  <c r="J563" i="23" s="1"/>
  <c r="K563" i="23" s="1"/>
  <c r="L563" i="23" s="1"/>
  <c r="I568" i="23"/>
  <c r="J568" i="23" s="1"/>
  <c r="K568" i="23" s="1"/>
  <c r="L568" i="23" s="1"/>
  <c r="I573" i="23"/>
  <c r="J573" i="23" s="1"/>
  <c r="K573" i="23" s="1"/>
  <c r="L573" i="23" s="1"/>
  <c r="I575" i="23"/>
  <c r="J575" i="23" s="1"/>
  <c r="K575" i="23" s="1"/>
  <c r="L575" i="23" s="1"/>
  <c r="M1293" i="23"/>
  <c r="M1288" i="23"/>
  <c r="M1294" i="23"/>
  <c r="M1349" i="23"/>
  <c r="M1246" i="23"/>
  <c r="M1353" i="23"/>
  <c r="M1295" i="23"/>
  <c r="M1348" i="23"/>
  <c r="H1275" i="22"/>
  <c r="H1283" i="22"/>
  <c r="H1291" i="22"/>
  <c r="H1299" i="22"/>
  <c r="H1307" i="22"/>
  <c r="H1278" i="22"/>
  <c r="H1286" i="22"/>
  <c r="H1294" i="22"/>
  <c r="H1302" i="22"/>
  <c r="H1282" i="22"/>
  <c r="H1288" i="22"/>
  <c r="H1281" i="22"/>
  <c r="H1289" i="22"/>
  <c r="H1297" i="22"/>
  <c r="H1305" i="22"/>
  <c r="H1285" i="22"/>
  <c r="H1276" i="22"/>
  <c r="H1284" i="22"/>
  <c r="H1292" i="22"/>
  <c r="H1300" i="22"/>
  <c r="H1308" i="22"/>
  <c r="H1298" i="22"/>
  <c r="H1277" i="22"/>
  <c r="H1293" i="22"/>
  <c r="H1301" i="22"/>
  <c r="H1304" i="22"/>
  <c r="H1279" i="22"/>
  <c r="H1287" i="22"/>
  <c r="H1295" i="22"/>
  <c r="H1303" i="22"/>
  <c r="H1290" i="22"/>
  <c r="H1306" i="22"/>
  <c r="H1309" i="22"/>
  <c r="H1280" i="22"/>
  <c r="H1296" i="22"/>
  <c r="H1270" i="22"/>
  <c r="H1273" i="22"/>
  <c r="H1271" i="22"/>
  <c r="H1274" i="22"/>
  <c r="H1272" i="22"/>
  <c r="M1296" i="23"/>
  <c r="M1303" i="23"/>
  <c r="H1246" i="22"/>
  <c r="H1254" i="22"/>
  <c r="H1262" i="22"/>
  <c r="H1258" i="22"/>
  <c r="H1266" i="22"/>
  <c r="H1269" i="22"/>
  <c r="H1249" i="22"/>
  <c r="H1257" i="22"/>
  <c r="H1265" i="22"/>
  <c r="H1252" i="22"/>
  <c r="H1260" i="22"/>
  <c r="H1268" i="22"/>
  <c r="H1261" i="22"/>
  <c r="H1247" i="22"/>
  <c r="H1255" i="22"/>
  <c r="H1263" i="22"/>
  <c r="H1250" i="22"/>
  <c r="H1253" i="22"/>
  <c r="H1248" i="22"/>
  <c r="H1256" i="22"/>
  <c r="H1264" i="22"/>
  <c r="H1259" i="22"/>
  <c r="H1267" i="22"/>
  <c r="H1251" i="22"/>
  <c r="H1228" i="22"/>
  <c r="H1236" i="22"/>
  <c r="H1244" i="22"/>
  <c r="H1242" i="22"/>
  <c r="H1229" i="22"/>
  <c r="H1245" i="22"/>
  <c r="H1243" i="22"/>
  <c r="H1231" i="22"/>
  <c r="H1239" i="22"/>
  <c r="H1237" i="22"/>
  <c r="H1232" i="22"/>
  <c r="H1240" i="22"/>
  <c r="H1230" i="22"/>
  <c r="H1238" i="22"/>
  <c r="H1233" i="22"/>
  <c r="H1241" i="22"/>
  <c r="H1234" i="22"/>
  <c r="H1235" i="22"/>
  <c r="M1242" i="23"/>
  <c r="M1257" i="23"/>
  <c r="M1274" i="23"/>
  <c r="M1252" i="23"/>
  <c r="M1273" i="23"/>
  <c r="M1280" i="23"/>
  <c r="M1236" i="23"/>
  <c r="H1211" i="22"/>
  <c r="H1219" i="22"/>
  <c r="H1227" i="22"/>
  <c r="H1214" i="22"/>
  <c r="H1222" i="22"/>
  <c r="H1221" i="22"/>
  <c r="H1217" i="22"/>
  <c r="H1225" i="22"/>
  <c r="H1212" i="22"/>
  <c r="H1220" i="22"/>
  <c r="H1215" i="22"/>
  <c r="H1223" i="22"/>
  <c r="H1218" i="22"/>
  <c r="H1226" i="22"/>
  <c r="H1213" i="22"/>
  <c r="H1216" i="22"/>
  <c r="H1224" i="22"/>
  <c r="M1244" i="23"/>
  <c r="M1207" i="23"/>
  <c r="H1190" i="22"/>
  <c r="H1198" i="22"/>
  <c r="H1206" i="22"/>
  <c r="H1208" i="22"/>
  <c r="H1193" i="22"/>
  <c r="H1201" i="22"/>
  <c r="H1209" i="22"/>
  <c r="H1196" i="22"/>
  <c r="H1204" i="22"/>
  <c r="H1191" i="22"/>
  <c r="H1199" i="22"/>
  <c r="H1207" i="22"/>
  <c r="H1192" i="22"/>
  <c r="H1194" i="22"/>
  <c r="H1202" i="22"/>
  <c r="H1210" i="22"/>
  <c r="H1197" i="22"/>
  <c r="H1205" i="22"/>
  <c r="H1195" i="22"/>
  <c r="H1203" i="22"/>
  <c r="H1200" i="22"/>
  <c r="M1126" i="23"/>
  <c r="M1228" i="23"/>
  <c r="M1217" i="23"/>
  <c r="M1251" i="23"/>
  <c r="M1211" i="23"/>
  <c r="M1231" i="23"/>
  <c r="H1159" i="22"/>
  <c r="H1167" i="22"/>
  <c r="H1175" i="22"/>
  <c r="H1183" i="22"/>
  <c r="H1162" i="22"/>
  <c r="H1170" i="22"/>
  <c r="H1178" i="22"/>
  <c r="H1186" i="22"/>
  <c r="H1172" i="22"/>
  <c r="H1165" i="22"/>
  <c r="H1173" i="22"/>
  <c r="H1181" i="22"/>
  <c r="H1189" i="22"/>
  <c r="H1160" i="22"/>
  <c r="H1168" i="22"/>
  <c r="H1176" i="22"/>
  <c r="H1184" i="22"/>
  <c r="H1188" i="22"/>
  <c r="H1163" i="22"/>
  <c r="H1171" i="22"/>
  <c r="H1179" i="22"/>
  <c r="H1187" i="22"/>
  <c r="H1180" i="22"/>
  <c r="H1166" i="22"/>
  <c r="H1174" i="22"/>
  <c r="H1182" i="22"/>
  <c r="H1161" i="22"/>
  <c r="H1169" i="22"/>
  <c r="H1177" i="22"/>
  <c r="H1185" i="22"/>
  <c r="H1164" i="22"/>
  <c r="M1168" i="23"/>
  <c r="M1120" i="23"/>
  <c r="M1082" i="23"/>
  <c r="M1123" i="23"/>
  <c r="M1083" i="23"/>
  <c r="M1213" i="23"/>
  <c r="H1143" i="22"/>
  <c r="H1146" i="22"/>
  <c r="H1149" i="22"/>
  <c r="H1157" i="22"/>
  <c r="H1144" i="22"/>
  <c r="H1152" i="22"/>
  <c r="H1154" i="22"/>
  <c r="H1147" i="22"/>
  <c r="H1155" i="22"/>
  <c r="H1150" i="22"/>
  <c r="H1158" i="22"/>
  <c r="H1151" i="22"/>
  <c r="H1145" i="22"/>
  <c r="H1153" i="22"/>
  <c r="H1148" i="22"/>
  <c r="H1156" i="22"/>
  <c r="M1169" i="23"/>
  <c r="M1081" i="23"/>
  <c r="M1184" i="23"/>
  <c r="M1024" i="23"/>
  <c r="H1138" i="22"/>
  <c r="H1139" i="22"/>
  <c r="H1141" i="22"/>
  <c r="H1140" i="22"/>
  <c r="H1142" i="22"/>
  <c r="H1118" i="22"/>
  <c r="H1126" i="22"/>
  <c r="H1134" i="22"/>
  <c r="H1121" i="22"/>
  <c r="H1129" i="22"/>
  <c r="H1137" i="22"/>
  <c r="H1124" i="22"/>
  <c r="H1132" i="22"/>
  <c r="H1119" i="22"/>
  <c r="H1127" i="22"/>
  <c r="H1135" i="22"/>
  <c r="H1125" i="22"/>
  <c r="H1133" i="22"/>
  <c r="H1120" i="22"/>
  <c r="H1128" i="22"/>
  <c r="H1136" i="22"/>
  <c r="H1122" i="22"/>
  <c r="H1130" i="22"/>
  <c r="H1123" i="22"/>
  <c r="H1131" i="22"/>
  <c r="M1139" i="23"/>
  <c r="M1061" i="23"/>
  <c r="M1138" i="23"/>
  <c r="M1014" i="23"/>
  <c r="M1146" i="23"/>
  <c r="M1132" i="23"/>
  <c r="M1142" i="23"/>
  <c r="M1130" i="23"/>
  <c r="M1136" i="23"/>
  <c r="M1180" i="23"/>
  <c r="M1171" i="23"/>
  <c r="M1177" i="23"/>
  <c r="M1129" i="23"/>
  <c r="M1170" i="23"/>
  <c r="M1125" i="23"/>
  <c r="M1183" i="23"/>
  <c r="H1094" i="22"/>
  <c r="H1102" i="22"/>
  <c r="H1110" i="22"/>
  <c r="H1106" i="22"/>
  <c r="H1114" i="22"/>
  <c r="H1097" i="22"/>
  <c r="H1105" i="22"/>
  <c r="H1113" i="22"/>
  <c r="H1100" i="22"/>
  <c r="H1108" i="22"/>
  <c r="H1116" i="22"/>
  <c r="H1098" i="22"/>
  <c r="H1095" i="22"/>
  <c r="H1103" i="22"/>
  <c r="H1111" i="22"/>
  <c r="H1101" i="22"/>
  <c r="H1109" i="22"/>
  <c r="H1117" i="22"/>
  <c r="H1107" i="22"/>
  <c r="H1096" i="22"/>
  <c r="H1104" i="22"/>
  <c r="H1112" i="22"/>
  <c r="H1099" i="22"/>
  <c r="H1115" i="22"/>
  <c r="H1078" i="22"/>
  <c r="H1086" i="22"/>
  <c r="H1081" i="22"/>
  <c r="H1089" i="22"/>
  <c r="H1084" i="22"/>
  <c r="H1092" i="22"/>
  <c r="H1079" i="22"/>
  <c r="H1087" i="22"/>
  <c r="H1082" i="22"/>
  <c r="H1085" i="22"/>
  <c r="H1093" i="22"/>
  <c r="H1090" i="22"/>
  <c r="H1080" i="22"/>
  <c r="H1088" i="22"/>
  <c r="H1083" i="22"/>
  <c r="H1091" i="22"/>
  <c r="M1036" i="23"/>
  <c r="M1141" i="23"/>
  <c r="M1044" i="23"/>
  <c r="M1131" i="23"/>
  <c r="M1041" i="23"/>
  <c r="M1127" i="23"/>
  <c r="M1098" i="23"/>
  <c r="M1104" i="23"/>
  <c r="H1061" i="22"/>
  <c r="H1069" i="22"/>
  <c r="H1077" i="22"/>
  <c r="H1064" i="22"/>
  <c r="H1072" i="22"/>
  <c r="H1067" i="22"/>
  <c r="H1075" i="22"/>
  <c r="H1062" i="22"/>
  <c r="H1070" i="22"/>
  <c r="H1065" i="22"/>
  <c r="H1073" i="22"/>
  <c r="H1071" i="22"/>
  <c r="H1068" i="22"/>
  <c r="H1076" i="22"/>
  <c r="H1063" i="22"/>
  <c r="H1066" i="22"/>
  <c r="H1074" i="22"/>
  <c r="H1049" i="22"/>
  <c r="H1052" i="22"/>
  <c r="H1060" i="22"/>
  <c r="H1055" i="22"/>
  <c r="H1050" i="22"/>
  <c r="H1058" i="22"/>
  <c r="H1053" i="22"/>
  <c r="H1057" i="22"/>
  <c r="H1056" i="22"/>
  <c r="H1051" i="22"/>
  <c r="H1059" i="22"/>
  <c r="H1054" i="22"/>
  <c r="M1028" i="23"/>
  <c r="M1094" i="23"/>
  <c r="H1033" i="22"/>
  <c r="H1041" i="22"/>
  <c r="H1039" i="22"/>
  <c r="H1047" i="22"/>
  <c r="H1036" i="22"/>
  <c r="H1044" i="22"/>
  <c r="H1034" i="22"/>
  <c r="H1042" i="22"/>
  <c r="H1046" i="22"/>
  <c r="H1037" i="22"/>
  <c r="H1045" i="22"/>
  <c r="H1040" i="22"/>
  <c r="H1048" i="22"/>
  <c r="H1038" i="22"/>
  <c r="H1035" i="22"/>
  <c r="H1043" i="22"/>
  <c r="H1010" i="22"/>
  <c r="H1018" i="22"/>
  <c r="H1026" i="22"/>
  <c r="H1013" i="22"/>
  <c r="H1021" i="22"/>
  <c r="H1029" i="22"/>
  <c r="H1016" i="22"/>
  <c r="H1024" i="22"/>
  <c r="H1032" i="22"/>
  <c r="H1023" i="22"/>
  <c r="H1031" i="22"/>
  <c r="H1011" i="22"/>
  <c r="H1019" i="22"/>
  <c r="H1027" i="22"/>
  <c r="H1014" i="22"/>
  <c r="H1022" i="22"/>
  <c r="H1030" i="22"/>
  <c r="H1017" i="22"/>
  <c r="H1025" i="22"/>
  <c r="H1015" i="22"/>
  <c r="H1012" i="22"/>
  <c r="H1020" i="22"/>
  <c r="H1028" i="22"/>
  <c r="M1002" i="23"/>
  <c r="M1047" i="23"/>
  <c r="M1006" i="23"/>
  <c r="M1034" i="23"/>
  <c r="M987" i="23"/>
  <c r="M1046" i="23"/>
  <c r="M1001" i="23"/>
  <c r="M1043" i="23"/>
  <c r="M1003" i="23"/>
  <c r="M1049" i="23"/>
  <c r="M1009" i="23"/>
  <c r="M1048" i="23"/>
  <c r="M985" i="23"/>
  <c r="M1040" i="23"/>
  <c r="M1022" i="23"/>
  <c r="M1075" i="23"/>
  <c r="H984" i="22"/>
  <c r="H992" i="22"/>
  <c r="H1000" i="22"/>
  <c r="H1008" i="22"/>
  <c r="H994" i="22"/>
  <c r="H987" i="22"/>
  <c r="H995" i="22"/>
  <c r="H1003" i="22"/>
  <c r="H990" i="22"/>
  <c r="H998" i="22"/>
  <c r="H1006" i="22"/>
  <c r="H985" i="22"/>
  <c r="H993" i="22"/>
  <c r="H1001" i="22"/>
  <c r="H1009" i="22"/>
  <c r="H988" i="22"/>
  <c r="H996" i="22"/>
  <c r="H1004" i="22"/>
  <c r="H991" i="22"/>
  <c r="H999" i="22"/>
  <c r="H1007" i="22"/>
  <c r="H1002" i="22"/>
  <c r="H989" i="22"/>
  <c r="H997" i="22"/>
  <c r="H1005" i="22"/>
  <c r="H986" i="22"/>
  <c r="H983" i="22"/>
  <c r="M984" i="23"/>
  <c r="M899" i="23"/>
  <c r="H958" i="22"/>
  <c r="H960" i="22"/>
  <c r="H962" i="22"/>
  <c r="H964" i="22"/>
  <c r="H966" i="22"/>
  <c r="H968" i="22"/>
  <c r="H970" i="22"/>
  <c r="H972" i="22"/>
  <c r="H974" i="22"/>
  <c r="H976" i="22"/>
  <c r="H978" i="22"/>
  <c r="H980" i="22"/>
  <c r="H982" i="22"/>
  <c r="H959" i="22"/>
  <c r="H961" i="22"/>
  <c r="H963" i="22"/>
  <c r="H965" i="22"/>
  <c r="H967" i="22"/>
  <c r="H969" i="22"/>
  <c r="H971" i="22"/>
  <c r="H973" i="22"/>
  <c r="H975" i="22"/>
  <c r="H977" i="22"/>
  <c r="H979" i="22"/>
  <c r="H981" i="22"/>
  <c r="M946" i="23"/>
  <c r="M981" i="23"/>
  <c r="M941" i="23"/>
  <c r="M988" i="23"/>
  <c r="M939" i="23"/>
  <c r="M995" i="23"/>
  <c r="H936" i="22"/>
  <c r="H944" i="22"/>
  <c r="H952" i="22"/>
  <c r="H939" i="22"/>
  <c r="H947" i="22"/>
  <c r="H955" i="22"/>
  <c r="H942" i="22"/>
  <c r="H937" i="22"/>
  <c r="H945" i="22"/>
  <c r="H953" i="22"/>
  <c r="H948" i="22"/>
  <c r="H956" i="22"/>
  <c r="H940" i="22"/>
  <c r="H943" i="22"/>
  <c r="H951" i="22"/>
  <c r="H938" i="22"/>
  <c r="H946" i="22"/>
  <c r="H954" i="22"/>
  <c r="H950" i="22"/>
  <c r="H941" i="22"/>
  <c r="H949" i="22"/>
  <c r="H957" i="22"/>
  <c r="M945" i="23"/>
  <c r="M933" i="23"/>
  <c r="M943" i="23"/>
  <c r="M924" i="23"/>
  <c r="M942" i="23"/>
  <c r="M929" i="23"/>
  <c r="M940" i="23"/>
  <c r="M948" i="23"/>
  <c r="M919" i="23"/>
  <c r="M947" i="23"/>
  <c r="M934" i="23"/>
  <c r="M938" i="23"/>
  <c r="M927" i="23"/>
  <c r="M910" i="23"/>
  <c r="H927" i="22"/>
  <c r="H930" i="22"/>
  <c r="H933" i="22"/>
  <c r="H928" i="22"/>
  <c r="H931" i="22"/>
  <c r="H934" i="22"/>
  <c r="H935" i="22"/>
  <c r="H929" i="22"/>
  <c r="H932" i="22"/>
  <c r="M885" i="23"/>
  <c r="M923" i="23"/>
  <c r="M883" i="23"/>
  <c r="M870" i="23"/>
  <c r="M903" i="23"/>
  <c r="H906" i="22"/>
  <c r="H914" i="22"/>
  <c r="H922" i="22"/>
  <c r="H909" i="22"/>
  <c r="H917" i="22"/>
  <c r="H925" i="22"/>
  <c r="H912" i="22"/>
  <c r="H920" i="22"/>
  <c r="H919" i="22"/>
  <c r="H907" i="22"/>
  <c r="H915" i="22"/>
  <c r="H923" i="22"/>
  <c r="H910" i="22"/>
  <c r="H918" i="22"/>
  <c r="H926" i="22"/>
  <c r="H911" i="22"/>
  <c r="H913" i="22"/>
  <c r="H921" i="22"/>
  <c r="H908" i="22"/>
  <c r="H916" i="22"/>
  <c r="H924" i="22"/>
  <c r="H894" i="22"/>
  <c r="H896" i="22"/>
  <c r="H898" i="22"/>
  <c r="H900" i="22"/>
  <c r="H902" i="22"/>
  <c r="H904" i="22"/>
  <c r="H901" i="22"/>
  <c r="H905" i="22"/>
  <c r="H897" i="22"/>
  <c r="H895" i="22"/>
  <c r="H903" i="22"/>
  <c r="H899" i="22"/>
  <c r="M850" i="23"/>
  <c r="M893" i="23"/>
  <c r="H881" i="22"/>
  <c r="H889" i="22"/>
  <c r="H883" i="22"/>
  <c r="H884" i="22"/>
  <c r="H892" i="22"/>
  <c r="H887" i="22"/>
  <c r="H888" i="22"/>
  <c r="H882" i="22"/>
  <c r="H890" i="22"/>
  <c r="H885" i="22"/>
  <c r="H893" i="22"/>
  <c r="H891" i="22"/>
  <c r="H886" i="22"/>
  <c r="H857" i="22"/>
  <c r="H859" i="22"/>
  <c r="H861" i="22"/>
  <c r="H863" i="22"/>
  <c r="H865" i="22"/>
  <c r="H867" i="22"/>
  <c r="H869" i="22"/>
  <c r="H871" i="22"/>
  <c r="H873" i="22"/>
  <c r="H875" i="22"/>
  <c r="H877" i="22"/>
  <c r="H879" i="22"/>
  <c r="H858" i="22"/>
  <c r="H860" i="22"/>
  <c r="H862" i="22"/>
  <c r="H864" i="22"/>
  <c r="H866" i="22"/>
  <c r="H868" i="22"/>
  <c r="H870" i="22"/>
  <c r="H872" i="22"/>
  <c r="H874" i="22"/>
  <c r="H876" i="22"/>
  <c r="H878" i="22"/>
  <c r="H880" i="22"/>
  <c r="M837" i="23"/>
  <c r="M884" i="23"/>
  <c r="M661" i="23"/>
  <c r="M852" i="23"/>
  <c r="M827" i="23"/>
  <c r="M867" i="23"/>
  <c r="M766" i="23"/>
  <c r="M880" i="23"/>
  <c r="M819" i="23"/>
  <c r="M882" i="23"/>
  <c r="M823" i="23"/>
  <c r="M862" i="23"/>
  <c r="M813" i="23"/>
  <c r="M878" i="23"/>
  <c r="M860" i="23"/>
  <c r="M864" i="23"/>
  <c r="M842" i="23"/>
  <c r="M855" i="23"/>
  <c r="H844" i="22"/>
  <c r="H847" i="22"/>
  <c r="H855" i="22"/>
  <c r="H850" i="22"/>
  <c r="H845" i="22"/>
  <c r="H853" i="22"/>
  <c r="H856" i="22"/>
  <c r="H854" i="22"/>
  <c r="H852" i="22"/>
  <c r="H848" i="22"/>
  <c r="H851" i="22"/>
  <c r="H846" i="22"/>
  <c r="H849" i="22"/>
  <c r="M831" i="23"/>
  <c r="M845" i="23"/>
  <c r="M829" i="23"/>
  <c r="M841" i="23"/>
  <c r="H818" i="22"/>
  <c r="H826" i="22"/>
  <c r="H834" i="22"/>
  <c r="H842" i="22"/>
  <c r="H821" i="22"/>
  <c r="H829" i="22"/>
  <c r="H837" i="22"/>
  <c r="H836" i="22"/>
  <c r="H824" i="22"/>
  <c r="H832" i="22"/>
  <c r="H840" i="22"/>
  <c r="H831" i="22"/>
  <c r="H819" i="22"/>
  <c r="H827" i="22"/>
  <c r="H835" i="22"/>
  <c r="H843" i="22"/>
  <c r="H822" i="22"/>
  <c r="H830" i="22"/>
  <c r="H838" i="22"/>
  <c r="H828" i="22"/>
  <c r="H823" i="22"/>
  <c r="H825" i="22"/>
  <c r="H833" i="22"/>
  <c r="H841" i="22"/>
  <c r="H839" i="22"/>
  <c r="H820" i="22"/>
  <c r="M786" i="23"/>
  <c r="M808" i="23"/>
  <c r="M793" i="23"/>
  <c r="M838" i="23"/>
  <c r="M643" i="23"/>
  <c r="M744" i="23"/>
  <c r="M795" i="23"/>
  <c r="M828" i="23"/>
  <c r="M807" i="23"/>
  <c r="M822" i="23"/>
  <c r="M797" i="23"/>
  <c r="M811" i="23"/>
  <c r="H774" i="22"/>
  <c r="H782" i="22"/>
  <c r="H790" i="22"/>
  <c r="H798" i="22"/>
  <c r="H806" i="22"/>
  <c r="H814" i="22"/>
  <c r="H777" i="22"/>
  <c r="H785" i="22"/>
  <c r="H793" i="22"/>
  <c r="H801" i="22"/>
  <c r="H809" i="22"/>
  <c r="H817" i="22"/>
  <c r="H778" i="22"/>
  <c r="H786" i="22"/>
  <c r="H810" i="22"/>
  <c r="H780" i="22"/>
  <c r="H788" i="22"/>
  <c r="H796" i="22"/>
  <c r="H804" i="22"/>
  <c r="H812" i="22"/>
  <c r="H794" i="22"/>
  <c r="H775" i="22"/>
  <c r="H783" i="22"/>
  <c r="H791" i="22"/>
  <c r="H799" i="22"/>
  <c r="H807" i="22"/>
  <c r="H815" i="22"/>
  <c r="H802" i="22"/>
  <c r="H781" i="22"/>
  <c r="H789" i="22"/>
  <c r="H797" i="22"/>
  <c r="H805" i="22"/>
  <c r="H813" i="22"/>
  <c r="H779" i="22"/>
  <c r="H803" i="22"/>
  <c r="H776" i="22"/>
  <c r="H784" i="22"/>
  <c r="H792" i="22"/>
  <c r="H800" i="22"/>
  <c r="H808" i="22"/>
  <c r="H816" i="22"/>
  <c r="H787" i="22"/>
  <c r="H795" i="22"/>
  <c r="H811" i="22"/>
  <c r="M773" i="23"/>
  <c r="M796" i="23"/>
  <c r="M716" i="23"/>
  <c r="M625" i="23"/>
  <c r="M734" i="23"/>
  <c r="M788" i="23"/>
  <c r="M735" i="23"/>
  <c r="M802" i="23"/>
  <c r="M778" i="23"/>
  <c r="M774" i="23"/>
  <c r="H760" i="22"/>
  <c r="H768" i="22"/>
  <c r="H763" i="22"/>
  <c r="H766" i="22"/>
  <c r="H761" i="22"/>
  <c r="H769" i="22"/>
  <c r="H764" i="22"/>
  <c r="H772" i="22"/>
  <c r="H767" i="22"/>
  <c r="H762" i="22"/>
  <c r="H770" i="22"/>
  <c r="H765" i="22"/>
  <c r="H773" i="22"/>
  <c r="H771" i="22"/>
  <c r="H745" i="22"/>
  <c r="H749" i="22"/>
  <c r="H753" i="22"/>
  <c r="H757" i="22"/>
  <c r="H747" i="22"/>
  <c r="H751" i="22"/>
  <c r="H759" i="22"/>
  <c r="H746" i="22"/>
  <c r="H754" i="22"/>
  <c r="H748" i="22"/>
  <c r="H752" i="22"/>
  <c r="H756" i="22"/>
  <c r="H755" i="22"/>
  <c r="H750" i="22"/>
  <c r="H758" i="22"/>
  <c r="M642" i="23"/>
  <c r="M761" i="23"/>
  <c r="M730" i="23"/>
  <c r="M771" i="23"/>
  <c r="M728" i="23"/>
  <c r="M757" i="23"/>
  <c r="M736" i="23"/>
  <c r="M767" i="23"/>
  <c r="M758" i="23"/>
  <c r="M739" i="23"/>
  <c r="M727" i="23"/>
  <c r="M628" i="23"/>
  <c r="M641" i="23"/>
  <c r="M746" i="23"/>
  <c r="M738" i="23"/>
  <c r="M764" i="23"/>
  <c r="H726" i="22"/>
  <c r="H734" i="22"/>
  <c r="H742" i="22"/>
  <c r="H729" i="22"/>
  <c r="H737" i="22"/>
  <c r="H732" i="22"/>
  <c r="H740" i="22"/>
  <c r="H744" i="22"/>
  <c r="H727" i="22"/>
  <c r="H735" i="22"/>
  <c r="H743" i="22"/>
  <c r="H736" i="22"/>
  <c r="H730" i="22"/>
  <c r="H738" i="22"/>
  <c r="H733" i="22"/>
  <c r="H741" i="22"/>
  <c r="H728" i="22"/>
  <c r="H731" i="22"/>
  <c r="H739" i="22"/>
  <c r="M658" i="23"/>
  <c r="M711" i="23"/>
  <c r="M662" i="23"/>
  <c r="M733" i="23"/>
  <c r="M660" i="23"/>
  <c r="M753" i="23"/>
  <c r="M664" i="23"/>
  <c r="M575" i="23"/>
  <c r="H659" i="22"/>
  <c r="H667" i="22"/>
  <c r="H675" i="22"/>
  <c r="H683" i="22"/>
  <c r="H691" i="22"/>
  <c r="H699" i="22"/>
  <c r="H707" i="22"/>
  <c r="H715" i="22"/>
  <c r="H723" i="22"/>
  <c r="H688" i="22"/>
  <c r="H662" i="22"/>
  <c r="H670" i="22"/>
  <c r="H678" i="22"/>
  <c r="H686" i="22"/>
  <c r="H694" i="22"/>
  <c r="H702" i="22"/>
  <c r="H710" i="22"/>
  <c r="H718" i="22"/>
  <c r="H665" i="22"/>
  <c r="H673" i="22"/>
  <c r="H681" i="22"/>
  <c r="H689" i="22"/>
  <c r="H697" i="22"/>
  <c r="H705" i="22"/>
  <c r="H713" i="22"/>
  <c r="H721" i="22"/>
  <c r="H672" i="22"/>
  <c r="H680" i="22"/>
  <c r="H704" i="22"/>
  <c r="H720" i="22"/>
  <c r="H660" i="22"/>
  <c r="H668" i="22"/>
  <c r="H676" i="22"/>
  <c r="H684" i="22"/>
  <c r="H692" i="22"/>
  <c r="H700" i="22"/>
  <c r="H708" i="22"/>
  <c r="H716" i="22"/>
  <c r="H724" i="22"/>
  <c r="H663" i="22"/>
  <c r="H671" i="22"/>
  <c r="H679" i="22"/>
  <c r="H687" i="22"/>
  <c r="H695" i="22"/>
  <c r="H703" i="22"/>
  <c r="H711" i="22"/>
  <c r="H719" i="22"/>
  <c r="H696" i="22"/>
  <c r="H666" i="22"/>
  <c r="H674" i="22"/>
  <c r="H682" i="22"/>
  <c r="H690" i="22"/>
  <c r="H698" i="22"/>
  <c r="H706" i="22"/>
  <c r="H714" i="22"/>
  <c r="H722" i="22"/>
  <c r="H664" i="22"/>
  <c r="H661" i="22"/>
  <c r="H669" i="22"/>
  <c r="H677" i="22"/>
  <c r="H685" i="22"/>
  <c r="H693" i="22"/>
  <c r="H701" i="22"/>
  <c r="H709" i="22"/>
  <c r="H717" i="22"/>
  <c r="H725" i="22"/>
  <c r="H712" i="22"/>
  <c r="M657" i="23"/>
  <c r="M607" i="23"/>
  <c r="M659" i="23"/>
  <c r="M665" i="23"/>
  <c r="M663" i="23"/>
  <c r="M669" i="23"/>
  <c r="M610" i="23"/>
  <c r="M615" i="23"/>
  <c r="M547" i="23"/>
  <c r="M554" i="23"/>
  <c r="M604" i="23"/>
  <c r="M656" i="23"/>
  <c r="H636" i="22"/>
  <c r="H644" i="22"/>
  <c r="H652" i="22"/>
  <c r="H639" i="22"/>
  <c r="H647" i="22"/>
  <c r="H655" i="22"/>
  <c r="H646" i="22"/>
  <c r="H654" i="22"/>
  <c r="H657" i="22"/>
  <c r="H642" i="22"/>
  <c r="H650" i="22"/>
  <c r="H658" i="22"/>
  <c r="H649" i="22"/>
  <c r="H637" i="22"/>
  <c r="H645" i="22"/>
  <c r="H653" i="22"/>
  <c r="H640" i="22"/>
  <c r="H648" i="22"/>
  <c r="H656" i="22"/>
  <c r="H643" i="22"/>
  <c r="H651" i="22"/>
  <c r="H638" i="22"/>
  <c r="H641" i="22"/>
  <c r="H596" i="22"/>
  <c r="H604" i="22"/>
  <c r="H612" i="22"/>
  <c r="H620" i="22"/>
  <c r="H628" i="22"/>
  <c r="H627" i="22"/>
  <c r="H622" i="22"/>
  <c r="H609" i="22"/>
  <c r="H599" i="22"/>
  <c r="H607" i="22"/>
  <c r="H615" i="22"/>
  <c r="H623" i="22"/>
  <c r="H631" i="22"/>
  <c r="H603" i="22"/>
  <c r="H611" i="22"/>
  <c r="H619" i="22"/>
  <c r="H617" i="22"/>
  <c r="H602" i="22"/>
  <c r="H610" i="22"/>
  <c r="H618" i="22"/>
  <c r="H626" i="22"/>
  <c r="H634" i="22"/>
  <c r="H635" i="22"/>
  <c r="H606" i="22"/>
  <c r="H614" i="22"/>
  <c r="H601" i="22"/>
  <c r="H597" i="22"/>
  <c r="H605" i="22"/>
  <c r="H613" i="22"/>
  <c r="H621" i="22"/>
  <c r="H629" i="22"/>
  <c r="H630" i="22"/>
  <c r="H633" i="22"/>
  <c r="H600" i="22"/>
  <c r="H608" i="22"/>
  <c r="H616" i="22"/>
  <c r="H624" i="22"/>
  <c r="H632" i="22"/>
  <c r="H598" i="22"/>
  <c r="H625" i="22"/>
  <c r="H586" i="22"/>
  <c r="H594" i="22"/>
  <c r="H589" i="22"/>
  <c r="H590" i="22"/>
  <c r="H592" i="22"/>
  <c r="H587" i="22"/>
  <c r="H595" i="22"/>
  <c r="H593" i="22"/>
  <c r="H588" i="22"/>
  <c r="H591" i="22"/>
  <c r="M540" i="23"/>
  <c r="M553" i="23"/>
  <c r="M570" i="23"/>
  <c r="M576" i="23"/>
  <c r="H563" i="22"/>
  <c r="H571" i="22"/>
  <c r="H579" i="22"/>
  <c r="H566" i="22"/>
  <c r="H574" i="22"/>
  <c r="H582" i="22"/>
  <c r="H584" i="22"/>
  <c r="H569" i="22"/>
  <c r="H577" i="22"/>
  <c r="H585" i="22"/>
  <c r="H583" i="22"/>
  <c r="H564" i="22"/>
  <c r="H572" i="22"/>
  <c r="H580" i="22"/>
  <c r="H567" i="22"/>
  <c r="H575" i="22"/>
  <c r="H570" i="22"/>
  <c r="H578" i="22"/>
  <c r="H568" i="22"/>
  <c r="H576" i="22"/>
  <c r="H565" i="22"/>
  <c r="H573" i="22"/>
  <c r="H581" i="22"/>
  <c r="H549" i="22"/>
  <c r="H551" i="22"/>
  <c r="H553" i="22"/>
  <c r="H555" i="22"/>
  <c r="H557" i="22"/>
  <c r="H559" i="22"/>
  <c r="H561" i="22"/>
  <c r="H550" i="22"/>
  <c r="H556" i="22"/>
  <c r="H562" i="22"/>
  <c r="H552" i="22"/>
  <c r="H554" i="22"/>
  <c r="H558" i="22"/>
  <c r="H560" i="22"/>
  <c r="H547" i="22"/>
  <c r="H548" i="22"/>
  <c r="H546" i="22"/>
  <c r="M523" i="23"/>
  <c r="M512" i="23"/>
  <c r="H528" i="22"/>
  <c r="H536" i="22"/>
  <c r="H544" i="22"/>
  <c r="H535" i="22"/>
  <c r="H531" i="22"/>
  <c r="H539" i="22"/>
  <c r="H534" i="22"/>
  <c r="H542" i="22"/>
  <c r="H529" i="22"/>
  <c r="H537" i="22"/>
  <c r="H545" i="22"/>
  <c r="H532" i="22"/>
  <c r="H540" i="22"/>
  <c r="H530" i="22"/>
  <c r="H538" i="22"/>
  <c r="H543" i="22"/>
  <c r="H533" i="22"/>
  <c r="H541" i="22"/>
  <c r="M447" i="23"/>
  <c r="M555" i="23"/>
  <c r="M498" i="23"/>
  <c r="M544" i="23"/>
  <c r="M496" i="23"/>
  <c r="M546" i="23"/>
  <c r="M417" i="23"/>
  <c r="M551" i="23"/>
  <c r="M486" i="23"/>
  <c r="M542" i="23"/>
  <c r="M446" i="23"/>
  <c r="M557" i="23"/>
  <c r="M438" i="23"/>
  <c r="M549" i="23"/>
  <c r="M414" i="23"/>
  <c r="M548" i="23"/>
  <c r="M509" i="23"/>
  <c r="M475" i="23"/>
  <c r="H505" i="22"/>
  <c r="H513" i="22"/>
  <c r="H521" i="22"/>
  <c r="H515" i="22"/>
  <c r="H508" i="22"/>
  <c r="H516" i="22"/>
  <c r="H524" i="22"/>
  <c r="H511" i="22"/>
  <c r="H519" i="22"/>
  <c r="H527" i="22"/>
  <c r="H506" i="22"/>
  <c r="H514" i="22"/>
  <c r="H522" i="22"/>
  <c r="H512" i="22"/>
  <c r="H509" i="22"/>
  <c r="H517" i="22"/>
  <c r="H525" i="22"/>
  <c r="H510" i="22"/>
  <c r="H518" i="22"/>
  <c r="H526" i="22"/>
  <c r="H520" i="22"/>
  <c r="H507" i="22"/>
  <c r="H523" i="22"/>
  <c r="I539" i="23"/>
  <c r="J539" i="23" s="1"/>
  <c r="K539" i="23" s="1"/>
  <c r="L539" i="23" s="1"/>
  <c r="I547" i="23"/>
  <c r="J547" i="23" s="1"/>
  <c r="K547" i="23" s="1"/>
  <c r="L547" i="23" s="1"/>
  <c r="I555" i="23"/>
  <c r="J555" i="23" s="1"/>
  <c r="K555" i="23" s="1"/>
  <c r="L555" i="23" s="1"/>
  <c r="I560" i="23"/>
  <c r="J560" i="23" s="1"/>
  <c r="K560" i="23" s="1"/>
  <c r="L560" i="23" s="1"/>
  <c r="I544" i="23"/>
  <c r="J544" i="23" s="1"/>
  <c r="K544" i="23" s="1"/>
  <c r="L544" i="23" s="1"/>
  <c r="I552" i="23"/>
  <c r="J552" i="23" s="1"/>
  <c r="K552" i="23" s="1"/>
  <c r="L552" i="23" s="1"/>
  <c r="I541" i="23"/>
  <c r="J541" i="23" s="1"/>
  <c r="K541" i="23" s="1"/>
  <c r="L541" i="23" s="1"/>
  <c r="I549" i="23"/>
  <c r="J549" i="23" s="1"/>
  <c r="K549" i="23" s="1"/>
  <c r="L549" i="23" s="1"/>
  <c r="I557" i="23"/>
  <c r="J557" i="23" s="1"/>
  <c r="K557" i="23" s="1"/>
  <c r="L557" i="23" s="1"/>
  <c r="I545" i="23"/>
  <c r="J545" i="23" s="1"/>
  <c r="K545" i="23" s="1"/>
  <c r="L545" i="23" s="1"/>
  <c r="I538" i="23"/>
  <c r="J538" i="23" s="1"/>
  <c r="K538" i="23" s="1"/>
  <c r="L538" i="23" s="1"/>
  <c r="I546" i="23"/>
  <c r="J546" i="23" s="1"/>
  <c r="K546" i="23" s="1"/>
  <c r="L546" i="23" s="1"/>
  <c r="I554" i="23"/>
  <c r="J554" i="23" s="1"/>
  <c r="K554" i="23" s="1"/>
  <c r="L554" i="23" s="1"/>
  <c r="I543" i="23"/>
  <c r="J543" i="23" s="1"/>
  <c r="K543" i="23" s="1"/>
  <c r="L543" i="23" s="1"/>
  <c r="I551" i="23"/>
  <c r="J551" i="23" s="1"/>
  <c r="K551" i="23" s="1"/>
  <c r="L551" i="23" s="1"/>
  <c r="I559" i="23"/>
  <c r="J559" i="23" s="1"/>
  <c r="K559" i="23" s="1"/>
  <c r="L559" i="23" s="1"/>
  <c r="I537" i="23"/>
  <c r="J537" i="23" s="1"/>
  <c r="K537" i="23" s="1"/>
  <c r="L537" i="23" s="1"/>
  <c r="I540" i="23"/>
  <c r="J540" i="23" s="1"/>
  <c r="K540" i="23" s="1"/>
  <c r="L540" i="23" s="1"/>
  <c r="I548" i="23"/>
  <c r="J548" i="23" s="1"/>
  <c r="K548" i="23" s="1"/>
  <c r="L548" i="23" s="1"/>
  <c r="I556" i="23"/>
  <c r="J556" i="23" s="1"/>
  <c r="K556" i="23" s="1"/>
  <c r="L556" i="23" s="1"/>
  <c r="I553" i="23"/>
  <c r="J553" i="23" s="1"/>
  <c r="K553" i="23" s="1"/>
  <c r="L553" i="23" s="1"/>
  <c r="I542" i="23"/>
  <c r="J542" i="23" s="1"/>
  <c r="K542" i="23" s="1"/>
  <c r="L542" i="23" s="1"/>
  <c r="I550" i="23"/>
  <c r="J550" i="23" s="1"/>
  <c r="K550" i="23" s="1"/>
  <c r="L550" i="23" s="1"/>
  <c r="I558" i="23"/>
  <c r="J558" i="23" s="1"/>
  <c r="K558" i="23" s="1"/>
  <c r="L558" i="23" s="1"/>
  <c r="H496" i="22"/>
  <c r="H500" i="22"/>
  <c r="H503" i="22"/>
  <c r="H502" i="22"/>
  <c r="H497" i="22"/>
  <c r="H501" i="22"/>
  <c r="H504" i="22"/>
  <c r="H498" i="22"/>
  <c r="H499" i="22"/>
  <c r="I524" i="23"/>
  <c r="J524" i="23" s="1"/>
  <c r="K524" i="23" s="1"/>
  <c r="L524" i="23" s="1"/>
  <c r="I532" i="23"/>
  <c r="J532" i="23" s="1"/>
  <c r="K532" i="23" s="1"/>
  <c r="L532" i="23" s="1"/>
  <c r="I513" i="23"/>
  <c r="J513" i="23" s="1"/>
  <c r="K513" i="23" s="1"/>
  <c r="L513" i="23" s="1"/>
  <c r="I484" i="23"/>
  <c r="J484" i="23" s="1"/>
  <c r="K484" i="23" s="1"/>
  <c r="L484" i="23" s="1"/>
  <c r="I489" i="23"/>
  <c r="J489" i="23" s="1"/>
  <c r="K489" i="23" s="1"/>
  <c r="L489" i="23" s="1"/>
  <c r="I494" i="23"/>
  <c r="J494" i="23" s="1"/>
  <c r="K494" i="23" s="1"/>
  <c r="L494" i="23" s="1"/>
  <c r="I508" i="23"/>
  <c r="J508" i="23" s="1"/>
  <c r="K508" i="23" s="1"/>
  <c r="L508" i="23" s="1"/>
  <c r="I510" i="23"/>
  <c r="J510" i="23" s="1"/>
  <c r="K510" i="23" s="1"/>
  <c r="L510" i="23" s="1"/>
  <c r="I472" i="23"/>
  <c r="J472" i="23" s="1"/>
  <c r="K472" i="23" s="1"/>
  <c r="L472" i="23" s="1"/>
  <c r="I465" i="23"/>
  <c r="J465" i="23" s="1"/>
  <c r="K465" i="23" s="1"/>
  <c r="L465" i="23" s="1"/>
  <c r="I463" i="23"/>
  <c r="J463" i="23" s="1"/>
  <c r="K463" i="23" s="1"/>
  <c r="L463" i="23" s="1"/>
  <c r="I451" i="23"/>
  <c r="J451" i="23" s="1"/>
  <c r="K451" i="23" s="1"/>
  <c r="L451" i="23" s="1"/>
  <c r="I449" i="23"/>
  <c r="J449" i="23" s="1"/>
  <c r="K449" i="23" s="1"/>
  <c r="L449" i="23" s="1"/>
  <c r="I447" i="23"/>
  <c r="J447" i="23" s="1"/>
  <c r="K447" i="23" s="1"/>
  <c r="L447" i="23" s="1"/>
  <c r="I435" i="23"/>
  <c r="J435" i="23" s="1"/>
  <c r="K435" i="23" s="1"/>
  <c r="L435" i="23" s="1"/>
  <c r="I391" i="23"/>
  <c r="J391" i="23" s="1"/>
  <c r="K391" i="23" s="1"/>
  <c r="L391" i="23" s="1"/>
  <c r="I399" i="23"/>
  <c r="J399" i="23" s="1"/>
  <c r="K399" i="23" s="1"/>
  <c r="L399" i="23" s="1"/>
  <c r="I415" i="23"/>
  <c r="J415" i="23" s="1"/>
  <c r="K415" i="23" s="1"/>
  <c r="L415" i="23" s="1"/>
  <c r="I417" i="23"/>
  <c r="J417" i="23" s="1"/>
  <c r="K417" i="23" s="1"/>
  <c r="L417" i="23" s="1"/>
  <c r="I419" i="23"/>
  <c r="J419" i="23" s="1"/>
  <c r="K419" i="23" s="1"/>
  <c r="L419" i="23" s="1"/>
  <c r="I421" i="23"/>
  <c r="J421" i="23" s="1"/>
  <c r="K421" i="23" s="1"/>
  <c r="L421" i="23" s="1"/>
  <c r="I423" i="23"/>
  <c r="J423" i="23" s="1"/>
  <c r="K423" i="23" s="1"/>
  <c r="L423" i="23" s="1"/>
  <c r="I425" i="23"/>
  <c r="J425" i="23" s="1"/>
  <c r="K425" i="23" s="1"/>
  <c r="L425" i="23" s="1"/>
  <c r="I427" i="23"/>
  <c r="J427" i="23" s="1"/>
  <c r="K427" i="23" s="1"/>
  <c r="L427" i="23" s="1"/>
  <c r="I429" i="23"/>
  <c r="J429" i="23" s="1"/>
  <c r="K429" i="23" s="1"/>
  <c r="L429" i="23" s="1"/>
  <c r="I529" i="23"/>
  <c r="J529" i="23" s="1"/>
  <c r="K529" i="23" s="1"/>
  <c r="L529" i="23" s="1"/>
  <c r="I521" i="23"/>
  <c r="J521" i="23" s="1"/>
  <c r="K521" i="23" s="1"/>
  <c r="L521" i="23" s="1"/>
  <c r="I518" i="23"/>
  <c r="J518" i="23" s="1"/>
  <c r="K518" i="23" s="1"/>
  <c r="L518" i="23" s="1"/>
  <c r="I496" i="23"/>
  <c r="J496" i="23" s="1"/>
  <c r="K496" i="23" s="1"/>
  <c r="L496" i="23" s="1"/>
  <c r="I503" i="23"/>
  <c r="J503" i="23" s="1"/>
  <c r="K503" i="23" s="1"/>
  <c r="L503" i="23" s="1"/>
  <c r="I474" i="23"/>
  <c r="J474" i="23" s="1"/>
  <c r="K474" i="23" s="1"/>
  <c r="L474" i="23" s="1"/>
  <c r="I445" i="23"/>
  <c r="J445" i="23" s="1"/>
  <c r="K445" i="23" s="1"/>
  <c r="L445" i="23" s="1"/>
  <c r="I443" i="23"/>
  <c r="J443" i="23" s="1"/>
  <c r="K443" i="23" s="1"/>
  <c r="L443" i="23" s="1"/>
  <c r="I388" i="23"/>
  <c r="J388" i="23" s="1"/>
  <c r="K388" i="23" s="1"/>
  <c r="L388" i="23" s="1"/>
  <c r="I396" i="23"/>
  <c r="J396" i="23" s="1"/>
  <c r="K396" i="23" s="1"/>
  <c r="L396" i="23" s="1"/>
  <c r="I404" i="23"/>
  <c r="J404" i="23" s="1"/>
  <c r="K404" i="23" s="1"/>
  <c r="L404" i="23" s="1"/>
  <c r="I526" i="23"/>
  <c r="J526" i="23" s="1"/>
  <c r="K526" i="23" s="1"/>
  <c r="L526" i="23" s="1"/>
  <c r="I534" i="23"/>
  <c r="J534" i="23" s="1"/>
  <c r="K534" i="23" s="1"/>
  <c r="L534" i="23" s="1"/>
  <c r="I515" i="23"/>
  <c r="J515" i="23" s="1"/>
  <c r="K515" i="23" s="1"/>
  <c r="L515" i="23" s="1"/>
  <c r="I481" i="23"/>
  <c r="J481" i="23" s="1"/>
  <c r="K481" i="23" s="1"/>
  <c r="L481" i="23" s="1"/>
  <c r="I486" i="23"/>
  <c r="J486" i="23" s="1"/>
  <c r="K486" i="23" s="1"/>
  <c r="L486" i="23" s="1"/>
  <c r="I491" i="23"/>
  <c r="J491" i="23" s="1"/>
  <c r="K491" i="23" s="1"/>
  <c r="L491" i="23" s="1"/>
  <c r="I498" i="23"/>
  <c r="J498" i="23" s="1"/>
  <c r="K498" i="23" s="1"/>
  <c r="L498" i="23" s="1"/>
  <c r="I476" i="23"/>
  <c r="J476" i="23" s="1"/>
  <c r="K476" i="23" s="1"/>
  <c r="L476" i="23" s="1"/>
  <c r="I452" i="23"/>
  <c r="J452" i="23" s="1"/>
  <c r="K452" i="23" s="1"/>
  <c r="L452" i="23" s="1"/>
  <c r="I454" i="23"/>
  <c r="J454" i="23" s="1"/>
  <c r="K454" i="23" s="1"/>
  <c r="L454" i="23" s="1"/>
  <c r="I456" i="23"/>
  <c r="J456" i="23" s="1"/>
  <c r="K456" i="23" s="1"/>
  <c r="L456" i="23" s="1"/>
  <c r="I458" i="23"/>
  <c r="J458" i="23" s="1"/>
  <c r="K458" i="23" s="1"/>
  <c r="L458" i="23" s="1"/>
  <c r="I460" i="23"/>
  <c r="J460" i="23" s="1"/>
  <c r="K460" i="23" s="1"/>
  <c r="L460" i="23" s="1"/>
  <c r="I462" i="23"/>
  <c r="J462" i="23" s="1"/>
  <c r="K462" i="23" s="1"/>
  <c r="L462" i="23" s="1"/>
  <c r="I441" i="23"/>
  <c r="J441" i="23" s="1"/>
  <c r="K441" i="23" s="1"/>
  <c r="L441" i="23" s="1"/>
  <c r="I439" i="23"/>
  <c r="J439" i="23" s="1"/>
  <c r="K439" i="23" s="1"/>
  <c r="L439" i="23" s="1"/>
  <c r="I437" i="23"/>
  <c r="J437" i="23" s="1"/>
  <c r="K437" i="23" s="1"/>
  <c r="L437" i="23" s="1"/>
  <c r="I393" i="23"/>
  <c r="J393" i="23" s="1"/>
  <c r="K393" i="23" s="1"/>
  <c r="L393" i="23" s="1"/>
  <c r="I401" i="23"/>
  <c r="J401" i="23" s="1"/>
  <c r="K401" i="23" s="1"/>
  <c r="L401" i="23" s="1"/>
  <c r="I406" i="23"/>
  <c r="J406" i="23" s="1"/>
  <c r="K406" i="23" s="1"/>
  <c r="L406" i="23" s="1"/>
  <c r="I408" i="23"/>
  <c r="J408" i="23" s="1"/>
  <c r="K408" i="23" s="1"/>
  <c r="L408" i="23" s="1"/>
  <c r="I523" i="23"/>
  <c r="J523" i="23" s="1"/>
  <c r="K523" i="23" s="1"/>
  <c r="L523" i="23" s="1"/>
  <c r="I531" i="23"/>
  <c r="J531" i="23" s="1"/>
  <c r="K531" i="23" s="1"/>
  <c r="L531" i="23" s="1"/>
  <c r="I512" i="23"/>
  <c r="J512" i="23" s="1"/>
  <c r="K512" i="23" s="1"/>
  <c r="L512" i="23" s="1"/>
  <c r="I520" i="23"/>
  <c r="J520" i="23" s="1"/>
  <c r="K520" i="23" s="1"/>
  <c r="L520" i="23" s="1"/>
  <c r="I483" i="23"/>
  <c r="J483" i="23" s="1"/>
  <c r="K483" i="23" s="1"/>
  <c r="L483" i="23" s="1"/>
  <c r="I488" i="23"/>
  <c r="J488" i="23" s="1"/>
  <c r="K488" i="23" s="1"/>
  <c r="L488" i="23" s="1"/>
  <c r="I500" i="23"/>
  <c r="J500" i="23" s="1"/>
  <c r="K500" i="23" s="1"/>
  <c r="L500" i="23" s="1"/>
  <c r="I505" i="23"/>
  <c r="J505" i="23" s="1"/>
  <c r="K505" i="23" s="1"/>
  <c r="L505" i="23" s="1"/>
  <c r="I507" i="23"/>
  <c r="J507" i="23" s="1"/>
  <c r="K507" i="23" s="1"/>
  <c r="L507" i="23" s="1"/>
  <c r="I467" i="23"/>
  <c r="J467" i="23" s="1"/>
  <c r="K467" i="23" s="1"/>
  <c r="L467" i="23" s="1"/>
  <c r="I469" i="23"/>
  <c r="J469" i="23" s="1"/>
  <c r="K469" i="23" s="1"/>
  <c r="L469" i="23" s="1"/>
  <c r="I471" i="23"/>
  <c r="J471" i="23" s="1"/>
  <c r="K471" i="23" s="1"/>
  <c r="L471" i="23" s="1"/>
  <c r="I478" i="23"/>
  <c r="J478" i="23" s="1"/>
  <c r="K478" i="23" s="1"/>
  <c r="L478" i="23" s="1"/>
  <c r="I480" i="23"/>
  <c r="J480" i="23" s="1"/>
  <c r="K480" i="23" s="1"/>
  <c r="L480" i="23" s="1"/>
  <c r="I430" i="23"/>
  <c r="J430" i="23" s="1"/>
  <c r="K430" i="23" s="1"/>
  <c r="L430" i="23" s="1"/>
  <c r="I432" i="23"/>
  <c r="J432" i="23" s="1"/>
  <c r="K432" i="23" s="1"/>
  <c r="L432" i="23" s="1"/>
  <c r="I434" i="23"/>
  <c r="J434" i="23" s="1"/>
  <c r="K434" i="23" s="1"/>
  <c r="L434" i="23" s="1"/>
  <c r="I390" i="23"/>
  <c r="J390" i="23" s="1"/>
  <c r="K390" i="23" s="1"/>
  <c r="L390" i="23" s="1"/>
  <c r="I398" i="23"/>
  <c r="J398" i="23" s="1"/>
  <c r="K398" i="23" s="1"/>
  <c r="L398" i="23" s="1"/>
  <c r="I410" i="23"/>
  <c r="J410" i="23" s="1"/>
  <c r="K410" i="23" s="1"/>
  <c r="L410" i="23" s="1"/>
  <c r="I412" i="23"/>
  <c r="J412" i="23" s="1"/>
  <c r="K412" i="23" s="1"/>
  <c r="L412" i="23" s="1"/>
  <c r="I528" i="23"/>
  <c r="J528" i="23" s="1"/>
  <c r="K528" i="23" s="1"/>
  <c r="L528" i="23" s="1"/>
  <c r="I536" i="23"/>
  <c r="J536" i="23" s="1"/>
  <c r="K536" i="23" s="1"/>
  <c r="L536" i="23" s="1"/>
  <c r="I517" i="23"/>
  <c r="J517" i="23" s="1"/>
  <c r="K517" i="23" s="1"/>
  <c r="L517" i="23" s="1"/>
  <c r="I493" i="23"/>
  <c r="J493" i="23" s="1"/>
  <c r="K493" i="23" s="1"/>
  <c r="L493" i="23" s="1"/>
  <c r="I495" i="23"/>
  <c r="J495" i="23" s="1"/>
  <c r="K495" i="23" s="1"/>
  <c r="L495" i="23" s="1"/>
  <c r="I502" i="23"/>
  <c r="J502" i="23" s="1"/>
  <c r="K502" i="23" s="1"/>
  <c r="L502" i="23" s="1"/>
  <c r="I509" i="23"/>
  <c r="J509" i="23" s="1"/>
  <c r="K509" i="23" s="1"/>
  <c r="L509" i="23" s="1"/>
  <c r="I473" i="23"/>
  <c r="J473" i="23" s="1"/>
  <c r="K473" i="23" s="1"/>
  <c r="L473" i="23" s="1"/>
  <c r="I450" i="23"/>
  <c r="J450" i="23" s="1"/>
  <c r="K450" i="23" s="1"/>
  <c r="L450" i="23" s="1"/>
  <c r="I448" i="23"/>
  <c r="J448" i="23" s="1"/>
  <c r="K448" i="23" s="1"/>
  <c r="L448" i="23" s="1"/>
  <c r="I446" i="23"/>
  <c r="J446" i="23" s="1"/>
  <c r="K446" i="23" s="1"/>
  <c r="L446" i="23" s="1"/>
  <c r="I387" i="23"/>
  <c r="J387" i="23" s="1"/>
  <c r="K387" i="23" s="1"/>
  <c r="L387" i="23" s="1"/>
  <c r="I395" i="23"/>
  <c r="J395" i="23" s="1"/>
  <c r="K395" i="23" s="1"/>
  <c r="L395" i="23" s="1"/>
  <c r="I403" i="23"/>
  <c r="J403" i="23" s="1"/>
  <c r="K403" i="23" s="1"/>
  <c r="L403" i="23" s="1"/>
  <c r="I414" i="23"/>
  <c r="J414" i="23" s="1"/>
  <c r="K414" i="23" s="1"/>
  <c r="L414" i="23" s="1"/>
  <c r="I416" i="23"/>
  <c r="J416" i="23" s="1"/>
  <c r="K416" i="23" s="1"/>
  <c r="L416" i="23" s="1"/>
  <c r="I418" i="23"/>
  <c r="J418" i="23" s="1"/>
  <c r="K418" i="23" s="1"/>
  <c r="L418" i="23" s="1"/>
  <c r="I420" i="23"/>
  <c r="J420" i="23" s="1"/>
  <c r="K420" i="23" s="1"/>
  <c r="L420" i="23" s="1"/>
  <c r="I422" i="23"/>
  <c r="J422" i="23" s="1"/>
  <c r="K422" i="23" s="1"/>
  <c r="L422" i="23" s="1"/>
  <c r="I424" i="23"/>
  <c r="J424" i="23" s="1"/>
  <c r="K424" i="23" s="1"/>
  <c r="L424" i="23" s="1"/>
  <c r="I426" i="23"/>
  <c r="J426" i="23" s="1"/>
  <c r="K426" i="23" s="1"/>
  <c r="L426" i="23" s="1"/>
  <c r="I428" i="23"/>
  <c r="J428" i="23" s="1"/>
  <c r="K428" i="23" s="1"/>
  <c r="L428" i="23" s="1"/>
  <c r="I385" i="23"/>
  <c r="J385" i="23" s="1"/>
  <c r="K385" i="23" s="1"/>
  <c r="L385" i="23" s="1"/>
  <c r="I525" i="23"/>
  <c r="J525" i="23" s="1"/>
  <c r="K525" i="23" s="1"/>
  <c r="L525" i="23" s="1"/>
  <c r="I533" i="23"/>
  <c r="J533" i="23" s="1"/>
  <c r="K533" i="23" s="1"/>
  <c r="L533" i="23" s="1"/>
  <c r="I514" i="23"/>
  <c r="J514" i="23" s="1"/>
  <c r="K514" i="23" s="1"/>
  <c r="L514" i="23" s="1"/>
  <c r="I485" i="23"/>
  <c r="J485" i="23" s="1"/>
  <c r="K485" i="23" s="1"/>
  <c r="L485" i="23" s="1"/>
  <c r="I490" i="23"/>
  <c r="J490" i="23" s="1"/>
  <c r="K490" i="23" s="1"/>
  <c r="L490" i="23" s="1"/>
  <c r="I497" i="23"/>
  <c r="J497" i="23" s="1"/>
  <c r="K497" i="23" s="1"/>
  <c r="L497" i="23" s="1"/>
  <c r="I475" i="23"/>
  <c r="J475" i="23" s="1"/>
  <c r="K475" i="23" s="1"/>
  <c r="L475" i="23" s="1"/>
  <c r="I464" i="23"/>
  <c r="J464" i="23" s="1"/>
  <c r="K464" i="23" s="1"/>
  <c r="L464" i="23" s="1"/>
  <c r="I444" i="23"/>
  <c r="J444" i="23" s="1"/>
  <c r="K444" i="23" s="1"/>
  <c r="L444" i="23" s="1"/>
  <c r="I442" i="23"/>
  <c r="J442" i="23" s="1"/>
  <c r="K442" i="23" s="1"/>
  <c r="L442" i="23" s="1"/>
  <c r="I436" i="23"/>
  <c r="J436" i="23" s="1"/>
  <c r="K436" i="23" s="1"/>
  <c r="L436" i="23" s="1"/>
  <c r="I392" i="23"/>
  <c r="J392" i="23" s="1"/>
  <c r="K392" i="23" s="1"/>
  <c r="L392" i="23" s="1"/>
  <c r="I400" i="23"/>
  <c r="J400" i="23" s="1"/>
  <c r="K400" i="23" s="1"/>
  <c r="L400" i="23" s="1"/>
  <c r="I384" i="23"/>
  <c r="J384" i="23" s="1"/>
  <c r="K384" i="23" s="1"/>
  <c r="L384" i="23" s="1"/>
  <c r="I522" i="23"/>
  <c r="J522" i="23" s="1"/>
  <c r="K522" i="23" s="1"/>
  <c r="L522" i="23" s="1"/>
  <c r="I530" i="23"/>
  <c r="J530" i="23" s="1"/>
  <c r="K530" i="23" s="1"/>
  <c r="L530" i="23" s="1"/>
  <c r="I511" i="23"/>
  <c r="J511" i="23" s="1"/>
  <c r="K511" i="23" s="1"/>
  <c r="L511" i="23" s="1"/>
  <c r="I519" i="23"/>
  <c r="J519" i="23" s="1"/>
  <c r="K519" i="23" s="1"/>
  <c r="L519" i="23" s="1"/>
  <c r="I482" i="23"/>
  <c r="J482" i="23" s="1"/>
  <c r="K482" i="23" s="1"/>
  <c r="L482" i="23" s="1"/>
  <c r="I487" i="23"/>
  <c r="J487" i="23" s="1"/>
  <c r="K487" i="23" s="1"/>
  <c r="L487" i="23" s="1"/>
  <c r="I499" i="23"/>
  <c r="J499" i="23" s="1"/>
  <c r="K499" i="23" s="1"/>
  <c r="L499" i="23" s="1"/>
  <c r="I504" i="23"/>
  <c r="J504" i="23" s="1"/>
  <c r="K504" i="23" s="1"/>
  <c r="L504" i="23" s="1"/>
  <c r="I466" i="23"/>
  <c r="J466" i="23" s="1"/>
  <c r="K466" i="23" s="1"/>
  <c r="L466" i="23" s="1"/>
  <c r="I453" i="23"/>
  <c r="J453" i="23" s="1"/>
  <c r="K453" i="23" s="1"/>
  <c r="L453" i="23" s="1"/>
  <c r="I455" i="23"/>
  <c r="J455" i="23" s="1"/>
  <c r="K455" i="23" s="1"/>
  <c r="L455" i="23" s="1"/>
  <c r="I457" i="23"/>
  <c r="J457" i="23" s="1"/>
  <c r="K457" i="23" s="1"/>
  <c r="L457" i="23" s="1"/>
  <c r="I459" i="23"/>
  <c r="J459" i="23" s="1"/>
  <c r="K459" i="23" s="1"/>
  <c r="L459" i="23" s="1"/>
  <c r="I461" i="23"/>
  <c r="J461" i="23" s="1"/>
  <c r="K461" i="23" s="1"/>
  <c r="L461" i="23" s="1"/>
  <c r="I440" i="23"/>
  <c r="J440" i="23" s="1"/>
  <c r="K440" i="23" s="1"/>
  <c r="L440" i="23" s="1"/>
  <c r="I438" i="23"/>
  <c r="J438" i="23" s="1"/>
  <c r="K438" i="23" s="1"/>
  <c r="L438" i="23" s="1"/>
  <c r="I389" i="23"/>
  <c r="J389" i="23" s="1"/>
  <c r="K389" i="23" s="1"/>
  <c r="L389" i="23" s="1"/>
  <c r="I397" i="23"/>
  <c r="J397" i="23" s="1"/>
  <c r="K397" i="23" s="1"/>
  <c r="L397" i="23" s="1"/>
  <c r="I405" i="23"/>
  <c r="J405" i="23" s="1"/>
  <c r="K405" i="23" s="1"/>
  <c r="L405" i="23" s="1"/>
  <c r="I409" i="23"/>
  <c r="J409" i="23" s="1"/>
  <c r="K409" i="23" s="1"/>
  <c r="L409" i="23" s="1"/>
  <c r="I527" i="23"/>
  <c r="J527" i="23" s="1"/>
  <c r="K527" i="23" s="1"/>
  <c r="L527" i="23" s="1"/>
  <c r="I535" i="23"/>
  <c r="J535" i="23" s="1"/>
  <c r="K535" i="23" s="1"/>
  <c r="L535" i="23" s="1"/>
  <c r="I516" i="23"/>
  <c r="J516" i="23" s="1"/>
  <c r="K516" i="23" s="1"/>
  <c r="L516" i="23" s="1"/>
  <c r="I492" i="23"/>
  <c r="J492" i="23" s="1"/>
  <c r="K492" i="23" s="1"/>
  <c r="L492" i="23" s="1"/>
  <c r="I501" i="23"/>
  <c r="J501" i="23" s="1"/>
  <c r="K501" i="23" s="1"/>
  <c r="L501" i="23" s="1"/>
  <c r="I506" i="23"/>
  <c r="J506" i="23" s="1"/>
  <c r="K506" i="23" s="1"/>
  <c r="L506" i="23" s="1"/>
  <c r="I468" i="23"/>
  <c r="J468" i="23" s="1"/>
  <c r="K468" i="23" s="1"/>
  <c r="L468" i="23" s="1"/>
  <c r="I470" i="23"/>
  <c r="J470" i="23" s="1"/>
  <c r="K470" i="23" s="1"/>
  <c r="L470" i="23" s="1"/>
  <c r="I477" i="23"/>
  <c r="J477" i="23" s="1"/>
  <c r="K477" i="23" s="1"/>
  <c r="L477" i="23" s="1"/>
  <c r="I479" i="23"/>
  <c r="J479" i="23" s="1"/>
  <c r="K479" i="23" s="1"/>
  <c r="L479" i="23" s="1"/>
  <c r="I431" i="23"/>
  <c r="J431" i="23" s="1"/>
  <c r="K431" i="23" s="1"/>
  <c r="L431" i="23" s="1"/>
  <c r="I433" i="23"/>
  <c r="J433" i="23" s="1"/>
  <c r="K433" i="23" s="1"/>
  <c r="L433" i="23" s="1"/>
  <c r="I386" i="23"/>
  <c r="J386" i="23" s="1"/>
  <c r="K386" i="23" s="1"/>
  <c r="L386" i="23" s="1"/>
  <c r="I394" i="23"/>
  <c r="J394" i="23" s="1"/>
  <c r="K394" i="23" s="1"/>
  <c r="L394" i="23" s="1"/>
  <c r="I402" i="23"/>
  <c r="J402" i="23" s="1"/>
  <c r="K402" i="23" s="1"/>
  <c r="L402" i="23" s="1"/>
  <c r="I411" i="23"/>
  <c r="J411" i="23" s="1"/>
  <c r="K411" i="23" s="1"/>
  <c r="L411" i="23" s="1"/>
  <c r="I413" i="23"/>
  <c r="J413" i="23" s="1"/>
  <c r="K413" i="23" s="1"/>
  <c r="L413" i="23" s="1"/>
  <c r="H483" i="22"/>
  <c r="H491" i="22"/>
  <c r="H486" i="22"/>
  <c r="H494" i="22"/>
  <c r="H489" i="22"/>
  <c r="H488" i="22"/>
  <c r="H484" i="22"/>
  <c r="H492" i="22"/>
  <c r="H487" i="22"/>
  <c r="H495" i="22"/>
  <c r="H490" i="22"/>
  <c r="H485" i="22"/>
  <c r="H493" i="22"/>
  <c r="M474" i="23"/>
  <c r="M453" i="23"/>
  <c r="M479" i="23"/>
  <c r="M481" i="23"/>
  <c r="M467" i="23"/>
  <c r="M506" i="23"/>
  <c r="H458" i="22"/>
  <c r="H466" i="22"/>
  <c r="H474" i="22"/>
  <c r="H482" i="22"/>
  <c r="H463" i="22"/>
  <c r="H461" i="22"/>
  <c r="H469" i="22"/>
  <c r="H477" i="22"/>
  <c r="H468" i="22"/>
  <c r="H471" i="22"/>
  <c r="H464" i="22"/>
  <c r="H472" i="22"/>
  <c r="H480" i="22"/>
  <c r="H479" i="22"/>
  <c r="H459" i="22"/>
  <c r="H467" i="22"/>
  <c r="H475" i="22"/>
  <c r="H462" i="22"/>
  <c r="H470" i="22"/>
  <c r="H478" i="22"/>
  <c r="H465" i="22"/>
  <c r="H473" i="22"/>
  <c r="H481" i="22"/>
  <c r="H460" i="22"/>
  <c r="H476" i="22"/>
  <c r="M430" i="23"/>
  <c r="M472" i="23"/>
  <c r="M452" i="23"/>
  <c r="M469" i="23"/>
  <c r="M459" i="23"/>
  <c r="M458" i="23"/>
  <c r="M443" i="23"/>
  <c r="M456" i="23"/>
  <c r="M410" i="23"/>
  <c r="M460" i="23"/>
  <c r="H428" i="22"/>
  <c r="H436" i="22"/>
  <c r="H444" i="22"/>
  <c r="H452" i="22"/>
  <c r="H431" i="22"/>
  <c r="H439" i="22"/>
  <c r="H447" i="22"/>
  <c r="H455" i="22"/>
  <c r="H434" i="22"/>
  <c r="H442" i="22"/>
  <c r="H450" i="22"/>
  <c r="H430" i="22"/>
  <c r="H446" i="22"/>
  <c r="H429" i="22"/>
  <c r="H437" i="22"/>
  <c r="H445" i="22"/>
  <c r="H453" i="22"/>
  <c r="H435" i="22"/>
  <c r="H432" i="22"/>
  <c r="H440" i="22"/>
  <c r="H448" i="22"/>
  <c r="H456" i="22"/>
  <c r="H438" i="22"/>
  <c r="H454" i="22"/>
  <c r="H433" i="22"/>
  <c r="H441" i="22"/>
  <c r="H449" i="22"/>
  <c r="H457" i="22"/>
  <c r="H443" i="22"/>
  <c r="H451" i="22"/>
  <c r="M426" i="23"/>
  <c r="M442" i="23"/>
  <c r="M367" i="23"/>
  <c r="M444" i="23"/>
  <c r="M412" i="23"/>
  <c r="M418" i="23"/>
  <c r="M431" i="23"/>
  <c r="M439" i="23"/>
  <c r="M419" i="23"/>
  <c r="M411" i="23"/>
  <c r="H398" i="22"/>
  <c r="H399" i="22"/>
  <c r="H407" i="22"/>
  <c r="H415" i="22"/>
  <c r="H423" i="22"/>
  <c r="H402" i="22"/>
  <c r="H410" i="22"/>
  <c r="H418" i="22"/>
  <c r="H426" i="22"/>
  <c r="H416" i="22"/>
  <c r="H405" i="22"/>
  <c r="H413" i="22"/>
  <c r="H421" i="22"/>
  <c r="H400" i="22"/>
  <c r="H408" i="22"/>
  <c r="H424" i="22"/>
  <c r="H404" i="22"/>
  <c r="H420" i="22"/>
  <c r="H403" i="22"/>
  <c r="H411" i="22"/>
  <c r="H419" i="22"/>
  <c r="H427" i="22"/>
  <c r="H412" i="22"/>
  <c r="H406" i="22"/>
  <c r="H414" i="22"/>
  <c r="H422" i="22"/>
  <c r="H401" i="22"/>
  <c r="H409" i="22"/>
  <c r="H417" i="22"/>
  <c r="H425" i="22"/>
  <c r="M219" i="23"/>
  <c r="M423" i="23"/>
  <c r="M305" i="23"/>
  <c r="M405" i="23"/>
  <c r="M303" i="23"/>
  <c r="M408" i="23"/>
  <c r="M319" i="23"/>
  <c r="M415" i="23"/>
  <c r="M376" i="23"/>
  <c r="M428" i="23"/>
  <c r="M318" i="23"/>
  <c r="M421" i="23"/>
  <c r="H384" i="22"/>
  <c r="H392" i="22"/>
  <c r="H387" i="22"/>
  <c r="H395" i="22"/>
  <c r="H390" i="22"/>
  <c r="H385" i="22"/>
  <c r="H393" i="22"/>
  <c r="H391" i="22"/>
  <c r="H388" i="22"/>
  <c r="H396" i="22"/>
  <c r="H386" i="22"/>
  <c r="H394" i="22"/>
  <c r="H389" i="22"/>
  <c r="H397" i="22"/>
  <c r="M316" i="23"/>
  <c r="M382" i="23"/>
  <c r="M315" i="23"/>
  <c r="M377" i="23"/>
  <c r="M337" i="23"/>
  <c r="M371" i="23"/>
  <c r="M370" i="23"/>
  <c r="M380" i="23"/>
  <c r="H370" i="22"/>
  <c r="H378" i="22"/>
  <c r="H382" i="22"/>
  <c r="H373" i="22"/>
  <c r="H381" i="22"/>
  <c r="H383" i="22"/>
  <c r="H376" i="22"/>
  <c r="H374" i="22"/>
  <c r="H371" i="22"/>
  <c r="H379" i="22"/>
  <c r="H375" i="22"/>
  <c r="H377" i="22"/>
  <c r="H372" i="22"/>
  <c r="H380" i="22"/>
  <c r="I366" i="23"/>
  <c r="J366" i="23" s="1"/>
  <c r="K366" i="23" s="1"/>
  <c r="L366" i="23" s="1"/>
  <c r="I374" i="23"/>
  <c r="J374" i="23" s="1"/>
  <c r="K374" i="23" s="1"/>
  <c r="L374" i="23" s="1"/>
  <c r="I382" i="23"/>
  <c r="J382" i="23" s="1"/>
  <c r="K382" i="23" s="1"/>
  <c r="L382" i="23" s="1"/>
  <c r="I348" i="23"/>
  <c r="J348" i="23" s="1"/>
  <c r="K348" i="23" s="1"/>
  <c r="L348" i="23" s="1"/>
  <c r="I337" i="23"/>
  <c r="J337" i="23" s="1"/>
  <c r="K337" i="23" s="1"/>
  <c r="L337" i="23" s="1"/>
  <c r="I321" i="23"/>
  <c r="J321" i="23" s="1"/>
  <c r="K321" i="23" s="1"/>
  <c r="L321" i="23" s="1"/>
  <c r="I326" i="23"/>
  <c r="J326" i="23" s="1"/>
  <c r="K326" i="23" s="1"/>
  <c r="L326" i="23" s="1"/>
  <c r="I331" i="23"/>
  <c r="J331" i="23" s="1"/>
  <c r="K331" i="23" s="1"/>
  <c r="L331" i="23" s="1"/>
  <c r="I295" i="23"/>
  <c r="J295" i="23" s="1"/>
  <c r="K295" i="23" s="1"/>
  <c r="L295" i="23" s="1"/>
  <c r="I302" i="23"/>
  <c r="J302" i="23" s="1"/>
  <c r="K302" i="23" s="1"/>
  <c r="L302" i="23" s="1"/>
  <c r="I304" i="23"/>
  <c r="J304" i="23" s="1"/>
  <c r="K304" i="23" s="1"/>
  <c r="L304" i="23" s="1"/>
  <c r="I313" i="23"/>
  <c r="J313" i="23" s="1"/>
  <c r="K313" i="23" s="1"/>
  <c r="L313" i="23" s="1"/>
  <c r="I315" i="23"/>
  <c r="J315" i="23" s="1"/>
  <c r="K315" i="23" s="1"/>
  <c r="L315" i="23" s="1"/>
  <c r="I317" i="23"/>
  <c r="J317" i="23" s="1"/>
  <c r="K317" i="23" s="1"/>
  <c r="L317" i="23" s="1"/>
  <c r="I294" i="23"/>
  <c r="J294" i="23" s="1"/>
  <c r="K294" i="23" s="1"/>
  <c r="L294" i="23" s="1"/>
  <c r="I277" i="23"/>
  <c r="J277" i="23" s="1"/>
  <c r="K277" i="23" s="1"/>
  <c r="L277" i="23" s="1"/>
  <c r="I285" i="23"/>
  <c r="J285" i="23" s="1"/>
  <c r="K285" i="23" s="1"/>
  <c r="L285" i="23" s="1"/>
  <c r="I287" i="23"/>
  <c r="J287" i="23" s="1"/>
  <c r="K287" i="23" s="1"/>
  <c r="L287" i="23" s="1"/>
  <c r="I263" i="23"/>
  <c r="J263" i="23" s="1"/>
  <c r="K263" i="23" s="1"/>
  <c r="L263" i="23" s="1"/>
  <c r="I251" i="23"/>
  <c r="J251" i="23" s="1"/>
  <c r="K251" i="23" s="1"/>
  <c r="L251" i="23" s="1"/>
  <c r="I235" i="23"/>
  <c r="J235" i="23" s="1"/>
  <c r="K235" i="23" s="1"/>
  <c r="L235" i="23" s="1"/>
  <c r="I244" i="23"/>
  <c r="J244" i="23" s="1"/>
  <c r="K244" i="23" s="1"/>
  <c r="L244" i="23" s="1"/>
  <c r="I220" i="23"/>
  <c r="J220" i="23" s="1"/>
  <c r="K220" i="23" s="1"/>
  <c r="L220" i="23" s="1"/>
  <c r="I227" i="23"/>
  <c r="J227" i="23" s="1"/>
  <c r="K227" i="23" s="1"/>
  <c r="L227" i="23" s="1"/>
  <c r="I218" i="23"/>
  <c r="J218" i="23" s="1"/>
  <c r="K218" i="23" s="1"/>
  <c r="L218" i="23" s="1"/>
  <c r="I216" i="23"/>
  <c r="J216" i="23" s="1"/>
  <c r="K216" i="23" s="1"/>
  <c r="L216" i="23" s="1"/>
  <c r="I214" i="23"/>
  <c r="J214" i="23" s="1"/>
  <c r="K214" i="23" s="1"/>
  <c r="L214" i="23" s="1"/>
  <c r="I212" i="23"/>
  <c r="J212" i="23" s="1"/>
  <c r="K212" i="23" s="1"/>
  <c r="L212" i="23" s="1"/>
  <c r="I210" i="23"/>
  <c r="J210" i="23" s="1"/>
  <c r="K210" i="23" s="1"/>
  <c r="L210" i="23" s="1"/>
  <c r="I371" i="23"/>
  <c r="J371" i="23" s="1"/>
  <c r="K371" i="23" s="1"/>
  <c r="L371" i="23" s="1"/>
  <c r="I379" i="23"/>
  <c r="J379" i="23" s="1"/>
  <c r="K379" i="23" s="1"/>
  <c r="L379" i="23" s="1"/>
  <c r="I343" i="23"/>
  <c r="J343" i="23" s="1"/>
  <c r="K343" i="23" s="1"/>
  <c r="L343" i="23" s="1"/>
  <c r="I350" i="23"/>
  <c r="J350" i="23" s="1"/>
  <c r="K350" i="23" s="1"/>
  <c r="L350" i="23" s="1"/>
  <c r="I357" i="23"/>
  <c r="J357" i="23" s="1"/>
  <c r="K357" i="23" s="1"/>
  <c r="L357" i="23" s="1"/>
  <c r="I362" i="23"/>
  <c r="J362" i="23" s="1"/>
  <c r="K362" i="23" s="1"/>
  <c r="L362" i="23" s="1"/>
  <c r="I339" i="23"/>
  <c r="J339" i="23" s="1"/>
  <c r="K339" i="23" s="1"/>
  <c r="L339" i="23" s="1"/>
  <c r="I333" i="23"/>
  <c r="J333" i="23" s="1"/>
  <c r="K333" i="23" s="1"/>
  <c r="L333" i="23" s="1"/>
  <c r="I297" i="23"/>
  <c r="J297" i="23" s="1"/>
  <c r="K297" i="23" s="1"/>
  <c r="L297" i="23" s="1"/>
  <c r="I306" i="23"/>
  <c r="J306" i="23" s="1"/>
  <c r="K306" i="23" s="1"/>
  <c r="L306" i="23" s="1"/>
  <c r="I268" i="23"/>
  <c r="J268" i="23" s="1"/>
  <c r="K268" i="23" s="1"/>
  <c r="L268" i="23" s="1"/>
  <c r="I270" i="23"/>
  <c r="J270" i="23" s="1"/>
  <c r="K270" i="23" s="1"/>
  <c r="L270" i="23" s="1"/>
  <c r="I282" i="23"/>
  <c r="J282" i="23" s="1"/>
  <c r="K282" i="23" s="1"/>
  <c r="L282" i="23" s="1"/>
  <c r="I289" i="23"/>
  <c r="J289" i="23" s="1"/>
  <c r="K289" i="23" s="1"/>
  <c r="L289" i="23" s="1"/>
  <c r="I291" i="23"/>
  <c r="J291" i="23" s="1"/>
  <c r="K291" i="23" s="1"/>
  <c r="L291" i="23" s="1"/>
  <c r="I293" i="23"/>
  <c r="J293" i="23" s="1"/>
  <c r="K293" i="23" s="1"/>
  <c r="L293" i="23" s="1"/>
  <c r="I261" i="23"/>
  <c r="J261" i="23" s="1"/>
  <c r="K261" i="23" s="1"/>
  <c r="L261" i="23" s="1"/>
  <c r="I230" i="23"/>
  <c r="J230" i="23" s="1"/>
  <c r="K230" i="23" s="1"/>
  <c r="L230" i="23" s="1"/>
  <c r="I237" i="23"/>
  <c r="J237" i="23" s="1"/>
  <c r="K237" i="23" s="1"/>
  <c r="L237" i="23" s="1"/>
  <c r="I222" i="23"/>
  <c r="J222" i="23" s="1"/>
  <c r="K222" i="23" s="1"/>
  <c r="L222" i="23" s="1"/>
  <c r="I208" i="23"/>
  <c r="J208" i="23" s="1"/>
  <c r="K208" i="23" s="1"/>
  <c r="L208" i="23" s="1"/>
  <c r="I345" i="23"/>
  <c r="J345" i="23" s="1"/>
  <c r="K345" i="23" s="1"/>
  <c r="L345" i="23" s="1"/>
  <c r="I359" i="23"/>
  <c r="J359" i="23" s="1"/>
  <c r="K359" i="23" s="1"/>
  <c r="L359" i="23" s="1"/>
  <c r="I328" i="23"/>
  <c r="J328" i="23" s="1"/>
  <c r="K328" i="23" s="1"/>
  <c r="L328" i="23" s="1"/>
  <c r="I308" i="23"/>
  <c r="J308" i="23" s="1"/>
  <c r="K308" i="23" s="1"/>
  <c r="L308" i="23" s="1"/>
  <c r="I279" i="23"/>
  <c r="J279" i="23" s="1"/>
  <c r="K279" i="23" s="1"/>
  <c r="L279" i="23" s="1"/>
  <c r="I256" i="23"/>
  <c r="J256" i="23" s="1"/>
  <c r="K256" i="23" s="1"/>
  <c r="L256" i="23" s="1"/>
  <c r="I368" i="23"/>
  <c r="J368" i="23" s="1"/>
  <c r="K368" i="23" s="1"/>
  <c r="L368" i="23" s="1"/>
  <c r="I376" i="23"/>
  <c r="J376" i="23" s="1"/>
  <c r="K376" i="23" s="1"/>
  <c r="L376" i="23" s="1"/>
  <c r="I352" i="23"/>
  <c r="J352" i="23" s="1"/>
  <c r="K352" i="23" s="1"/>
  <c r="L352" i="23" s="1"/>
  <c r="I323" i="23"/>
  <c r="J323" i="23" s="1"/>
  <c r="K323" i="23" s="1"/>
  <c r="L323" i="23" s="1"/>
  <c r="I335" i="23"/>
  <c r="J335" i="23" s="1"/>
  <c r="K335" i="23" s="1"/>
  <c r="L335" i="23" s="1"/>
  <c r="I310" i="23"/>
  <c r="J310" i="23" s="1"/>
  <c r="K310" i="23" s="1"/>
  <c r="L310" i="23" s="1"/>
  <c r="I272" i="23"/>
  <c r="J272" i="23" s="1"/>
  <c r="K272" i="23" s="1"/>
  <c r="L272" i="23" s="1"/>
  <c r="I259" i="23"/>
  <c r="J259" i="23" s="1"/>
  <c r="K259" i="23" s="1"/>
  <c r="L259" i="23" s="1"/>
  <c r="I253" i="23"/>
  <c r="J253" i="23" s="1"/>
  <c r="K253" i="23" s="1"/>
  <c r="L253" i="23" s="1"/>
  <c r="I232" i="23"/>
  <c r="J232" i="23" s="1"/>
  <c r="K232" i="23" s="1"/>
  <c r="L232" i="23" s="1"/>
  <c r="I239" i="23"/>
  <c r="J239" i="23" s="1"/>
  <c r="K239" i="23" s="1"/>
  <c r="L239" i="23" s="1"/>
  <c r="I246" i="23"/>
  <c r="J246" i="23" s="1"/>
  <c r="K246" i="23" s="1"/>
  <c r="L246" i="23" s="1"/>
  <c r="I224" i="23"/>
  <c r="J224" i="23" s="1"/>
  <c r="K224" i="23" s="1"/>
  <c r="L224" i="23" s="1"/>
  <c r="I206" i="23"/>
  <c r="J206" i="23" s="1"/>
  <c r="K206" i="23" s="1"/>
  <c r="L206" i="23" s="1"/>
  <c r="I200" i="23"/>
  <c r="J200" i="23" s="1"/>
  <c r="K200" i="23" s="1"/>
  <c r="L200" i="23" s="1"/>
  <c r="I381" i="23"/>
  <c r="J381" i="23" s="1"/>
  <c r="K381" i="23" s="1"/>
  <c r="L381" i="23" s="1"/>
  <c r="I347" i="23"/>
  <c r="J347" i="23" s="1"/>
  <c r="K347" i="23" s="1"/>
  <c r="L347" i="23" s="1"/>
  <c r="I319" i="23"/>
  <c r="J319" i="23" s="1"/>
  <c r="K319" i="23" s="1"/>
  <c r="L319" i="23" s="1"/>
  <c r="I276" i="23"/>
  <c r="J276" i="23" s="1"/>
  <c r="K276" i="23" s="1"/>
  <c r="L276" i="23" s="1"/>
  <c r="I284" i="23"/>
  <c r="J284" i="23" s="1"/>
  <c r="K284" i="23" s="1"/>
  <c r="L284" i="23" s="1"/>
  <c r="I252" i="23"/>
  <c r="J252" i="23" s="1"/>
  <c r="K252" i="23" s="1"/>
  <c r="L252" i="23" s="1"/>
  <c r="I234" i="23"/>
  <c r="J234" i="23" s="1"/>
  <c r="K234" i="23" s="1"/>
  <c r="L234" i="23" s="1"/>
  <c r="I226" i="23"/>
  <c r="J226" i="23" s="1"/>
  <c r="K226" i="23" s="1"/>
  <c r="L226" i="23" s="1"/>
  <c r="I194" i="23"/>
  <c r="J194" i="23" s="1"/>
  <c r="K194" i="23" s="1"/>
  <c r="L194" i="23" s="1"/>
  <c r="I378" i="23"/>
  <c r="J378" i="23" s="1"/>
  <c r="K378" i="23" s="1"/>
  <c r="L378" i="23" s="1"/>
  <c r="I209" i="23"/>
  <c r="J209" i="23" s="1"/>
  <c r="K209" i="23" s="1"/>
  <c r="L209" i="23" s="1"/>
  <c r="I217" i="23"/>
  <c r="J217" i="23" s="1"/>
  <c r="K217" i="23" s="1"/>
  <c r="L217" i="23" s="1"/>
  <c r="I367" i="23"/>
  <c r="J367" i="23" s="1"/>
  <c r="K367" i="23" s="1"/>
  <c r="L367" i="23" s="1"/>
  <c r="I375" i="23"/>
  <c r="J375" i="23" s="1"/>
  <c r="K375" i="23" s="1"/>
  <c r="L375" i="23" s="1"/>
  <c r="I351" i="23"/>
  <c r="J351" i="23" s="1"/>
  <c r="K351" i="23" s="1"/>
  <c r="L351" i="23" s="1"/>
  <c r="I358" i="23"/>
  <c r="J358" i="23" s="1"/>
  <c r="K358" i="23" s="1"/>
  <c r="L358" i="23" s="1"/>
  <c r="I322" i="23"/>
  <c r="J322" i="23" s="1"/>
  <c r="K322" i="23" s="1"/>
  <c r="L322" i="23" s="1"/>
  <c r="I327" i="23"/>
  <c r="J327" i="23" s="1"/>
  <c r="K327" i="23" s="1"/>
  <c r="L327" i="23" s="1"/>
  <c r="I296" i="23"/>
  <c r="J296" i="23" s="1"/>
  <c r="K296" i="23" s="1"/>
  <c r="L296" i="23" s="1"/>
  <c r="I305" i="23"/>
  <c r="J305" i="23" s="1"/>
  <c r="K305" i="23" s="1"/>
  <c r="L305" i="23" s="1"/>
  <c r="I267" i="23"/>
  <c r="J267" i="23" s="1"/>
  <c r="K267" i="23" s="1"/>
  <c r="L267" i="23" s="1"/>
  <c r="I269" i="23"/>
  <c r="J269" i="23" s="1"/>
  <c r="K269" i="23" s="1"/>
  <c r="L269" i="23" s="1"/>
  <c r="I278" i="23"/>
  <c r="J278" i="23" s="1"/>
  <c r="K278" i="23" s="1"/>
  <c r="L278" i="23" s="1"/>
  <c r="I288" i="23"/>
  <c r="J288" i="23" s="1"/>
  <c r="K288" i="23" s="1"/>
  <c r="L288" i="23" s="1"/>
  <c r="I290" i="23"/>
  <c r="J290" i="23" s="1"/>
  <c r="K290" i="23" s="1"/>
  <c r="L290" i="23" s="1"/>
  <c r="I292" i="23"/>
  <c r="J292" i="23" s="1"/>
  <c r="K292" i="23" s="1"/>
  <c r="L292" i="23" s="1"/>
  <c r="I229" i="23"/>
  <c r="J229" i="23" s="1"/>
  <c r="K229" i="23" s="1"/>
  <c r="L229" i="23" s="1"/>
  <c r="I238" i="23"/>
  <c r="J238" i="23" s="1"/>
  <c r="K238" i="23" s="1"/>
  <c r="L238" i="23" s="1"/>
  <c r="I245" i="23"/>
  <c r="J245" i="23" s="1"/>
  <c r="K245" i="23" s="1"/>
  <c r="L245" i="23" s="1"/>
  <c r="I223" i="23"/>
  <c r="J223" i="23" s="1"/>
  <c r="K223" i="23" s="1"/>
  <c r="L223" i="23" s="1"/>
  <c r="I207" i="23"/>
  <c r="J207" i="23" s="1"/>
  <c r="K207" i="23" s="1"/>
  <c r="L207" i="23" s="1"/>
  <c r="I201" i="23"/>
  <c r="J201" i="23" s="1"/>
  <c r="K201" i="23" s="1"/>
  <c r="L201" i="23" s="1"/>
  <c r="I197" i="23"/>
  <c r="J197" i="23" s="1"/>
  <c r="K197" i="23" s="1"/>
  <c r="L197" i="23" s="1"/>
  <c r="I258" i="23"/>
  <c r="J258" i="23" s="1"/>
  <c r="K258" i="23" s="1"/>
  <c r="L258" i="23" s="1"/>
  <c r="I242" i="23"/>
  <c r="J242" i="23" s="1"/>
  <c r="K242" i="23" s="1"/>
  <c r="L242" i="23" s="1"/>
  <c r="I249" i="23"/>
  <c r="J249" i="23" s="1"/>
  <c r="K249" i="23" s="1"/>
  <c r="L249" i="23" s="1"/>
  <c r="I202" i="23"/>
  <c r="J202" i="23" s="1"/>
  <c r="K202" i="23" s="1"/>
  <c r="L202" i="23" s="1"/>
  <c r="I196" i="23"/>
  <c r="J196" i="23" s="1"/>
  <c r="K196" i="23" s="1"/>
  <c r="L196" i="23" s="1"/>
  <c r="I373" i="23"/>
  <c r="J373" i="23" s="1"/>
  <c r="K373" i="23" s="1"/>
  <c r="L373" i="23" s="1"/>
  <c r="I364" i="23"/>
  <c r="J364" i="23" s="1"/>
  <c r="K364" i="23" s="1"/>
  <c r="L364" i="23" s="1"/>
  <c r="I325" i="23"/>
  <c r="J325" i="23" s="1"/>
  <c r="K325" i="23" s="1"/>
  <c r="L325" i="23" s="1"/>
  <c r="I299" i="23"/>
  <c r="J299" i="23" s="1"/>
  <c r="K299" i="23" s="1"/>
  <c r="L299" i="23" s="1"/>
  <c r="I211" i="23"/>
  <c r="J211" i="23" s="1"/>
  <c r="K211" i="23" s="1"/>
  <c r="L211" i="23" s="1"/>
  <c r="I383" i="23"/>
  <c r="J383" i="23" s="1"/>
  <c r="K383" i="23" s="1"/>
  <c r="L383" i="23" s="1"/>
  <c r="I372" i="23"/>
  <c r="J372" i="23" s="1"/>
  <c r="K372" i="23" s="1"/>
  <c r="L372" i="23" s="1"/>
  <c r="I380" i="23"/>
  <c r="J380" i="23" s="1"/>
  <c r="K380" i="23" s="1"/>
  <c r="L380" i="23" s="1"/>
  <c r="I344" i="23"/>
  <c r="J344" i="23" s="1"/>
  <c r="K344" i="23" s="1"/>
  <c r="L344" i="23" s="1"/>
  <c r="I353" i="23"/>
  <c r="J353" i="23" s="1"/>
  <c r="K353" i="23" s="1"/>
  <c r="L353" i="23" s="1"/>
  <c r="I363" i="23"/>
  <c r="J363" i="23" s="1"/>
  <c r="K363" i="23" s="1"/>
  <c r="L363" i="23" s="1"/>
  <c r="I340" i="23"/>
  <c r="J340" i="23" s="1"/>
  <c r="K340" i="23" s="1"/>
  <c r="L340" i="23" s="1"/>
  <c r="I324" i="23"/>
  <c r="J324" i="23" s="1"/>
  <c r="K324" i="23" s="1"/>
  <c r="L324" i="23" s="1"/>
  <c r="I334" i="23"/>
  <c r="J334" i="23" s="1"/>
  <c r="K334" i="23" s="1"/>
  <c r="L334" i="23" s="1"/>
  <c r="I298" i="23"/>
  <c r="J298" i="23" s="1"/>
  <c r="K298" i="23" s="1"/>
  <c r="L298" i="23" s="1"/>
  <c r="I307" i="23"/>
  <c r="J307" i="23" s="1"/>
  <c r="K307" i="23" s="1"/>
  <c r="L307" i="23" s="1"/>
  <c r="I309" i="23"/>
  <c r="J309" i="23" s="1"/>
  <c r="K309" i="23" s="1"/>
  <c r="L309" i="23" s="1"/>
  <c r="I271" i="23"/>
  <c r="J271" i="23" s="1"/>
  <c r="K271" i="23" s="1"/>
  <c r="L271" i="23" s="1"/>
  <c r="I283" i="23"/>
  <c r="J283" i="23" s="1"/>
  <c r="K283" i="23" s="1"/>
  <c r="L283" i="23" s="1"/>
  <c r="I266" i="23"/>
  <c r="J266" i="23" s="1"/>
  <c r="K266" i="23" s="1"/>
  <c r="L266" i="23" s="1"/>
  <c r="I265" i="23"/>
  <c r="J265" i="23" s="1"/>
  <c r="K265" i="23" s="1"/>
  <c r="L265" i="23" s="1"/>
  <c r="I260" i="23"/>
  <c r="J260" i="23" s="1"/>
  <c r="K260" i="23" s="1"/>
  <c r="L260" i="23" s="1"/>
  <c r="I257" i="23"/>
  <c r="J257" i="23" s="1"/>
  <c r="K257" i="23" s="1"/>
  <c r="L257" i="23" s="1"/>
  <c r="I254" i="23"/>
  <c r="J254" i="23" s="1"/>
  <c r="K254" i="23" s="1"/>
  <c r="L254" i="23" s="1"/>
  <c r="I231" i="23"/>
  <c r="J231" i="23" s="1"/>
  <c r="K231" i="23" s="1"/>
  <c r="L231" i="23" s="1"/>
  <c r="I240" i="23"/>
  <c r="J240" i="23" s="1"/>
  <c r="K240" i="23" s="1"/>
  <c r="L240" i="23" s="1"/>
  <c r="I225" i="23"/>
  <c r="J225" i="23" s="1"/>
  <c r="K225" i="23" s="1"/>
  <c r="L225" i="23" s="1"/>
  <c r="I205" i="23"/>
  <c r="J205" i="23" s="1"/>
  <c r="K205" i="23" s="1"/>
  <c r="L205" i="23" s="1"/>
  <c r="I203" i="23"/>
  <c r="J203" i="23" s="1"/>
  <c r="K203" i="23" s="1"/>
  <c r="L203" i="23" s="1"/>
  <c r="I199" i="23"/>
  <c r="J199" i="23" s="1"/>
  <c r="K199" i="23" s="1"/>
  <c r="L199" i="23" s="1"/>
  <c r="I195" i="23"/>
  <c r="J195" i="23" s="1"/>
  <c r="K195" i="23" s="1"/>
  <c r="L195" i="23" s="1"/>
  <c r="I369" i="23"/>
  <c r="J369" i="23" s="1"/>
  <c r="K369" i="23" s="1"/>
  <c r="L369" i="23" s="1"/>
  <c r="I377" i="23"/>
  <c r="J377" i="23" s="1"/>
  <c r="K377" i="23" s="1"/>
  <c r="L377" i="23" s="1"/>
  <c r="I346" i="23"/>
  <c r="J346" i="23" s="1"/>
  <c r="K346" i="23" s="1"/>
  <c r="L346" i="23" s="1"/>
  <c r="I355" i="23"/>
  <c r="J355" i="23" s="1"/>
  <c r="K355" i="23" s="1"/>
  <c r="L355" i="23" s="1"/>
  <c r="I360" i="23"/>
  <c r="J360" i="23" s="1"/>
  <c r="K360" i="23" s="1"/>
  <c r="L360" i="23" s="1"/>
  <c r="I329" i="23"/>
  <c r="J329" i="23" s="1"/>
  <c r="K329" i="23" s="1"/>
  <c r="L329" i="23" s="1"/>
  <c r="I336" i="23"/>
  <c r="J336" i="23" s="1"/>
  <c r="K336" i="23" s="1"/>
  <c r="L336" i="23" s="1"/>
  <c r="I320" i="23"/>
  <c r="J320" i="23" s="1"/>
  <c r="K320" i="23" s="1"/>
  <c r="L320" i="23" s="1"/>
  <c r="I300" i="23"/>
  <c r="J300" i="23" s="1"/>
  <c r="K300" i="23" s="1"/>
  <c r="L300" i="23" s="1"/>
  <c r="I311" i="23"/>
  <c r="J311" i="23" s="1"/>
  <c r="K311" i="23" s="1"/>
  <c r="L311" i="23" s="1"/>
  <c r="I273" i="23"/>
  <c r="J273" i="23" s="1"/>
  <c r="K273" i="23" s="1"/>
  <c r="L273" i="23" s="1"/>
  <c r="I275" i="23"/>
  <c r="J275" i="23" s="1"/>
  <c r="K275" i="23" s="1"/>
  <c r="L275" i="23" s="1"/>
  <c r="I280" i="23"/>
  <c r="J280" i="23" s="1"/>
  <c r="K280" i="23" s="1"/>
  <c r="L280" i="23" s="1"/>
  <c r="I233" i="23"/>
  <c r="J233" i="23" s="1"/>
  <c r="K233" i="23" s="1"/>
  <c r="L233" i="23" s="1"/>
  <c r="I247" i="23"/>
  <c r="J247" i="23" s="1"/>
  <c r="K247" i="23" s="1"/>
  <c r="L247" i="23" s="1"/>
  <c r="I204" i="23"/>
  <c r="J204" i="23" s="1"/>
  <c r="K204" i="23" s="1"/>
  <c r="L204" i="23" s="1"/>
  <c r="I198" i="23"/>
  <c r="J198" i="23" s="1"/>
  <c r="K198" i="23" s="1"/>
  <c r="L198" i="23" s="1"/>
  <c r="I365" i="23"/>
  <c r="J365" i="23" s="1"/>
  <c r="K365" i="23" s="1"/>
  <c r="L365" i="23" s="1"/>
  <c r="I354" i="23"/>
  <c r="J354" i="23" s="1"/>
  <c r="K354" i="23" s="1"/>
  <c r="L354" i="23" s="1"/>
  <c r="I341" i="23"/>
  <c r="J341" i="23" s="1"/>
  <c r="K341" i="23" s="1"/>
  <c r="L341" i="23" s="1"/>
  <c r="I274" i="23"/>
  <c r="J274" i="23" s="1"/>
  <c r="I264" i="23"/>
  <c r="J264" i="23" s="1"/>
  <c r="K264" i="23" s="1"/>
  <c r="L264" i="23" s="1"/>
  <c r="I255" i="23"/>
  <c r="J255" i="23" s="1"/>
  <c r="K255" i="23" s="1"/>
  <c r="L255" i="23" s="1"/>
  <c r="I241" i="23"/>
  <c r="J241" i="23" s="1"/>
  <c r="K241" i="23" s="1"/>
  <c r="L241" i="23" s="1"/>
  <c r="I248" i="23"/>
  <c r="J248" i="23" s="1"/>
  <c r="K248" i="23" s="1"/>
  <c r="L248" i="23" s="1"/>
  <c r="I370" i="23"/>
  <c r="J370" i="23" s="1"/>
  <c r="K370" i="23" s="1"/>
  <c r="L370" i="23" s="1"/>
  <c r="I342" i="23"/>
  <c r="J342" i="23" s="1"/>
  <c r="K342" i="23" s="1"/>
  <c r="L342" i="23" s="1"/>
  <c r="I349" i="23"/>
  <c r="J349" i="23" s="1"/>
  <c r="K349" i="23" s="1"/>
  <c r="L349" i="23" s="1"/>
  <c r="I356" i="23"/>
  <c r="J356" i="23" s="1"/>
  <c r="K356" i="23" s="1"/>
  <c r="L356" i="23" s="1"/>
  <c r="I361" i="23"/>
  <c r="J361" i="23" s="1"/>
  <c r="K361" i="23" s="1"/>
  <c r="L361" i="23" s="1"/>
  <c r="I338" i="23"/>
  <c r="J338" i="23" s="1"/>
  <c r="K338" i="23" s="1"/>
  <c r="L338" i="23" s="1"/>
  <c r="I330" i="23"/>
  <c r="J330" i="23" s="1"/>
  <c r="K330" i="23" s="1"/>
  <c r="L330" i="23" s="1"/>
  <c r="I332" i="23"/>
  <c r="J332" i="23" s="1"/>
  <c r="K332" i="23" s="1"/>
  <c r="L332" i="23" s="1"/>
  <c r="I301" i="23"/>
  <c r="J301" i="23" s="1"/>
  <c r="K301" i="23" s="1"/>
  <c r="L301" i="23" s="1"/>
  <c r="I303" i="23"/>
  <c r="J303" i="23" s="1"/>
  <c r="K303" i="23" s="1"/>
  <c r="L303" i="23" s="1"/>
  <c r="I312" i="23"/>
  <c r="J312" i="23" s="1"/>
  <c r="K312" i="23" s="1"/>
  <c r="L312" i="23" s="1"/>
  <c r="I314" i="23"/>
  <c r="J314" i="23" s="1"/>
  <c r="K314" i="23" s="1"/>
  <c r="L314" i="23" s="1"/>
  <c r="I316" i="23"/>
  <c r="J316" i="23" s="1"/>
  <c r="K316" i="23" s="1"/>
  <c r="L316" i="23" s="1"/>
  <c r="I318" i="23"/>
  <c r="J318" i="23" s="1"/>
  <c r="K318" i="23" s="1"/>
  <c r="L318" i="23" s="1"/>
  <c r="I281" i="23"/>
  <c r="J281" i="23" s="1"/>
  <c r="K281" i="23" s="1"/>
  <c r="L281" i="23" s="1"/>
  <c r="I286" i="23"/>
  <c r="J286" i="23" s="1"/>
  <c r="K286" i="23" s="1"/>
  <c r="L286" i="23" s="1"/>
  <c r="I262" i="23"/>
  <c r="J262" i="23" s="1"/>
  <c r="K262" i="23" s="1"/>
  <c r="L262" i="23" s="1"/>
  <c r="I236" i="23"/>
  <c r="J236" i="23" s="1"/>
  <c r="K236" i="23" s="1"/>
  <c r="L236" i="23" s="1"/>
  <c r="I243" i="23"/>
  <c r="J243" i="23" s="1"/>
  <c r="K243" i="23" s="1"/>
  <c r="L243" i="23" s="1"/>
  <c r="I250" i="23"/>
  <c r="J250" i="23" s="1"/>
  <c r="K250" i="23" s="1"/>
  <c r="L250" i="23" s="1"/>
  <c r="I221" i="23"/>
  <c r="J221" i="23" s="1"/>
  <c r="K221" i="23" s="1"/>
  <c r="L221" i="23" s="1"/>
  <c r="I228" i="23"/>
  <c r="J228" i="23" s="1"/>
  <c r="K228" i="23" s="1"/>
  <c r="L228" i="23" s="1"/>
  <c r="I219" i="23"/>
  <c r="J219" i="23" s="1"/>
  <c r="K219" i="23" s="1"/>
  <c r="L219" i="23" s="1"/>
  <c r="I215" i="23"/>
  <c r="J215" i="23" s="1"/>
  <c r="K215" i="23" s="1"/>
  <c r="L215" i="23" s="1"/>
  <c r="I213" i="23"/>
  <c r="J213" i="23" s="1"/>
  <c r="K213" i="23" s="1"/>
  <c r="L213" i="23" s="1"/>
  <c r="M331" i="23"/>
  <c r="M348" i="23"/>
  <c r="M313" i="23"/>
  <c r="M354" i="23"/>
  <c r="H364" i="22"/>
  <c r="H367" i="22"/>
  <c r="H365" i="22"/>
  <c r="H368" i="22"/>
  <c r="H366" i="22"/>
  <c r="H369" i="22"/>
  <c r="M269" i="23"/>
  <c r="M323" i="23"/>
  <c r="H351" i="22"/>
  <c r="H359" i="22"/>
  <c r="H358" i="22"/>
  <c r="H354" i="22"/>
  <c r="H362" i="22"/>
  <c r="H361" i="22"/>
  <c r="H357" i="22"/>
  <c r="H355" i="22"/>
  <c r="H363" i="22"/>
  <c r="H356" i="22"/>
  <c r="H352" i="22"/>
  <c r="H360" i="22"/>
  <c r="H353" i="22"/>
  <c r="H327" i="22"/>
  <c r="H335" i="22"/>
  <c r="H343" i="22"/>
  <c r="H345" i="22"/>
  <c r="H330" i="22"/>
  <c r="H338" i="22"/>
  <c r="H346" i="22"/>
  <c r="H333" i="22"/>
  <c r="H341" i="22"/>
  <c r="H349" i="22"/>
  <c r="H328" i="22"/>
  <c r="H336" i="22"/>
  <c r="H344" i="22"/>
  <c r="H329" i="22"/>
  <c r="H331" i="22"/>
  <c r="H339" i="22"/>
  <c r="H347" i="22"/>
  <c r="H334" i="22"/>
  <c r="H342" i="22"/>
  <c r="H350" i="22"/>
  <c r="H332" i="22"/>
  <c r="H340" i="22"/>
  <c r="H348" i="22"/>
  <c r="H337" i="22"/>
  <c r="M243" i="23"/>
  <c r="M317" i="23"/>
  <c r="M271" i="23"/>
  <c r="M314" i="23"/>
  <c r="M301" i="23"/>
  <c r="M292" i="23"/>
  <c r="H312" i="22"/>
  <c r="H320" i="22"/>
  <c r="H319" i="22"/>
  <c r="H322" i="22"/>
  <c r="H325" i="22"/>
  <c r="H315" i="22"/>
  <c r="H323" i="22"/>
  <c r="H314" i="22"/>
  <c r="H318" i="22"/>
  <c r="H326" i="22"/>
  <c r="H313" i="22"/>
  <c r="H321" i="22"/>
  <c r="H317" i="22"/>
  <c r="H316" i="22"/>
  <c r="H324" i="22"/>
  <c r="M267" i="23"/>
  <c r="M291" i="23"/>
  <c r="H303" i="22"/>
  <c r="H311" i="22"/>
  <c r="H304" i="22"/>
  <c r="H306" i="22"/>
  <c r="H309" i="22"/>
  <c r="H310" i="22"/>
  <c r="H307" i="22"/>
  <c r="H305" i="22"/>
  <c r="H308" i="22"/>
  <c r="H286" i="22"/>
  <c r="H294" i="22"/>
  <c r="H302" i="22"/>
  <c r="H301" i="22"/>
  <c r="H289" i="22"/>
  <c r="H297" i="22"/>
  <c r="H290" i="22"/>
  <c r="H293" i="22"/>
  <c r="H292" i="22"/>
  <c r="H300" i="22"/>
  <c r="H298" i="22"/>
  <c r="H287" i="22"/>
  <c r="H295" i="22"/>
  <c r="H288" i="22"/>
  <c r="H296" i="22"/>
  <c r="H299" i="22"/>
  <c r="H291" i="22"/>
  <c r="M250" i="23"/>
  <c r="M265" i="23"/>
  <c r="M241" i="23"/>
  <c r="M274" i="23"/>
  <c r="M237" i="23"/>
  <c r="M289" i="23"/>
  <c r="M224" i="23"/>
  <c r="M262" i="23"/>
  <c r="H277" i="22"/>
  <c r="H285" i="22"/>
  <c r="H280" i="22"/>
  <c r="H275" i="22"/>
  <c r="H283" i="22"/>
  <c r="H282" i="22"/>
  <c r="H278" i="22"/>
  <c r="H276" i="22"/>
  <c r="H281" i="22"/>
  <c r="H284" i="22"/>
  <c r="H279" i="22"/>
  <c r="H274" i="22"/>
  <c r="M252" i="23"/>
  <c r="M257" i="23"/>
  <c r="H261" i="22"/>
  <c r="H269" i="22"/>
  <c r="H266" i="22"/>
  <c r="H264" i="22"/>
  <c r="H272" i="22"/>
  <c r="H267" i="22"/>
  <c r="H262" i="22"/>
  <c r="H270" i="22"/>
  <c r="H265" i="22"/>
  <c r="H273" i="22"/>
  <c r="H271" i="22"/>
  <c r="H268" i="22"/>
  <c r="H263" i="22"/>
  <c r="M220" i="23"/>
  <c r="M215" i="23"/>
  <c r="M200" i="23"/>
  <c r="M239" i="23"/>
  <c r="H258" i="22"/>
  <c r="H254" i="22"/>
  <c r="H257" i="22"/>
  <c r="H253" i="22"/>
  <c r="H259" i="22"/>
  <c r="H255" i="22"/>
  <c r="H260" i="22"/>
  <c r="H256" i="22"/>
  <c r="H252" i="22"/>
  <c r="H250" i="22"/>
  <c r="H251" i="22"/>
  <c r="H241" i="22"/>
  <c r="H242" i="22"/>
  <c r="H245" i="22"/>
  <c r="H244" i="22"/>
  <c r="H243" i="22"/>
  <c r="H232" i="22"/>
  <c r="H240" i="22"/>
  <c r="H235" i="22"/>
  <c r="H239" i="22"/>
  <c r="H238" i="22"/>
  <c r="H233" i="22"/>
  <c r="H236" i="22"/>
  <c r="H234" i="22"/>
  <c r="H237" i="22"/>
  <c r="M181" i="23"/>
  <c r="M207" i="23"/>
  <c r="M180" i="23"/>
  <c r="M205" i="23"/>
  <c r="M179" i="23"/>
  <c r="M218" i="23"/>
  <c r="M178" i="23"/>
  <c r="M217" i="23"/>
  <c r="M167" i="23"/>
  <c r="M216" i="23"/>
  <c r="M203" i="23"/>
  <c r="M204" i="23"/>
  <c r="M214" i="23"/>
  <c r="M202" i="23"/>
  <c r="M212" i="23"/>
  <c r="M211" i="23"/>
  <c r="M183" i="23"/>
  <c r="M209" i="23"/>
  <c r="M173" i="23"/>
  <c r="M213" i="23"/>
  <c r="I184" i="23"/>
  <c r="J184" i="23" s="1"/>
  <c r="K184" i="23" s="1"/>
  <c r="L184" i="23" s="1"/>
  <c r="I185" i="23"/>
  <c r="J185" i="23" s="1"/>
  <c r="K185" i="23" s="1"/>
  <c r="L185" i="23" s="1"/>
  <c r="I186" i="23"/>
  <c r="J186" i="23" s="1"/>
  <c r="K186" i="23" s="1"/>
  <c r="L186" i="23" s="1"/>
  <c r="I187" i="23"/>
  <c r="J187" i="23" s="1"/>
  <c r="K187" i="23" s="1"/>
  <c r="L187" i="23" s="1"/>
  <c r="I188" i="23"/>
  <c r="J188" i="23" s="1"/>
  <c r="K188" i="23" s="1"/>
  <c r="L188" i="23" s="1"/>
  <c r="I189" i="23"/>
  <c r="J189" i="23" s="1"/>
  <c r="K189" i="23" s="1"/>
  <c r="L189" i="23" s="1"/>
  <c r="I190" i="23"/>
  <c r="J190" i="23" s="1"/>
  <c r="K190" i="23" s="1"/>
  <c r="L190" i="23" s="1"/>
  <c r="I178" i="23"/>
  <c r="J178" i="23" s="1"/>
  <c r="K178" i="23" s="1"/>
  <c r="L178" i="23" s="1"/>
  <c r="I179" i="23"/>
  <c r="J179" i="23" s="1"/>
  <c r="K179" i="23" s="1"/>
  <c r="L179" i="23" s="1"/>
  <c r="I180" i="23"/>
  <c r="J180" i="23" s="1"/>
  <c r="K180" i="23" s="1"/>
  <c r="L180" i="23" s="1"/>
  <c r="I181" i="23"/>
  <c r="J181" i="23" s="1"/>
  <c r="K181" i="23" s="1"/>
  <c r="L181" i="23" s="1"/>
  <c r="I158" i="23"/>
  <c r="J158" i="23" s="1"/>
  <c r="K158" i="23" s="1"/>
  <c r="L158" i="23" s="1"/>
  <c r="I140" i="23"/>
  <c r="J140" i="23" s="1"/>
  <c r="K140" i="23" s="1"/>
  <c r="L140" i="23" s="1"/>
  <c r="I153" i="23"/>
  <c r="J153" i="23" s="1"/>
  <c r="K153" i="23" s="1"/>
  <c r="L153" i="23" s="1"/>
  <c r="I133" i="23"/>
  <c r="J133" i="23" s="1"/>
  <c r="K133" i="23" s="1"/>
  <c r="L133" i="23" s="1"/>
  <c r="I126" i="23"/>
  <c r="J126" i="23" s="1"/>
  <c r="K126" i="23" s="1"/>
  <c r="L126" i="23" s="1"/>
  <c r="I127" i="23"/>
  <c r="J127" i="23" s="1"/>
  <c r="K127" i="23" s="1"/>
  <c r="L127" i="23" s="1"/>
  <c r="I128" i="23"/>
  <c r="J128" i="23" s="1"/>
  <c r="K128" i="23" s="1"/>
  <c r="L128" i="23" s="1"/>
  <c r="I129" i="23"/>
  <c r="J129" i="23" s="1"/>
  <c r="K129" i="23" s="1"/>
  <c r="L129" i="23" s="1"/>
  <c r="I130" i="23"/>
  <c r="J130" i="23" s="1"/>
  <c r="K130" i="23" s="1"/>
  <c r="L130" i="23" s="1"/>
  <c r="I118" i="23"/>
  <c r="J118" i="23" s="1"/>
  <c r="K118" i="23" s="1"/>
  <c r="L118" i="23" s="1"/>
  <c r="I112" i="23"/>
  <c r="J112" i="23" s="1"/>
  <c r="K112" i="23" s="1"/>
  <c r="L112" i="23" s="1"/>
  <c r="I103" i="23"/>
  <c r="J103" i="23" s="1"/>
  <c r="K103" i="23" s="1"/>
  <c r="L103" i="23" s="1"/>
  <c r="I102" i="23"/>
  <c r="J102" i="23" s="1"/>
  <c r="K102" i="23" s="1"/>
  <c r="L102" i="23" s="1"/>
  <c r="I101" i="23"/>
  <c r="J101" i="23" s="1"/>
  <c r="K101" i="23" s="1"/>
  <c r="L101" i="23" s="1"/>
  <c r="I99" i="23"/>
  <c r="J99" i="23" s="1"/>
  <c r="K99" i="23" s="1"/>
  <c r="L99" i="23" s="1"/>
  <c r="I98" i="23"/>
  <c r="J98" i="23" s="1"/>
  <c r="K98" i="23" s="1"/>
  <c r="L98" i="23" s="1"/>
  <c r="I82" i="23"/>
  <c r="J82" i="23" s="1"/>
  <c r="K82" i="23" s="1"/>
  <c r="L82" i="23" s="1"/>
  <c r="I84" i="23"/>
  <c r="J84" i="23" s="1"/>
  <c r="K84" i="23" s="1"/>
  <c r="L84" i="23" s="1"/>
  <c r="I93" i="23"/>
  <c r="J93" i="23" s="1"/>
  <c r="K93" i="23" s="1"/>
  <c r="L93" i="23" s="1"/>
  <c r="I96" i="23"/>
  <c r="J96" i="23" s="1"/>
  <c r="K96" i="23" s="1"/>
  <c r="L96" i="23" s="1"/>
  <c r="I191" i="23"/>
  <c r="J191" i="23" s="1"/>
  <c r="K191" i="23" s="1"/>
  <c r="L191" i="23" s="1"/>
  <c r="I136" i="23"/>
  <c r="J136" i="23" s="1"/>
  <c r="K136" i="23" s="1"/>
  <c r="L136" i="23" s="1"/>
  <c r="I141" i="23"/>
  <c r="J141" i="23" s="1"/>
  <c r="K141" i="23" s="1"/>
  <c r="L141" i="23" s="1"/>
  <c r="I142" i="23"/>
  <c r="J142" i="23" s="1"/>
  <c r="K142" i="23" s="1"/>
  <c r="L142" i="23" s="1"/>
  <c r="I143" i="23"/>
  <c r="J143" i="23" s="1"/>
  <c r="K143" i="23" s="1"/>
  <c r="L143" i="23" s="1"/>
  <c r="I144" i="23"/>
  <c r="J144" i="23" s="1"/>
  <c r="K144" i="23" s="1"/>
  <c r="L144" i="23" s="1"/>
  <c r="I145" i="23"/>
  <c r="J145" i="23" s="1"/>
  <c r="K145" i="23" s="1"/>
  <c r="L145" i="23" s="1"/>
  <c r="I146" i="23"/>
  <c r="J146" i="23" s="1"/>
  <c r="K146" i="23" s="1"/>
  <c r="L146" i="23" s="1"/>
  <c r="I147" i="23"/>
  <c r="J147" i="23" s="1"/>
  <c r="K147" i="23" s="1"/>
  <c r="L147" i="23" s="1"/>
  <c r="I148" i="23"/>
  <c r="J148" i="23" s="1"/>
  <c r="K148" i="23" s="1"/>
  <c r="L148" i="23" s="1"/>
  <c r="I149" i="23"/>
  <c r="J149" i="23" s="1"/>
  <c r="K149" i="23" s="1"/>
  <c r="L149" i="23" s="1"/>
  <c r="I150" i="23"/>
  <c r="J150" i="23" s="1"/>
  <c r="K150" i="23" s="1"/>
  <c r="L150" i="23" s="1"/>
  <c r="I154" i="23"/>
  <c r="J154" i="23" s="1"/>
  <c r="K154" i="23" s="1"/>
  <c r="L154" i="23" s="1"/>
  <c r="I155" i="23"/>
  <c r="J155" i="23" s="1"/>
  <c r="K155" i="23" s="1"/>
  <c r="L155" i="23" s="1"/>
  <c r="I134" i="23"/>
  <c r="J134" i="23" s="1"/>
  <c r="K134" i="23" s="1"/>
  <c r="L134" i="23" s="1"/>
  <c r="I135" i="23"/>
  <c r="J135" i="23" s="1"/>
  <c r="K135" i="23" s="1"/>
  <c r="L135" i="23" s="1"/>
  <c r="I131" i="23"/>
  <c r="J131" i="23" s="1"/>
  <c r="K131" i="23" s="1"/>
  <c r="L131" i="23" s="1"/>
  <c r="I117" i="23"/>
  <c r="J117" i="23" s="1"/>
  <c r="K117" i="23" s="1"/>
  <c r="L117" i="23" s="1"/>
  <c r="I116" i="23"/>
  <c r="J116" i="23" s="1"/>
  <c r="K116" i="23" s="1"/>
  <c r="L116" i="23" s="1"/>
  <c r="I111" i="23"/>
  <c r="J111" i="23" s="1"/>
  <c r="K111" i="23" s="1"/>
  <c r="L111" i="23" s="1"/>
  <c r="I110" i="23"/>
  <c r="J110" i="23" s="1"/>
  <c r="K110" i="23" s="1"/>
  <c r="L110" i="23" s="1"/>
  <c r="I109" i="23"/>
  <c r="J109" i="23" s="1"/>
  <c r="K109" i="23" s="1"/>
  <c r="L109" i="23" s="1"/>
  <c r="I108" i="23"/>
  <c r="J108" i="23" s="1"/>
  <c r="K108" i="23" s="1"/>
  <c r="L108" i="23" s="1"/>
  <c r="I107" i="23"/>
  <c r="J107" i="23" s="1"/>
  <c r="K107" i="23" s="1"/>
  <c r="L107" i="23" s="1"/>
  <c r="I106" i="23"/>
  <c r="J106" i="23" s="1"/>
  <c r="K106" i="23" s="1"/>
  <c r="L106" i="23" s="1"/>
  <c r="I100" i="23"/>
  <c r="J100" i="23" s="1"/>
  <c r="K100" i="23" s="1"/>
  <c r="L100" i="23" s="1"/>
  <c r="I97" i="23"/>
  <c r="J97" i="23" s="1"/>
  <c r="K97" i="23" s="1"/>
  <c r="L97" i="23" s="1"/>
  <c r="I86" i="23"/>
  <c r="J86" i="23" s="1"/>
  <c r="K86" i="23" s="1"/>
  <c r="L86" i="23" s="1"/>
  <c r="I94" i="23"/>
  <c r="J94" i="23" s="1"/>
  <c r="K94" i="23" s="1"/>
  <c r="L94" i="23" s="1"/>
  <c r="I192" i="23"/>
  <c r="J192" i="23" s="1"/>
  <c r="K192" i="23" s="1"/>
  <c r="L192" i="23" s="1"/>
  <c r="I182" i="23"/>
  <c r="J182" i="23" s="1"/>
  <c r="K182" i="23" s="1"/>
  <c r="L182" i="23" s="1"/>
  <c r="I168" i="23"/>
  <c r="J168" i="23" s="1"/>
  <c r="K168" i="23" s="1"/>
  <c r="L168" i="23" s="1"/>
  <c r="I169" i="23"/>
  <c r="J169" i="23" s="1"/>
  <c r="K169" i="23" s="1"/>
  <c r="L169" i="23" s="1"/>
  <c r="I170" i="23"/>
  <c r="J170" i="23" s="1"/>
  <c r="K170" i="23" s="1"/>
  <c r="L170" i="23" s="1"/>
  <c r="I171" i="23"/>
  <c r="J171" i="23" s="1"/>
  <c r="K171" i="23" s="1"/>
  <c r="L171" i="23" s="1"/>
  <c r="I167" i="23"/>
  <c r="J167" i="23" s="1"/>
  <c r="K167" i="23" s="1"/>
  <c r="L167" i="23" s="1"/>
  <c r="I166" i="23"/>
  <c r="J166" i="23" s="1"/>
  <c r="K166" i="23" s="1"/>
  <c r="L166" i="23" s="1"/>
  <c r="I165" i="23"/>
  <c r="J165" i="23" s="1"/>
  <c r="K165" i="23" s="1"/>
  <c r="L165" i="23" s="1"/>
  <c r="I164" i="23"/>
  <c r="J164" i="23" s="1"/>
  <c r="K164" i="23" s="1"/>
  <c r="L164" i="23" s="1"/>
  <c r="I163" i="23"/>
  <c r="J163" i="23" s="1"/>
  <c r="K163" i="23" s="1"/>
  <c r="L163" i="23" s="1"/>
  <c r="I162" i="23"/>
  <c r="J162" i="23" s="1"/>
  <c r="K162" i="23" s="1"/>
  <c r="L162" i="23" s="1"/>
  <c r="I161" i="23"/>
  <c r="J161" i="23" s="1"/>
  <c r="K161" i="23" s="1"/>
  <c r="L161" i="23" s="1"/>
  <c r="I160" i="23"/>
  <c r="J160" i="23" s="1"/>
  <c r="K160" i="23" s="1"/>
  <c r="L160" i="23" s="1"/>
  <c r="I137" i="23"/>
  <c r="J137" i="23" s="1"/>
  <c r="K137" i="23" s="1"/>
  <c r="L137" i="23" s="1"/>
  <c r="I151" i="23"/>
  <c r="J151" i="23" s="1"/>
  <c r="I156" i="23"/>
  <c r="J156" i="23" s="1"/>
  <c r="K156" i="23" s="1"/>
  <c r="L156" i="23" s="1"/>
  <c r="I119" i="23"/>
  <c r="J119" i="23" s="1"/>
  <c r="K119" i="23" s="1"/>
  <c r="L119" i="23" s="1"/>
  <c r="I120" i="23"/>
  <c r="J120" i="23" s="1"/>
  <c r="K120" i="23" s="1"/>
  <c r="L120" i="23" s="1"/>
  <c r="I121" i="23"/>
  <c r="J121" i="23" s="1"/>
  <c r="K121" i="23" s="1"/>
  <c r="L121" i="23" s="1"/>
  <c r="I122" i="23"/>
  <c r="J122" i="23" s="1"/>
  <c r="K122" i="23" s="1"/>
  <c r="L122" i="23" s="1"/>
  <c r="I123" i="23"/>
  <c r="J123" i="23" s="1"/>
  <c r="K123" i="23" s="1"/>
  <c r="L123" i="23" s="1"/>
  <c r="I124" i="23"/>
  <c r="J124" i="23" s="1"/>
  <c r="K124" i="23" s="1"/>
  <c r="L124" i="23" s="1"/>
  <c r="I132" i="23"/>
  <c r="J132" i="23" s="1"/>
  <c r="K132" i="23" s="1"/>
  <c r="L132" i="23" s="1"/>
  <c r="I115" i="23"/>
  <c r="J115" i="23" s="1"/>
  <c r="K115" i="23" s="1"/>
  <c r="L115" i="23" s="1"/>
  <c r="I105" i="23"/>
  <c r="J105" i="23" s="1"/>
  <c r="K105" i="23" s="1"/>
  <c r="L105" i="23" s="1"/>
  <c r="I79" i="23"/>
  <c r="J79" i="23" s="1"/>
  <c r="K79" i="23" s="1"/>
  <c r="L79" i="23" s="1"/>
  <c r="I80" i="23"/>
  <c r="J80" i="23" s="1"/>
  <c r="K80" i="23" s="1"/>
  <c r="L80" i="23" s="1"/>
  <c r="I87" i="23"/>
  <c r="J87" i="23" s="1"/>
  <c r="K87" i="23" s="1"/>
  <c r="L87" i="23" s="1"/>
  <c r="I193" i="23"/>
  <c r="J193" i="23" s="1"/>
  <c r="K193" i="23" s="1"/>
  <c r="L193" i="23" s="1"/>
  <c r="I183" i="23"/>
  <c r="J183" i="23" s="1"/>
  <c r="K183" i="23" s="1"/>
  <c r="L183" i="23" s="1"/>
  <c r="I172" i="23"/>
  <c r="J172" i="23" s="1"/>
  <c r="K172" i="23" s="1"/>
  <c r="L172" i="23" s="1"/>
  <c r="I173" i="23"/>
  <c r="J173" i="23" s="1"/>
  <c r="K173" i="23" s="1"/>
  <c r="L173" i="23" s="1"/>
  <c r="I174" i="23"/>
  <c r="J174" i="23" s="1"/>
  <c r="K174" i="23" s="1"/>
  <c r="L174" i="23" s="1"/>
  <c r="I175" i="23"/>
  <c r="J175" i="23" s="1"/>
  <c r="K175" i="23" s="1"/>
  <c r="L175" i="23" s="1"/>
  <c r="I176" i="23"/>
  <c r="J176" i="23" s="1"/>
  <c r="K176" i="23" s="1"/>
  <c r="L176" i="23" s="1"/>
  <c r="I177" i="23"/>
  <c r="J177" i="23" s="1"/>
  <c r="K177" i="23" s="1"/>
  <c r="L177" i="23" s="1"/>
  <c r="I159" i="23"/>
  <c r="J159" i="23" s="1"/>
  <c r="K159" i="23" s="1"/>
  <c r="L159" i="23" s="1"/>
  <c r="I138" i="23"/>
  <c r="J138" i="23" s="1"/>
  <c r="K138" i="23" s="1"/>
  <c r="L138" i="23" s="1"/>
  <c r="I139" i="23"/>
  <c r="J139" i="23" s="1"/>
  <c r="K139" i="23" s="1"/>
  <c r="L139" i="23" s="1"/>
  <c r="I152" i="23"/>
  <c r="J152" i="23" s="1"/>
  <c r="K152" i="23" s="1"/>
  <c r="L152" i="23" s="1"/>
  <c r="I157" i="23"/>
  <c r="J157" i="23" s="1"/>
  <c r="K157" i="23" s="1"/>
  <c r="L157" i="23" s="1"/>
  <c r="I125" i="23"/>
  <c r="J125" i="23" s="1"/>
  <c r="K125" i="23" s="1"/>
  <c r="L125" i="23" s="1"/>
  <c r="I114" i="23"/>
  <c r="J114" i="23" s="1"/>
  <c r="K114" i="23" s="1"/>
  <c r="L114" i="23" s="1"/>
  <c r="I113" i="23"/>
  <c r="J113" i="23" s="1"/>
  <c r="K113" i="23" s="1"/>
  <c r="L113" i="23" s="1"/>
  <c r="I104" i="23"/>
  <c r="J104" i="23" s="1"/>
  <c r="K104" i="23" s="1"/>
  <c r="L104" i="23" s="1"/>
  <c r="I81" i="23"/>
  <c r="J81" i="23" s="1"/>
  <c r="K81" i="23" s="1"/>
  <c r="L81" i="23" s="1"/>
  <c r="I88" i="23"/>
  <c r="J88" i="23" s="1"/>
  <c r="K88" i="23" s="1"/>
  <c r="L88" i="23" s="1"/>
  <c r="I89" i="23"/>
  <c r="J89" i="23" s="1"/>
  <c r="K89" i="23" s="1"/>
  <c r="L89" i="23" s="1"/>
  <c r="I90" i="23"/>
  <c r="J90" i="23" s="1"/>
  <c r="K90" i="23" s="1"/>
  <c r="L90" i="23" s="1"/>
  <c r="I91" i="23"/>
  <c r="J91" i="23" s="1"/>
  <c r="K91" i="23" s="1"/>
  <c r="L91" i="23" s="1"/>
  <c r="I92" i="23"/>
  <c r="J92" i="23" s="1"/>
  <c r="K92" i="23" s="1"/>
  <c r="L92" i="23" s="1"/>
  <c r="I83" i="23"/>
  <c r="J83" i="23" s="1"/>
  <c r="K83" i="23" s="1"/>
  <c r="L83" i="23" s="1"/>
  <c r="I85" i="23"/>
  <c r="J85" i="23" s="1"/>
  <c r="K85" i="23" s="1"/>
  <c r="L85" i="23" s="1"/>
  <c r="I95" i="23"/>
  <c r="J95" i="23" s="1"/>
  <c r="K95" i="23" s="1"/>
  <c r="L95" i="23" s="1"/>
  <c r="H229" i="22"/>
  <c r="H225" i="22"/>
  <c r="H221" i="22"/>
  <c r="H217" i="22"/>
  <c r="H213" i="22"/>
  <c r="H209" i="22"/>
  <c r="H228" i="22"/>
  <c r="H230" i="22"/>
  <c r="H226" i="22"/>
  <c r="H222" i="22"/>
  <c r="H218" i="22"/>
  <c r="H214" i="22"/>
  <c r="H210" i="22"/>
  <c r="H206" i="22"/>
  <c r="H208" i="22"/>
  <c r="H231" i="22"/>
  <c r="H227" i="22"/>
  <c r="H223" i="22"/>
  <c r="H219" i="22"/>
  <c r="H215" i="22"/>
  <c r="H211" i="22"/>
  <c r="H207" i="22"/>
  <c r="H224" i="22"/>
  <c r="H220" i="22"/>
  <c r="H216" i="22"/>
  <c r="H212" i="22"/>
  <c r="M144" i="23"/>
  <c r="M187" i="23"/>
  <c r="H193" i="22"/>
  <c r="H201" i="22"/>
  <c r="H196" i="22"/>
  <c r="H204" i="22"/>
  <c r="H194" i="22"/>
  <c r="H202" i="22"/>
  <c r="H199" i="22"/>
  <c r="H197" i="22"/>
  <c r="H205" i="22"/>
  <c r="H200" i="22"/>
  <c r="H195" i="22"/>
  <c r="H203" i="22"/>
  <c r="H198" i="22"/>
  <c r="M160" i="23"/>
  <c r="M146" i="23"/>
  <c r="H181" i="22"/>
  <c r="H183" i="22"/>
  <c r="H185" i="22"/>
  <c r="H187" i="22"/>
  <c r="H189" i="22"/>
  <c r="H191" i="22"/>
  <c r="H182" i="22"/>
  <c r="H184" i="22"/>
  <c r="H186" i="22"/>
  <c r="H188" i="22"/>
  <c r="H190" i="22"/>
  <c r="H192" i="22"/>
  <c r="M176" i="23"/>
  <c r="M175" i="23"/>
  <c r="M148" i="23"/>
  <c r="M172" i="23"/>
  <c r="M138" i="23"/>
  <c r="M154" i="23"/>
  <c r="H178" i="22"/>
  <c r="H174" i="22"/>
  <c r="H170" i="22"/>
  <c r="H166" i="22"/>
  <c r="H162" i="22"/>
  <c r="H177" i="22"/>
  <c r="H161" i="22"/>
  <c r="H179" i="22"/>
  <c r="H175" i="22"/>
  <c r="H171" i="22"/>
  <c r="H167" i="22"/>
  <c r="H163" i="22"/>
  <c r="H159" i="22"/>
  <c r="H169" i="22"/>
  <c r="H165" i="22"/>
  <c r="H180" i="22"/>
  <c r="H176" i="22"/>
  <c r="H172" i="22"/>
  <c r="H168" i="22"/>
  <c r="H164" i="22"/>
  <c r="H160" i="22"/>
  <c r="H173" i="22"/>
  <c r="M132" i="23"/>
  <c r="M149" i="23"/>
  <c r="M121" i="23"/>
  <c r="M134" i="23"/>
  <c r="H147" i="22"/>
  <c r="H149" i="22"/>
  <c r="H151" i="22"/>
  <c r="H153" i="22"/>
  <c r="H155" i="22"/>
  <c r="H157" i="22"/>
  <c r="H148" i="22"/>
  <c r="H150" i="22"/>
  <c r="H152" i="22"/>
  <c r="H154" i="22"/>
  <c r="H156" i="22"/>
  <c r="H158" i="22"/>
  <c r="M129" i="23"/>
  <c r="M110" i="23"/>
  <c r="M108" i="23"/>
  <c r="H129" i="22"/>
  <c r="H132" i="22"/>
  <c r="H140" i="22"/>
  <c r="H145" i="22"/>
  <c r="H135" i="22"/>
  <c r="H143" i="22"/>
  <c r="H130" i="22"/>
  <c r="H138" i="22"/>
  <c r="H146" i="22"/>
  <c r="H133" i="22"/>
  <c r="H141" i="22"/>
  <c r="H139" i="22"/>
  <c r="H136" i="22"/>
  <c r="H144" i="22"/>
  <c r="H131" i="22"/>
  <c r="H134" i="22"/>
  <c r="H142" i="22"/>
  <c r="H137" i="22"/>
  <c r="H120" i="22"/>
  <c r="H122" i="22"/>
  <c r="H124" i="22"/>
  <c r="H126" i="22"/>
  <c r="H128" i="22"/>
  <c r="H121" i="22"/>
  <c r="H123" i="22"/>
  <c r="H125" i="22"/>
  <c r="H127" i="22"/>
  <c r="H115" i="22"/>
  <c r="H117" i="22"/>
  <c r="H119" i="22"/>
  <c r="H116" i="22"/>
  <c r="H118" i="22"/>
  <c r="M95" i="23"/>
  <c r="M62" i="23"/>
  <c r="H104" i="22"/>
  <c r="H106" i="22"/>
  <c r="H108" i="22"/>
  <c r="H110" i="22"/>
  <c r="H112" i="22"/>
  <c r="H114" i="22"/>
  <c r="H105" i="22"/>
  <c r="H111" i="22"/>
  <c r="H107" i="22"/>
  <c r="H109" i="22"/>
  <c r="H113" i="22"/>
  <c r="H103" i="22"/>
  <c r="M73" i="23"/>
  <c r="M90" i="23"/>
  <c r="H95" i="22"/>
  <c r="H101" i="22"/>
  <c r="H102" i="22"/>
  <c r="H98" i="22"/>
  <c r="H96" i="22"/>
  <c r="H99" i="22"/>
  <c r="H97" i="22"/>
  <c r="H100" i="22"/>
  <c r="H82" i="22"/>
  <c r="H83" i="22"/>
  <c r="H86" i="22"/>
  <c r="H94" i="22"/>
  <c r="H89" i="22"/>
  <c r="H92" i="22"/>
  <c r="H84" i="22"/>
  <c r="H87" i="22"/>
  <c r="H90" i="22"/>
  <c r="H85" i="22"/>
  <c r="H93" i="22"/>
  <c r="H91" i="22"/>
  <c r="H88" i="22"/>
  <c r="I78" i="23"/>
  <c r="J78" i="23" s="1"/>
  <c r="K78" i="23" s="1"/>
  <c r="L78" i="23" s="1"/>
  <c r="I68" i="23"/>
  <c r="J68" i="23" s="1"/>
  <c r="K68" i="23" s="1"/>
  <c r="L68" i="23" s="1"/>
  <c r="I71" i="23"/>
  <c r="J71" i="23" s="1"/>
  <c r="K71" i="23" s="1"/>
  <c r="L71" i="23" s="1"/>
  <c r="I77" i="23"/>
  <c r="J77" i="23" s="1"/>
  <c r="K77" i="23" s="1"/>
  <c r="L77" i="23" s="1"/>
  <c r="I63" i="23"/>
  <c r="J63" i="23" s="1"/>
  <c r="K63" i="23" s="1"/>
  <c r="L63" i="23" s="1"/>
  <c r="I67" i="23"/>
  <c r="J67" i="23" s="1"/>
  <c r="K67" i="23" s="1"/>
  <c r="L67" i="23" s="1"/>
  <c r="I76" i="23"/>
  <c r="J76" i="23" s="1"/>
  <c r="K76" i="23" s="1"/>
  <c r="L76" i="23" s="1"/>
  <c r="I62" i="23"/>
  <c r="J62" i="23" s="1"/>
  <c r="K62" i="23" s="1"/>
  <c r="L62" i="23" s="1"/>
  <c r="I70" i="23"/>
  <c r="J70" i="23" s="1"/>
  <c r="K70" i="23" s="1"/>
  <c r="L70" i="23" s="1"/>
  <c r="I75" i="23"/>
  <c r="J75" i="23" s="1"/>
  <c r="K75" i="23" s="1"/>
  <c r="L75" i="23" s="1"/>
  <c r="I66" i="23"/>
  <c r="J66" i="23" s="1"/>
  <c r="K66" i="23" s="1"/>
  <c r="L66" i="23" s="1"/>
  <c r="I65" i="23"/>
  <c r="J65" i="23" s="1"/>
  <c r="K65" i="23" s="1"/>
  <c r="L65" i="23" s="1"/>
  <c r="I69" i="23"/>
  <c r="J69" i="23" s="1"/>
  <c r="K69" i="23" s="1"/>
  <c r="L69" i="23" s="1"/>
  <c r="I74" i="23"/>
  <c r="J74" i="23" s="1"/>
  <c r="K74" i="23" s="1"/>
  <c r="L74" i="23" s="1"/>
  <c r="I73" i="23"/>
  <c r="J73" i="23" s="1"/>
  <c r="K73" i="23" s="1"/>
  <c r="L73" i="23" s="1"/>
  <c r="I64" i="23"/>
  <c r="J64" i="23" s="1"/>
  <c r="K64" i="23" s="1"/>
  <c r="L64" i="23" s="1"/>
  <c r="I72" i="23"/>
  <c r="J72" i="23" s="1"/>
  <c r="K72" i="23" s="1"/>
  <c r="L72" i="23" s="1"/>
  <c r="I61" i="23"/>
  <c r="J61" i="23" s="1"/>
  <c r="K61" i="23" s="1"/>
  <c r="L61" i="23" s="1"/>
  <c r="I56" i="23"/>
  <c r="J56" i="23" s="1"/>
  <c r="K56" i="23" s="1"/>
  <c r="L56" i="23" s="1"/>
  <c r="I48" i="23"/>
  <c r="J48" i="23" s="1"/>
  <c r="K48" i="23" s="1"/>
  <c r="L48" i="23" s="1"/>
  <c r="I53" i="23"/>
  <c r="J53" i="23" s="1"/>
  <c r="K53" i="23" s="1"/>
  <c r="L53" i="23" s="1"/>
  <c r="I52" i="23"/>
  <c r="J52" i="23" s="1"/>
  <c r="K52" i="23" s="1"/>
  <c r="L52" i="23" s="1"/>
  <c r="I58" i="23"/>
  <c r="J58" i="23" s="1"/>
  <c r="K58" i="23" s="1"/>
  <c r="L58" i="23" s="1"/>
  <c r="I59" i="23"/>
  <c r="J59" i="23" s="1"/>
  <c r="K59" i="23" s="1"/>
  <c r="L59" i="23" s="1"/>
  <c r="I55" i="23"/>
  <c r="J55" i="23" s="1"/>
  <c r="K55" i="23" s="1"/>
  <c r="L55" i="23" s="1"/>
  <c r="I60" i="23"/>
  <c r="J60" i="23" s="1"/>
  <c r="K60" i="23" s="1"/>
  <c r="L60" i="23" s="1"/>
  <c r="I51" i="23"/>
  <c r="J51" i="23" s="1"/>
  <c r="K51" i="23" s="1"/>
  <c r="L51" i="23" s="1"/>
  <c r="I50" i="23"/>
  <c r="J50" i="23" s="1"/>
  <c r="K50" i="23" s="1"/>
  <c r="L50" i="23" s="1"/>
  <c r="I54" i="23"/>
  <c r="J54" i="23" s="1"/>
  <c r="K54" i="23" s="1"/>
  <c r="L54" i="23" s="1"/>
  <c r="I57" i="23"/>
  <c r="J57" i="23" s="1"/>
  <c r="K57" i="23" s="1"/>
  <c r="L57" i="23" s="1"/>
  <c r="I47" i="23"/>
  <c r="J47" i="23" s="1"/>
  <c r="K47" i="23" s="1"/>
  <c r="L47" i="23" s="1"/>
  <c r="I49" i="23"/>
  <c r="J49" i="23" s="1"/>
  <c r="K49" i="23" s="1"/>
  <c r="L49" i="23" s="1"/>
  <c r="I43" i="23"/>
  <c r="J43" i="23" s="1"/>
  <c r="K43" i="23" s="1"/>
  <c r="L43" i="23" s="1"/>
  <c r="I37" i="23"/>
  <c r="J37" i="23" s="1"/>
  <c r="K37" i="23" s="1"/>
  <c r="L37" i="23" s="1"/>
  <c r="I40" i="23"/>
  <c r="J40" i="23" s="1"/>
  <c r="K40" i="23" s="1"/>
  <c r="L40" i="23" s="1"/>
  <c r="I26" i="23"/>
  <c r="J26" i="23" s="1"/>
  <c r="K26" i="23" s="1"/>
  <c r="L26" i="23" s="1"/>
  <c r="I7" i="23"/>
  <c r="J7" i="23" s="1"/>
  <c r="K7" i="23" s="1"/>
  <c r="L7" i="23" s="1"/>
  <c r="I16" i="23"/>
  <c r="J16" i="23" s="1"/>
  <c r="K16" i="23" s="1"/>
  <c r="L16" i="23" s="1"/>
  <c r="I46" i="23"/>
  <c r="J46" i="23" s="1"/>
  <c r="K46" i="23" s="1"/>
  <c r="L46" i="23" s="1"/>
  <c r="I33" i="23"/>
  <c r="J33" i="23" s="1"/>
  <c r="K33" i="23" s="1"/>
  <c r="L33" i="23" s="1"/>
  <c r="I36" i="23"/>
  <c r="J36" i="23" s="1"/>
  <c r="K36" i="23" s="1"/>
  <c r="L36" i="23" s="1"/>
  <c r="I28" i="23"/>
  <c r="J28" i="23" s="1"/>
  <c r="K28" i="23" s="1"/>
  <c r="L28" i="23" s="1"/>
  <c r="I21" i="23"/>
  <c r="J21" i="23" s="1"/>
  <c r="K21" i="23" s="1"/>
  <c r="L21" i="23" s="1"/>
  <c r="I25" i="23"/>
  <c r="J25" i="23" s="1"/>
  <c r="K25" i="23" s="1"/>
  <c r="L25" i="23" s="1"/>
  <c r="I11" i="23"/>
  <c r="J11" i="23" s="1"/>
  <c r="K11" i="23" s="1"/>
  <c r="L11" i="23" s="1"/>
  <c r="I15" i="23"/>
  <c r="J15" i="23" s="1"/>
  <c r="K15" i="23" s="1"/>
  <c r="L15" i="23" s="1"/>
  <c r="I4" i="23"/>
  <c r="J4" i="23" s="1"/>
  <c r="K4" i="23" s="1"/>
  <c r="L4" i="23" s="1"/>
  <c r="I39" i="23"/>
  <c r="J39" i="23" s="1"/>
  <c r="K39" i="23" s="1"/>
  <c r="L39" i="23" s="1"/>
  <c r="I20" i="23"/>
  <c r="J20" i="23" s="1"/>
  <c r="K20" i="23" s="1"/>
  <c r="L20" i="23" s="1"/>
  <c r="I24" i="23"/>
  <c r="J24" i="23" s="1"/>
  <c r="K24" i="23" s="1"/>
  <c r="L24" i="23" s="1"/>
  <c r="I10" i="23"/>
  <c r="J10" i="23" s="1"/>
  <c r="I14" i="23"/>
  <c r="J14" i="23" s="1"/>
  <c r="K14" i="23" s="1"/>
  <c r="L14" i="23" s="1"/>
  <c r="I19" i="23"/>
  <c r="J19" i="23" s="1"/>
  <c r="K19" i="23" s="1"/>
  <c r="L19" i="23" s="1"/>
  <c r="I3" i="23"/>
  <c r="J3" i="23" s="1"/>
  <c r="K3" i="23" s="1"/>
  <c r="L3" i="23" s="1"/>
  <c r="I45" i="23"/>
  <c r="J45" i="23" s="1"/>
  <c r="K45" i="23" s="1"/>
  <c r="L45" i="23" s="1"/>
  <c r="I32" i="23"/>
  <c r="J32" i="23" s="1"/>
  <c r="K32" i="23" s="1"/>
  <c r="L32" i="23" s="1"/>
  <c r="I35" i="23"/>
  <c r="J35" i="23" s="1"/>
  <c r="K35" i="23" s="1"/>
  <c r="L35" i="23" s="1"/>
  <c r="I42" i="23"/>
  <c r="J42" i="23" s="1"/>
  <c r="K42" i="23" s="1"/>
  <c r="L42" i="23" s="1"/>
  <c r="I9" i="23"/>
  <c r="J9" i="23" s="1"/>
  <c r="K9" i="23" s="1"/>
  <c r="L9" i="23" s="1"/>
  <c r="I13" i="23"/>
  <c r="J13" i="23" s="1"/>
  <c r="K13" i="23" s="1"/>
  <c r="L13" i="23" s="1"/>
  <c r="I18" i="23"/>
  <c r="J18" i="23" s="1"/>
  <c r="K18" i="23" s="1"/>
  <c r="L18" i="23" s="1"/>
  <c r="I2" i="23"/>
  <c r="J2" i="23" s="1"/>
  <c r="I6" i="23"/>
  <c r="J6" i="23" s="1"/>
  <c r="K6" i="23" s="1"/>
  <c r="L6" i="23" s="1"/>
  <c r="I44" i="23"/>
  <c r="J44" i="23" s="1"/>
  <c r="K44" i="23" s="1"/>
  <c r="L44" i="23" s="1"/>
  <c r="I38" i="23"/>
  <c r="J38" i="23" s="1"/>
  <c r="K38" i="23" s="1"/>
  <c r="L38" i="23" s="1"/>
  <c r="I41" i="23"/>
  <c r="J41" i="23" s="1"/>
  <c r="K41" i="23" s="1"/>
  <c r="L41" i="23" s="1"/>
  <c r="I30" i="23"/>
  <c r="J30" i="23" s="1"/>
  <c r="K30" i="23" s="1"/>
  <c r="L30" i="23" s="1"/>
  <c r="I23" i="23"/>
  <c r="J23" i="23" s="1"/>
  <c r="K23" i="23" s="1"/>
  <c r="L23" i="23" s="1"/>
  <c r="I8" i="23"/>
  <c r="J8" i="23" s="1"/>
  <c r="K8" i="23" s="1"/>
  <c r="L8" i="23" s="1"/>
  <c r="I31" i="23"/>
  <c r="J31" i="23" s="1"/>
  <c r="K31" i="23" s="1"/>
  <c r="L31" i="23" s="1"/>
  <c r="I34" i="23"/>
  <c r="J34" i="23" s="1"/>
  <c r="K34" i="23" s="1"/>
  <c r="L34" i="23" s="1"/>
  <c r="I29" i="23"/>
  <c r="J29" i="23" s="1"/>
  <c r="K29" i="23" s="1"/>
  <c r="L29" i="23" s="1"/>
  <c r="I22" i="23"/>
  <c r="J22" i="23" s="1"/>
  <c r="K22" i="23" s="1"/>
  <c r="L22" i="23" s="1"/>
  <c r="I27" i="23"/>
  <c r="J27" i="23" s="1"/>
  <c r="K27" i="23" s="1"/>
  <c r="L27" i="23" s="1"/>
  <c r="I12" i="23"/>
  <c r="J12" i="23" s="1"/>
  <c r="K12" i="23" s="1"/>
  <c r="L12" i="23" s="1"/>
  <c r="I17" i="23"/>
  <c r="J17" i="23" s="1"/>
  <c r="K17" i="23" s="1"/>
  <c r="L17" i="23" s="1"/>
  <c r="I5" i="23"/>
  <c r="J5" i="23" s="1"/>
  <c r="K5" i="23" s="1"/>
  <c r="L5" i="23" s="1"/>
  <c r="M70" i="23"/>
  <c r="H73" i="22"/>
  <c r="H81" i="22"/>
  <c r="H79" i="22"/>
  <c r="H80" i="22"/>
  <c r="H78" i="22"/>
  <c r="H76" i="22"/>
  <c r="H74" i="22"/>
  <c r="H77" i="22"/>
  <c r="H75" i="22"/>
  <c r="M45" i="23"/>
  <c r="M47" i="23"/>
  <c r="M28" i="23"/>
  <c r="M31" i="23"/>
  <c r="H55" i="22"/>
  <c r="H63" i="22"/>
  <c r="H71" i="22"/>
  <c r="H58" i="22"/>
  <c r="H66" i="22"/>
  <c r="H61" i="22"/>
  <c r="H69" i="22"/>
  <c r="H56" i="22"/>
  <c r="H64" i="22"/>
  <c r="H72" i="22"/>
  <c r="H59" i="22"/>
  <c r="H67" i="22"/>
  <c r="H62" i="22"/>
  <c r="H70" i="22"/>
  <c r="H60" i="22"/>
  <c r="H57" i="22"/>
  <c r="H65" i="22"/>
  <c r="H68" i="22"/>
  <c r="H53" i="22"/>
  <c r="H54" i="22"/>
  <c r="M30" i="23"/>
  <c r="M37" i="23"/>
  <c r="H38" i="22"/>
  <c r="H46" i="22"/>
  <c r="H41" i="22"/>
  <c r="H49" i="22"/>
  <c r="H44" i="22"/>
  <c r="H52" i="22"/>
  <c r="H48" i="22"/>
  <c r="H39" i="22"/>
  <c r="H47" i="22"/>
  <c r="H42" i="22"/>
  <c r="H50" i="22"/>
  <c r="H45" i="22"/>
  <c r="H40" i="22"/>
  <c r="H43" i="22"/>
  <c r="H51" i="22"/>
  <c r="M12" i="23"/>
  <c r="M17" i="23"/>
  <c r="H36" i="22"/>
  <c r="H37" i="22"/>
  <c r="H29" i="22"/>
  <c r="H31" i="22"/>
  <c r="H33" i="22"/>
  <c r="H35" i="22"/>
  <c r="H32" i="22"/>
  <c r="H34" i="22"/>
  <c r="H30" i="22"/>
  <c r="M7" i="23"/>
  <c r="H16" i="22"/>
  <c r="H24" i="22"/>
  <c r="H19" i="22"/>
  <c r="H27" i="22"/>
  <c r="H22" i="22"/>
  <c r="H28" i="22"/>
  <c r="H17" i="22"/>
  <c r="H25" i="22"/>
  <c r="H20" i="22"/>
  <c r="H23" i="22"/>
  <c r="H21" i="22"/>
  <c r="H18" i="22"/>
  <c r="H26" i="22"/>
  <c r="H6" i="22"/>
  <c r="H14" i="22"/>
  <c r="H9" i="22"/>
  <c r="H12" i="22"/>
  <c r="H7" i="22"/>
  <c r="H15" i="22"/>
  <c r="H10" i="22"/>
  <c r="H13" i="22"/>
  <c r="H8" i="22"/>
  <c r="H11" i="22"/>
  <c r="H3" i="22"/>
  <c r="H4" i="22"/>
  <c r="H5" i="22"/>
  <c r="H2" i="22"/>
  <c r="G8" i="24"/>
  <c r="G5" i="24"/>
  <c r="G2" i="24"/>
  <c r="K2104" i="23" l="1"/>
  <c r="L2104" i="23" s="1"/>
  <c r="K2106" i="23"/>
  <c r="L2106" i="23" s="1"/>
  <c r="K2108" i="23"/>
  <c r="L2108" i="23" s="1"/>
  <c r="K2107" i="23"/>
  <c r="L2107" i="23" s="1"/>
  <c r="K2105" i="23"/>
  <c r="L2105" i="23" s="1"/>
  <c r="K2102" i="23"/>
  <c r="L2102" i="23" s="1"/>
  <c r="K2101" i="23"/>
  <c r="L2101" i="23" s="1"/>
  <c r="K2103" i="23"/>
  <c r="L2103" i="23" s="1"/>
  <c r="K2089" i="23"/>
  <c r="L2089" i="23" s="1"/>
  <c r="K2088" i="23"/>
  <c r="L2088" i="23" s="1"/>
  <c r="K2078" i="23"/>
  <c r="L2078" i="23" s="1"/>
  <c r="K2087" i="23"/>
  <c r="L2087" i="23" s="1"/>
  <c r="K2074" i="23"/>
  <c r="L2074" i="23" s="1"/>
  <c r="K2094" i="23"/>
  <c r="L2094" i="23" s="1"/>
  <c r="K2095" i="23"/>
  <c r="L2095" i="23" s="1"/>
  <c r="K2100" i="23"/>
  <c r="L2100" i="23" s="1"/>
  <c r="K2077" i="23"/>
  <c r="L2077" i="23" s="1"/>
  <c r="K2079" i="23"/>
  <c r="L2079" i="23" s="1"/>
  <c r="K2082" i="23"/>
  <c r="L2082" i="23" s="1"/>
  <c r="K2084" i="23"/>
  <c r="L2084" i="23" s="1"/>
  <c r="K2086" i="23"/>
  <c r="L2086" i="23" s="1"/>
  <c r="K2090" i="23"/>
  <c r="L2090" i="23" s="1"/>
  <c r="K2093" i="23"/>
  <c r="L2093" i="23" s="1"/>
  <c r="K2096" i="23"/>
  <c r="L2096" i="23" s="1"/>
  <c r="K2099" i="23"/>
  <c r="L2099" i="23" s="1"/>
  <c r="K2076" i="23"/>
  <c r="L2076" i="23" s="1"/>
  <c r="K2080" i="23"/>
  <c r="L2080" i="23" s="1"/>
  <c r="K2081" i="23"/>
  <c r="L2081" i="23" s="1"/>
  <c r="K2083" i="23"/>
  <c r="L2083" i="23" s="1"/>
  <c r="K2085" i="23"/>
  <c r="L2085" i="23" s="1"/>
  <c r="K2091" i="23"/>
  <c r="L2091" i="23" s="1"/>
  <c r="K2092" i="23"/>
  <c r="L2092" i="23" s="1"/>
  <c r="K2097" i="23"/>
  <c r="L2097" i="23" s="1"/>
  <c r="K2098" i="23"/>
  <c r="L2098" i="23" s="1"/>
  <c r="K2072" i="23"/>
  <c r="L2072" i="23" s="1"/>
  <c r="K2073" i="23"/>
  <c r="L2073" i="23" s="1"/>
  <c r="K2075" i="23"/>
  <c r="L2075" i="23" s="1"/>
  <c r="K2070" i="23"/>
  <c r="L2070" i="23" s="1"/>
  <c r="K2063" i="23"/>
  <c r="L2063" i="23" s="1"/>
  <c r="K2065" i="23"/>
  <c r="L2065" i="23" s="1"/>
  <c r="K2064" i="23"/>
  <c r="L2064" i="23" s="1"/>
  <c r="K2069" i="23"/>
  <c r="L2069" i="23" s="1"/>
  <c r="K2068" i="23"/>
  <c r="L2068" i="23" s="1"/>
  <c r="K2071" i="23"/>
  <c r="L2071" i="23" s="1"/>
  <c r="K2066" i="23"/>
  <c r="L2066" i="23" s="1"/>
  <c r="K2067" i="23"/>
  <c r="L2067" i="23" s="1"/>
  <c r="K2054" i="23"/>
  <c r="L2054" i="23" s="1"/>
  <c r="K2042" i="23"/>
  <c r="L2042" i="23" s="1"/>
  <c r="K2040" i="23"/>
  <c r="L2040" i="23" s="1"/>
  <c r="K2058" i="23"/>
  <c r="L2058" i="23" s="1"/>
  <c r="K2046" i="23"/>
  <c r="L2046" i="23" s="1"/>
  <c r="K2047" i="23"/>
  <c r="L2047" i="23" s="1"/>
  <c r="K2050" i="23"/>
  <c r="L2050" i="23" s="1"/>
  <c r="K2056" i="23"/>
  <c r="L2056" i="23" s="1"/>
  <c r="K2057" i="23"/>
  <c r="L2057" i="23" s="1"/>
  <c r="K2045" i="23"/>
  <c r="L2045" i="23" s="1"/>
  <c r="K2048" i="23"/>
  <c r="L2048" i="23" s="1"/>
  <c r="K2061" i="23"/>
  <c r="L2061" i="23" s="1"/>
  <c r="K2062" i="23"/>
  <c r="L2062" i="23" s="1"/>
  <c r="K2041" i="23"/>
  <c r="L2041" i="23" s="1"/>
  <c r="K2043" i="23"/>
  <c r="L2043" i="23" s="1"/>
  <c r="K2044" i="23"/>
  <c r="L2044" i="23" s="1"/>
  <c r="K2055" i="23"/>
  <c r="L2055" i="23" s="1"/>
  <c r="K2049" i="23"/>
  <c r="L2049" i="23" s="1"/>
  <c r="K2051" i="23"/>
  <c r="L2051" i="23" s="1"/>
  <c r="K2052" i="23"/>
  <c r="L2052" i="23" s="1"/>
  <c r="K2059" i="23"/>
  <c r="L2059" i="23" s="1"/>
  <c r="K2053" i="23"/>
  <c r="L2053" i="23" s="1"/>
  <c r="K2060" i="23"/>
  <c r="L2060" i="23" s="1"/>
  <c r="K2018" i="23"/>
  <c r="L2018" i="23" s="1"/>
  <c r="K2019" i="23"/>
  <c r="L2019" i="23" s="1"/>
  <c r="K2028" i="23"/>
  <c r="L2028" i="23" s="1"/>
  <c r="K2020" i="23"/>
  <c r="L2020" i="23" s="1"/>
  <c r="K2017" i="23"/>
  <c r="L2017" i="23" s="1"/>
  <c r="K2030" i="23"/>
  <c r="L2030" i="23" s="1"/>
  <c r="K2036" i="23"/>
  <c r="L2036" i="23" s="1"/>
  <c r="K2037" i="23"/>
  <c r="L2037" i="23" s="1"/>
  <c r="K2027" i="23"/>
  <c r="L2027" i="23" s="1"/>
  <c r="K2029" i="23"/>
  <c r="L2029" i="23" s="1"/>
  <c r="K2011" i="23"/>
  <c r="L2011" i="23" s="1"/>
  <c r="K2013" i="23"/>
  <c r="L2013" i="23" s="1"/>
  <c r="K2016" i="23"/>
  <c r="L2016" i="23" s="1"/>
  <c r="K2021" i="23"/>
  <c r="L2021" i="23" s="1"/>
  <c r="K2024" i="23"/>
  <c r="L2024" i="23" s="1"/>
  <c r="K2033" i="23"/>
  <c r="L2033" i="23" s="1"/>
  <c r="K2022" i="23"/>
  <c r="L2022" i="23" s="1"/>
  <c r="K2031" i="23"/>
  <c r="L2031" i="23" s="1"/>
  <c r="K2034" i="23"/>
  <c r="L2034" i="23" s="1"/>
  <c r="K2038" i="23"/>
  <c r="L2038" i="23" s="1"/>
  <c r="K2039" i="23"/>
  <c r="L2039" i="23" s="1"/>
  <c r="K2026" i="23"/>
  <c r="L2026" i="23" s="1"/>
  <c r="K2035" i="23"/>
  <c r="L2035" i="23" s="1"/>
  <c r="K2008" i="23"/>
  <c r="L2008" i="23" s="1"/>
  <c r="K2014" i="23"/>
  <c r="L2014" i="23" s="1"/>
  <c r="K2025" i="23"/>
  <c r="L2025" i="23" s="1"/>
  <c r="K2009" i="23"/>
  <c r="L2009" i="23" s="1"/>
  <c r="K2010" i="23"/>
  <c r="L2010" i="23" s="1"/>
  <c r="K2012" i="23"/>
  <c r="L2012" i="23" s="1"/>
  <c r="K2015" i="23"/>
  <c r="L2015" i="23" s="1"/>
  <c r="K2023" i="23"/>
  <c r="L2023" i="23" s="1"/>
  <c r="K2032" i="23"/>
  <c r="L2032" i="23" s="1"/>
  <c r="C32" i="26" a="1"/>
  <c r="C33" i="26" a="1"/>
  <c r="K151" i="23"/>
  <c r="L151" i="23" s="1"/>
  <c r="K6" i="27" a="1"/>
  <c r="K14" i="27" a="1"/>
  <c r="K9" i="27" a="1"/>
  <c r="K15" i="27" a="1"/>
  <c r="K8" i="27" a="1"/>
  <c r="K7" i="27" a="1"/>
  <c r="K16" i="27" a="1"/>
  <c r="K10" i="27" a="1"/>
  <c r="K17" i="27" a="1"/>
  <c r="K11" i="27" a="1"/>
  <c r="K12" i="27" a="1"/>
  <c r="K13" i="27" a="1"/>
  <c r="B33" i="26" a="1"/>
  <c r="B32" i="26" a="1"/>
  <c r="C34" i="26" a="1"/>
  <c r="K10" i="23"/>
  <c r="L10" i="23" s="1"/>
  <c r="K23" i="27"/>
  <c r="B41" i="26"/>
  <c r="G22" i="27"/>
  <c r="H22" i="27" s="1" a="1"/>
  <c r="L23" i="27" a="1"/>
  <c r="L21" i="27" a="1"/>
  <c r="L22" i="27" a="1"/>
  <c r="K22" i="27"/>
  <c r="K21" i="27"/>
  <c r="G20" i="27"/>
  <c r="H20" i="27" s="1" a="1"/>
  <c r="G23" i="27"/>
  <c r="H23" i="27" s="1" a="1"/>
  <c r="G21" i="27"/>
  <c r="H21" i="27" s="1" a="1"/>
  <c r="C42" i="26" a="1"/>
  <c r="C40" i="26" a="1"/>
  <c r="C41" i="26" a="1"/>
  <c r="B42" i="26"/>
  <c r="C39" i="26" a="1"/>
  <c r="K701" i="23"/>
  <c r="L701" i="23" s="1"/>
  <c r="B40" i="26"/>
  <c r="K274" i="23"/>
  <c r="L274" i="23" s="1"/>
  <c r="B39" i="26"/>
  <c r="B34" i="26" a="1"/>
  <c r="K2" i="23"/>
  <c r="L2" i="23" s="1"/>
  <c r="G4" i="24"/>
  <c r="K24" i="27" l="1"/>
  <c r="D31" i="26"/>
  <c r="L17" i="27" s="1"/>
  <c r="D34" i="26" l="1"/>
  <c r="H9" i="27"/>
  <c r="D33" i="26"/>
  <c r="D34" i="27"/>
  <c r="C34" i="27"/>
  <c r="C35" i="26"/>
  <c r="D32" i="26"/>
  <c r="B35" i="26"/>
  <c r="C18" i="27"/>
  <c r="G9" i="27"/>
  <c r="L16" i="27"/>
  <c r="L15" i="27" s="1"/>
  <c r="L14" i="27" s="1"/>
  <c r="L13" i="27" s="1"/>
  <c r="L12" i="27" s="1"/>
  <c r="L11" i="27" s="1"/>
  <c r="L10" i="27" s="1"/>
  <c r="L9" i="27" s="1"/>
  <c r="L8" i="27" s="1"/>
  <c r="L7" i="27" s="1"/>
  <c r="L6" i="27" s="1"/>
  <c r="L24" i="27"/>
  <c r="D18" i="27"/>
  <c r="D35" i="2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<sst xmlns="http://schemas.openxmlformats.org/spreadsheetml/2006/main" count="12975" uniqueCount="1832">
  <si>
    <t>Etiquetas de fila</t>
  </si>
  <si>
    <t>Total general</t>
  </si>
  <si>
    <t>Nº doc.</t>
  </si>
  <si>
    <t>Fecha doc.</t>
  </si>
  <si>
    <t xml:space="preserve">       Importe en ML</t>
  </si>
  <si>
    <t>Usuario</t>
  </si>
  <si>
    <t>Fe.valor</t>
  </si>
  <si>
    <t>Fecha</t>
  </si>
  <si>
    <t>Comprobante</t>
  </si>
  <si>
    <t>Sucursal</t>
  </si>
  <si>
    <t>Importe</t>
  </si>
  <si>
    <t>Descripción</t>
  </si>
  <si>
    <t>CH/PAG</t>
  </si>
  <si>
    <t>HSBC</t>
  </si>
  <si>
    <t>NUECES DE CATAMARCA S.A CATAMARCA 02</t>
  </si>
  <si>
    <t>Concepto/Cod,Op,</t>
  </si>
  <si>
    <t>Cod,Op,Bco,</t>
  </si>
  <si>
    <t>FLETES Y SERVICIOS PUJATO S.A PUJATO 12</t>
  </si>
  <si>
    <t>Banco</t>
  </si>
  <si>
    <t>Etiquetas de columna</t>
  </si>
  <si>
    <t xml:space="preserve">CHEQUE 48 HORAS          </t>
  </si>
  <si>
    <t>CH/RECIB48</t>
  </si>
  <si>
    <t>MES</t>
  </si>
  <si>
    <t>CJE.IN.R24</t>
  </si>
  <si>
    <t xml:space="preserve">CANJE INTERNO 24 HORAS   </t>
  </si>
  <si>
    <t>EDET S.A. SAN MIGUEL DE TUCUMAN 14</t>
  </si>
  <si>
    <t>Totales</t>
  </si>
  <si>
    <t>Cheques a Conformar</t>
  </si>
  <si>
    <t>Cheques Pendientes al</t>
  </si>
  <si>
    <t>CATALANA DE SERVICIOS SRL YERBA BUENA 14</t>
  </si>
  <si>
    <t>LANGELLA JUAN RODOLFO ALDERETES 14</t>
  </si>
  <si>
    <t>FERNANDEZ HECTOR JOSE SIMOCA 14</t>
  </si>
  <si>
    <t>GALICIA</t>
  </si>
  <si>
    <t>Hierronort Salta S.R.L. SAN MIGUEL DE TUCUMAN 14</t>
  </si>
  <si>
    <t>A.F.Gentile Tucumán S.A. SAN MIGUEL DE TUCUMAN 14</t>
  </si>
  <si>
    <t>ROTOPLAS ARGENTINA SA BUENOS AIRES 01</t>
  </si>
  <si>
    <t>Pevisa S.R.L. SAN MIGUEL DE TUCUMAN 14</t>
  </si>
  <si>
    <t>DECIMA MANUEL ARMANDO SAN MIGUEL DE TUCUMAN 14</t>
  </si>
  <si>
    <t>VITRIU NICOLAS YERBA BUENA 14</t>
  </si>
  <si>
    <t>GEOTECNOLOGIA S.R.L SAN MIGUEL DE TUCUMAN 14</t>
  </si>
  <si>
    <t>Maria Rosa Olaz de Cabrera SAN MIGUEL DE TUCUMAN 14</t>
  </si>
  <si>
    <t>PETROARSA S.A SAN MIGUEL DE TUCUMAN 14</t>
  </si>
  <si>
    <t>Suarez Elio Hernan Los altos 02</t>
  </si>
  <si>
    <t>Remetal S.A. SAN MIGUEL DE TUCUMAN 14</t>
  </si>
  <si>
    <t>Numero CH</t>
  </si>
  <si>
    <t>INDUSTRIAS CONTARDO SAIYC SAN JUSTO 01</t>
  </si>
  <si>
    <t>numero de cheque</t>
  </si>
  <si>
    <t>importe</t>
  </si>
  <si>
    <t>pagado</t>
  </si>
  <si>
    <t>estado</t>
  </si>
  <si>
    <t>estado dos</t>
  </si>
  <si>
    <t>Suma de importe</t>
  </si>
  <si>
    <t>a pagar</t>
  </si>
  <si>
    <t>estado tres</t>
  </si>
  <si>
    <t>en cartera</t>
  </si>
  <si>
    <t>FECHA DE CORTE</t>
  </si>
  <si>
    <t>HOY</t>
  </si>
  <si>
    <t>CIERRE</t>
  </si>
  <si>
    <t>CHEQUES PENDIENTES POR COBRAR</t>
  </si>
  <si>
    <t>CHEQUES A PAGAR EN EL DÍA</t>
  </si>
  <si>
    <t>mes</t>
  </si>
  <si>
    <t>periodo</t>
  </si>
  <si>
    <t>semana actual</t>
  </si>
  <si>
    <t>semana</t>
  </si>
  <si>
    <t>AÑO</t>
  </si>
  <si>
    <t>(Todas)</t>
  </si>
  <si>
    <t>EL SOL MATERIALES SA SAN MIGUEL DE TUCUMAN 14</t>
  </si>
  <si>
    <t>ANJOR SA CORDOBA 03</t>
  </si>
  <si>
    <t>Transportes La Sevillanita S.RALDERETES 14</t>
  </si>
  <si>
    <t>RASUK JORGE LUIS YERBA BUENA 14</t>
  </si>
  <si>
    <t>TS OASIS SRL BANDA DEL RIO SALI 14</t>
  </si>
  <si>
    <t>Marchese Grandi Meson y Asoc SAN MIGUEL DE TUCUMAN 14</t>
  </si>
  <si>
    <t>SEGURIDAD OMEGA SRL SAN FERNANDO DEL VALLE DE CATAMARCA 02</t>
  </si>
  <si>
    <t>Dimater S.A. SAN MIGUEL DE TUCUMAN 14</t>
  </si>
  <si>
    <t>CAMPOAGRO SRL YERBA BUENA 14</t>
  </si>
  <si>
    <t>GALINDO CONSTRUCCIONES SRL SAN MIGUEL DE TUCUMAN 14</t>
  </si>
  <si>
    <t>BERCOVICH COMERCIAL SAS SAN MIGUEL DE TUCUMAN 14</t>
  </si>
  <si>
    <t>Barrera Juan Jose San Miguel De Tucuman 14</t>
  </si>
  <si>
    <t>PEREZ CURBELO HNOS SRL SAN MIGUEL DE TUCUMAN 14</t>
  </si>
  <si>
    <t>MACRO</t>
  </si>
  <si>
    <t xml:space="preserve">CHEQUE P/CAMARA          </t>
  </si>
  <si>
    <t>RC CONSULTORES S.R.L BARRIO LOS GIGANTES 03</t>
  </si>
  <si>
    <t xml:space="preserve">CHEQUE CANJE INTERNO     </t>
  </si>
  <si>
    <t>CONTROL UNION NORTE S.A YERBA BUENA 14</t>
  </si>
  <si>
    <t>OLEIROS S.A OLIVOS 01</t>
  </si>
  <si>
    <t>Expreso Bisonte S.R.L. BANDA DEL RIO SALI 14</t>
  </si>
  <si>
    <t>CAFELI S.R.L. SAN MIGUEL DE TUCUMAN 14</t>
  </si>
  <si>
    <t>SERV.AGROP VILLA PAPADAKIS S.RSALTA 09</t>
  </si>
  <si>
    <t>. tucumán</t>
  </si>
  <si>
    <t>BARBARISI JUAREZ PABLO EMANUELSAN JUAN 10</t>
  </si>
  <si>
    <t>Agricola Garcia S.A. SAN MIGUEL DE TUCUMAN 14</t>
  </si>
  <si>
    <t>02/01/2025</t>
  </si>
  <si>
    <t>03/01/2025</t>
  </si>
  <si>
    <t>06/01/2025</t>
  </si>
  <si>
    <t>07/01/2025</t>
  </si>
  <si>
    <t>08/01/2025</t>
  </si>
  <si>
    <t>14/01/2025</t>
  </si>
  <si>
    <t>16/01/2025</t>
  </si>
  <si>
    <t>15/01/2025</t>
  </si>
  <si>
    <t>17/01/2025</t>
  </si>
  <si>
    <t>MARTINO HNOS SERVICIOS AGRICOLFAMAILLA 14</t>
  </si>
  <si>
    <t>21/01/2025</t>
  </si>
  <si>
    <t>22/01/2025</t>
  </si>
  <si>
    <t>23/01/2025</t>
  </si>
  <si>
    <t>24/01/2025</t>
  </si>
  <si>
    <t>Acosta, Angel Alejandro SAN MIGUEL DE TUCUMAN 14</t>
  </si>
  <si>
    <t>27/01/2025</t>
  </si>
  <si>
    <t>30/01/2025</t>
  </si>
  <si>
    <t>31/01/2025</t>
  </si>
  <si>
    <t>03/02/2025</t>
  </si>
  <si>
    <t>04/02/2025</t>
  </si>
  <si>
    <t>06/02/2025</t>
  </si>
  <si>
    <t>07/02/2025</t>
  </si>
  <si>
    <t>10/02/2025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</si>
  <si>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</si>
  <si>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</si>
  <si>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</si>
  <si>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</si>
  <si>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</si>
  <si>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</si>
  <si>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</si>
  <si>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</si>
  <si>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</si>
  <si>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</si>
  <si>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06/03/2025</t>
  </si>
  <si>
    <t>07/03/2025</t>
  </si>
  <si>
    <t>13/03/2025</t>
  </si>
  <si>
    <t>14/03/2025</t>
  </si>
  <si>
    <t>12/03/2025</t>
  </si>
  <si>
    <t>17/03/2025</t>
  </si>
  <si>
    <t>20/03/2025</t>
  </si>
  <si>
    <t>MAINCAL S.A ROSARIO SUD 12</t>
  </si>
  <si>
    <t>26/03/2025</t>
  </si>
  <si>
    <t>27/03/2025</t>
  </si>
  <si>
    <t>28/03/2025</t>
  </si>
  <si>
    <t>01/04/2025</t>
  </si>
  <si>
    <t>31/03/2025</t>
  </si>
  <si>
    <t>03/04/2025</t>
  </si>
  <si>
    <t>07/04/2025</t>
  </si>
  <si>
    <t>09/04/2025</t>
  </si>
  <si>
    <t>11/04/2025</t>
  </si>
  <si>
    <t>14/04/2025</t>
  </si>
  <si>
    <t>15/04/2025</t>
  </si>
  <si>
    <t>22/04/2025</t>
  </si>
  <si>
    <t>21/04/2025</t>
  </si>
  <si>
    <t>24/04/2025</t>
  </si>
  <si>
    <t>25/04/2025</t>
  </si>
  <si>
    <t>28/04/2025</t>
  </si>
  <si>
    <t>29/04/2025</t>
  </si>
  <si>
    <t>06/05/2025</t>
  </si>
  <si>
    <t>05/05/2025</t>
  </si>
  <si>
    <t>08/05/2025</t>
  </si>
  <si>
    <t>07/05/2025</t>
  </si>
  <si>
    <t>09/05/2025</t>
  </si>
  <si>
    <t>12/05/2025</t>
  </si>
  <si>
    <t>14/05/2025</t>
  </si>
  <si>
    <t>15/05/2025</t>
  </si>
  <si>
    <t>16/05/2025</t>
  </si>
  <si>
    <t>20/05/2025</t>
  </si>
  <si>
    <t>19/05/2025</t>
  </si>
  <si>
    <t>21/05/2025</t>
  </si>
  <si>
    <t>23/05/2025</t>
  </si>
  <si>
    <t>invalidado med.EOLIVERA -Destruido/ Sin uso</t>
  </si>
  <si>
    <t>EMPRESA MAYORISTA INDUSTRIAL SSAN MIGUEL DE TUCUMAN 14</t>
  </si>
  <si>
    <t>proximo a vencer</t>
  </si>
  <si>
    <t>26/05/2025</t>
  </si>
  <si>
    <t>27/05/2025</t>
  </si>
  <si>
    <t>29/05/2025</t>
  </si>
  <si>
    <t>30/05/2025</t>
  </si>
  <si>
    <t>03/06/2025</t>
  </si>
  <si>
    <t>05/06/2025</t>
  </si>
  <si>
    <t>06/06/2025</t>
  </si>
  <si>
    <t>09/06/2025</t>
  </si>
  <si>
    <t>10/06/2025</t>
  </si>
  <si>
    <t>12/06/2025</t>
  </si>
  <si>
    <t>13/06/2025</t>
  </si>
  <si>
    <t>Ag Naum SA SAN MIGUEL DE TUCUMAN 14</t>
  </si>
  <si>
    <t>17/06/2025</t>
  </si>
  <si>
    <t>18/06/2025</t>
  </si>
  <si>
    <t>19/06/2025</t>
  </si>
  <si>
    <t>23/06/2025</t>
  </si>
  <si>
    <t>25/06/2025</t>
  </si>
  <si>
    <t>M.A.D Serv y mant eléctri SAN MIGUEL DE TUCUMAN 14</t>
  </si>
  <si>
    <t>30/06/2025</t>
  </si>
  <si>
    <t>01/07/2025</t>
  </si>
  <si>
    <t>03/07/2025</t>
  </si>
  <si>
    <t>04/07/2025</t>
  </si>
  <si>
    <t>10/07/2025</t>
  </si>
  <si>
    <t>08/07/2025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</si>
  <si>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</si>
  <si>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</si>
  <si>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</si>
  <si>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</si>
  <si>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</si>
  <si>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</si>
  <si>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</si>
  <si>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</si>
  <si>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25/07/2025</t>
  </si>
  <si>
    <t>-</t>
  </si>
  <si>
    <t>28/07/2025</t>
  </si>
  <si>
    <t>29/07/2025</t>
  </si>
  <si>
    <t>30/07/2025</t>
  </si>
  <si>
    <t>31/07/2025</t>
  </si>
  <si>
    <t>01/08/2025</t>
  </si>
  <si>
    <t>05/08/2025</t>
  </si>
  <si>
    <t>07/08/2025</t>
  </si>
  <si>
    <t>08/08/2025</t>
  </si>
  <si>
    <t>11/08/2025</t>
  </si>
  <si>
    <t>12/08/2025</t>
  </si>
  <si>
    <t>18/08/2025</t>
  </si>
  <si>
    <t>19/08/2025</t>
  </si>
  <si>
    <t>MELISAM S A BOULOGNE 01</t>
  </si>
  <si>
    <t>20/08/2025</t>
  </si>
  <si>
    <t>21/08/2025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</si>
  <si>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</si>
  <si>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</si>
  <si>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</si>
  <si>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</si>
  <si>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</si>
  <si>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</si>
  <si>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</si>
  <si>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04/09/2025</t>
  </si>
  <si>
    <t>05/09/2025</t>
  </si>
  <si>
    <t>08/09/2025</t>
  </si>
  <si>
    <t>10/09/2025</t>
  </si>
  <si>
    <t>11/09/2025</t>
  </si>
  <si>
    <t>12/09/2025</t>
  </si>
  <si>
    <t>15/09/2025</t>
  </si>
  <si>
    <t>16/09/2025</t>
  </si>
  <si>
    <t>18/09/2025</t>
  </si>
  <si>
    <t>22/09/2025</t>
  </si>
  <si>
    <t>23/09/2025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</si>
  <si>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</si>
  <si>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</si>
  <si>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</si>
  <si>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</si>
  <si>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</si>
  <si>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</si>
  <si>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</si>
  <si>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Medina Juan Edgardo SAN MIGUEL DE TUCUMAN 14</t>
  </si>
  <si>
    <t>invalidado med.EOLIVERA -Rechazado</t>
  </si>
  <si>
    <t>06/10/2025</t>
  </si>
  <si>
    <t>07/10/2025</t>
  </si>
  <si>
    <t>14/10/2025</t>
  </si>
  <si>
    <t>15/10/2025</t>
  </si>
  <si>
    <t>16/10/2025</t>
  </si>
  <si>
    <t>17/10/2025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</si>
  <si>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</si>
  <si>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</si>
  <si>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</si>
  <si>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</si>
  <si>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</si>
  <si>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</si>
  <si>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</si>
  <si>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03/11/2025</t>
  </si>
  <si>
    <t>04/11/2025</t>
  </si>
  <si>
    <t>BRUBERTURAS SAS CORDOBA 03</t>
  </si>
  <si>
    <t>11/11/2025</t>
  </si>
  <si>
    <t>12/11/2025</t>
  </si>
  <si>
    <t>14/11/2025</t>
  </si>
  <si>
    <t>VERON MARIANA BEATRIZ NUEVA ESPERANZA 13</t>
  </si>
  <si>
    <t>18/11/2025</t>
  </si>
  <si>
    <t>26/11/2025</t>
  </si>
  <si>
    <t>27/11/2025</t>
  </si>
  <si>
    <t>28/11/2025</t>
  </si>
  <si>
    <t>01/12/2025</t>
  </si>
  <si>
    <t>02/12/2025</t>
  </si>
  <si>
    <t>03/12/2025</t>
  </si>
  <si>
    <t>05/12/2025</t>
  </si>
  <si>
    <t>09/12/2025</t>
  </si>
  <si>
    <t>11/12/2025</t>
  </si>
  <si>
    <t>12/12/2025</t>
  </si>
  <si>
    <t>15/12/2025</t>
  </si>
  <si>
    <t>16/12/2025</t>
  </si>
  <si>
    <t>18/12/2025</t>
  </si>
  <si>
    <t>19/12/2025</t>
  </si>
  <si>
    <t>22/12/2025</t>
  </si>
  <si>
    <t>23/12/2025</t>
  </si>
  <si>
    <t>26/12/2025</t>
  </si>
  <si>
    <t>30/12/2025</t>
  </si>
  <si>
    <t>02/01/2026</t>
  </si>
  <si>
    <t>05/01/2026</t>
  </si>
  <si>
    <t>06/01/2026</t>
  </si>
  <si>
    <t>12/01/2026</t>
  </si>
  <si>
    <t>15/01/2026</t>
  </si>
  <si>
    <t>19/01/2026</t>
  </si>
  <si>
    <t>20/01/2026</t>
  </si>
  <si>
    <t>21/01/2026</t>
  </si>
  <si>
    <t>22/01/2026</t>
  </si>
  <si>
    <t>23/01/2026</t>
  </si>
  <si>
    <t>27/01/2026</t>
  </si>
  <si>
    <t>28/01/2026</t>
  </si>
  <si>
    <t>26/01/2026</t>
  </si>
  <si>
    <t>30/01/2026</t>
  </si>
  <si>
    <t>HELVETICA SA CAÑADA DE GOMEZ 12</t>
  </si>
  <si>
    <t>04/02/2026</t>
  </si>
  <si>
    <t>05/02/2026</t>
  </si>
  <si>
    <t>NOELIA VERONICA BAZAN RUIZ LAS TALITAS - TUCUMAN 14</t>
  </si>
  <si>
    <t>09/02/2026</t>
  </si>
  <si>
    <t>10/02/2026</t>
  </si>
  <si>
    <t>11/02/2026</t>
  </si>
  <si>
    <t>18/02/2026</t>
  </si>
  <si>
    <t>20/02/2026</t>
  </si>
  <si>
    <t>23/02/2026</t>
  </si>
  <si>
    <t>24/02/2026</t>
  </si>
  <si>
    <t>25/02/2026</t>
  </si>
  <si>
    <t>26/02/2026</t>
  </si>
  <si>
    <t>27/02/2026</t>
  </si>
  <si>
    <t>03/03/2026</t>
  </si>
  <si>
    <t>04/03/2026</t>
  </si>
  <si>
    <t xml:space="preserve">   CHEQUES A CONFORMAR HOY</t>
  </si>
  <si>
    <t>Nº Cheque</t>
  </si>
  <si>
    <t>—</t>
  </si>
  <si>
    <t>TOTAL A CONFORMAR</t>
  </si>
  <si>
    <t>Concepto</t>
  </si>
  <si>
    <t>Total</t>
  </si>
  <si>
    <t>TOTAL CHEQUES A PAGAR</t>
  </si>
  <si>
    <t xml:space="preserve">   CHEQUES CADUCADOS / FUERA DE FECHA</t>
  </si>
  <si>
    <t>Cantidad</t>
  </si>
  <si>
    <t>Importe Total</t>
  </si>
  <si>
    <t>TOTAL CADUCADOS</t>
  </si>
  <si>
    <t xml:space="preserve">   RESUMEN ANUAL</t>
  </si>
  <si>
    <t>Mes</t>
  </si>
  <si>
    <t>Cant. Cheques</t>
  </si>
  <si>
    <t>Importe Total ($)</t>
  </si>
  <si>
    <t>Año</t>
  </si>
  <si>
    <t>Plazo Prom. (días)</t>
  </si>
  <si>
    <t>Nivel</t>
  </si>
  <si>
    <t>Enero</t>
  </si>
  <si>
    <t>Febrero</t>
  </si>
  <si>
    <t>Marzo</t>
  </si>
  <si>
    <t>Abril</t>
  </si>
  <si>
    <t>TOTAL</t>
  </si>
  <si>
    <t>Mayo</t>
  </si>
  <si>
    <t>Junio</t>
  </si>
  <si>
    <t xml:space="preserve">   DISTRIBUCIÓN POR BANCO</t>
  </si>
  <si>
    <t>Julio</t>
  </si>
  <si>
    <t>Agosto</t>
  </si>
  <si>
    <t>Septiembre</t>
  </si>
  <si>
    <t>Octubre</t>
  </si>
  <si>
    <t>Noviembre</t>
  </si>
  <si>
    <t>Diciembre</t>
  </si>
  <si>
    <t xml:space="preserve">   PLAZO PROMEDIO DE COBRO POR BANCO (días)</t>
  </si>
  <si>
    <t>Cheques Pagados</t>
  </si>
  <si>
    <t xml:space="preserve">  CHEQUES CADUCADOS / FUERA DE FECHA</t>
  </si>
  <si>
    <t>PROMEDIO GENERAL</t>
  </si>
  <si>
    <t xml:space="preserve">   CHEQUES A PAGAR</t>
  </si>
  <si>
    <t>Cheques a conformar hoy</t>
  </si>
  <si>
    <t>Cheques pendientes vencen esta semana</t>
  </si>
  <si>
    <t>Cheques que vencen en la próxima semana</t>
  </si>
  <si>
    <t>Cheques que vencen en más de 15 días</t>
  </si>
  <si>
    <t>AGROGANADERA DEL NOA S.A.  —  Control de Cheques</t>
  </si>
  <si>
    <t>COMBUSTIBLES DEL NORTE S.A. LAS LAJITAS 09</t>
  </si>
  <si>
    <t>FRANCO DANIEL EDELMIRO JOAQUIN V GONZALEZ 09</t>
  </si>
  <si>
    <t>GARCIA ALBESA MONICA GABRIELA JOAQUIN V. GONZALEZ 09</t>
  </si>
  <si>
    <t>LINCE S.A. VILLA NUEVA 03</t>
  </si>
  <si>
    <t>TFP CONSTRUCCIONES SRL SALTA 09</t>
  </si>
  <si>
    <t>Pulmajo S.R.L.</t>
  </si>
  <si>
    <t>Agro Yutuyaco S.R.L. Laferrere 01</t>
  </si>
  <si>
    <t>ROJAS NICOLAS ALBERTO ACONQUIJA 02</t>
  </si>
  <si>
    <t>TRANSPORTE EL SALTEÑO SRL SALTA 09</t>
  </si>
  <si>
    <t>HACIENDAS VILLAGUAY SRL Villaguay 05</t>
  </si>
  <si>
    <t>Colombo y Magliano S.A. CAPITAL FEDERAL 00</t>
  </si>
  <si>
    <t>HERMANOS CATTANEO SAS Vaqueros 09</t>
  </si>
  <si>
    <t>RODRIGUEZ NESTOR HORACIO YERBA BUENA 14</t>
  </si>
  <si>
    <t>Turbay Pablo Facundo JOAQUIN V. GONZALEZ 09</t>
  </si>
  <si>
    <t>MARTINEZ LUIS FELIPE joaquin b gonzalez Salta 03</t>
  </si>
  <si>
    <t>FANTINI-LOPEZ EL CALDEN AGROS JESUS MARIA 14</t>
  </si>
  <si>
    <t>IKURRIÑA SRL GENERAL RIVAS 01</t>
  </si>
  <si>
    <t>SUAREZ GABRIEL SEBASTIAN SANTIAGO DEL ESTERO 13</t>
  </si>
  <si>
    <t>Vetifarma S.A. Parque Ind."La Plata 01</t>
  </si>
  <si>
    <t>DAGHERO LUIS ALFREDO CHACABUCO 00</t>
  </si>
  <si>
    <t>MONTIEL RAMIRO YERBA BUENA 14</t>
  </si>
  <si>
    <t>CRESPI GABRIEL ALFREDO JOAQUIN V GONZALEZ 09</t>
  </si>
  <si>
    <t>SACHETTO JORGE OMAR . CORDOBA 06</t>
  </si>
  <si>
    <t>HERRERA NESTOR ARIEL ALDERETES 14</t>
  </si>
  <si>
    <t>Centro Ganadero S.R.L. Las Lajits 09</t>
  </si>
  <si>
    <t>CONSORCIO DE CAMINOS INDEPENDESALTA 09</t>
  </si>
  <si>
    <t>Pulmajo S.R.L. CONCEPCION 14</t>
  </si>
  <si>
    <t>TUCUMAN BBS SRL SAN MIGUEL DE TUCUMAN 14</t>
  </si>
  <si>
    <t>PETROANDINA S.R.L SALTA 09</t>
  </si>
  <si>
    <t>GRUPO MARGEN DEL NOA SA YERBA BUENA 14</t>
  </si>
  <si>
    <t>Oscar Barbieri S.A. SAN MIGUEL DE TUCUMAN 14</t>
  </si>
  <si>
    <t>COCCOLO GUILLERMO PABLO CAÑADA ROSQUIN 12</t>
  </si>
  <si>
    <t>SOUK S. A. S. SANTIAGO DEL ESTERO 13</t>
  </si>
  <si>
    <t>SERVICIOS ADMINISTRATIVOS Y AGSAN MIGUEL DE TUCUMAN 14</t>
  </si>
  <si>
    <t>Laborda Carlos SAN MIGUEL DE TUCUMAN 14</t>
  </si>
  <si>
    <t>Vitraserv S.R.L. Las Talitas 14</t>
  </si>
  <si>
    <t>LOS NOGALES S.R.L General Jose de San 16</t>
  </si>
  <si>
    <t>MEDINA DISTRIBUCIONES SAS TAFI VIEJO 14</t>
  </si>
  <si>
    <t>Villa y Moreno S.A. CAPITAL FEDERAL 00</t>
  </si>
  <si>
    <t>PLASTAR SAN LUIS S.A BUENOS AIRES 11</t>
  </si>
  <si>
    <t>CABUS OSCAR . ROSARIO 12</t>
  </si>
  <si>
    <t>CARO CHECA JULIO ALBERTO ROSARIO DE LA FRONTERA 09</t>
  </si>
  <si>
    <t>PICABUEY S.R.L SALTA 09</t>
  </si>
  <si>
    <t>Arguello Gabriel METAN 09</t>
  </si>
  <si>
    <t>BRANDAN FEDERICO NICOLAS SALTA 09</t>
  </si>
  <si>
    <t>MOLINA JUAN RAMON NUEVA ESPERANZA 13</t>
  </si>
  <si>
    <t>AYALA JUAN JOSE LA RAMADA DE ABAJO 14</t>
  </si>
  <si>
    <t>LOS NOVILLOS S.A CIUDAD AUTONOMA DE BUENOS AIRES 01</t>
  </si>
  <si>
    <t>BULONERIA BELGRANO SRL SAN MIGUEL DE TUCUMAN 14</t>
  </si>
  <si>
    <t>ESTEBAN ABELENDA SA RECONQUISTA 12</t>
  </si>
  <si>
    <t>Alar S.A. SAN MIGUEL DE TUCUMAN 14</t>
  </si>
  <si>
    <t>ESTANCIA BUENAVENTURA SRL SALTA 09</t>
  </si>
  <si>
    <t>RACE VIAL SAS RESISTENCIA 16</t>
  </si>
  <si>
    <t>Sociedad Rural de Tucumán Cevil Redondo 14</t>
  </si>
  <si>
    <t>LUNA JUAN PABLO SANTIAGO DEL ESTERO 13</t>
  </si>
  <si>
    <t>DE ARCOS VICENTE FRANCISCO SANTIAGO DEL ESTERO 13</t>
  </si>
  <si>
    <t>Fundacion Anta Ganadera J.V. GJoaquin V.Gonzalez 09</t>
  </si>
  <si>
    <t>anulado</t>
  </si>
  <si>
    <t>HACIENDAS FEDERALES SRL CORRIENTES 04</t>
  </si>
  <si>
    <t>LALLANA NEUMATICOS SRL BARRIO : PORTAL DE GUEMES 09</t>
  </si>
  <si>
    <t>EL IMPENETRABLE SRL CORRIENTES 04</t>
  </si>
  <si>
    <t>JB E HIJOS CIA PUBLICITARIA SRSAN MIGUEL DE TUCUMAN 14</t>
  </si>
  <si>
    <t>TKW S.A. Olivos 01</t>
  </si>
  <si>
    <t>Ivan L. O Farrell S.R.L. Resistencia 16</t>
  </si>
  <si>
    <t>GRUPO INDUSTRIAL SAS SAN MIGUEL DE TUCUMAN 14</t>
  </si>
  <si>
    <t>Asoc Civil del Norte Colonia M JIMENEZ 13</t>
  </si>
  <si>
    <t>Andameb SRL Buenos Aires 01</t>
  </si>
  <si>
    <t>RIOS GRADIN S.A. CAPITAL FEDERAL 00</t>
  </si>
  <si>
    <t>TK VENTAS Y SERVICIOS S.R.L RIO CEBALLOS 03</t>
  </si>
  <si>
    <t>Ferring S.R.L. SAN MIGUEL DE TUCUMAN 14</t>
  </si>
  <si>
    <t>TOMSIC PABLO DANIEL SANTIAGO DEL ESTERO 13</t>
  </si>
  <si>
    <t>LUCENA ANGEL OMAR LOS VALLISTOS 13</t>
  </si>
  <si>
    <t>DE CIA GALFRASCOLI PIERO FABIOQUIMILI 13</t>
  </si>
  <si>
    <t>TRANSPORTE QUERANDIES SRL SANTA FE 12</t>
  </si>
  <si>
    <t>4M CONSTRUCCIONES Y SERVICIOS SANTIAGO DEL ESTERO 13</t>
  </si>
  <si>
    <t>BIOFARMA S A LOS BOULEVARES 03</t>
  </si>
  <si>
    <t>TJ SAS MONTEROS 14</t>
  </si>
  <si>
    <t>LA INDUSTRIAL SALINERA S.A JESUS MARIA 03</t>
  </si>
  <si>
    <t>ELPIDA S.A. BUENOS AIRES 01</t>
  </si>
  <si>
    <t>NEUMATICOS LA BANDA SRL BANDA DEL RIO SALI 14</t>
  </si>
  <si>
    <t>Mecano Ganadero S.A. 9 de Julio 01</t>
  </si>
  <si>
    <t>KARSAN CONSTRUCCIONES SRL LA BANDA 13</t>
  </si>
  <si>
    <t>A B CONSTRUCCIONES SRL SAN SALVADOR DE JUJUY 06</t>
  </si>
  <si>
    <t>ROBERTO CHELALA SRL SANTIAGO DEL ESTERO 13</t>
  </si>
  <si>
    <t>Alto Verde S.A. ORAN 09</t>
  </si>
  <si>
    <t>Cheque de terceros tucumán</t>
  </si>
  <si>
    <t>AGROTRANSPORTE ALDAO S.A. CAMILO ALDAO 03</t>
  </si>
  <si>
    <t>APACHE SERVICIOS S.R.L. CRUZ ALTA 14</t>
  </si>
  <si>
    <t>SOFARG SAS CIUDAD DE CORDOBA 03</t>
  </si>
  <si>
    <t>Irrigaciones Norte SRL SAN MIGUEL DE TUCUMAN 14</t>
  </si>
  <si>
    <t>COLOMBO Y COLOMBO SA</t>
  </si>
  <si>
    <t>COMERCIAL TACO POZO SRL SAN MIGUEL DE TUCUMAN 14</t>
  </si>
  <si>
    <t>BEVERINA BASCULAS SRL SAN MIGUEL DE TUCUMAN 14</t>
  </si>
  <si>
    <t>FUNDACION ARGENINTA CIUDAD AUTONOMA DE BUENOS AIRES 01</t>
  </si>
  <si>
    <t>ALBORNOZ RODRIGO EZEQUIEL - PAMPA MAYO 14</t>
  </si>
  <si>
    <t>HELLBERG TRANSP. Y SERVICIOS SLOS POCITOS 14</t>
  </si>
  <si>
    <t>AUTOLUX SA JUJUY 06</t>
  </si>
  <si>
    <t>Mega Alfalfa Argentina SA CAPITAL FEDERAL 00</t>
  </si>
  <si>
    <t>CARDALDA SA CAPITAL FEDERAL 00</t>
  </si>
  <si>
    <t>Agrosistemas S.R.L. SAN MIGUEL DE TUCUMAN 14</t>
  </si>
  <si>
    <t>R. ORION SRL SANTA FE 12</t>
  </si>
  <si>
    <t>CRESPI GABRIEL ALFREDO</t>
  </si>
  <si>
    <t>JUAN DEBERNARDI S.R.L. CIUDAD AUTONOMA BUENOS AIRES 00</t>
  </si>
  <si>
    <t>CAJAL JUAN MARTIN SAN MIGUEL DE TUCUMAN 14</t>
  </si>
  <si>
    <t>SOCIEDAD RURAL DE CATAMARCA VILLA PARQUE CHACABUCO 02</t>
  </si>
  <si>
    <t>STINE SEED ARGENTINA CAPTAL FEDERAL 00</t>
  </si>
  <si>
    <t>AYALA HERNAN OSVALDO SAN MIGUEL DE TUCUMAN 14</t>
  </si>
  <si>
    <t>CENTRO DE REPRODUCCION BOVINA SAN ANTONIO DE ARECO 01</t>
  </si>
  <si>
    <t>FLORES ERICK SEBASTIAN JOAQUIN V GONZALEZ 09</t>
  </si>
  <si>
    <t>LAROCCA SALTA NEUMATICOS SA SALTA 09</t>
  </si>
  <si>
    <t>AGUERO MARTIN ANTONIO SAN MIGUEL DE TUCUMAN 14</t>
  </si>
  <si>
    <t>ROTONDO MARTA ELENA YERBA BUENA 14</t>
  </si>
  <si>
    <t>LINE UP S.A SAN MIGUEL DE TUCUMAN 14</t>
  </si>
  <si>
    <t>SOSA INES DEL VALLE SAN MIGUEL DE TUCUMAN 14</t>
  </si>
  <si>
    <t>GERMAN Y ERNESTO "H" GARCIA S.SAN MIGUEL DE TUCUMAN 14</t>
  </si>
  <si>
    <t>MAJU EMPRENDIMIENTOS SRL JOAQUIN V. GONZALEZ 09</t>
  </si>
  <si>
    <t>ACOSTA GUAREMA GERARDINE Capital Federal 00</t>
  </si>
  <si>
    <t>G Y R S.R.L ROLDAN 12</t>
  </si>
  <si>
    <t>RAZQUIN PABLO ALBERTO LARROQUE - ENTRE RIOS 05</t>
  </si>
  <si>
    <t>BUSTOS EXEQUIEL ANTONIO BANDA DEL RIO SALI 14</t>
  </si>
  <si>
    <t>MOYANO JULIO CESAR BANDA DEL RIO SALI 14</t>
  </si>
  <si>
    <t>SILVIO HERRERA Y CIA SRL SAN MIGUEL DE TUCUMAN 14</t>
  </si>
  <si>
    <t>NUTREFEED S A EMPALME FATIMA 01</t>
  </si>
  <si>
    <t>SERV.AGROP VILLA PAPADAKIS S.R.L</t>
  </si>
  <si>
    <t>Asoc.Coop. INTA E.E.A. RafaelaRAFAELA 12</t>
  </si>
  <si>
    <t>TRANSPORTE BARBERAN HNOS SRL CHABAS 12</t>
  </si>
  <si>
    <t>Yuhmak S.A. SAN MIGUEL DE TUCUMAN 14</t>
  </si>
  <si>
    <t>Andrimarsil S.R.L. Las Lajitas -Anta 09</t>
  </si>
  <si>
    <t>Luis S. Ferro S.A. SAN MIGUEL DE TUCUMAN 14</t>
  </si>
  <si>
    <t>ZALAZAR ATTIS LOURDES NOEMI NUEVA ESPERANZA 13</t>
  </si>
  <si>
    <t>JUAN MARTIN FIGUEROA 9 DE JULIO 01</t>
  </si>
  <si>
    <t>BAHNSA S.A.</t>
  </si>
  <si>
    <t>Cheque de terceros TUCUMAN</t>
  </si>
  <si>
    <t>AGRO LAJITAS SA ALDERETES 14</t>
  </si>
  <si>
    <t>COFCO INTERNATIONAL ARGENTINA BUENOS AIRES 12</t>
  </si>
  <si>
    <t>KOMUK SRL MANANTIAL 14</t>
  </si>
  <si>
    <t>T. P. EXPORT SRL SAN MIGUEL DE TUCUMAN 14</t>
  </si>
  <si>
    <t>BIT S A VILLA MARIA 03</t>
  </si>
  <si>
    <t>DE MENDIBURU ORLANDO DANIEL SANTA FE 12</t>
  </si>
  <si>
    <t>METROFANO MARCELO ALEJANDRO TABOADA ESTACION 13</t>
  </si>
  <si>
    <t>GARCIA GROUP SRL SAN MIGUEL DE TUCUMAN 14</t>
  </si>
  <si>
    <t>CONTRERA SEBASTIAN RAMIRO JOAQUIN V. GONZALEZ 09</t>
  </si>
  <si>
    <t>Santillan Jose Miguel JOAQUIN V. GONZALEZ 09</t>
  </si>
  <si>
    <t>SOCIEDAD RURAL ZONAL DE FRIAS SANTIAGO DEL ESTERO 13</t>
  </si>
  <si>
    <t>METROFANO JOSE LUIS TABOADA 13</t>
  </si>
  <si>
    <t>SOMAC SRL SALTA 09</t>
  </si>
  <si>
    <t>ARGUELLO JOSE ALEJANDRO MACHAGAI 16</t>
  </si>
  <si>
    <t>CIALE S.A CIUDAD AUTONOMA DE BUENOS AIRES 01</t>
  </si>
  <si>
    <t>ATIEMPO SEGURIDAD SRL SALTA 09</t>
  </si>
  <si>
    <t>ACOSTA ROSA MERCEDES BANDA DEL RIO SALI 14</t>
  </si>
  <si>
    <t>VELASQUEZ ALDO PICHANAL 09</t>
  </si>
  <si>
    <t>Hierronort Salta S.R.L.</t>
  </si>
  <si>
    <t>AUTOLUX SA</t>
  </si>
  <si>
    <t>PICABUEY S.R.L</t>
  </si>
  <si>
    <t>JAMAI S. A. S.</t>
  </si>
  <si>
    <t>LUNA PABLO ALEJANDRO</t>
  </si>
  <si>
    <t>MACHUCA OSCAR ANTONIO</t>
  </si>
  <si>
    <t>Turbay Pablo Facundo</t>
  </si>
  <si>
    <t>TDS S. A. S.</t>
  </si>
  <si>
    <t>MEDINA DISTRIBUCIONES SAS</t>
  </si>
  <si>
    <t>GEOTECNOLOGIA S.R.L</t>
  </si>
  <si>
    <t>Centro Ganadero S.R.L.</t>
  </si>
  <si>
    <t>SOLANO CARMINA SOLEDAD</t>
  </si>
  <si>
    <t>Vetifarma S.A.</t>
  </si>
  <si>
    <t>LAROCCA SALTA NEUMATICOS SA</t>
  </si>
  <si>
    <t>VERON MARIANA BEATRIZ</t>
  </si>
  <si>
    <t>Arguello Gabriel</t>
  </si>
  <si>
    <t>GRUPO MARGEN DEL NOA SA</t>
  </si>
  <si>
    <t>Laborda Carlos</t>
  </si>
  <si>
    <t>SMART IT SOLUTIONS SRL</t>
  </si>
  <si>
    <t>Agricola Garcia S.A.</t>
  </si>
  <si>
    <t>LENARDUZZI DIEGO LEONARDO SAN JUSTO 12</t>
  </si>
  <si>
    <t>HACIENDAS VILLAGUAY SRL</t>
  </si>
  <si>
    <t>MOYANO SERGIO ESTEBAN BANDA DEL RIO SALI 14</t>
  </si>
  <si>
    <t>CONSTRUCCIONES GOMEZ SRL SAN MIGUEL DE TUCUMAN 14</t>
  </si>
  <si>
    <t>ZELAYA, BERTA TERESA EL MOJON 13</t>
  </si>
  <si>
    <t>CARNES A PASTO S.R.L. Capital - Salta 09</t>
  </si>
  <si>
    <t>CAMARA ARGENTINA DE FEEDLOT Buenos Aires 01</t>
  </si>
  <si>
    <t>ACOSTA ANGEL ALEJANDRO SAN MIGUEL DE TUCUMAN 14</t>
  </si>
  <si>
    <t>YOMEL S.A. 9 de Julio 01</t>
  </si>
  <si>
    <t>EXPERTOS GANADEROS SRL CAPITAL FEDERAL 00</t>
  </si>
  <si>
    <t>ILARI OSCAR GERMAN CHARATA 16</t>
  </si>
  <si>
    <t>CITEX SRL ARMSTRONG 12</t>
  </si>
  <si>
    <t>Estado</t>
  </si>
  <si>
    <t>06/03/2026</t>
  </si>
  <si>
    <t>Año:</t>
  </si>
  <si>
    <t>09/03/2026</t>
  </si>
  <si>
    <t>10/03/2026</t>
  </si>
  <si>
    <t>Bunge Argentina S.A. Tancacha 03</t>
  </si>
  <si>
    <t>ZELAYA,BERTA TERESA EL MOJON 13</t>
  </si>
  <si>
    <t>Aspen S.R.L. SAN MIGUEL DE TUCUMAN 14</t>
  </si>
  <si>
    <t>Medina Lauro Jose Las Cejas 14</t>
  </si>
  <si>
    <t>11/03/2026</t>
  </si>
  <si>
    <t>CONSORCIO DE CAMINOS INDEPENDENCIA</t>
  </si>
  <si>
    <t>Cheque</t>
  </si>
  <si>
    <t>Proveedor</t>
  </si>
  <si>
    <t>Fecha de pago</t>
  </si>
  <si>
    <t>Villa y Moreno S.A.</t>
  </si>
  <si>
    <t xml:space="preserve">CENTRO DE REPRODUCCION BOVINA </t>
  </si>
  <si>
    <t>17/03/2026</t>
  </si>
  <si>
    <t>19/03/2026</t>
  </si>
  <si>
    <t>20/03/2026</t>
  </si>
  <si>
    <t>LUNA PABLO ALEJANDRO NUEVA ESPERANZA 13</t>
  </si>
  <si>
    <t>DEL BASSO MANLIO ALEJANDRO SAN RAMON DE LA NUEVA ORAN 09</t>
  </si>
  <si>
    <t>LLANOS RAMON ROQUE SAN MIGUEL DE TUCUMAN 14</t>
  </si>
  <si>
    <t>25/03/2026</t>
  </si>
  <si>
    <t>26/03/2026</t>
  </si>
  <si>
    <t>30/03/2026</t>
  </si>
  <si>
    <t>31/03/2026</t>
  </si>
  <si>
    <t>CASTILLO PEDRO LORENZO SAN PEDRO DE GUASAYAN 13</t>
  </si>
  <si>
    <t>SOLANO CARMINA SOLEDAD FERNANDEZ 13</t>
  </si>
  <si>
    <t>TRANSPORTE RAUL S.R.L SAN MIGUEL DE TUCUMAN 14</t>
  </si>
  <si>
    <t>01/04/2026</t>
  </si>
  <si>
    <t>MARTINO HNOS SERVICIOS AGRICOLAS</t>
  </si>
  <si>
    <t>BRANDAN FEDERICO NICOLAS</t>
  </si>
  <si>
    <t>DEL BASSO MANLIO ALEJANDRO</t>
  </si>
  <si>
    <t>LANGELLA JUAN RODOLFO</t>
  </si>
  <si>
    <t>SOUK S. A. S.</t>
  </si>
  <si>
    <t>Fundacion Anta Ganadera</t>
  </si>
  <si>
    <t xml:space="preserve">Luis S. Ferro S.A. </t>
  </si>
  <si>
    <t>CASTILLO PEDRO LORENZO</t>
  </si>
  <si>
    <t xml:space="preserve">SOLANO CARMINA SOLEDAD </t>
  </si>
  <si>
    <t>TRANSPORTE RAUL S.R.L</t>
  </si>
  <si>
    <t>BUSTOS EXEQUIEL ANTONIO</t>
  </si>
  <si>
    <t>AGROTRANSPORTE ALDAO S.A.</t>
  </si>
  <si>
    <t>HERMANOS CATTANEO SAS</t>
  </si>
  <si>
    <t>Pintureria España S.R.L SAN MIGUEL DE TUCUMAN 14</t>
  </si>
  <si>
    <t>CONFECAT S.A SAN FERNANDO DEL VALLE DE CATAMARCA 02</t>
  </si>
  <si>
    <t>MOLINA JUAN F. Y MOLINA ROQUE Lastenia 14</t>
  </si>
  <si>
    <t>06/04/2026</t>
  </si>
  <si>
    <t>07/04/2026</t>
  </si>
  <si>
    <t>. TUCUMAN</t>
  </si>
  <si>
    <t>Anulado</t>
  </si>
  <si>
    <t>HYDRASER SA ROSARIO 12</t>
  </si>
  <si>
    <t>LOBO BENICIO MARTIN ALDERETES 14</t>
  </si>
  <si>
    <t>PABLO Y FERNANDO TACCHELLA S.RSAN MIGUEL DE TUCUMAN 14</t>
  </si>
  <si>
    <t>Servicom Group S.A. CAPITAL FEDERAL 00</t>
  </si>
  <si>
    <t>MERCATOR TRANSPORT ARGENTINA SBUENOS AIRES 01</t>
  </si>
  <si>
    <t>Greif Argentina SA Tigre 01</t>
  </si>
  <si>
    <t>MONTEROS LEMON SAS TAFI VIEJO 14</t>
  </si>
  <si>
    <t>BONSUR SA CAPITAL FEDERAL 00</t>
  </si>
  <si>
    <t>Terminal 4 S.A. Puerto Nuevo 01</t>
  </si>
  <si>
    <t>. Tucumán</t>
  </si>
  <si>
    <t>MG SERVICIOS AGROPECUARIOS SASTAFI VIEJO 14</t>
  </si>
  <si>
    <t>TRUSARELLI CARLOS ALBERTO BANDA DEL RIO SALI 14</t>
  </si>
  <si>
    <t>M. AMUCHASTEGUI S. R. L. YERBA BUENA 14</t>
  </si>
  <si>
    <t>GCAMPO MAQUINARIAS S.R.L LAS TALITAS 14</t>
  </si>
  <si>
    <t>Metalurgica Ramon S.R.L. Lastenia 14</t>
  </si>
  <si>
    <t>Consultoria en Tecnologia de IBUENOS AIRES 00</t>
  </si>
  <si>
    <t>Romero, Hector Ruben Alpachiri 14</t>
  </si>
  <si>
    <t>SANTEX S. A. LOS NOGALES 14</t>
  </si>
  <si>
    <t>SALAZAR CARLOS ALBERTO SAN MIGUEL DE TUCUMAN 14</t>
  </si>
  <si>
    <t>TRANSPORTE LA TRADICION SRL ALDERETES 14</t>
  </si>
  <si>
    <t>JUAREZ SERGIO DAVID SAN MIGUEL DE TUCUMAN 14</t>
  </si>
  <si>
    <t>Silver Freight Logistic SRL CAPITAL FEDERAL 00</t>
  </si>
  <si>
    <t>SMART SEGURIDAD SA YERBA BUENA 14</t>
  </si>
  <si>
    <t>LA ASTURIANA SRL SAN MIGUEL DE TUCUMAN 14</t>
  </si>
  <si>
    <t>RIBA MONICA ELIZABETH LAS TALITAS 14</t>
  </si>
  <si>
    <t>TEKNOS TECHNOLOGY GROUP SA CAPITAL FEDERAL 00</t>
  </si>
  <si>
    <t>Fondo Fijo Administracion CitrNO TIENE</t>
  </si>
  <si>
    <t>MAC DONALD MIGUEL ALEJANDRO BANDA DEL RIO SALI 14</t>
  </si>
  <si>
    <t>CAPETTA ANTONELLA ANAHI SAN MIGUEL DE TUCUMAN 14</t>
  </si>
  <si>
    <t>LUGUIMAC S.R.L VILLA LYNCH 01</t>
  </si>
  <si>
    <t>FABRICA ARG. DE INDUMENTARIA SGENERAL RODRIGUEZ 01</t>
  </si>
  <si>
    <t>JACQUET NORBERTO SALVADOR SAN JOSE 05</t>
  </si>
  <si>
    <t>LOGISTICA Y DISTRIBUCION FEDE CAPITAL FEDERAL 00</t>
  </si>
  <si>
    <t>TRANSPORTE FRIOS DEL NORTE S.RSAN MIGUEL DE TUCUMAN 14</t>
  </si>
  <si>
    <t>RL SOLUCIONES S. A. S. SAN MIGUEL DE TUCUMAN 14</t>
  </si>
  <si>
    <t>INSITU S.R.L SAN MIGUEL DE TUCUMAN 14</t>
  </si>
  <si>
    <t>LATCOMEX SA CAPITAL FEDERAL 00</t>
  </si>
  <si>
    <t>AGROPECUARIA MUNDO NUEVO SRL SAN PABLO 14</t>
  </si>
  <si>
    <t>VILLAGRA VELEZ ROQUE RICARDO SAN MIGUEL DE TUCUMAN 14</t>
  </si>
  <si>
    <t>Cia. Azucarera Los Balcanes S.Ingenio La Florida 14</t>
  </si>
  <si>
    <t>Dsv Air &amp; Sea SA BUENOS AIRES 01</t>
  </si>
  <si>
    <t>ROMERO SERVICIOS S. A. S. ALPACHIRI 14</t>
  </si>
  <si>
    <t>SEPULVEDA MONTAJES S.R.L. SAN ISIDRO DE LULES 14</t>
  </si>
  <si>
    <t>VISMA ARGENTINA SA CAPITAL FEDERAL 14</t>
  </si>
  <si>
    <t>Jeblab S.R.L. YERBA BUENA 14</t>
  </si>
  <si>
    <t>Verde y Sol S.R.L. SAN MIGUEL DE TUCUMAN 14</t>
  </si>
  <si>
    <t>PAMPLONA SRL SAN MIGUEL DE TUCUMAN 14</t>
  </si>
  <si>
    <t>NOBEN SRL SAN MIGUEL DE TUCUMAN 14</t>
  </si>
  <si>
    <t>LOGISTICA INTERNACIONAL S.A SAN MIGUEL DE TUCUMAN 14</t>
  </si>
  <si>
    <t>BUENOS AIRES COMEX S.R.L. BANFIELD 14</t>
  </si>
  <si>
    <t>SABIKA SRL CIUDAD AUTONOMA BUENOS AIRES 00</t>
  </si>
  <si>
    <t>MORILLO ANTONIO JOSE EMBARCACION 09</t>
  </si>
  <si>
    <t>SOLUCIONES RANDSTAD S.A ROSARIO 12</t>
  </si>
  <si>
    <t>JS NORTE INGENIERIA S.R.L ANDALGALA 02</t>
  </si>
  <si>
    <t>RODRIGO HEREDIA PUIG LASTENIA 14</t>
  </si>
  <si>
    <t>SAUCE HUACHO SERVICIOS S.R.L MONTEROS 14</t>
  </si>
  <si>
    <t>J. SLEIMAN S.R.L SAN MIGUEL DE TUCUMAN 14</t>
  </si>
  <si>
    <t>CEMEVA SAS YERBA BUENA 14</t>
  </si>
  <si>
    <t>Trading Internacional S.A. ROSARIO 12</t>
  </si>
  <si>
    <t>LA MARTINA SERV. AGRICOLAS S.RSAN PABLO 14</t>
  </si>
  <si>
    <t>ADLER HASENCLEVER Y ASOCIADOS BUENOS AIRES 01</t>
  </si>
  <si>
    <t>AGROREDES S.R.L SAN ISIDRO 01</t>
  </si>
  <si>
    <t>COOPTRAR LTDA SAN MIGUEL DE TUCUMAN 14</t>
  </si>
  <si>
    <t>Archvil S.A. CEVIL POZO 14</t>
  </si>
  <si>
    <t>CEFAS S.A CIUDAD AUTONOMA DE BUENOS AIRES 01</t>
  </si>
  <si>
    <t>GOMEZ JUANA ROSA VILLA LA TRINIDAD 14</t>
  </si>
  <si>
    <t>PAEZ ANDRES ALEXIS MACIO 14</t>
  </si>
  <si>
    <t>Vaquera Francisco Alfredo Monteros 14</t>
  </si>
  <si>
    <t>D´ANDREA SERGIO FRANCISCO YERBA BUENA 14</t>
  </si>
  <si>
    <t>ACOSTA ROQUE RAMON SAN MIGUEL DE TUCUMAN 14</t>
  </si>
  <si>
    <t>TRANSCARGO ARGENTINA SA CAPITAL FEDERAL 00</t>
  </si>
  <si>
    <t>Anka SRL San Miguel de Tucumán 14</t>
  </si>
  <si>
    <t>PERATO CRISTIAN LUIS BANDA DEL RIO SALI 14</t>
  </si>
  <si>
    <t>TUCUMAN PALLET SRL EL MANANTIAL 14</t>
  </si>
  <si>
    <t>TRANSPORTE MEDINA S.H. CRUZ ALTA 14</t>
  </si>
  <si>
    <t>CEIVAC SAS SAN MIGUEL DE TUCUMAN 14</t>
  </si>
  <si>
    <t>GAR S.A SAN MIGUEL DE TUCUMAN 14</t>
  </si>
  <si>
    <t>BESTANI LEANDRO EXEQUIEL SAN MIGUEL DE TUCUMAN 14</t>
  </si>
  <si>
    <t>HERRERA RICARDO ALBERTO BANDA DEL RIO SALI 14</t>
  </si>
  <si>
    <t>Sanchez Jose Mauricio San Miguel de Tucuman 14</t>
  </si>
  <si>
    <t>SUAREZ MIGUEL ANGEL ALDERETES 14</t>
  </si>
  <si>
    <t>OLEA LUIS ARIEL LOS GUTIERREZ-ALDERETES 14</t>
  </si>
  <si>
    <t>PEDRO GABRIEL ALEJANDRO ALDERETES 14</t>
  </si>
  <si>
    <t>Bustos Sergio Alejandro Banda Rio Sali 14</t>
  </si>
  <si>
    <t>PERATO LUIS ALBERTO BANDA DEL RIO SALI 14</t>
  </si>
  <si>
    <t>MANGNUS TRADE LOGISTIC SA Caítal Federañ 00</t>
  </si>
  <si>
    <t>VIRAL IMPORTS SA YERBA BUENA 14</t>
  </si>
  <si>
    <t>LANCHELA HECTOR ROLANDO CONCEPCION 14</t>
  </si>
  <si>
    <t>ALVAREZ RENE JOSE MARIA BELLA VISTA 14</t>
  </si>
  <si>
    <t>TRANSPORTE MEDINA S.H.</t>
  </si>
  <si>
    <t>SUAREZ MANUEL RODOLFO ALDERETES 14</t>
  </si>
  <si>
    <t>GEREZ ALICIA ELEUTERIA SAN MIGUEL DE TUCUMAN 14</t>
  </si>
  <si>
    <t>Cruz Jonas Marcos Tafi del Valle 14</t>
  </si>
  <si>
    <t>Alcoba Luareano Arnaldo Concepcion 14</t>
  </si>
  <si>
    <t>MOREY SERGIO GUILLERMO LOS GUTIERREZ-ALDERETES 14</t>
  </si>
  <si>
    <t>PAEZ LEONEL EXEQUIEL MACIO 14</t>
  </si>
  <si>
    <t>ZYMO SA SAN MIGUEL DE TUCUMAN 00</t>
  </si>
  <si>
    <t>Air Liquide Argentina SA SAN MIGUEL DE TUCUMAN 14</t>
  </si>
  <si>
    <t>CORTEZ CHRISTIE ANA INES YERBA BUENA 14</t>
  </si>
  <si>
    <t>Excer S.R.L. Buenos Aires 01</t>
  </si>
  <si>
    <t>NAVATUC IND. METALURGICAS S.R.LASTENIA 14</t>
  </si>
  <si>
    <t>Transporte CDC S.A. CAPITAL FEDERAL 00</t>
  </si>
  <si>
    <t>MURATO CONSTRUCCIONES S.R.L YERBA BUENA 14</t>
  </si>
  <si>
    <t>Southatlantic Maritime S.A. BUENOS AIRES 01</t>
  </si>
  <si>
    <t>TRANSPORTE MARIANITA S.R.L SAN MIGUEL DE TUCUMAN 14</t>
  </si>
  <si>
    <t>Pedro Angel Michael Alderetes 14</t>
  </si>
  <si>
    <t>TORRES JUAN RAMON ALDERETES 14</t>
  </si>
  <si>
    <t>VIDES GUSTAVO ENRIQUE LA TRINIDAD 14</t>
  </si>
  <si>
    <t>SANTILLI CARLOS MIGUEL SAN MIGUEL DE TUCUMAN 14</t>
  </si>
  <si>
    <t>VIDES HECTOR FERNANDO VILLA LA TRINIDAD 14</t>
  </si>
  <si>
    <t>MOYANO JUAN VICTOR TUCUMAN 14</t>
  </si>
  <si>
    <t>Racedo Martin MONTEROS 14</t>
  </si>
  <si>
    <t>JLA ARGENTINA S A GENERAL CABRERA 03</t>
  </si>
  <si>
    <t>HERECITRUS SRL SAN MIGUEL DE TUCUMAN 14</t>
  </si>
  <si>
    <t>JOSE DUMIT SA SAN MIGUEL DE TUCUMAN 14</t>
  </si>
  <si>
    <t>CITRAR SRL SAN MIGUEL DE TUCUMAN 14</t>
  </si>
  <si>
    <t>invalidado med.EOLIVERA -Vencimiento BCRA</t>
  </si>
  <si>
    <t>Arias Gonzalo Alejandro San Miguel de Tucumán 14</t>
  </si>
  <si>
    <t>SLEIMAN JOSE RODOLFO ALDERETES 14</t>
  </si>
  <si>
    <t>GONZALEZ SANTIAGO ROQUE TAFI VIEJO 14</t>
  </si>
  <si>
    <t>AGRO ALIANZA SA TAFI VIEJO 14</t>
  </si>
  <si>
    <t>MENDEZ, MARTIN ALBERTO SAN MIGUEL DE TUCUMAN 14</t>
  </si>
  <si>
    <t>MARIN TOMAS LAZARO CAFAYATE - SALTA 09</t>
  </si>
  <si>
    <t>Gonzalez Jose Luis Lastenia 14</t>
  </si>
  <si>
    <t>COVIL S.A. CEVIL POZO 14</t>
  </si>
  <si>
    <t>GYE S.A ROSARIO SUD 12</t>
  </si>
  <si>
    <t>MARTINEZ ZUCCARDI JORGE AGUSTISANTA LUCIA 14</t>
  </si>
  <si>
    <t>AGRICOLA MARES S.A FAMAILLA 14</t>
  </si>
  <si>
    <t>fyl trans srl SAN MIGUEL DE TUCUMAN 14</t>
  </si>
  <si>
    <t>CAD SOLUTIONS S.A. CAPITAL FEDERAL 00</t>
  </si>
  <si>
    <t>Martinez Zuccardi Emma CeciliaSAN MIGUEL DE TUCUMAN 14</t>
  </si>
  <si>
    <t>Sereno Carlos Luis Los Gutierrez 14</t>
  </si>
  <si>
    <t>Arias Carlos Alberto SAN MIGUEL DE TUCUMAN 14</t>
  </si>
  <si>
    <t>AUAD ANDREA ALEJANDRA SAN MIGUEL DE TUCUMAN 14</t>
  </si>
  <si>
    <t>EXPORTADORA DEL LITORAL SA SAN PEDRO 01</t>
  </si>
  <si>
    <t>FICOVIL TUCUMAN</t>
  </si>
  <si>
    <t>FICODAL TUCUMAN</t>
  </si>
  <si>
    <t>FICOPEL TUCUMAN</t>
  </si>
  <si>
    <t>NORTE DISTRIBUCIONES S.R.L SAN MIGUEL DE TUCUMAN 14</t>
  </si>
  <si>
    <t>Mudad Francisco Esteban Los Nogales 14</t>
  </si>
  <si>
    <t>DUN Y BRADSTREET S.A CIUDAD AUTONOMA DE BUENOS AIRES 01</t>
  </si>
  <si>
    <t>Atenor Hnos. S.R.L SAN MIGUEL DE TUCUMAN 14</t>
  </si>
  <si>
    <t>Asoc. Coop.Fac.Cie.Exac.y Tec.SAN MIGUEL DE TUCUMAN 14</t>
  </si>
  <si>
    <t>MELIAN MASSERA MARIA DE LAS MESAN MIGUEL DE TUCUMAN 14</t>
  </si>
  <si>
    <t>CARAM ERNESTO JOSE SAN MIGUEL DE TUCUMAN 14</t>
  </si>
  <si>
    <t>MANCERA JOSEFINA REMIGIA SAN MIGUEL DE TUCUMAN 14</t>
  </si>
  <si>
    <t>ANULADO</t>
  </si>
  <si>
    <t>BUSTOS GUILLERMO DARIO ALDERETES 14</t>
  </si>
  <si>
    <t>NARANJO GONZALO JOSE TARUCA PAMPA 14</t>
  </si>
  <si>
    <t>COMPAÑIA INVERSORA DE ENERGIA CIUDAD AUTONOMA BUENOS AIRES 00</t>
  </si>
  <si>
    <t>LABAC S.A. COLON 01</t>
  </si>
  <si>
    <t>ABALOS ENZO FEDERICO Villa Mariano Moreno 14</t>
  </si>
  <si>
    <t>ALBERTUS JUAN CARLOS SAN MIGUEL DE TUCUMAN 14</t>
  </si>
  <si>
    <t>ARMERIA ARMAR SAS SAN MIGUEL DE TUCUMAN 14</t>
  </si>
  <si>
    <t>Bureau Veritas Arg.S.A. CIUDAD AUTONOMA DE BUENOS AIRES 01</t>
  </si>
  <si>
    <t>Poda Verde SRL SAN MIGUEL DE TUCUMAN 14</t>
  </si>
  <si>
    <t>CARABAJAL FABIO OMAR ALDERETES 14</t>
  </si>
  <si>
    <t>ZYLBERMINC CARLOS MANUEL CAPITAL FEDERAL 00</t>
  </si>
  <si>
    <t>FERRO JOSE NICOLAS FAMAILLA 14</t>
  </si>
  <si>
    <t>Sergio Scopel SAN MIGUEL DE TUCUMAN 14</t>
  </si>
  <si>
    <t>POLITUC S.R.L. SAN MIGUEL DE TUCUMAN 14</t>
  </si>
  <si>
    <t>HELUANE PABLO DARIO SAN MIGUEL DE TUCUMAN 14</t>
  </si>
  <si>
    <t>CARTER INTERNACIONAL S. A. S. SAN MIGUEL DE TUCUMAN 14</t>
  </si>
  <si>
    <t>DECU3 S.R.L. YERBA BUENA 14</t>
  </si>
  <si>
    <t>MOYANO JUAN MANUEL ORAN 09</t>
  </si>
  <si>
    <t>Transportes Gelvez SA LUJAN DEL CUYO 07</t>
  </si>
  <si>
    <t>CENTRO HIDRAULICO S.A VENADO TUERTO 12</t>
  </si>
  <si>
    <t>CONSTRUNOA S.A.S. ORAN 09</t>
  </si>
  <si>
    <t>Exolgan S.A. Dock Sud 01</t>
  </si>
  <si>
    <t>ECOGREEN SRL SAN MIGUEL DE TUCUMAN 14</t>
  </si>
  <si>
    <t>INTERIORES S.R.L. SAN MIGUEL DE TUCUMAN 14</t>
  </si>
  <si>
    <t>EXCELENCIA OPERACIONAL SRL CIUDAD AUTONOMA DE BUENOS AIRES 00</t>
  </si>
  <si>
    <t>JABULISSA S.R.L YERBA BUENA 14</t>
  </si>
  <si>
    <t>Rotta Domingo Eduardo Cruz Alta 14</t>
  </si>
  <si>
    <t>DIOSQUEZ RODOLFO ALFREDO ALDERETES 14</t>
  </si>
  <si>
    <t>BRAVO JUAN DOMINGO LAS TALITAS 14</t>
  </si>
  <si>
    <t>Rutas Servicios Integrales SRLCapital Federal 00</t>
  </si>
  <si>
    <t>invalidado med.HJIMENEZ -Vencimiento BCRA</t>
  </si>
  <si>
    <t>NUTRITERRA S.A CHIMBAS 10</t>
  </si>
  <si>
    <t>invalidado med.HJIMENEZ -Destruido/ Sin uso</t>
  </si>
  <si>
    <t>SILVA SRL SAN MIGUEL DE TUCUMAN 14</t>
  </si>
  <si>
    <t>CANEVARO JOSE MARIA CONCEPCION 14</t>
  </si>
  <si>
    <t>Astori Estructuras S.A. Bº Palmar 03</t>
  </si>
  <si>
    <t>FERNANDEZ LILIA CRISTINA CONCEPCION 14</t>
  </si>
  <si>
    <t>CANEVARO GISELLE LILIAN San Miguel De Tucuman 14</t>
  </si>
  <si>
    <t>CANEVARO PRISCILA JANET SAN MIGUEL DE TUCUMAN 14</t>
  </si>
  <si>
    <t>SERVICOM S.R.L SAN MIGUEL DE TUCUMAN 14</t>
  </si>
  <si>
    <t>SANTI NASSAR MAXIMILIANO JESUSSAN MIGUEL DE TUCUMAN 14</t>
  </si>
  <si>
    <t>NATURAL GAS SA SAN MIGUEL DE TUCUMAN 14</t>
  </si>
  <si>
    <t>STARB S.A CIUDAD AUTONOMA DE BUENOS AIRES 01</t>
  </si>
  <si>
    <t>MAGNONE S. A. CIUDAD AUTONOMA BUENOS AIRES 00</t>
  </si>
  <si>
    <t>BESTANI JUAN JOSE SAN MIGUEL DE TUCUMAN 14</t>
  </si>
  <si>
    <t>Rojas Antonio Domingo ALDERETES 14</t>
  </si>
  <si>
    <t>GRUPO LIVECA SAS SAN RAMON DE LA NUEVA ORAN 09</t>
  </si>
  <si>
    <t>Barbera, Walter Sergio SAN MIGUEL DE TUCUMAN 14</t>
  </si>
  <si>
    <t>ZUCCHI MARIO RODOLFO YERBA BUENA 14</t>
  </si>
  <si>
    <t>MULET WALTER HUMBERTO SAN MIGUEL DE TUCUMAN 14</t>
  </si>
  <si>
    <t>PIQUE JUAN MANUEL San Miguel De Tucuman 14</t>
  </si>
  <si>
    <t>TODOLANDIA SRL SAN MIGUEL DE TUCUMAN 14</t>
  </si>
  <si>
    <t>PALAVECINO LUIS IGNACIO San Miguel De Tucuman 14</t>
  </si>
  <si>
    <t>CAPITAN CORTES SACIFIYA Puerto Nuevo 01</t>
  </si>
  <si>
    <t>HORMECO S.R.L SAN MIGUEL DE TUCUMAN 14</t>
  </si>
  <si>
    <t>TRANSURSINO S.R.L RIO GRANDE 24</t>
  </si>
  <si>
    <t>Aislantes Tecnopor SRL SAN MIGUEL DE TUCUMAN 14</t>
  </si>
  <si>
    <t>SELLEI FERNANDO GABRIEL RIO GRANDE 24</t>
  </si>
  <si>
    <t>AGROGANADERA DEL NOA CEVIL POZO 14</t>
  </si>
  <si>
    <t>LOS LAURELES SERVICIOS AGRICOLSan Miguel De Tucuman 14</t>
  </si>
  <si>
    <t>ROLCAR S.A SAN MIGUEL DE TUCUMAN 14</t>
  </si>
  <si>
    <t>BME DISENO Y COMUNICACION SAS CAPITAL FEDERAL 00</t>
  </si>
  <si>
    <t>Tradelog S.A.U. BUENOS AIRES 01</t>
  </si>
  <si>
    <t>CORTEVA AGRISCIENCE ARGENTINA CIUDAD AUTONOMA DE BUENOS AIRES 01</t>
  </si>
  <si>
    <t>DUBANIS ANA JOSEFINA SAN MIGUEL DE TUCUMAN 14</t>
  </si>
  <si>
    <t>ARGENTINA CARGO SRL CAPTAL FEDERAL 00</t>
  </si>
  <si>
    <t>NALBANDIAN ALEXIS MARIANO CORDOBA 03</t>
  </si>
  <si>
    <t>FAGALDE CECILIA MARIA SAN MIGUEL DE TUCUMAN 14</t>
  </si>
  <si>
    <t>EDET S.A.</t>
  </si>
  <si>
    <t>DELTACOM SA DON TORCUATO 01</t>
  </si>
  <si>
    <t>ACEROS NAVARRO SRL LASTENIA 14</t>
  </si>
  <si>
    <t>AMERICANA COMERCIALIZACION S.RSAN MIGUEL DE TUCUMAN 14</t>
  </si>
  <si>
    <t>Siner S.A. Los Pocitos - T.Viejo 14</t>
  </si>
  <si>
    <t>Establecimiento Minero Sofia SElena 03</t>
  </si>
  <si>
    <t>DHL Express (Arg.) S.A. CAPITAL FEDERAL 00</t>
  </si>
  <si>
    <t>Produccion S.A. SAN MIGUEL DE TUCUMAN 14</t>
  </si>
  <si>
    <t>CITRUSIMON S.A.S SAN MIGUEL DE TUCUMAN 14</t>
  </si>
  <si>
    <t>Refrigeracion Norte S.R.L. SAN MIGUEL DE TUCUMAN 14</t>
  </si>
  <si>
    <t>Libreria San Pablo S.R.L. SAN MIGUEL DE TUCUMAN 14</t>
  </si>
  <si>
    <t>Buloneria Reginato S.R.L SAN MIGUEL DE TUCUMAN 14</t>
  </si>
  <si>
    <t>Roda Transformecanica Serv.SRLSAN MIGUEL DE TUCUMAN 14</t>
  </si>
  <si>
    <t>AGRO BAYER SRL CAPITAL FEDERAL 00</t>
  </si>
  <si>
    <t>GRUPO ADAL SRL SAN MIGUEL DE TUCUMAN 14</t>
  </si>
  <si>
    <t>CANDYNORTE SRL SAN PABLO 14</t>
  </si>
  <si>
    <t>MICHELI SOSA MARIA GUADALUPE SAN MIGUEL DE TUCUMAN 14</t>
  </si>
  <si>
    <t>SAN CRISTOBAL SMSG ROSARIO 12</t>
  </si>
  <si>
    <t>POWERFLEET ARGENTINA SA CAPITAL FEDERAL 00</t>
  </si>
  <si>
    <t>CARRASCO JUAN CARLOS BANDA DEL RIO SALI 14</t>
  </si>
  <si>
    <t>GROUND SAS YERBA BUENA 14</t>
  </si>
  <si>
    <t>AZ AGRICOLAS S.R.L SAN MIGUEL DE TUCUMAN 14</t>
  </si>
  <si>
    <t>INTER AMERICAN CARGO GROUP S.ACIUDAD AUTONOMA DE BUENOS AIRES 01</t>
  </si>
  <si>
    <t>HIKARI S.A CIUDAD AUTONOMA DE BUENOS AIRES 01</t>
  </si>
  <si>
    <t>GEA Westfalia Separator ArgentCAPITAL FEDERAL 00</t>
  </si>
  <si>
    <t>AG SUSTENTABLE SAS CABA 00</t>
  </si>
  <si>
    <t>Sirena Juan Jose SAN MIGUEL DE TUCUMAN 14</t>
  </si>
  <si>
    <t>Colombres Federico J. SAN MIGUEL DE TUCUMAN 14</t>
  </si>
  <si>
    <t>Colombres Federico Jose AdolfoSAN MIGUEL DE TUCUMAN 14</t>
  </si>
  <si>
    <t>COLOMBRES GARMENDIA JUAN CRISOYERBA BUENA 14</t>
  </si>
  <si>
    <t>SEGURIDAD OMEGA SRL</t>
  </si>
  <si>
    <t>SMART SEGURIDAD SA</t>
  </si>
  <si>
    <t>DIGEX S.R.L.</t>
  </si>
  <si>
    <t>Lamontanaro Luis B.</t>
  </si>
  <si>
    <t>CATALANA DE SERVICIOS SRL</t>
  </si>
  <si>
    <t>PAMPLONA SRL</t>
  </si>
  <si>
    <t>ROMERO SERVICIOS S. A. S.</t>
  </si>
  <si>
    <t>MG SERVICIOS AGROPECUARIOS SAS</t>
  </si>
  <si>
    <t>CITEX SRL</t>
  </si>
  <si>
    <t>CAPETTA ANTONELLA ANAHI</t>
  </si>
  <si>
    <t>TRANSPORTE FRIOS DEL NORTE S.R.L</t>
  </si>
  <si>
    <t>ADLER HASENCLEVER Y ASOCIADOS SRL</t>
  </si>
  <si>
    <t>M.A.D Serv y mant eléctri</t>
  </si>
  <si>
    <t>TEKNOS TECHNOLOGY GROUP SA</t>
  </si>
  <si>
    <t>Consultoria en Tecnologia de Inform</t>
  </si>
  <si>
    <t>AGROPECUARIA MUNDO NUEVO SRL</t>
  </si>
  <si>
    <t>Silver Freight Logistic SRL</t>
  </si>
  <si>
    <t>MRT S.A. CAPITAL FEDERAL 00</t>
  </si>
  <si>
    <t>Deloitte &amp; Co. SA BUENOS AIRES 01</t>
  </si>
  <si>
    <t>LETIS SA SANTA FE 12</t>
  </si>
  <si>
    <t>Expreso San Jose S.A. SAN MIGUEL DE TUCUMAN 14</t>
  </si>
  <si>
    <t>TODOS RETENES SA CORDOBA 03</t>
  </si>
  <si>
    <t>PEDRO CRISTOFER MAURICIO LOS GUTIERREZ 14</t>
  </si>
  <si>
    <t>GIL ISABEL CRISTINA SAN MIGUEL DE TUCUMAN 14</t>
  </si>
  <si>
    <t>SERVICIO INTERNACIONAL DE FLETCAPTAL FEDERAL 00</t>
  </si>
  <si>
    <t>LEGADO DEL NORTE SA LOS VALLISTOS 14</t>
  </si>
  <si>
    <t>Inquinat S.A. San Martín 01</t>
  </si>
  <si>
    <t>Autino Hierros S.R.L. SAN MIGUEL DE TUCUMAN 14</t>
  </si>
  <si>
    <t>CV CONSTRUCCIONES SRL SAN MIGUEL DE TUCUMAN 14</t>
  </si>
  <si>
    <t>30/12/2024</t>
  </si>
  <si>
    <t>09/01/2025</t>
  </si>
  <si>
    <t>10/01/2025</t>
  </si>
  <si>
    <t>13/01/2025</t>
  </si>
  <si>
    <t>29/01/2025</t>
  </si>
  <si>
    <t>05/02/2025</t>
  </si>
  <si>
    <t>27/02/2025</t>
  </si>
  <si>
    <t>11/03/2025</t>
  </si>
  <si>
    <t>21/03/2025</t>
  </si>
  <si>
    <t>04/04/2025</t>
  </si>
  <si>
    <t>08/04/2025</t>
  </si>
  <si>
    <t>10/04/2025</t>
  </si>
  <si>
    <t>23/04/2025</t>
  </si>
  <si>
    <t>30/04/2025</t>
  </si>
  <si>
    <t>CH.PROPIO</t>
  </si>
  <si>
    <t xml:space="preserve">ECHEQGAL    1186         </t>
  </si>
  <si>
    <t xml:space="preserve">ECHEQGAL    1181         </t>
  </si>
  <si>
    <t xml:space="preserve">ECHEQGAL    1185         </t>
  </si>
  <si>
    <t>CH/CJE.48H</t>
  </si>
  <si>
    <t xml:space="preserve">ECH.48HS    1192         </t>
  </si>
  <si>
    <t xml:space="preserve">ECH.48HS    1179         </t>
  </si>
  <si>
    <t xml:space="preserve">ECH.48HS    1175         </t>
  </si>
  <si>
    <t xml:space="preserve">ECH.48HS    1177         </t>
  </si>
  <si>
    <t xml:space="preserve">ECH.48HS    1171         </t>
  </si>
  <si>
    <t xml:space="preserve">ECH.48HS    1194         </t>
  </si>
  <si>
    <t xml:space="preserve">ECH.48HS    1189         </t>
  </si>
  <si>
    <t xml:space="preserve">ECH.48HS    1193         </t>
  </si>
  <si>
    <t xml:space="preserve">ECH.48HS    1197         </t>
  </si>
  <si>
    <t xml:space="preserve">ECH.48HS    1187         </t>
  </si>
  <si>
    <t xml:space="preserve">ECH.48HS    1182         </t>
  </si>
  <si>
    <t xml:space="preserve">ECH.48HS    1180         </t>
  </si>
  <si>
    <t xml:space="preserve">ECH.48HS    1183         </t>
  </si>
  <si>
    <t xml:space="preserve">ECH.48HS    1174         </t>
  </si>
  <si>
    <t xml:space="preserve">ECH.48HS    1170         </t>
  </si>
  <si>
    <t xml:space="preserve">ECH.48HS    1191         </t>
  </si>
  <si>
    <t xml:space="preserve">ECH.48HS    1188         </t>
  </si>
  <si>
    <t xml:space="preserve">ECHEQGAL    1201         </t>
  </si>
  <si>
    <t xml:space="preserve">ECHEQGAL    1176         </t>
  </si>
  <si>
    <t xml:space="preserve">ECH.48HS    1172         </t>
  </si>
  <si>
    <t xml:space="preserve">ECH.48HS    1195         </t>
  </si>
  <si>
    <t xml:space="preserve">ECH.48HS    1203         </t>
  </si>
  <si>
    <t xml:space="preserve">ECH.48HS    1184         </t>
  </si>
  <si>
    <t xml:space="preserve">ECH.48HS    1198         </t>
  </si>
  <si>
    <t xml:space="preserve">ECH.48HS    1200         </t>
  </si>
  <si>
    <t xml:space="preserve">ECH.48HS    1202         </t>
  </si>
  <si>
    <t xml:space="preserve">ECH.48HS    1204         </t>
  </si>
  <si>
    <t>13/05/2025</t>
  </si>
  <si>
    <t xml:space="preserve">ECHEQGAL    1196         </t>
  </si>
  <si>
    <t xml:space="preserve">ECHEQGAL    1190         </t>
  </si>
  <si>
    <t xml:space="preserve">ECH.48HS    1173         </t>
  </si>
  <si>
    <t xml:space="preserve">ECHEQGAL    1209         </t>
  </si>
  <si>
    <t xml:space="preserve">ECHEQGAL    1208         </t>
  </si>
  <si>
    <t xml:space="preserve">ECH.48HS    1205         </t>
  </si>
  <si>
    <t xml:space="preserve">ECH.48HS    1206         </t>
  </si>
  <si>
    <t xml:space="preserve">ECH.48HS    1213         </t>
  </si>
  <si>
    <t xml:space="preserve">ECH.48HS    1216         </t>
  </si>
  <si>
    <t xml:space="preserve">ECH.48HS    1211         </t>
  </si>
  <si>
    <t xml:space="preserve">ECH.48HS    1210         </t>
  </si>
  <si>
    <t xml:space="preserve">ECH.48HS    1212         </t>
  </si>
  <si>
    <t xml:space="preserve">ECHEQGAL    1207         </t>
  </si>
  <si>
    <t xml:space="preserve">ECHEQGAL    1217         </t>
  </si>
  <si>
    <t xml:space="preserve">ECHEQGAL    1237         </t>
  </si>
  <si>
    <t xml:space="preserve">ECH.48HS    1215         </t>
  </si>
  <si>
    <t xml:space="preserve">ECH.48HS    1214         </t>
  </si>
  <si>
    <t xml:space="preserve">ECH.48HS    1221         </t>
  </si>
  <si>
    <t xml:space="preserve">ECH.48HS    1219         </t>
  </si>
  <si>
    <t xml:space="preserve">ECH.48HS    1223         </t>
  </si>
  <si>
    <t xml:space="preserve">ECH.48HS    1234         </t>
  </si>
  <si>
    <t xml:space="preserve">ECH.48HS    1232         </t>
  </si>
  <si>
    <t xml:space="preserve">ECH.48HS    1225         </t>
  </si>
  <si>
    <t xml:space="preserve">ECH.48HS    1230         </t>
  </si>
  <si>
    <t xml:space="preserve">ECH.48HS    1231         </t>
  </si>
  <si>
    <t xml:space="preserve">ECH.48HS    1226         </t>
  </si>
  <si>
    <t xml:space="preserve">ECH.48HS    1236         </t>
  </si>
  <si>
    <t xml:space="preserve">ECHEQGAL    1220         </t>
  </si>
  <si>
    <t xml:space="preserve">ECHEQGAL    1238         </t>
  </si>
  <si>
    <t xml:space="preserve">ECH.48HS    1218         </t>
  </si>
  <si>
    <t xml:space="preserve">ECH.48HS    1222         </t>
  </si>
  <si>
    <t xml:space="preserve">ECH.48HS    1224         </t>
  </si>
  <si>
    <t xml:space="preserve">ECH.48HS    1235         </t>
  </si>
  <si>
    <t xml:space="preserve">ECH.48HS    1227         </t>
  </si>
  <si>
    <t>22/05/2025</t>
  </si>
  <si>
    <t xml:space="preserve">ECH.48HS    1233         </t>
  </si>
  <si>
    <t xml:space="preserve">ECH.48HS    1228         </t>
  </si>
  <si>
    <t xml:space="preserve">ECH.48HS    1239         </t>
  </si>
  <si>
    <t xml:space="preserve">ECH.48HS    1244         </t>
  </si>
  <si>
    <t xml:space="preserve">ECH.48HS    1251         </t>
  </si>
  <si>
    <t xml:space="preserve">ECHEQGAL    1246         </t>
  </si>
  <si>
    <t xml:space="preserve">ECHEQGAL    1256         </t>
  </si>
  <si>
    <t xml:space="preserve">ECH.48HS    1245         </t>
  </si>
  <si>
    <t xml:space="preserve">ECH.48HS    1252         </t>
  </si>
  <si>
    <t xml:space="preserve">ECH.48HS    1243         </t>
  </si>
  <si>
    <t xml:space="preserve">ECH.48HS    1240         </t>
  </si>
  <si>
    <t xml:space="preserve">ECH.48HS    1241         </t>
  </si>
  <si>
    <t xml:space="preserve">ECH.48HS    1253         </t>
  </si>
  <si>
    <t xml:space="preserve">ECH.48HS    1254         </t>
  </si>
  <si>
    <t xml:space="preserve">ECHEQGAL    1255         </t>
  </si>
  <si>
    <t xml:space="preserve">ECH.48HS    1250         </t>
  </si>
  <si>
    <t xml:space="preserve">ECH.48HS    1229         </t>
  </si>
  <si>
    <t xml:space="preserve">ECH.48HS    1242         </t>
  </si>
  <si>
    <t xml:space="preserve">ECHEQGAL    1302         </t>
  </si>
  <si>
    <t xml:space="preserve">ECHEQGAL    1295         </t>
  </si>
  <si>
    <t xml:space="preserve">ECHEQGAL    1294         </t>
  </si>
  <si>
    <t xml:space="preserve">ECH.48HS    1297         </t>
  </si>
  <si>
    <t xml:space="preserve">ECH.48HS    1287         </t>
  </si>
  <si>
    <t xml:space="preserve">ECH.48HS    1298         </t>
  </si>
  <si>
    <t xml:space="preserve">ECH.48HS    1300         </t>
  </si>
  <si>
    <t xml:space="preserve">ECH.48HS    1280         </t>
  </si>
  <si>
    <t xml:space="preserve">ECH.48HS    1291         </t>
  </si>
  <si>
    <t xml:space="preserve">ECH.48HS    1301         </t>
  </si>
  <si>
    <t xml:space="preserve">ECH.48HS    1277         </t>
  </si>
  <si>
    <t xml:space="preserve">ECH.48HS    1278         </t>
  </si>
  <si>
    <t xml:space="preserve">ECH.48HS    1284         </t>
  </si>
  <si>
    <t xml:space="preserve">ECH.48HS    1293         </t>
  </si>
  <si>
    <t xml:space="preserve">ECH.48HS    1248         </t>
  </si>
  <si>
    <t>02/06/2025</t>
  </si>
  <si>
    <t xml:space="preserve">ECH.48HS    1288         </t>
  </si>
  <si>
    <t xml:space="preserve">ECH.48HS    1309         </t>
  </si>
  <si>
    <t xml:space="preserve">ECH.48HS    1290         </t>
  </si>
  <si>
    <t xml:space="preserve">ECH.48HS    1289         </t>
  </si>
  <si>
    <t xml:space="preserve">ECHEQGAL    1310         </t>
  </si>
  <si>
    <t xml:space="preserve">ECH.48HS    1305         </t>
  </si>
  <si>
    <t xml:space="preserve">ECH.48HS    1296         </t>
  </si>
  <si>
    <t xml:space="preserve">ECH.48HS    1283         </t>
  </si>
  <si>
    <t xml:space="preserve">ECH.48HS    1292         </t>
  </si>
  <si>
    <t xml:space="preserve">ECH.48HS    1282         </t>
  </si>
  <si>
    <t xml:space="preserve">ECH.48HS    1307         </t>
  </si>
  <si>
    <t xml:space="preserve">ECH.48HS    1286         </t>
  </si>
  <si>
    <t xml:space="preserve">ECH.48HS    1315         </t>
  </si>
  <si>
    <t xml:space="preserve">ECHEQGAL    1285         </t>
  </si>
  <si>
    <t xml:space="preserve">ECH.48HS    1314         </t>
  </si>
  <si>
    <t xml:space="preserve">ECH.48HS    1312         </t>
  </si>
  <si>
    <t xml:space="preserve">ECH.48HS    1313         </t>
  </si>
  <si>
    <t xml:space="preserve">ECH.48HS    1311         </t>
  </si>
  <si>
    <t xml:space="preserve">ECH.48HS    1279         </t>
  </si>
  <si>
    <t xml:space="preserve">ECH.48HS    1304         </t>
  </si>
  <si>
    <t xml:space="preserve">ECH.48HS    1281         </t>
  </si>
  <si>
    <t>04/06/2025</t>
  </si>
  <si>
    <t xml:space="preserve">ECH.48HS    1306         </t>
  </si>
  <si>
    <t xml:space="preserve">ECH.48HS    1247         </t>
  </si>
  <si>
    <t xml:space="preserve">ECHEQGAL    1317         </t>
  </si>
  <si>
    <t xml:space="preserve">ECH.48HS    1324         </t>
  </si>
  <si>
    <t xml:space="preserve">ECH.48HS    1325         </t>
  </si>
  <si>
    <t xml:space="preserve">ECH.48HS    1326         </t>
  </si>
  <si>
    <t xml:space="preserve">ECH.48HS    1308         </t>
  </si>
  <si>
    <t xml:space="preserve">ECH.48HS    1316         </t>
  </si>
  <si>
    <t xml:space="preserve">ECH.48HS    1323         </t>
  </si>
  <si>
    <t xml:space="preserve">ECH.48HS    1321         </t>
  </si>
  <si>
    <t xml:space="preserve">ECH.48HS    1322         </t>
  </si>
  <si>
    <t xml:space="preserve">ECHEQGAL    1336         </t>
  </si>
  <si>
    <t xml:space="preserve">ECH.48HS    1332         </t>
  </si>
  <si>
    <t xml:space="preserve">ECH.48HS    1320         </t>
  </si>
  <si>
    <t xml:space="preserve">ECH.48HS    1331         </t>
  </si>
  <si>
    <t xml:space="preserve">ECH.48HS    1334         </t>
  </si>
  <si>
    <t xml:space="preserve">ECH.48HS    1329         </t>
  </si>
  <si>
    <t xml:space="preserve">ECH.48HS    1330         </t>
  </si>
  <si>
    <t xml:space="preserve">ECH.48HS    1340         </t>
  </si>
  <si>
    <t xml:space="preserve">ECH.48HS    1341         </t>
  </si>
  <si>
    <t xml:space="preserve">ECH.48HS    1339         </t>
  </si>
  <si>
    <t xml:space="preserve">ECH.48HS    1327         </t>
  </si>
  <si>
    <t xml:space="preserve">ECH.48HS    1335         </t>
  </si>
  <si>
    <t xml:space="preserve">ECH.48HS    1338         </t>
  </si>
  <si>
    <t xml:space="preserve">ECHEQGAL    1365         </t>
  </si>
  <si>
    <t xml:space="preserve">ECHEQGAL    1345         </t>
  </si>
  <si>
    <t xml:space="preserve">ECH.48HS    1360         </t>
  </si>
  <si>
    <t xml:space="preserve">ECH.48HS    1358         </t>
  </si>
  <si>
    <t xml:space="preserve">ECH.48HS    1362         </t>
  </si>
  <si>
    <t xml:space="preserve">ECH.48HS    1348         </t>
  </si>
  <si>
    <t xml:space="preserve">ECH.48HS    1350         </t>
  </si>
  <si>
    <t xml:space="preserve">ECH.48HS    1343         </t>
  </si>
  <si>
    <t xml:space="preserve">ECH.48HS    1364         </t>
  </si>
  <si>
    <t xml:space="preserve">ECH.48HS    1353         </t>
  </si>
  <si>
    <t xml:space="preserve">ECH.48HS    1352         </t>
  </si>
  <si>
    <t xml:space="preserve">ECH.48HS    1333         </t>
  </si>
  <si>
    <t xml:space="preserve">ECH.48HS    1351         </t>
  </si>
  <si>
    <t xml:space="preserve">ECHEQGAL    1318         </t>
  </si>
  <si>
    <t xml:space="preserve">ECH.48HS    1368         </t>
  </si>
  <si>
    <t xml:space="preserve">ECH.48HS    1370         </t>
  </si>
  <si>
    <t xml:space="preserve">ECH.48HS    1361         </t>
  </si>
  <si>
    <t xml:space="preserve">ECH.48HS    1359         </t>
  </si>
  <si>
    <t xml:space="preserve">ECH.48HS    1357         </t>
  </si>
  <si>
    <t xml:space="preserve">ECH.48HS    1363         </t>
  </si>
  <si>
    <t xml:space="preserve">ECH.48HS    1356         </t>
  </si>
  <si>
    <t xml:space="preserve">ECH.48HS    1367         </t>
  </si>
  <si>
    <t xml:space="preserve">ECH.48HS    1349         </t>
  </si>
  <si>
    <t xml:space="preserve">ECH.48HS    1344         </t>
  </si>
  <si>
    <t xml:space="preserve">ECHEQGAL    1319         </t>
  </si>
  <si>
    <t xml:space="preserve">ECHEQGAL    1380         </t>
  </si>
  <si>
    <t xml:space="preserve">ECHEQGAL    1372         </t>
  </si>
  <si>
    <t xml:space="preserve">ECH.48HS    1371         </t>
  </si>
  <si>
    <t xml:space="preserve">ECH.48HS    1299         </t>
  </si>
  <si>
    <t xml:space="preserve">ECHEQGAL    1377         </t>
  </si>
  <si>
    <t xml:space="preserve">ECH.48HS    1376         </t>
  </si>
  <si>
    <t xml:space="preserve">ECH.48HS    1378         </t>
  </si>
  <si>
    <t xml:space="preserve">ECH.48HS    1379         </t>
  </si>
  <si>
    <t xml:space="preserve">ECH.48HS    1381         </t>
  </si>
  <si>
    <t xml:space="preserve">ECH.48HS    1382         </t>
  </si>
  <si>
    <t xml:space="preserve">ECH.48HS    1366         </t>
  </si>
  <si>
    <t xml:space="preserve">ECH.48HS    1373         </t>
  </si>
  <si>
    <t xml:space="preserve">ECH.48HS    1354         </t>
  </si>
  <si>
    <t xml:space="preserve">ECH.48HS    1355         </t>
  </si>
  <si>
    <t xml:space="preserve">ECH.48HS    1375         </t>
  </si>
  <si>
    <t xml:space="preserve">ECH.48HS    1337         </t>
  </si>
  <si>
    <t xml:space="preserve">ECH.48HS    1249         </t>
  </si>
  <si>
    <t xml:space="preserve">ECH.48HS    1392         </t>
  </si>
  <si>
    <t xml:space="preserve">ECH.48HS    1391         </t>
  </si>
  <si>
    <t xml:space="preserve">ECH.48HS    1390         </t>
  </si>
  <si>
    <t xml:space="preserve">ECH.48HS    1388         </t>
  </si>
  <si>
    <t xml:space="preserve">ECH.48HS    1384         </t>
  </si>
  <si>
    <t xml:space="preserve">ECH.48HS    1389         </t>
  </si>
  <si>
    <t>24/06/2025</t>
  </si>
  <si>
    <t xml:space="preserve">ECHEQGAL    1383         </t>
  </si>
  <si>
    <t xml:space="preserve">ECH.48HS    1397         </t>
  </si>
  <si>
    <t xml:space="preserve">ECH.48HS    1385         </t>
  </si>
  <si>
    <t xml:space="preserve">ECH.48HS    1396         </t>
  </si>
  <si>
    <t xml:space="preserve">ECH.48HS    1303         </t>
  </si>
  <si>
    <t xml:space="preserve">ECH.48HS    1387         </t>
  </si>
  <si>
    <t xml:space="preserve">ECH.48HS    1395         </t>
  </si>
  <si>
    <t>26/06/2025</t>
  </si>
  <si>
    <t xml:space="preserve">ECHEQGAL    1402         </t>
  </si>
  <si>
    <t xml:space="preserve">ECHEQGAL    1404         </t>
  </si>
  <si>
    <t xml:space="preserve">ECH.48HS    1386         </t>
  </si>
  <si>
    <t xml:space="preserve">ECH.48HS    1374         </t>
  </si>
  <si>
    <t xml:space="preserve">ECH.48HS    1398         </t>
  </si>
  <si>
    <t xml:space="preserve">ECH.48HS    1408         </t>
  </si>
  <si>
    <t xml:space="preserve">ECH.48HS    1400         </t>
  </si>
  <si>
    <t xml:space="preserve">ECH.48HS    1410         </t>
  </si>
  <si>
    <t xml:space="preserve">ECH.48HS    1342         </t>
  </si>
  <si>
    <t xml:space="preserve">ECH.48HS    1394         </t>
  </si>
  <si>
    <t xml:space="preserve">ECH.48HS    1406         </t>
  </si>
  <si>
    <t xml:space="preserve">ECH.48HS    1399         </t>
  </si>
  <si>
    <t xml:space="preserve">ECH.48HS    1347         </t>
  </si>
  <si>
    <t>27/06/2025</t>
  </si>
  <si>
    <t xml:space="preserve">ECHEQGAL    1403         </t>
  </si>
  <si>
    <t xml:space="preserve">ECHEQGAL    1346         </t>
  </si>
  <si>
    <t xml:space="preserve">ECH.48HS    1407         </t>
  </si>
  <si>
    <t xml:space="preserve">ECH.48HS    1417         </t>
  </si>
  <si>
    <t xml:space="preserve">ECH.48HS    1413         </t>
  </si>
  <si>
    <t xml:space="preserve">ECH.48HS    1416         </t>
  </si>
  <si>
    <t xml:space="preserve">ECH.48HS    1418         </t>
  </si>
  <si>
    <t xml:space="preserve">ECH.48HS    1419         </t>
  </si>
  <si>
    <t xml:space="preserve">ECH.48HS    1411         </t>
  </si>
  <si>
    <t xml:space="preserve">ECHEQGAL    1414         </t>
  </si>
  <si>
    <t xml:space="preserve">ECHEQGAL    1436         </t>
  </si>
  <si>
    <t xml:space="preserve">ECHEQGAL    1437         </t>
  </si>
  <si>
    <t xml:space="preserve">ECHEQGAL    1424         </t>
  </si>
  <si>
    <t xml:space="preserve">ECH.48HS    1422         </t>
  </si>
  <si>
    <t xml:space="preserve">ECH.48HS    1401         </t>
  </si>
  <si>
    <t xml:space="preserve">ECH.48HS    1426         </t>
  </si>
  <si>
    <t xml:space="preserve">ECH.48HS    1435         </t>
  </si>
  <si>
    <t xml:space="preserve">ECH.48HS    1428         </t>
  </si>
  <si>
    <t xml:space="preserve">ECH.48HS    1328         </t>
  </si>
  <si>
    <t xml:space="preserve">ECH.48HS    1421         </t>
  </si>
  <si>
    <t xml:space="preserve">ECH.48HS    1433         </t>
  </si>
  <si>
    <t xml:space="preserve">ECH.48HS    1420         </t>
  </si>
  <si>
    <t xml:space="preserve">ECH.48HS    1434         </t>
  </si>
  <si>
    <t xml:space="preserve">ECH.48HS    1430         </t>
  </si>
  <si>
    <t xml:space="preserve">ECH.48HS    1423         </t>
  </si>
  <si>
    <t xml:space="preserve">ECH.48HS    1432         </t>
  </si>
  <si>
    <t>02/07/2025</t>
  </si>
  <si>
    <t xml:space="preserve">ECHEQGAL    1439         </t>
  </si>
  <si>
    <t xml:space="preserve">ECHEQGAL    1464         </t>
  </si>
  <si>
    <t xml:space="preserve">ECHEQGAL    1465         </t>
  </si>
  <si>
    <t xml:space="preserve">ECHEQGAL    1469         </t>
  </si>
  <si>
    <t xml:space="preserve">ECHEQGAL    1468         </t>
  </si>
  <si>
    <t xml:space="preserve">ECHEQGAL    1467         </t>
  </si>
  <si>
    <t xml:space="preserve">ECHEQGAL    1466         </t>
  </si>
  <si>
    <t xml:space="preserve">ECHEQGAL    1470         </t>
  </si>
  <si>
    <t xml:space="preserve">ECH.48HS    1438         </t>
  </si>
  <si>
    <t xml:space="preserve">ECHEQGAL    1427         </t>
  </si>
  <si>
    <t xml:space="preserve">ECH.48HS    1425         </t>
  </si>
  <si>
    <t xml:space="preserve">ECHEQGAL    1479         </t>
  </si>
  <si>
    <t xml:space="preserve">ECHEQGAL    1480         </t>
  </si>
  <si>
    <t xml:space="preserve">ECH.48HS    1442         </t>
  </si>
  <si>
    <t xml:space="preserve">ECHEQGAL    1450         </t>
  </si>
  <si>
    <t xml:space="preserve">ECH.48HS    1431         </t>
  </si>
  <si>
    <t xml:space="preserve">ECH.48HS    1463         </t>
  </si>
  <si>
    <t xml:space="preserve">ECH.48HS    1452         </t>
  </si>
  <si>
    <t xml:space="preserve">ECH.48HS    1481         </t>
  </si>
  <si>
    <t xml:space="preserve">ECH.48HS    1456         </t>
  </si>
  <si>
    <t xml:space="preserve">ECH.48HS    1457         </t>
  </si>
  <si>
    <t xml:space="preserve">ECH.48HS    1474         </t>
  </si>
  <si>
    <t xml:space="preserve">ECH.48HS    1473         </t>
  </si>
  <si>
    <t xml:space="preserve">ECH.48HS    1478         </t>
  </si>
  <si>
    <t xml:space="preserve">ECH.48HS    1453         </t>
  </si>
  <si>
    <t xml:space="preserve">ECH.48HS    1461         </t>
  </si>
  <si>
    <t xml:space="preserve">ECH.48HS    1455         </t>
  </si>
  <si>
    <t xml:space="preserve">ECH.48HS    1446         </t>
  </si>
  <si>
    <t xml:space="preserve">ECH.48HS    1448         </t>
  </si>
  <si>
    <t xml:space="preserve">ECH.48HS    1460         </t>
  </si>
  <si>
    <t xml:space="preserve">ECH.48HS    1445         </t>
  </si>
  <si>
    <t xml:space="preserve">ECH.48HS    1447         </t>
  </si>
  <si>
    <t xml:space="preserve">ECH.48HS    1454         </t>
  </si>
  <si>
    <t xml:space="preserve">ECHEQGAL    1493         </t>
  </si>
  <si>
    <t xml:space="preserve">ECHEQGAL    1497         </t>
  </si>
  <si>
    <t xml:space="preserve">ECHEQGAL    1491         </t>
  </si>
  <si>
    <t xml:space="preserve">ECH.48HS    1482         </t>
  </si>
  <si>
    <t xml:space="preserve">ECH.48HS    1490         </t>
  </si>
  <si>
    <t xml:space="preserve">ECH.48HS    1483         </t>
  </si>
  <si>
    <t xml:space="preserve">ECH.48HS    1488         </t>
  </si>
  <si>
    <t xml:space="preserve">ECH.48HS    1485         </t>
  </si>
  <si>
    <t xml:space="preserve">ECH.48HS    1489         </t>
  </si>
  <si>
    <t xml:space="preserve">ECH.48HS    1444         </t>
  </si>
  <si>
    <t>07/07/2025</t>
  </si>
  <si>
    <t xml:space="preserve">ECH.48HS    1503         </t>
  </si>
  <si>
    <t xml:space="preserve">ECH.48HS    1498         </t>
  </si>
  <si>
    <t xml:space="preserve">ECH.48HS    1499         </t>
  </si>
  <si>
    <t xml:space="preserve">ECH.48HS    1500         </t>
  </si>
  <si>
    <t xml:space="preserve">ECH.48HS    1487         </t>
  </si>
  <si>
    <t xml:space="preserve">ECH.48HS    1472         </t>
  </si>
  <si>
    <t xml:space="preserve">ECH.48HS    1429         </t>
  </si>
  <si>
    <t xml:space="preserve">ECH.48HS    1441         </t>
  </si>
  <si>
    <t xml:space="preserve">ECH.48HS    1443         </t>
  </si>
  <si>
    <t xml:space="preserve">ECH.48HS    1449         </t>
  </si>
  <si>
    <t xml:space="preserve">ECHEQGAL    1513         </t>
  </si>
  <si>
    <t xml:space="preserve">ECHEQGAL    1519         </t>
  </si>
  <si>
    <t xml:space="preserve">ECHEQGAL    1525         </t>
  </si>
  <si>
    <t xml:space="preserve">ECHEQGAL    1527         </t>
  </si>
  <si>
    <t xml:space="preserve">ECHEQGAL    1508         </t>
  </si>
  <si>
    <t xml:space="preserve">ECHEQGAL    1521         </t>
  </si>
  <si>
    <t xml:space="preserve">ECHEQGAL    1523         </t>
  </si>
  <si>
    <t xml:space="preserve">ECHEQGAL    1534         </t>
  </si>
  <si>
    <t xml:space="preserve">ECHEQGAL    1528         </t>
  </si>
  <si>
    <t xml:space="preserve">ECHEQGAL    1518         </t>
  </si>
  <si>
    <t xml:space="preserve">ECHEQGAL    1530         </t>
  </si>
  <si>
    <t xml:space="preserve">ECHEQGAL    1533         </t>
  </si>
  <si>
    <t xml:space="preserve">ECHEQGAL    1509         </t>
  </si>
  <si>
    <t xml:space="preserve">ECHEQGAL    1504         </t>
  </si>
  <si>
    <t xml:space="preserve">ECHEQGAL    1511         </t>
  </si>
  <si>
    <t xml:space="preserve">ECHEQGAL    1506         </t>
  </si>
  <si>
    <t xml:space="preserve">ECHEQGAL    1514         </t>
  </si>
  <si>
    <t xml:space="preserve">ECH.48HS    1440         </t>
  </si>
  <si>
    <t xml:space="preserve">ECHEQGAL    1516         </t>
  </si>
  <si>
    <t xml:space="preserve">ECHEQGAL    1524         </t>
  </si>
  <si>
    <t xml:space="preserve">ECHEQGAL    1520         </t>
  </si>
  <si>
    <t xml:space="preserve">ECHEQGAL    1529         </t>
  </si>
  <si>
    <t xml:space="preserve">ECH.48HS    1458         </t>
  </si>
  <si>
    <t xml:space="preserve">ECH.48HS    1501         </t>
  </si>
  <si>
    <t xml:space="preserve">ECH.48HS    1471         </t>
  </si>
  <si>
    <t xml:space="preserve">ECH.48HS    1415         </t>
  </si>
  <si>
    <t xml:space="preserve">ECH.48HS    1510         </t>
  </si>
  <si>
    <t xml:space="preserve">ECH.48HS    1505         </t>
  </si>
  <si>
    <t xml:space="preserve">ECH.48HS    1515         </t>
  </si>
  <si>
    <t xml:space="preserve">ECHEQGAL    1494         </t>
  </si>
  <si>
    <t xml:space="preserve">ECHEQGAL    1496         </t>
  </si>
  <si>
    <t xml:space="preserve">ECHEQGAL    1492         </t>
  </si>
  <si>
    <t xml:space="preserve">ECHEQGAL    1369         </t>
  </si>
  <si>
    <t xml:space="preserve">ECHEQGAL    1393         </t>
  </si>
  <si>
    <t xml:space="preserve">ECH.48HS    1412         </t>
  </si>
  <si>
    <t xml:space="preserve">ECHEQGAL    1543         </t>
  </si>
  <si>
    <t xml:space="preserve">ECHEQGAL    1571         </t>
  </si>
  <si>
    <t xml:space="preserve">ECHEQGAL    1547         </t>
  </si>
  <si>
    <t xml:space="preserve">ECHEQGAL    1537         </t>
  </si>
  <si>
    <t xml:space="preserve">ECHEQGAL    1526         </t>
  </si>
  <si>
    <t xml:space="preserve">ECH.48HS    1569         </t>
  </si>
  <si>
    <t xml:space="preserve">ECHEQGAL    1522         </t>
  </si>
  <si>
    <t xml:space="preserve">ECHEQGAL    1531         </t>
  </si>
  <si>
    <t xml:space="preserve">ECH.48HS    1554         </t>
  </si>
  <si>
    <t xml:space="preserve">ECHEQGAL    1544         </t>
  </si>
  <si>
    <t xml:space="preserve">ECH.48HS    1545         </t>
  </si>
  <si>
    <t xml:space="preserve">ECH.48HS    1565         </t>
  </si>
  <si>
    <t xml:space="preserve">ECH.48HS    1535         </t>
  </si>
  <si>
    <t xml:space="preserve">ECH.48HS    1541         </t>
  </si>
  <si>
    <t xml:space="preserve">ECH.48HS    1552         </t>
  </si>
  <si>
    <t xml:space="preserve">ECH.48HS    1582         </t>
  </si>
  <si>
    <t xml:space="preserve">ECH.48HS    1475         </t>
  </si>
  <si>
    <t xml:space="preserve">ECHEQGAL    1553         </t>
  </si>
  <si>
    <t xml:space="preserve">ECH.48HS    1556         </t>
  </si>
  <si>
    <t xml:space="preserve">ECH.48HS    1557         </t>
  </si>
  <si>
    <t xml:space="preserve">ECH.48HS    1573         </t>
  </si>
  <si>
    <t xml:space="preserve">ECH.48HS    1567         </t>
  </si>
  <si>
    <t xml:space="preserve">ECH.48HS    1578         </t>
  </si>
  <si>
    <t xml:space="preserve">ECH.48HS    1577         </t>
  </si>
  <si>
    <t xml:space="preserve">ECH.48HS    1549         </t>
  </si>
  <si>
    <t xml:space="preserve">ECH.48HS    1476         </t>
  </si>
  <si>
    <t xml:space="preserve">ECHEQGAL    1532         </t>
  </si>
  <si>
    <t xml:space="preserve">ECHEQGAL    1548         </t>
  </si>
  <si>
    <t xml:space="preserve">ECH.48HS    1562         </t>
  </si>
  <si>
    <t xml:space="preserve">ECH.48HS    1551         </t>
  </si>
  <si>
    <t xml:space="preserve">ECH.48HS    1560         </t>
  </si>
  <si>
    <t xml:space="preserve">ECHEQGAL    1512         </t>
  </si>
  <si>
    <t xml:space="preserve">ECHEQGAL    1507         </t>
  </si>
  <si>
    <t xml:space="preserve">ECHEQGAL    1517         </t>
  </si>
  <si>
    <t xml:space="preserve">ECH.48HS    1555         </t>
  </si>
  <si>
    <t xml:space="preserve">ECH.48HS    1546         </t>
  </si>
  <si>
    <t xml:space="preserve">ECH.48HS    1566         </t>
  </si>
  <si>
    <t xml:space="preserve">ECH.48HS    1542         </t>
  </si>
  <si>
    <t xml:space="preserve">ECH.48HS    1575         </t>
  </si>
  <si>
    <t xml:space="preserve">ECH.48HS    1574         </t>
  </si>
  <si>
    <t xml:space="preserve">ECH.48HS    1579         </t>
  </si>
  <si>
    <t xml:space="preserve">ECH.48HS    1561         </t>
  </si>
  <si>
    <t xml:space="preserve">ECH.48HS    1550         </t>
  </si>
  <si>
    <t xml:space="preserve">ECH.48HS    1538         </t>
  </si>
  <si>
    <t xml:space="preserve">ECHEQGAL    1572         </t>
  </si>
  <si>
    <t xml:space="preserve">ECHEQGAL    1563         </t>
  </si>
  <si>
    <t xml:space="preserve">ECHEQGAL    1564         </t>
  </si>
  <si>
    <t xml:space="preserve">ECH.48HS    1570         </t>
  </si>
  <si>
    <t xml:space="preserve">ECH.48HS    1581         </t>
  </si>
  <si>
    <t xml:space="preserve">ECH.48HS    1587         </t>
  </si>
  <si>
    <t xml:space="preserve">ECH.48HS    1580         </t>
  </si>
  <si>
    <t xml:space="preserve">ECH.48HS    1586         </t>
  </si>
  <si>
    <t xml:space="preserve">ECH.48HS    1559         </t>
  </si>
  <si>
    <t xml:space="preserve">ECH.48HS    1558         </t>
  </si>
  <si>
    <t xml:space="preserve">ECH.48HS    1588         </t>
  </si>
  <si>
    <t xml:space="preserve">ECH.48HS    1595         </t>
  </si>
  <si>
    <t xml:space="preserve">ECHEQGAL    1539         </t>
  </si>
  <si>
    <t xml:space="preserve">ECH.48HS    1584         </t>
  </si>
  <si>
    <t xml:space="preserve">ECH.48HS    1583         </t>
  </si>
  <si>
    <t xml:space="preserve">ECH.48HS    1540         </t>
  </si>
  <si>
    <t xml:space="preserve">ECH.48HS    1585         </t>
  </si>
  <si>
    <t xml:space="preserve">ECH.48HS    1591         </t>
  </si>
  <si>
    <t xml:space="preserve">ECH.48HS    1462         </t>
  </si>
  <si>
    <t xml:space="preserve">ECH.48HS    1502         </t>
  </si>
  <si>
    <t xml:space="preserve">ECH.48HS    1592         </t>
  </si>
  <si>
    <t xml:space="preserve">ECH.48HS    1594         </t>
  </si>
  <si>
    <t xml:space="preserve">ECHEQGAL    1602         </t>
  </si>
  <si>
    <t xml:space="preserve">ECHEQGAL    1576         </t>
  </si>
  <si>
    <t xml:space="preserve">ECH.48HS    1597         </t>
  </si>
  <si>
    <t xml:space="preserve">ECH.48HS    1536         </t>
  </si>
  <si>
    <t xml:space="preserve">ECH.48HS    1606         </t>
  </si>
  <si>
    <t xml:space="preserve">ECH.48HS    1596         </t>
  </si>
  <si>
    <t xml:space="preserve">ECH.48HS    1607         </t>
  </si>
  <si>
    <t xml:space="preserve">ECHEQGAL    1612         </t>
  </si>
  <si>
    <t xml:space="preserve">ECHEQGAL    1610         </t>
  </si>
  <si>
    <t xml:space="preserve">ECHEQGAL    1477         </t>
  </si>
  <si>
    <t xml:space="preserve">ECHEQGAL    1617         </t>
  </si>
  <si>
    <t xml:space="preserve">ECHEQGAL    1626         </t>
  </si>
  <si>
    <t xml:space="preserve">ECHEQGAL    1459         </t>
  </si>
  <si>
    <t xml:space="preserve">ECH.48HS    1615         </t>
  </si>
  <si>
    <t xml:space="preserve">ECH.48HS    1598         </t>
  </si>
  <si>
    <t xml:space="preserve">ECHEQGAL    1599         </t>
  </si>
  <si>
    <t xml:space="preserve">ECH.48HS    1624         </t>
  </si>
  <si>
    <t xml:space="preserve">ECH.48HS    1620         </t>
  </si>
  <si>
    <t xml:space="preserve">ECHEQGAL    1611         </t>
  </si>
  <si>
    <t xml:space="preserve">ECH.48HS    1627         </t>
  </si>
  <si>
    <t xml:space="preserve">ECH.48HS    1619         </t>
  </si>
  <si>
    <t xml:space="preserve">ECH.48HS    1618         </t>
  </si>
  <si>
    <t xml:space="preserve">ECH.48HS    1601         </t>
  </si>
  <si>
    <t xml:space="preserve">ECH.48HS    1616         </t>
  </si>
  <si>
    <t xml:space="preserve">ECH.48HS    1623         </t>
  </si>
  <si>
    <t xml:space="preserve">ECH.48HS    1600         </t>
  </si>
  <si>
    <t xml:space="preserve">ECH.48HS    1625         </t>
  </si>
  <si>
    <t xml:space="preserve">ECH.48HS    1628         </t>
  </si>
  <si>
    <t>23/07/2025</t>
  </si>
  <si>
    <t xml:space="preserve">ECHEQGAL    1609         </t>
  </si>
  <si>
    <t xml:space="preserve">ECHEQGAL    1608         </t>
  </si>
  <si>
    <t xml:space="preserve">ECH.48HS    1621         </t>
  </si>
  <si>
    <t xml:space="preserve">ECH.48HS    1613         </t>
  </si>
  <si>
    <t xml:space="preserve">ECH.48HS    1484         </t>
  </si>
  <si>
    <t>24/07/2025</t>
  </si>
  <si>
    <t xml:space="preserve">ECH.48HS    1603         </t>
  </si>
  <si>
    <t xml:space="preserve">ECHEQGAL    1642         </t>
  </si>
  <si>
    <t xml:space="preserve">ECHEQGAL    1495         </t>
  </si>
  <si>
    <t xml:space="preserve">ECH.48HS    1643         </t>
  </si>
  <si>
    <t xml:space="preserve">ECH.48HS    1632         </t>
  </si>
  <si>
    <t xml:space="preserve">ECH.48HS    1568         </t>
  </si>
  <si>
    <t xml:space="preserve">ECH.48HS    1636         </t>
  </si>
  <si>
    <t xml:space="preserve">ECH.48HS    1637         </t>
  </si>
  <si>
    <t xml:space="preserve">ECH.48HS    1640         </t>
  </si>
  <si>
    <t xml:space="preserve">ECH.48HS    1630         </t>
  </si>
  <si>
    <t xml:space="preserve">ECH.48HS    1633         </t>
  </si>
  <si>
    <t xml:space="preserve">ECH.48HS    1635         </t>
  </si>
  <si>
    <t xml:space="preserve">ECH.48HS    1634         </t>
  </si>
  <si>
    <t xml:space="preserve">ECH.48HS    1486         </t>
  </si>
  <si>
    <t xml:space="preserve">ECH.48HS    1644         </t>
  </si>
  <si>
    <t xml:space="preserve">ECH.48HS    1649         </t>
  </si>
  <si>
    <t xml:space="preserve">ECH.48HS    1631         </t>
  </si>
  <si>
    <t xml:space="preserve">ECH.48HS    1647         </t>
  </si>
  <si>
    <t xml:space="preserve">ECH.48HS    1629         </t>
  </si>
  <si>
    <t xml:space="preserve">ECH.48HS    1638         </t>
  </si>
  <si>
    <t xml:space="preserve">ECH.48HS    1651         </t>
  </si>
  <si>
    <t xml:space="preserve">ECH.48HS    1654         </t>
  </si>
  <si>
    <t xml:space="preserve">ECH.48HS    1650         </t>
  </si>
  <si>
    <t xml:space="preserve">ECH.48HS    1646         </t>
  </si>
  <si>
    <t xml:space="preserve">ECHEQGAL    1622         </t>
  </si>
  <si>
    <t xml:space="preserve">ECH.48HS    1652         </t>
  </si>
  <si>
    <t xml:space="preserve">ECH.48HS    1639         </t>
  </si>
  <si>
    <t xml:space="preserve">ECH.48HS    1648         </t>
  </si>
  <si>
    <t xml:space="preserve">ECHEQGAL    1645         </t>
  </si>
  <si>
    <t xml:space="preserve">ECHEQGAL    1656         </t>
  </si>
  <si>
    <t xml:space="preserve">ECH.48HS    1653         </t>
  </si>
  <si>
    <t xml:space="preserve">ECH.48HS    1658         </t>
  </si>
  <si>
    <t xml:space="preserve">ECH.48HS    1665         </t>
  </si>
  <si>
    <t xml:space="preserve">ECH.48HS    1590         </t>
  </si>
  <si>
    <t xml:space="preserve">ECH.48HS    1663         </t>
  </si>
  <si>
    <t xml:space="preserve">ECH.48HS    1660         </t>
  </si>
  <si>
    <t xml:space="preserve">ECH.48HS    1662         </t>
  </si>
  <si>
    <t xml:space="preserve">ECH.48HS    1661         </t>
  </si>
  <si>
    <t xml:space="preserve">ECH.48HS    1664         </t>
  </si>
  <si>
    <t>04/08/2025</t>
  </si>
  <si>
    <t xml:space="preserve">ECHEQGAL    1688         </t>
  </si>
  <si>
    <t xml:space="preserve">ECHEQGAL    1667         </t>
  </si>
  <si>
    <t xml:space="preserve">ECHEQGAL    1683         </t>
  </si>
  <si>
    <t xml:space="preserve">ECH.48HS    1689         </t>
  </si>
  <si>
    <t xml:space="preserve">ECH.48HS    1659         </t>
  </si>
  <si>
    <t xml:space="preserve">ECH.48HS    1681         </t>
  </si>
  <si>
    <t xml:space="preserve">ECH.48HS    1687         </t>
  </si>
  <si>
    <t xml:space="preserve">ECH.48HS    1690         </t>
  </si>
  <si>
    <t xml:space="preserve">ECH.48HS    1672         </t>
  </si>
  <si>
    <t xml:space="preserve">ECH.48HS    1669         </t>
  </si>
  <si>
    <t xml:space="preserve">ECH.48HS    1657         </t>
  </si>
  <si>
    <t xml:space="preserve">ECHEQGAL    1686         </t>
  </si>
  <si>
    <t xml:space="preserve">ECH.48HS    1673         </t>
  </si>
  <si>
    <t xml:space="preserve">ECH.48HS    1675         </t>
  </si>
  <si>
    <t xml:space="preserve">ECH.48HS    1674         </t>
  </si>
  <si>
    <t xml:space="preserve">ECH.48HS    1685         </t>
  </si>
  <si>
    <t xml:space="preserve">ECH.48HS    1671         </t>
  </si>
  <si>
    <t xml:space="preserve">ECHEQGAL    1680         </t>
  </si>
  <si>
    <t xml:space="preserve">ECH.48HS    1682         </t>
  </si>
  <si>
    <t xml:space="preserve">ECH.48HS    1668         </t>
  </si>
  <si>
    <t xml:space="preserve">ECH.48HS    1679         </t>
  </si>
  <si>
    <t xml:space="preserve">ECH.48HS    1678         </t>
  </si>
  <si>
    <t xml:space="preserve">ECH.48HS    1684         </t>
  </si>
  <si>
    <t xml:space="preserve">ECH.48HS    1677         </t>
  </si>
  <si>
    <t xml:space="preserve">ECH.48HS    1666         </t>
  </si>
  <si>
    <t xml:space="preserve">ECH.48HS    1676         </t>
  </si>
  <si>
    <t>06/08/2025</t>
  </si>
  <si>
    <t xml:space="preserve">ECHEQGAL    1641         </t>
  </si>
  <si>
    <t xml:space="preserve">ECH.48HS    1655         </t>
  </si>
  <si>
    <t xml:space="preserve">ECH.48HS    1696         </t>
  </si>
  <si>
    <t xml:space="preserve">ECH.48HS    1695         </t>
  </si>
  <si>
    <t xml:space="preserve">ECH.48HS    1670         </t>
  </si>
  <si>
    <t xml:space="preserve">ECH.48HS    1691         </t>
  </si>
  <si>
    <t xml:space="preserve">ECH.48HS    1698         </t>
  </si>
  <si>
    <t xml:space="preserve">ECH.48HS    1697         </t>
  </si>
  <si>
    <t xml:space="preserve">ECHEQGAL    1718         </t>
  </si>
  <si>
    <t xml:space="preserve">ECHEQGAL    1726         </t>
  </si>
  <si>
    <t xml:space="preserve">ECH.48HS    1719         </t>
  </si>
  <si>
    <t xml:space="preserve">ECHEQGAL    1720         </t>
  </si>
  <si>
    <t xml:space="preserve">ECHEQGAL    1733         </t>
  </si>
  <si>
    <t xml:space="preserve">ECH.48HS    1729         </t>
  </si>
  <si>
    <t xml:space="preserve">ECHEQGAL    1699         </t>
  </si>
  <si>
    <t xml:space="preserve">ECH.48HS    1723         </t>
  </si>
  <si>
    <t xml:space="preserve">ECH.48HS    1731         </t>
  </si>
  <si>
    <t xml:space="preserve">ECH.48HS    1728         </t>
  </si>
  <si>
    <t xml:space="preserve">ECH.48HS    1700         </t>
  </si>
  <si>
    <t xml:space="preserve">ECH.48HS    1724         </t>
  </si>
  <si>
    <t xml:space="preserve">ECH.48HS    1727         </t>
  </si>
  <si>
    <t xml:space="preserve">ECH.48HS    1734         </t>
  </si>
  <si>
    <t xml:space="preserve">ECH.48HS    1730         </t>
  </si>
  <si>
    <t xml:space="preserve">ECH.48HS    1722         </t>
  </si>
  <si>
    <t xml:space="preserve">ECHEQGAL    1748         </t>
  </si>
  <si>
    <t xml:space="preserve">ECHEQGAL    1744         </t>
  </si>
  <si>
    <t xml:space="preserve">ECHEQGAL    1742         </t>
  </si>
  <si>
    <t xml:space="preserve">ECHEQGAL    1750         </t>
  </si>
  <si>
    <t xml:space="preserve">ECHEQGAL    1757         </t>
  </si>
  <si>
    <t xml:space="preserve">ECHEQGAL    1751         </t>
  </si>
  <si>
    <t xml:space="preserve">ECH.48HS    1735         </t>
  </si>
  <si>
    <t xml:space="preserve">ECH.48HS    1736         </t>
  </si>
  <si>
    <t xml:space="preserve">ECH.48HS    1740         </t>
  </si>
  <si>
    <t xml:space="preserve">ECH.48HS    1764         </t>
  </si>
  <si>
    <t xml:space="preserve">ECH.48HS    1725         </t>
  </si>
  <si>
    <t xml:space="preserve">ECH.48HS    1738         </t>
  </si>
  <si>
    <t xml:space="preserve">ECH.48HS    1758         </t>
  </si>
  <si>
    <t xml:space="preserve">ECH.48HS    1749         </t>
  </si>
  <si>
    <t xml:space="preserve">ECH.48HS    1762         </t>
  </si>
  <si>
    <t xml:space="preserve">ECHEQGAL    1743         </t>
  </si>
  <si>
    <t xml:space="preserve">ECH.48HS    1761         </t>
  </si>
  <si>
    <t xml:space="preserve">ECH.48HS    1763         </t>
  </si>
  <si>
    <t xml:space="preserve">ECH.48HS    1753         </t>
  </si>
  <si>
    <t xml:space="preserve">ECH.48HS    1754         </t>
  </si>
  <si>
    <t xml:space="preserve">ECH.48HS    1755         </t>
  </si>
  <si>
    <t xml:space="preserve">ECH.48HS    1737         </t>
  </si>
  <si>
    <t xml:space="preserve">ECH.48HS    1765         </t>
  </si>
  <si>
    <t xml:space="preserve">ECH.48HS    1745         </t>
  </si>
  <si>
    <t xml:space="preserve">ECH.48HS    1739         </t>
  </si>
  <si>
    <t xml:space="preserve">ECH.48HS    1759         </t>
  </si>
  <si>
    <t xml:space="preserve">ECH.48HS    1746         </t>
  </si>
  <si>
    <t xml:space="preserve">ECH.48HS    1766         </t>
  </si>
  <si>
    <t xml:space="preserve">ECH.48HS    1756         </t>
  </si>
  <si>
    <t xml:space="preserve">ECH.48HS    1760         </t>
  </si>
  <si>
    <t xml:space="preserve">ECH.48HS    1747         </t>
  </si>
  <si>
    <t xml:space="preserve">ECH.48HS    1732         </t>
  </si>
  <si>
    <t xml:space="preserve">ECH.48HS    1767         </t>
  </si>
  <si>
    <t xml:space="preserve">ECH.48HS    1741         </t>
  </si>
  <si>
    <t xml:space="preserve">ECHEQGAL    1815         </t>
  </si>
  <si>
    <t xml:space="preserve">ECHEQGAL    1816         </t>
  </si>
  <si>
    <t xml:space="preserve">ECHEQGAL    1826         </t>
  </si>
  <si>
    <t xml:space="preserve">ECHEQGAL    1812         </t>
  </si>
  <si>
    <t xml:space="preserve">ECHEQGAL    1833         </t>
  </si>
  <si>
    <t xml:space="preserve">ECHEQGAL    1810         </t>
  </si>
  <si>
    <t xml:space="preserve">ECH.48HS    1813         </t>
  </si>
  <si>
    <t xml:space="preserve">ECH.48HS    1807         </t>
  </si>
  <si>
    <t xml:space="preserve">ECH.48HS    1804         </t>
  </si>
  <si>
    <t xml:space="preserve">ECHEQGAL    1829         </t>
  </si>
  <si>
    <t xml:space="preserve">ECHEQGAL    1802         </t>
  </si>
  <si>
    <t xml:space="preserve">ECH.48HS    1808         </t>
  </si>
  <si>
    <t xml:space="preserve">ECH.48HS    1828         </t>
  </si>
  <si>
    <t xml:space="preserve">ECH.48HS    1822         </t>
  </si>
  <si>
    <t xml:space="preserve">ECH.48HS    1803         </t>
  </si>
  <si>
    <t xml:space="preserve">ECH.48HS    1806         </t>
  </si>
  <si>
    <t xml:space="preserve">ECH.48HS    1820         </t>
  </si>
  <si>
    <t xml:space="preserve">ECH.48HS    1811         </t>
  </si>
  <si>
    <t xml:space="preserve">ECH.48HS    1821         </t>
  </si>
  <si>
    <t xml:space="preserve">ECH.48HS    1818         </t>
  </si>
  <si>
    <t xml:space="preserve">ECH.48HS    1800         </t>
  </si>
  <si>
    <t xml:space="preserve">ECH.48HS    1825         </t>
  </si>
  <si>
    <t xml:space="preserve">ECH.48HS    1814         </t>
  </si>
  <si>
    <t xml:space="preserve">ECH.48HS    1692         </t>
  </si>
  <si>
    <t xml:space="preserve">ECH.48HS    1799         </t>
  </si>
  <si>
    <t xml:space="preserve">ECH.48HS    1805         </t>
  </si>
  <si>
    <t xml:space="preserve">ECH.48HS    1809         </t>
  </si>
  <si>
    <t xml:space="preserve">ECH.48HS    1694         </t>
  </si>
  <si>
    <t xml:space="preserve">ECH.48HS    1801         </t>
  </si>
  <si>
    <t xml:space="preserve">ECH.48HS    1827         </t>
  </si>
  <si>
    <t xml:space="preserve">ECHEQGAL    1831         </t>
  </si>
  <si>
    <t xml:space="preserve">ECHEQGAL    1721         </t>
  </si>
  <si>
    <t xml:space="preserve">ECH.48HS    1752         </t>
  </si>
  <si>
    <t xml:space="preserve">ECHEQGAL    1830         </t>
  </si>
  <si>
    <t xml:space="preserve">ECH.48HS    1836         </t>
  </si>
  <si>
    <t xml:space="preserve">ECHEQGAL    1838         </t>
  </si>
  <si>
    <t xml:space="preserve">ECH.48HS    1835         </t>
  </si>
  <si>
    <t xml:space="preserve">ECHEQGAL    1823         </t>
  </si>
  <si>
    <t xml:space="preserve">ECH.48HS    1837         </t>
  </si>
  <si>
    <t xml:space="preserve">ECH.48HS    1824         </t>
  </si>
  <si>
    <t xml:space="preserve">ECHEQGAL    1858         </t>
  </si>
  <si>
    <t xml:space="preserve">ECH.48HS    1856         </t>
  </si>
  <si>
    <t xml:space="preserve">ECH.48HS    1857         </t>
  </si>
  <si>
    <t>03/09/2025</t>
  </si>
  <si>
    <t xml:space="preserve">ECH.48HS    1841         </t>
  </si>
  <si>
    <t xml:space="preserve">ECH.48HS    1840         </t>
  </si>
  <si>
    <t xml:space="preserve">ECH.48HS    1855         </t>
  </si>
  <si>
    <t xml:space="preserve">ECH.48HS    1859         </t>
  </si>
  <si>
    <t>09/09/2025</t>
  </si>
  <si>
    <t xml:space="preserve">ECHEQGAL    1834         </t>
  </si>
  <si>
    <t xml:space="preserve">ECH.48HS    1819         </t>
  </si>
  <si>
    <t xml:space="preserve">ECH.48HS    1832         </t>
  </si>
  <si>
    <t xml:space="preserve">ECHEQGAL    1868         </t>
  </si>
  <si>
    <t xml:space="preserve">ECH.48HS    1863         </t>
  </si>
  <si>
    <t xml:space="preserve">ECH.48HS    1864         </t>
  </si>
  <si>
    <t xml:space="preserve">ECH.48HS    1873         </t>
  </si>
  <si>
    <t xml:space="preserve">ECHEQGAL    1872         </t>
  </si>
  <si>
    <t xml:space="preserve">ECHEQGAL    1862         </t>
  </si>
  <si>
    <t xml:space="preserve">ECHEQGAL    1860         </t>
  </si>
  <si>
    <t xml:space="preserve">ECH.48HS    1870         </t>
  </si>
  <si>
    <t xml:space="preserve">ECH.48HS    1877         </t>
  </si>
  <si>
    <t xml:space="preserve">ECH.48HS    1869         </t>
  </si>
  <si>
    <t xml:space="preserve">ECH.48HS    1867         </t>
  </si>
  <si>
    <t xml:space="preserve">ECH.48HS    1861         </t>
  </si>
  <si>
    <t xml:space="preserve">ECH.48HS    1875         </t>
  </si>
  <si>
    <t xml:space="preserve">ECH.48HS    1865         </t>
  </si>
  <si>
    <t xml:space="preserve">ECH.48HS    1871         </t>
  </si>
  <si>
    <t xml:space="preserve">ECH.48HS    1866         </t>
  </si>
  <si>
    <t xml:space="preserve">ECH.48HS    1693         </t>
  </si>
  <si>
    <t>17/09/2025</t>
  </si>
  <si>
    <t xml:space="preserve">ECH.48HS    1876         </t>
  </si>
  <si>
    <t>19/09/2025</t>
  </si>
  <si>
    <t xml:space="preserve">ECHEQGAL    1843         </t>
  </si>
  <si>
    <t xml:space="preserve">ECHEQGAL    1842         </t>
  </si>
  <si>
    <t xml:space="preserve">ECHEQGAL    1844         </t>
  </si>
  <si>
    <t xml:space="preserve">ECH.48HS    1902         </t>
  </si>
  <si>
    <t xml:space="preserve">ECH.48HS    1874         </t>
  </si>
  <si>
    <t xml:space="preserve">ECH.48HS    1895         </t>
  </si>
  <si>
    <t xml:space="preserve">ECH.48HS    1894         </t>
  </si>
  <si>
    <t xml:space="preserve">ECH.48HS    1898         </t>
  </si>
  <si>
    <t xml:space="preserve">ECHEQGAL    1909         </t>
  </si>
  <si>
    <t xml:space="preserve">ECH.48HS    1907         </t>
  </si>
  <si>
    <t xml:space="preserve">ECH.48HS    1905         </t>
  </si>
  <si>
    <t xml:space="preserve">ECH.48HS    1908         </t>
  </si>
  <si>
    <t xml:space="preserve">ECH.48HS    1906         </t>
  </si>
  <si>
    <t xml:space="preserve">ECH.48HS    1904         </t>
  </si>
  <si>
    <t xml:space="preserve">ECH.48HS    1896         </t>
  </si>
  <si>
    <t xml:space="preserve">ECH.48HS    1903         </t>
  </si>
  <si>
    <t>24/09/2025</t>
  </si>
  <si>
    <t xml:space="preserve">ECHEQGAL    1910         </t>
  </si>
  <si>
    <t xml:space="preserve">ECH.48HS    1900         </t>
  </si>
  <si>
    <t xml:space="preserve">ECHEQGAL    1911         </t>
  </si>
  <si>
    <t xml:space="preserve">ECHEQGAL    1918         </t>
  </si>
  <si>
    <t xml:space="preserve">ECHEQGAL    1919         </t>
  </si>
  <si>
    <t xml:space="preserve">ECH.48HS    1916         </t>
  </si>
  <si>
    <t xml:space="preserve">ECH.48HS    1912         </t>
  </si>
  <si>
    <t xml:space="preserve">ECHEQGAL    1927         </t>
  </si>
  <si>
    <t xml:space="preserve">ECHEQGAL    1923         </t>
  </si>
  <si>
    <t xml:space="preserve">ECHEQGAL    1922         </t>
  </si>
  <si>
    <t xml:space="preserve">ECH.48HS    1928         </t>
  </si>
  <si>
    <t xml:space="preserve">ECH.48HS    1929         </t>
  </si>
  <si>
    <t xml:space="preserve">ECH.48HS    1924         </t>
  </si>
  <si>
    <t xml:space="preserve">ECH.48HS    1926         </t>
  </si>
  <si>
    <t xml:space="preserve">ECH.48HS    1920         </t>
  </si>
  <si>
    <t xml:space="preserve">ECH.48HS    1933         </t>
  </si>
  <si>
    <t xml:space="preserve">ECH.48HS    1925         </t>
  </si>
  <si>
    <t xml:space="preserve">ECH.48HS    1932         </t>
  </si>
  <si>
    <t xml:space="preserve">ECHEQGAL    1930         </t>
  </si>
  <si>
    <t xml:space="preserve">ECH.48HS    1915         </t>
  </si>
  <si>
    <t xml:space="preserve">ECH.48HS    1899         </t>
  </si>
  <si>
    <t xml:space="preserve">ECH.48HS    1935         </t>
  </si>
  <si>
    <t xml:space="preserve">ECH.48HS    1936         </t>
  </si>
  <si>
    <t xml:space="preserve">ECH.48HS    1913         </t>
  </si>
  <si>
    <t>CH/CJE.INT</t>
  </si>
  <si>
    <t xml:space="preserve">ECHEQGAL    5277         </t>
  </si>
  <si>
    <t xml:space="preserve">ECHEQGAL    1939         </t>
  </si>
  <si>
    <t xml:space="preserve">ECH.48HS    1937         </t>
  </si>
  <si>
    <t xml:space="preserve">ECH.48HS    1938         </t>
  </si>
  <si>
    <t xml:space="preserve">ECH.48HS    1897         </t>
  </si>
  <si>
    <t xml:space="preserve">ECH.48HS    1921         </t>
  </si>
  <si>
    <t xml:space="preserve">ECH.48HS    1941         </t>
  </si>
  <si>
    <t xml:space="preserve">ECHEQGAL    1940         </t>
  </si>
  <si>
    <t xml:space="preserve">ECHEQGAL    1934         </t>
  </si>
  <si>
    <t xml:space="preserve">ECH.48HS    1917         </t>
  </si>
  <si>
    <t>08/10/2025</t>
  </si>
  <si>
    <t xml:space="preserve">ECH.48HS    1901         </t>
  </si>
  <si>
    <t>09/10/2025</t>
  </si>
  <si>
    <t xml:space="preserve">ECHEQGAL    5303         </t>
  </si>
  <si>
    <t xml:space="preserve">ECHEQGAL    5290         </t>
  </si>
  <si>
    <t xml:space="preserve">ECHEQGAL    1946         </t>
  </si>
  <si>
    <t xml:space="preserve">ECHEQGAL    1949         </t>
  </si>
  <si>
    <t xml:space="preserve">ECHEQGAL    1945         </t>
  </si>
  <si>
    <t xml:space="preserve">ECH.48HS    1955         </t>
  </si>
  <si>
    <t xml:space="preserve">ECH.48HS    1948         </t>
  </si>
  <si>
    <t xml:space="preserve">ECH.48HS    1914         </t>
  </si>
  <si>
    <t xml:space="preserve">ECH.48HS    1947         </t>
  </si>
  <si>
    <t xml:space="preserve">ECH.48HS    1943         </t>
  </si>
  <si>
    <t>13/10/2025</t>
  </si>
  <si>
    <t xml:space="preserve">ECHEQGAL    1951         </t>
  </si>
  <si>
    <t xml:space="preserve">ECHEQGAL    1931         </t>
  </si>
  <si>
    <t xml:space="preserve">ECH.48HS    1952         </t>
  </si>
  <si>
    <t xml:space="preserve">ECH.48HS    1954         </t>
  </si>
  <si>
    <t xml:space="preserve">ECH.48HS    1953         </t>
  </si>
  <si>
    <t xml:space="preserve">ECH.48HS    1956         </t>
  </si>
  <si>
    <t xml:space="preserve">ECHEQGAL    5312         </t>
  </si>
  <si>
    <t xml:space="preserve">ECHEQGAL    5307         </t>
  </si>
  <si>
    <t xml:space="preserve">ECHEQGAL    1944         </t>
  </si>
  <si>
    <t>VALORES CB</t>
  </si>
  <si>
    <t xml:space="preserve">GESTION DE ECHEQ         </t>
  </si>
  <si>
    <t>21/10/2025</t>
  </si>
  <si>
    <t xml:space="preserve">ECHEQGAL    1846         </t>
  </si>
  <si>
    <t xml:space="preserve">ECHEQGAL    1847         </t>
  </si>
  <si>
    <t xml:space="preserve">ECHEQGAL    1845         </t>
  </si>
  <si>
    <t xml:space="preserve">ECHEQGAL    1970         </t>
  </si>
  <si>
    <t xml:space="preserve">ECHEQGAL    1975         </t>
  </si>
  <si>
    <t xml:space="preserve">ECHEQGAL    1968         </t>
  </si>
  <si>
    <t xml:space="preserve">ECHEQGAL    1960         </t>
  </si>
  <si>
    <t xml:space="preserve">ECHEQGAL    1969         </t>
  </si>
  <si>
    <t xml:space="preserve">ECH.48HS    1974         </t>
  </si>
  <si>
    <t xml:space="preserve">ECH.48HS    1971         </t>
  </si>
  <si>
    <t xml:space="preserve">ECH.48HS    1972         </t>
  </si>
  <si>
    <t xml:space="preserve">ECH.48HS    1961         </t>
  </si>
  <si>
    <t xml:space="preserve">ECH.48HS    1966         </t>
  </si>
  <si>
    <t xml:space="preserve">ECH.48HS    1959         </t>
  </si>
  <si>
    <t>20/10/2025</t>
  </si>
  <si>
    <t xml:space="preserve">ECHEQGAL    5334         </t>
  </si>
  <si>
    <t xml:space="preserve">ECHEQGAL    5332         </t>
  </si>
  <si>
    <t xml:space="preserve">ECHEQGAL    5330         </t>
  </si>
  <si>
    <t xml:space="preserve">ECH.48HS    1942         </t>
  </si>
  <si>
    <t xml:space="preserve">ECH.48HS    1958         </t>
  </si>
  <si>
    <t xml:space="preserve">ECH.48HS    1962         </t>
  </si>
  <si>
    <t xml:space="preserve">ECH.48HS    1973         </t>
  </si>
  <si>
    <t xml:space="preserve">ECH.48HS    1963         </t>
  </si>
  <si>
    <t xml:space="preserve">ECH.48HS    1967         </t>
  </si>
  <si>
    <t xml:space="preserve">ECH.48HS    1964         </t>
  </si>
  <si>
    <t xml:space="preserve">ECH.48HS    1957         </t>
  </si>
  <si>
    <t xml:space="preserve">ECHEQGAL    1976         </t>
  </si>
  <si>
    <t xml:space="preserve">ECHEQGAL    5353         </t>
  </si>
  <si>
    <t>31/10/2025</t>
  </si>
  <si>
    <t xml:space="preserve">ECHEQGAL    5366         </t>
  </si>
  <si>
    <t xml:space="preserve">ECHEQGAL    5369         </t>
  </si>
  <si>
    <t>05/11/2025</t>
  </si>
  <si>
    <t xml:space="preserve">ECHEQGAL    1950         </t>
  </si>
  <si>
    <t>10/11/2025</t>
  </si>
  <si>
    <t xml:space="preserve">ECH.48HS    1978         </t>
  </si>
  <si>
    <t>13/11/2025</t>
  </si>
  <si>
    <t xml:space="preserve">ECHEQGAL    1981         </t>
  </si>
  <si>
    <t xml:space="preserve">ECH.48HS    1850         </t>
  </si>
  <si>
    <t xml:space="preserve">ECH.48HS    1849         </t>
  </si>
  <si>
    <t xml:space="preserve">ECH.48HS    1848         </t>
  </si>
  <si>
    <t>17/11/2025</t>
  </si>
  <si>
    <t>19/11/2025</t>
  </si>
  <si>
    <t>20/11/2025</t>
  </si>
  <si>
    <t>25/11/2025</t>
  </si>
  <si>
    <t xml:space="preserve">ECHEQGAL    1983         </t>
  </si>
  <si>
    <t xml:space="preserve">ECHEQGAL    5433         </t>
  </si>
  <si>
    <t xml:space="preserve">ECHEQGAL    1988         </t>
  </si>
  <si>
    <t xml:space="preserve">ECH.48HS    1987         </t>
  </si>
  <si>
    <t xml:space="preserve">ECH.48HS    1984         </t>
  </si>
  <si>
    <t xml:space="preserve">ECH.48HS    1986         </t>
  </si>
  <si>
    <t xml:space="preserve">ECH.48HS    1982         </t>
  </si>
  <si>
    <t xml:space="preserve">ECH.48HS    1977         </t>
  </si>
  <si>
    <t xml:space="preserve">ECHEQGAL    2012         </t>
  </si>
  <si>
    <t xml:space="preserve">ECHEQGAL    7453         </t>
  </si>
  <si>
    <t xml:space="preserve">ECHEQGAL    5453         </t>
  </si>
  <si>
    <t xml:space="preserve">ECHEQGAL    5459         </t>
  </si>
  <si>
    <t xml:space="preserve">ECHEQGAL    5447         </t>
  </si>
  <si>
    <t xml:space="preserve">ECHEQGAL    5450         </t>
  </si>
  <si>
    <t xml:space="preserve">ECHEQGAL    1997         </t>
  </si>
  <si>
    <t xml:space="preserve">ECHEQGAL    2005         </t>
  </si>
  <si>
    <t xml:space="preserve">ECHEQGAL    1989         </t>
  </si>
  <si>
    <t xml:space="preserve">ECHEQGAL    1995         </t>
  </si>
  <si>
    <t xml:space="preserve">ECHEQGAL     150         </t>
  </si>
  <si>
    <t xml:space="preserve">ECHEQGAL    5460         </t>
  </si>
  <si>
    <t xml:space="preserve">ECH.48HS    1999         </t>
  </si>
  <si>
    <t xml:space="preserve">ECH.48HS    1998         </t>
  </si>
  <si>
    <t xml:space="preserve">ECH.48HS    2001         </t>
  </si>
  <si>
    <t xml:space="preserve">ECH.48HS    1996         </t>
  </si>
  <si>
    <t xml:space="preserve">ECH.48HS    1994         </t>
  </si>
  <si>
    <t xml:space="preserve">ECH.48HS    2010         </t>
  </si>
  <si>
    <t xml:space="preserve">ECH.48HS    2007         </t>
  </si>
  <si>
    <t xml:space="preserve">ECH.48HS    2002         </t>
  </si>
  <si>
    <t xml:space="preserve">ECHEQGAL    1985         </t>
  </si>
  <si>
    <t xml:space="preserve">ECH.48HS    2008         </t>
  </si>
  <si>
    <t xml:space="preserve">ECH.48HS    1992         </t>
  </si>
  <si>
    <t xml:space="preserve">ECHEQGAL    2004         </t>
  </si>
  <si>
    <t xml:space="preserve">ECHEQGAL    2011         </t>
  </si>
  <si>
    <t xml:space="preserve">ECH.48HS    2009         </t>
  </si>
  <si>
    <t xml:space="preserve">ECHEQGAL    2003         </t>
  </si>
  <si>
    <t xml:space="preserve">ECH.48HS    1991         </t>
  </si>
  <si>
    <t xml:space="preserve">ECH.48HS    2006         </t>
  </si>
  <si>
    <t xml:space="preserve">ECH.48HS    1990         </t>
  </si>
  <si>
    <t>10/12/2025</t>
  </si>
  <si>
    <t xml:space="preserve">ECHEQGAL    1993         </t>
  </si>
  <si>
    <t xml:space="preserve">ECHEQGAL    5469         </t>
  </si>
  <si>
    <t xml:space="preserve">ECH.48HS    2000         </t>
  </si>
  <si>
    <t xml:space="preserve">ECH.48HS    1852         </t>
  </si>
  <si>
    <t xml:space="preserve">ECH.48HS    1851         </t>
  </si>
  <si>
    <t xml:space="preserve">ECH.48HS    1853         </t>
  </si>
  <si>
    <t xml:space="preserve">ECH.48HS    2015         </t>
  </si>
  <si>
    <t xml:space="preserve">ECH.48HS    2016         </t>
  </si>
  <si>
    <t xml:space="preserve">ECH.48HS    2019         </t>
  </si>
  <si>
    <t xml:space="preserve">ECH.48HS    2030         </t>
  </si>
  <si>
    <t xml:space="preserve">ECHEQGAL    2022         </t>
  </si>
  <si>
    <t xml:space="preserve">ECHEQGAL    2021         </t>
  </si>
  <si>
    <t xml:space="preserve">ECH.48HS    2025         </t>
  </si>
  <si>
    <t xml:space="preserve">ECH.48HS    2020         </t>
  </si>
  <si>
    <t xml:space="preserve">ECH.48HS    2018         </t>
  </si>
  <si>
    <t xml:space="preserve">ECH.48HS    2028         </t>
  </si>
  <si>
    <t xml:space="preserve">ECH.48HS    2029         </t>
  </si>
  <si>
    <t xml:space="preserve">ECH.48HS    2027         </t>
  </si>
  <si>
    <t xml:space="preserve">ECH.48HS    2013         </t>
  </si>
  <si>
    <t xml:space="preserve">ECHEQGAL    2024         </t>
  </si>
  <si>
    <t xml:space="preserve">ECHEQGAL    2023         </t>
  </si>
  <si>
    <t xml:space="preserve">ECHEQGAL    1979         </t>
  </si>
  <si>
    <t>29/12/2025</t>
  </si>
  <si>
    <t xml:space="preserve">ECHEQGAL    7783         </t>
  </si>
  <si>
    <t xml:space="preserve">ECHEQGAL    2031         </t>
  </si>
  <si>
    <t xml:space="preserve">ECH.48HS    2014         </t>
  </si>
  <si>
    <t xml:space="preserve">ECH.48HS    2033         </t>
  </si>
  <si>
    <t xml:space="preserve">ECH.48HS    2032         </t>
  </si>
  <si>
    <t xml:space="preserve">ECHEQGAL    2040         </t>
  </si>
  <si>
    <t xml:space="preserve">ECHEQGAL    2039         </t>
  </si>
  <si>
    <t xml:space="preserve">ECHEQGAL    2026         </t>
  </si>
  <si>
    <t xml:space="preserve">ECH.48HS    2041         </t>
  </si>
  <si>
    <t xml:space="preserve">ECH.48HS    2036         </t>
  </si>
  <si>
    <t xml:space="preserve">ECH.48HS    2037         </t>
  </si>
  <si>
    <t xml:space="preserve">ECH.48HS    2034         </t>
  </si>
  <si>
    <t xml:space="preserve">ECH.48HS    2017         </t>
  </si>
  <si>
    <t>07/01/2026</t>
  </si>
  <si>
    <t>16/01/2026</t>
  </si>
  <si>
    <t xml:space="preserve">ECHEQGAL    2038         </t>
  </si>
  <si>
    <t>29/01/2026</t>
  </si>
  <si>
    <t>02/02/2026</t>
  </si>
  <si>
    <t>03/02/2026</t>
  </si>
  <si>
    <t xml:space="preserve">ECHEQGAL    1980         </t>
  </si>
  <si>
    <t>ECHEQGAL 2042</t>
  </si>
  <si>
    <t>05/03/2026</t>
  </si>
  <si>
    <t>16/03/2026</t>
  </si>
  <si>
    <t xml:space="preserve">ECHEQGAL    2043         </t>
  </si>
  <si>
    <t>27/03/2026</t>
  </si>
  <si>
    <t>08/04/2026</t>
  </si>
  <si>
    <t>09/04/2026</t>
  </si>
  <si>
    <t>13/04/2026</t>
  </si>
  <si>
    <t xml:space="preserve">ECHEQGAL    2044         </t>
  </si>
  <si>
    <t>EMPRESA: CITRUSVIL SA</t>
  </si>
  <si>
    <t>SUAREZ ENRIQUE FLORENCIO ALDERETES 14</t>
  </si>
  <si>
    <t>Rosso Hnos SH MONTEROS 14</t>
  </si>
  <si>
    <t>LA 10 SRL SAN MIGUEL DE TUCUMAN 14</t>
  </si>
  <si>
    <t>Di Bacco &amp; Cia. S.A. SAN MIGUEL DE TUCUMAN 14</t>
  </si>
  <si>
    <t>Almibar SRL San Miguel de Tucuman 14</t>
  </si>
  <si>
    <t>Gentile Juan Luis Yerba Buena 14</t>
  </si>
  <si>
    <t>Stok, Leandro SAN MIGUEL DE TUCUMAN 14</t>
  </si>
  <si>
    <t>Sisdam S.A. CAPITAL FEDERAL 00</t>
  </si>
  <si>
    <t>Norviguet S.R.L. SAN MIGUEL DE TUCUMAN 14</t>
  </si>
  <si>
    <t>LOPEZ CAPARROS EDGARDO AGUSTINSAN MIGUEL DE TUCUMAN 14</t>
  </si>
  <si>
    <t>Pedro Ivan Marcelo ALDERETES 14</t>
  </si>
  <si>
    <t>CH DEP 48</t>
  </si>
  <si>
    <t>CITRUSVIL S.A.  —  Análisis de Cheques</t>
  </si>
  <si>
    <t>Robles Angel Gabriel San Miguel de Tucuman 14</t>
  </si>
  <si>
    <t>DE COULON EDUARDO JARDIN AMERICA 19</t>
  </si>
  <si>
    <t>DISLUB INTERIOR SA CAPÍTAL FEDERAL 00</t>
  </si>
  <si>
    <t>Muñoz Silvia Liliana Capital Federal 00</t>
  </si>
  <si>
    <t>GONZALEZ JOSE LUIS CONCEPCION 14</t>
  </si>
  <si>
    <t>M DODERO COMPANIA GRAL DE SERVCIUDAD AUTONOMA DE BUENOS AIRES 01</t>
  </si>
  <si>
    <t>BERNASCONI MARIANO SAN MIGUEL DE TUCUMAN 14</t>
  </si>
  <si>
    <t>04/06/2026</t>
  </si>
  <si>
    <t>05/06/2026</t>
  </si>
  <si>
    <t>08/06/2026</t>
  </si>
  <si>
    <t>09/06/2026</t>
  </si>
  <si>
    <t>LINEA CONSTRUCCIONES SRL SAN MIGUEL DE TUCUMAN 14</t>
  </si>
  <si>
    <t>11/06/2026</t>
  </si>
  <si>
    <t>12/06/2026</t>
  </si>
  <si>
    <t>Rosso Hnos SA MONTEROS 14</t>
  </si>
  <si>
    <t>16/06/2026</t>
  </si>
  <si>
    <t>17/06/2026</t>
  </si>
  <si>
    <t>18/06/2026</t>
  </si>
  <si>
    <t>19/06/2026</t>
  </si>
  <si>
    <t>KENTEC ARGENTINA SA CAPITAL FEDERAL 00</t>
  </si>
  <si>
    <t>22/06/2026</t>
  </si>
  <si>
    <t>23/06/2026</t>
  </si>
  <si>
    <t>24/06/2026</t>
  </si>
  <si>
    <t>25/06/2026</t>
  </si>
  <si>
    <t>26/06/2026</t>
  </si>
  <si>
    <t>Saiko S.A Tucumàn 14</t>
  </si>
  <si>
    <t>CAÑA Y SEMILLA SRL Capital Federal 00</t>
  </si>
  <si>
    <t>29/06/2026</t>
  </si>
  <si>
    <t>30/06/2026</t>
  </si>
  <si>
    <t>01/07/2026</t>
  </si>
  <si>
    <t>02/07/2026</t>
  </si>
  <si>
    <t>03/07/2026</t>
  </si>
  <si>
    <t>06/07/2026</t>
  </si>
  <si>
    <t>07/07/2026</t>
  </si>
  <si>
    <t>08/07/2026</t>
  </si>
  <si>
    <t>FERPASI S.R.L SAN MIGUEL DE TUCUMAN 14</t>
  </si>
  <si>
    <t>13/07/2026</t>
  </si>
  <si>
    <t>14/07/2026</t>
  </si>
  <si>
    <t>15/07/2026</t>
  </si>
  <si>
    <t>17/07/2026</t>
  </si>
  <si>
    <t>ANTONELLI Hnos. S.H SAN MIGUEL DE TUCUMAN 14</t>
  </si>
  <si>
    <t>SANCHEZ MOLINA CAMILA INES HIPOLITO YRIGOYEN 09</t>
  </si>
  <si>
    <t>MANLLA LEANDRO GERMAN TERMAS DE RIO HONDO 13</t>
  </si>
  <si>
    <t>NUVE AGRO S.A.S. SAN MIGUEL DE TUCUMAN 14</t>
  </si>
  <si>
    <t>20/07/2026</t>
  </si>
  <si>
    <t>21/07/2026</t>
  </si>
  <si>
    <t>22/07/2026</t>
  </si>
  <si>
    <t>23/07/2026</t>
  </si>
  <si>
    <t>24/07/2026</t>
  </si>
  <si>
    <t>ASOCIACION TECNOLOGICA CORDOBACORDOBA 03</t>
  </si>
  <si>
    <t>Pedro Carolina Alejandra ALDERETES 14</t>
  </si>
  <si>
    <t>ALDO A. MILITELLO GRUAS Y TRANMaipu 07</t>
  </si>
  <si>
    <t>27/07/2026</t>
  </si>
  <si>
    <t>28/07/2026</t>
  </si>
  <si>
    <t>29/07/2026</t>
  </si>
  <si>
    <t>30/07/2026</t>
  </si>
  <si>
    <t>31/07/2026</t>
  </si>
  <si>
    <t>03/08/2026</t>
  </si>
  <si>
    <t>04/08/2026</t>
  </si>
  <si>
    <t>06/08/2026</t>
  </si>
  <si>
    <t>clearing</t>
  </si>
  <si>
    <t>SAKKANA S.R.L SAN MIGUEL DE TUCUMAN 14</t>
  </si>
  <si>
    <t>ALBARRACIN MIGUEL SAN MIGUEL DE TUCUMAN 14</t>
  </si>
  <si>
    <t>10/08/2026</t>
  </si>
  <si>
    <t>11/08/2026</t>
  </si>
  <si>
    <t>Garcia Pablo Nicolas San Miguel de Tucuman 14</t>
  </si>
  <si>
    <t>CLOVER LOGISTICS SRL CAPITAL FEDERAL 00</t>
  </si>
  <si>
    <t>LA SOLANITA SRL SAN MIGUEL DE TUCUMAN 14</t>
  </si>
  <si>
    <t>12/08/2026</t>
  </si>
  <si>
    <t>13/08/2026</t>
  </si>
  <si>
    <t>14/08/2026</t>
  </si>
  <si>
    <t>FUNDACION UNIVERSIDAD TORCUATOCIUDAD AUTONOMA DE BUENOS AIRES 01</t>
  </si>
  <si>
    <t>IKIGAI SAS LA BANDA 13</t>
  </si>
  <si>
    <t>VSG S.R.L CIUDAD AUTONOMA BUENOS AIRES 00</t>
  </si>
  <si>
    <t>JG FITNESS GROUP S. A. S. SAN MIGUEL DE TUCUMAN 14</t>
  </si>
  <si>
    <t>GANBATTE SA CAPITAL FEDERAL 01</t>
  </si>
  <si>
    <t>AGUIAR MARTEAU MAIA JULIANA SAN MIGUEL DE TUCUMAN 14</t>
  </si>
  <si>
    <t>Instituto Arg. de NormalizacioCIUDAD AUTONOMA DE BUENOS AIRES 01</t>
  </si>
  <si>
    <t>18/08/2026</t>
  </si>
  <si>
    <t>19/08/2026</t>
  </si>
  <si>
    <t>20/08/2026</t>
  </si>
  <si>
    <t>21/08/2026</t>
  </si>
  <si>
    <t>LUBRE S.R.L. LOS NOGALES 14</t>
  </si>
  <si>
    <t>CASTRO MATIAS JOSE SAN MIGUEL DE TUCUMAN 14</t>
  </si>
  <si>
    <t>ALDERETE GASTON ALBERTO TERMAS DE RIO HONDO 13</t>
  </si>
  <si>
    <t>24/08/2026</t>
  </si>
  <si>
    <t>25/08/2026</t>
  </si>
  <si>
    <t>26/08/2026</t>
  </si>
  <si>
    <t>27/08/2026</t>
  </si>
  <si>
    <t>28/08/2026</t>
  </si>
  <si>
    <t>Cheques a Vencer Semana 07/09 al 11/09</t>
  </si>
  <si>
    <t>31/08/2026</t>
  </si>
  <si>
    <t>01/09/2026</t>
  </si>
  <si>
    <t>02/09/2026</t>
  </si>
  <si>
    <t>03/09/2026</t>
  </si>
  <si>
    <t>04/09/2026</t>
  </si>
  <si>
    <t>04/09/202</t>
  </si>
  <si>
    <t>Cheques a Vencer Semana 14/09 al 18/09</t>
  </si>
  <si>
    <t>Cheques a Vencer Semana 21/09 en adelante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</si>
</sst>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&quot;$&quot;\ #,##0.00"/>
    <numFmt numFmtId="167" formatCode="&quot;Fecha de actualización: &quot;dd/mm/yyyy"/>
    <numFmt numFmtId="168" formatCode="&quot;Actualizado al: &quot;dd/mm/yyyy&quot;  |  Fuente: sap nuevo&quot;"/>
    <numFmt numFmtId="169" formatCode="0.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sz val="10"/>
      <color rgb="FF999999"/>
      <name val="Arial"/>
      <family val="2"/>
    </font>
    <font>
      <b/>
      <sz val="10"/>
      <name val="Arial"/>
      <family val="2"/>
    </font>
    <font>
      <i/>
      <sz val="9"/>
      <color rgb="FF444444"/>
      <name val="Arial"/>
      <family val="2"/>
    </font>
    <font>
      <b/>
      <sz val="10"/>
      <color rgb="FF1B3A6B"/>
      <name val="Arial"/>
      <family val="2"/>
    </font>
    <font>
      <sz val="10"/>
      <color rgb="FF1B3A6B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B3A6B"/>
      </patternFill>
    </fill>
    <fill>
      <patternFill patternType="solid">
        <fgColor rgb="FFD6E4F0"/>
      </patternFill>
    </fill>
    <fill>
      <patternFill patternType="solid">
        <fgColor rgb="FFEEF3FA"/>
      </patternFill>
    </fill>
    <fill>
      <patternFill patternType="solid">
        <fgColor rgb="FF2E6DB4"/>
      </patternFill>
    </fill>
    <fill>
      <patternFill patternType="solid">
        <fgColor rgb="FFFFFFFF"/>
      </patternFill>
    </fill>
    <fill>
      <patternFill patternType="solid">
        <fgColor rgb="FFF2F5FA"/>
      </patternFill>
    </fill>
    <fill>
      <patternFill patternType="solid">
        <fgColor rgb="FF8B1C1C"/>
      </patternFill>
    </fill>
    <fill>
      <patternFill patternType="solid">
        <fgColor rgb="FFFDECEA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2E6DB4"/>
      </left>
      <right style="thin">
        <color rgb="FF2E6DB4"/>
      </right>
      <top style="thin">
        <color rgb="FF2E6DB4"/>
      </top>
      <bottom style="thin">
        <color rgb="FF2E6DB4"/>
      </bottom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thin">
        <color rgb="FFBDD0E8"/>
      </left>
      <right style="thin">
        <color rgb="FFBDD0E8"/>
      </right>
      <top style="thin">
        <color rgb="FFBDD0E8"/>
      </top>
      <bottom style="thin">
        <color rgb="FFBDD0E8"/>
      </bottom>
      <diagonal/>
    </border>
    <border>
      <left style="thin">
        <color rgb="FF8B1C1C"/>
      </left>
      <right style="thin">
        <color rgb="FF8B1C1C"/>
      </right>
      <top style="thin">
        <color rgb="FF8B1C1C"/>
      </top>
      <bottom style="thin">
        <color rgb="FF8B1C1C"/>
      </bottom>
      <diagonal/>
    </border>
  </borders>
  <cellStyleXfs count="5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5" fillId="0" borderId="0"/>
  </cellStyleXfs>
  <cellXfs count="117">
    <xf numFmtId="0" fontId="0" fillId="0" borderId="0" xfId="0"/>
    <xf numFmtId="0" fontId="18" fillId="0" borderId="0" xfId="0" applyFont="1" applyAlignment="1">
      <alignment horizontal="center" vertical="center"/>
    </xf>
    <xf numFmtId="165" fontId="18" fillId="0" borderId="0" xfId="1" applyFont="1" applyAlignment="1">
      <alignment horizontal="center" vertical="center"/>
    </xf>
    <xf numFmtId="14" fontId="0" fillId="0" borderId="0" xfId="0" applyNumberFormat="1"/>
    <xf numFmtId="165" fontId="0" fillId="0" borderId="0" xfId="1" applyFont="1"/>
    <xf numFmtId="164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/>
    <xf numFmtId="166" fontId="0" fillId="0" borderId="0" xfId="0" applyNumberFormat="1"/>
    <xf numFmtId="0" fontId="0" fillId="0" borderId="10" xfId="0" applyBorder="1"/>
    <xf numFmtId="164" fontId="0" fillId="35" borderId="0" xfId="2" applyFont="1" applyFill="1"/>
    <xf numFmtId="164" fontId="16" fillId="35" borderId="0" xfId="0" applyNumberFormat="1" applyFont="1" applyFill="1"/>
    <xf numFmtId="0" fontId="16" fillId="35" borderId="0" xfId="0" applyFont="1" applyFill="1"/>
    <xf numFmtId="164" fontId="16" fillId="33" borderId="0" xfId="0" applyNumberFormat="1" applyFont="1" applyFill="1"/>
    <xf numFmtId="166" fontId="0" fillId="35" borderId="0" xfId="0" applyNumberFormat="1" applyFill="1"/>
    <xf numFmtId="0" fontId="0" fillId="37" borderId="0" xfId="0" applyFill="1"/>
    <xf numFmtId="0" fontId="0" fillId="0" borderId="0" xfId="0" applyAlignment="1">
      <alignment horizontal="center"/>
    </xf>
    <xf numFmtId="44" fontId="0" fillId="0" borderId="0" xfId="0" applyNumberFormat="1"/>
    <xf numFmtId="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center"/>
    </xf>
    <xf numFmtId="0" fontId="16" fillId="36" borderId="0" xfId="0" applyFont="1" applyFill="1" applyAlignment="1">
      <alignment horizontal="center"/>
    </xf>
    <xf numFmtId="0" fontId="16" fillId="37" borderId="0" xfId="0" applyFont="1" applyFill="1"/>
    <xf numFmtId="14" fontId="0" fillId="37" borderId="0" xfId="0" applyNumberFormat="1" applyFill="1"/>
    <xf numFmtId="0" fontId="24" fillId="38" borderId="13" xfId="0" applyFont="1" applyFill="1" applyBorder="1" applyAlignment="1">
      <alignment horizontal="center"/>
    </xf>
    <xf numFmtId="14" fontId="24" fillId="38" borderId="13" xfId="0" applyNumberFormat="1" applyFont="1" applyFill="1" applyBorder="1" applyAlignment="1">
      <alignment horizontal="center"/>
    </xf>
    <xf numFmtId="0" fontId="24" fillId="38" borderId="14" xfId="0" applyFont="1" applyFill="1" applyBorder="1" applyAlignment="1">
      <alignment horizontal="center"/>
    </xf>
    <xf numFmtId="0" fontId="0" fillId="35" borderId="0" xfId="0" applyFill="1" applyAlignment="1">
      <alignment horizontal="left"/>
    </xf>
    <xf numFmtId="14" fontId="0" fillId="35" borderId="0" xfId="0" applyNumberFormat="1" applyFill="1" applyAlignment="1">
      <alignment horizontal="center"/>
    </xf>
    <xf numFmtId="0" fontId="0" fillId="34" borderId="0" xfId="0" applyFill="1"/>
    <xf numFmtId="0" fontId="18" fillId="34" borderId="0" xfId="0" applyFont="1" applyFill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165" fontId="26" fillId="0" borderId="13" xfId="1" applyFont="1" applyBorder="1" applyAlignment="1">
      <alignment horizontal="center" vertical="center" wrapText="1"/>
    </xf>
    <xf numFmtId="14" fontId="26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4" fontId="26" fillId="0" borderId="0" xfId="0" applyNumberFormat="1" applyFont="1"/>
    <xf numFmtId="165" fontId="26" fillId="0" borderId="0" xfId="1" applyFont="1"/>
    <xf numFmtId="0" fontId="26" fillId="39" borderId="0" xfId="0" applyFont="1" applyFill="1"/>
    <xf numFmtId="14" fontId="26" fillId="39" borderId="0" xfId="0" applyNumberFormat="1" applyFont="1" applyFill="1"/>
    <xf numFmtId="0" fontId="26" fillId="36" borderId="0" xfId="0" applyFont="1" applyFill="1"/>
    <xf numFmtId="0" fontId="26" fillId="39" borderId="11" xfId="0" applyFont="1" applyFill="1" applyBorder="1" applyAlignment="1">
      <alignment horizontal="center" vertical="center" wrapText="1"/>
    </xf>
    <xf numFmtId="0" fontId="26" fillId="39" borderId="0" xfId="0" applyFont="1" applyFill="1" applyAlignment="1">
      <alignment horizontal="center" vertical="center" wrapText="1"/>
    </xf>
    <xf numFmtId="0" fontId="26" fillId="39" borderId="12" xfId="0" applyFont="1" applyFill="1" applyBorder="1" applyAlignment="1">
      <alignment horizontal="center" vertical="center" wrapText="1"/>
    </xf>
    <xf numFmtId="0" fontId="27" fillId="39" borderId="0" xfId="0" applyFont="1" applyFill="1" applyAlignment="1">
      <alignment horizontal="center" vertical="center"/>
    </xf>
    <xf numFmtId="14" fontId="27" fillId="39" borderId="0" xfId="0" applyNumberFormat="1" applyFont="1" applyFill="1" applyAlignment="1">
      <alignment horizontal="center" vertical="center"/>
    </xf>
    <xf numFmtId="0" fontId="26" fillId="39" borderId="10" xfId="0" applyFont="1" applyFill="1" applyBorder="1" applyAlignment="1">
      <alignment horizontal="center" vertical="center" wrapText="1"/>
    </xf>
    <xf numFmtId="14" fontId="26" fillId="39" borderId="10" xfId="0" applyNumberFormat="1" applyFont="1" applyFill="1" applyBorder="1" applyAlignment="1">
      <alignment vertical="center"/>
    </xf>
    <xf numFmtId="165" fontId="0" fillId="0" borderId="0" xfId="1" applyFont="1" applyBorder="1"/>
    <xf numFmtId="0" fontId="0" fillId="39" borderId="0" xfId="0" applyFill="1"/>
    <xf numFmtId="14" fontId="0" fillId="39" borderId="0" xfId="0" applyNumberFormat="1" applyFill="1"/>
    <xf numFmtId="0" fontId="0" fillId="36" borderId="0" xfId="0" applyFill="1"/>
    <xf numFmtId="165" fontId="0" fillId="0" borderId="0" xfId="1" applyFont="1" applyAlignment="1">
      <alignment horizontal="right" vertical="top"/>
    </xf>
    <xf numFmtId="165" fontId="1" fillId="0" borderId="0" xfId="1" applyFont="1"/>
    <xf numFmtId="0" fontId="1" fillId="0" borderId="0" xfId="0" applyFont="1"/>
    <xf numFmtId="14" fontId="1" fillId="0" borderId="0" xfId="0" applyNumberFormat="1" applyFont="1" applyAlignment="1">
      <alignment horizontal="right" vertical="top"/>
    </xf>
    <xf numFmtId="0" fontId="0" fillId="42" borderId="0" xfId="0" applyFill="1"/>
    <xf numFmtId="0" fontId="31" fillId="40" borderId="16" xfId="0" applyFont="1" applyFill="1" applyBorder="1" applyAlignment="1">
      <alignment horizontal="center" vertical="center" wrapText="1"/>
    </xf>
    <xf numFmtId="0" fontId="32" fillId="44" borderId="17" xfId="0" applyFont="1" applyFill="1" applyBorder="1" applyAlignment="1">
      <alignment horizontal="center" vertical="center"/>
    </xf>
    <xf numFmtId="14" fontId="32" fillId="44" borderId="17" xfId="0" applyNumberFormat="1" applyFont="1" applyFill="1" applyBorder="1" applyAlignment="1">
      <alignment horizontal="center" vertical="center"/>
    </xf>
    <xf numFmtId="4" fontId="32" fillId="44" borderId="17" xfId="0" applyNumberFormat="1" applyFont="1" applyFill="1" applyBorder="1" applyAlignment="1">
      <alignment horizontal="right" vertical="center"/>
    </xf>
    <xf numFmtId="0" fontId="33" fillId="44" borderId="17" xfId="0" applyFont="1" applyFill="1" applyBorder="1" applyAlignment="1">
      <alignment horizontal="center" vertical="center"/>
    </xf>
    <xf numFmtId="0" fontId="32" fillId="45" borderId="17" xfId="0" applyFont="1" applyFill="1" applyBorder="1" applyAlignment="1">
      <alignment horizontal="center" vertical="center"/>
    </xf>
    <xf numFmtId="14" fontId="32" fillId="45" borderId="17" xfId="0" applyNumberFormat="1" applyFont="1" applyFill="1" applyBorder="1" applyAlignment="1">
      <alignment horizontal="center" vertical="center"/>
    </xf>
    <xf numFmtId="4" fontId="32" fillId="45" borderId="17" xfId="0" applyNumberFormat="1" applyFont="1" applyFill="1" applyBorder="1" applyAlignment="1">
      <alignment horizontal="right" vertical="center"/>
    </xf>
    <xf numFmtId="0" fontId="31" fillId="46" borderId="18" xfId="0" applyFont="1" applyFill="1" applyBorder="1" applyAlignment="1">
      <alignment horizontal="left" vertical="center" indent="1"/>
    </xf>
    <xf numFmtId="0" fontId="31" fillId="46" borderId="18" xfId="0" applyFont="1" applyFill="1" applyBorder="1" applyAlignment="1">
      <alignment horizontal="right" vertical="center"/>
    </xf>
    <xf numFmtId="4" fontId="31" fillId="46" borderId="18" xfId="0" applyNumberFormat="1" applyFont="1" applyFill="1" applyBorder="1" applyAlignment="1">
      <alignment horizontal="right" vertical="center"/>
    </xf>
    <xf numFmtId="0" fontId="32" fillId="44" borderId="17" xfId="0" applyFont="1" applyFill="1" applyBorder="1" applyAlignment="1">
      <alignment horizontal="left" vertical="center" indent="1"/>
    </xf>
    <xf numFmtId="4" fontId="19" fillId="44" borderId="17" xfId="0" applyNumberFormat="1" applyFont="1" applyFill="1" applyBorder="1" applyAlignment="1">
      <alignment horizontal="right" vertical="center"/>
    </xf>
    <xf numFmtId="4" fontId="34" fillId="44" borderId="17" xfId="0" applyNumberFormat="1" applyFont="1" applyFill="1" applyBorder="1" applyAlignment="1">
      <alignment horizontal="right" vertical="center"/>
    </xf>
    <xf numFmtId="0" fontId="32" fillId="45" borderId="17" xfId="0" applyFont="1" applyFill="1" applyBorder="1" applyAlignment="1">
      <alignment horizontal="left" vertical="center" indent="1"/>
    </xf>
    <xf numFmtId="4" fontId="19" fillId="45" borderId="17" xfId="0" applyNumberFormat="1" applyFont="1" applyFill="1" applyBorder="1" applyAlignment="1">
      <alignment horizontal="right" vertical="center"/>
    </xf>
    <xf numFmtId="4" fontId="34" fillId="45" borderId="17" xfId="0" applyNumberFormat="1" applyFont="1" applyFill="1" applyBorder="1" applyAlignment="1">
      <alignment horizontal="right" vertical="center"/>
    </xf>
    <xf numFmtId="0" fontId="31" fillId="40" borderId="16" xfId="0" applyFont="1" applyFill="1" applyBorder="1" applyAlignment="1">
      <alignment horizontal="left" vertical="center" indent="1"/>
    </xf>
    <xf numFmtId="4" fontId="31" fillId="40" borderId="16" xfId="0" applyNumberFormat="1" applyFont="1" applyFill="1" applyBorder="1" applyAlignment="1">
      <alignment horizontal="right" vertical="center"/>
    </xf>
    <xf numFmtId="0" fontId="31" fillId="46" borderId="18" xfId="0" applyFont="1" applyFill="1" applyBorder="1" applyAlignment="1">
      <alignment horizontal="center" vertical="center" wrapText="1"/>
    </xf>
    <xf numFmtId="0" fontId="19" fillId="44" borderId="17" xfId="0" applyFont="1" applyFill="1" applyBorder="1" applyAlignment="1">
      <alignment horizontal="center" vertical="center"/>
    </xf>
    <xf numFmtId="0" fontId="32" fillId="47" borderId="17" xfId="0" applyFont="1" applyFill="1" applyBorder="1" applyAlignment="1">
      <alignment horizontal="left" vertical="center" indent="1"/>
    </xf>
    <xf numFmtId="0" fontId="19" fillId="47" borderId="17" xfId="0" applyFont="1" applyFill="1" applyBorder="1" applyAlignment="1">
      <alignment horizontal="center" vertical="center"/>
    </xf>
    <xf numFmtId="4" fontId="19" fillId="47" borderId="17" xfId="0" applyNumberFormat="1" applyFont="1" applyFill="1" applyBorder="1" applyAlignment="1">
      <alignment horizontal="right" vertical="center"/>
    </xf>
    <xf numFmtId="0" fontId="33" fillId="47" borderId="17" xfId="0" applyFont="1" applyFill="1" applyBorder="1" applyAlignment="1">
      <alignment horizontal="center" vertical="center"/>
    </xf>
    <xf numFmtId="0" fontId="19" fillId="45" borderId="17" xfId="0" applyFont="1" applyFill="1" applyBorder="1" applyAlignment="1">
      <alignment horizontal="center" vertical="center"/>
    </xf>
    <xf numFmtId="3" fontId="19" fillId="45" borderId="17" xfId="0" applyNumberFormat="1" applyFont="1" applyFill="1" applyBorder="1" applyAlignment="1">
      <alignment horizontal="right" vertical="center"/>
    </xf>
    <xf numFmtId="1" fontId="19" fillId="45" borderId="17" xfId="0" applyNumberFormat="1" applyFont="1" applyFill="1" applyBorder="1" applyAlignment="1">
      <alignment horizontal="center" vertical="center"/>
    </xf>
    <xf numFmtId="169" fontId="36" fillId="45" borderId="17" xfId="0" applyNumberFormat="1" applyFont="1" applyFill="1" applyBorder="1" applyAlignment="1">
      <alignment horizontal="center" vertical="center"/>
    </xf>
    <xf numFmtId="0" fontId="37" fillId="45" borderId="17" xfId="0" applyFont="1" applyFill="1" applyBorder="1" applyAlignment="1">
      <alignment horizontal="center" vertical="center"/>
    </xf>
    <xf numFmtId="3" fontId="19" fillId="44" borderId="17" xfId="0" applyNumberFormat="1" applyFont="1" applyFill="1" applyBorder="1" applyAlignment="1">
      <alignment horizontal="right" vertical="center"/>
    </xf>
    <xf numFmtId="1" fontId="19" fillId="44" borderId="17" xfId="0" applyNumberFormat="1" applyFont="1" applyFill="1" applyBorder="1" applyAlignment="1">
      <alignment horizontal="center" vertical="center"/>
    </xf>
    <xf numFmtId="169" fontId="36" fillId="44" borderId="17" xfId="0" applyNumberFormat="1" applyFont="1" applyFill="1" applyBorder="1" applyAlignment="1">
      <alignment horizontal="center" vertical="center"/>
    </xf>
    <xf numFmtId="0" fontId="37" fillId="44" borderId="17" xfId="0" applyFont="1" applyFill="1" applyBorder="1" applyAlignment="1">
      <alignment horizontal="center" vertical="center"/>
    </xf>
    <xf numFmtId="0" fontId="31" fillId="40" borderId="16" xfId="0" applyFont="1" applyFill="1" applyBorder="1" applyAlignment="1">
      <alignment horizontal="right" vertical="center"/>
    </xf>
    <xf numFmtId="3" fontId="31" fillId="40" borderId="16" xfId="0" applyNumberFormat="1" applyFont="1" applyFill="1" applyBorder="1" applyAlignment="1">
      <alignment horizontal="right" vertical="center"/>
    </xf>
    <xf numFmtId="0" fontId="32" fillId="41" borderId="17" xfId="0" applyFont="1" applyFill="1" applyBorder="1" applyAlignment="1">
      <alignment horizontal="left" vertical="center" indent="1"/>
    </xf>
    <xf numFmtId="0" fontId="19" fillId="41" borderId="17" xfId="0" applyFont="1" applyFill="1" applyBorder="1" applyAlignment="1">
      <alignment horizontal="center" vertical="center"/>
    </xf>
    <xf numFmtId="3" fontId="19" fillId="41" borderId="17" xfId="0" applyNumberFormat="1" applyFont="1" applyFill="1" applyBorder="1" applyAlignment="1">
      <alignment horizontal="right" vertical="center"/>
    </xf>
    <xf numFmtId="169" fontId="19" fillId="45" borderId="17" xfId="0" applyNumberFormat="1" applyFont="1" applyFill="1" applyBorder="1" applyAlignment="1">
      <alignment horizontal="center" vertical="center"/>
    </xf>
    <xf numFmtId="169" fontId="19" fillId="44" borderId="17" xfId="0" applyNumberFormat="1" applyFont="1" applyFill="1" applyBorder="1" applyAlignment="1">
      <alignment horizontal="center" vertical="center"/>
    </xf>
    <xf numFmtId="169" fontId="31" fillId="40" borderId="16" xfId="0" applyNumberFormat="1" applyFont="1" applyFill="1" applyBorder="1" applyAlignment="1">
      <alignment horizontal="right" vertical="center"/>
    </xf>
    <xf numFmtId="0" fontId="16" fillId="48" borderId="10" xfId="0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0" fontId="16" fillId="0" borderId="0" xfId="0" applyFont="1"/>
    <xf numFmtId="0" fontId="0" fillId="0" borderId="0" xfId="0" applyAlignment="1">
      <alignment horizontal="right"/>
    </xf>
    <xf numFmtId="0" fontId="0" fillId="49" borderId="0" xfId="0" applyFill="1"/>
    <xf numFmtId="165" fontId="0" fillId="49" borderId="0" xfId="1" applyFont="1" applyFill="1"/>
    <xf numFmtId="14" fontId="0" fillId="0" borderId="0" xfId="0" pivotButton="1" applyNumberFormat="1"/>
    <xf numFmtId="0" fontId="16" fillId="36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5" borderId="0" xfId="0" applyFont="1" applyFill="1" applyAlignment="1">
      <alignment horizontal="left"/>
    </xf>
    <xf numFmtId="0" fontId="28" fillId="40" borderId="0" xfId="0" applyFont="1" applyFill="1" applyAlignment="1">
      <alignment horizontal="center" vertical="center"/>
    </xf>
    <xf numFmtId="0" fontId="0" fillId="0" borderId="0" xfId="0"/>
    <xf numFmtId="167" fontId="29" fillId="41" borderId="0" xfId="0" applyNumberFormat="1" applyFont="1" applyFill="1" applyAlignment="1">
      <alignment horizontal="center" vertical="center"/>
    </xf>
    <xf numFmtId="0" fontId="30" fillId="43" borderId="15" xfId="0" applyFont="1" applyFill="1" applyBorder="1" applyAlignment="1">
      <alignment horizontal="left" vertical="center"/>
    </xf>
    <xf numFmtId="0" fontId="30" fillId="46" borderId="18" xfId="0" applyFont="1" applyFill="1" applyBorder="1" applyAlignment="1">
      <alignment horizontal="left" vertical="center"/>
    </xf>
    <xf numFmtId="168" fontId="35" fillId="41" borderId="0" xfId="0" applyNumberFormat="1" applyFont="1" applyFill="1" applyAlignment="1">
      <alignment horizontal="center" vertical="center"/>
    </xf>
  </cellXfs>
  <cellStyles count="50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Moneda" xfId="2" builtinId="4"/>
    <cellStyle name="Neutral" xfId="10" builtinId="28" customBuiltin="1"/>
    <cellStyle name="Normal" xfId="0" builtinId="0"/>
    <cellStyle name="Normal 2" xfId="44" xr:uid="{00000000-0005-0000-0000-000024000000}"/>
    <cellStyle name="Normal 3" xfId="45" xr:uid="{00000000-0005-0000-0000-000025000000}"/>
    <cellStyle name="Normal 4" xfId="46" xr:uid="{00000000-0005-0000-0000-000026000000}"/>
    <cellStyle name="Normal 5" xfId="47" xr:uid="{00000000-0005-0000-0000-000027000000}"/>
    <cellStyle name="Normal 6" xfId="48" xr:uid="{00000000-0005-0000-0000-000028000000}"/>
    <cellStyle name="Normal 7" xfId="49" xr:uid="{00000000-0005-0000-0000-000029000000}"/>
    <cellStyle name="Notas" xfId="17" builtinId="10" customBuiltin="1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9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cia Maribel Diaz" refreshedDate="46272.353005787038" createdVersion="6" refreshedVersion="8" minRefreshableVersion="3" recordCount="2462" xr:uid="{00000000-000A-0000-FFFF-FFFF1A000000}">
  <cacheSource type="worksheet">
    <worksheetSource ref="A1:L1048576" sheet="sap nuevo"/>
  </cacheSource>
  <cacheFields count="12">
    <cacheField name="Nº doc." numFmtId="0">
      <sharedItems containsString="0" containsBlank="1" containsNumber="1" containsInteger="1" minValue="3000000030" maxValue="3000007599"/>
    </cacheField>
    <cacheField name="Fecha doc." numFmtId="0">
      <sharedItems containsNonDate="0" containsDate="1" containsString="0" containsBlank="1" minDate="2025-01-02T00:00:00" maxDate="2026-09-03T00:00:00"/>
    </cacheField>
    <cacheField name="       Importe en ML" numFmtId="0">
      <sharedItems containsString="0" containsBlank="1" containsNumber="1" minValue="0" maxValue="458463870"/>
    </cacheField>
    <cacheField name="Usuario" numFmtId="0">
      <sharedItems containsBlank="1"/>
    </cacheField>
    <cacheField name="numero de cheque" numFmtId="0">
      <sharedItems containsString="0" containsBlank="1" containsNumber="1" containsInteger="1" minValue="1" maxValue="99268131" count="8000">
        <n v="91002228"/>
        <n v="91002229"/>
        <n v="91002230"/>
        <n v="91002231"/>
        <n v="91002232"/>
        <n v="2927344"/>
        <n v="2927345"/>
        <n v="2927346"/>
        <n v="91002234"/>
        <n v="91002235"/>
        <n v="91002233"/>
        <n v="94326781"/>
        <n v="94326782"/>
        <n v="94326783"/>
        <n v="94326784"/>
        <n v="94326785"/>
        <n v="94326786"/>
        <n v="94326787"/>
        <n v="2927347"/>
        <n v="2927348"/>
        <n v="2927351"/>
        <n v="2927352"/>
        <n v="2927349"/>
        <n v="2927350"/>
        <n v="2927353"/>
        <n v="2927354"/>
        <n v="94326788"/>
        <n v="94326789"/>
        <n v="94326790"/>
        <n v="94326791"/>
        <n v="94326792"/>
        <n v="94326793"/>
        <n v="2927358"/>
        <n v="2927359"/>
        <n v="94326794"/>
        <n v="2927355"/>
        <n v="2927356"/>
        <n v="2927357"/>
        <n v="2927360"/>
        <n v="2927361"/>
        <n v="2927362"/>
        <n v="2927363"/>
        <n v="2927364"/>
        <n v="2927365"/>
        <n v="2927366"/>
        <n v="94326795"/>
        <n v="94326796"/>
        <n v="94326797"/>
        <n v="91002236"/>
        <n v="91002237"/>
        <n v="91002238"/>
        <n v="91002239"/>
        <n v="91002240"/>
        <n v="91002241"/>
        <n v="91002242"/>
        <n v="91002243"/>
        <n v="91002244"/>
        <n v="94326798"/>
        <n v="94326799"/>
        <n v="2927367"/>
        <n v="94326800"/>
        <n v="91002247"/>
        <n v="91002248"/>
        <n v="91002250"/>
        <n v="91002251"/>
        <n v="91002254"/>
        <n v="91002255"/>
        <n v="91002245"/>
        <n v="91002246"/>
        <n v="91002249"/>
        <n v="91002252"/>
        <n v="91002253"/>
        <n v="91002256"/>
        <n v="2927368"/>
        <n v="2927369"/>
        <n v="2927370"/>
        <n v="2927371"/>
        <n v="94326808"/>
        <n v="2927372"/>
        <n v="2927373"/>
        <n v="2927374"/>
        <n v="2927375"/>
        <n v="2927376"/>
        <n v="2927377"/>
        <n v="2927378"/>
        <n v="2927379"/>
        <n v="2927380"/>
        <n v="2927381"/>
        <n v="94326801"/>
        <n v="94326802"/>
        <n v="94326803"/>
        <n v="94326804"/>
        <n v="94326805"/>
        <n v="94326806"/>
        <n v="94326807"/>
        <n v="2927382"/>
        <n v="2927383"/>
        <n v="2927384"/>
        <n v="2927388"/>
        <n v="2927389"/>
        <n v="2927385"/>
        <n v="2927386"/>
        <n v="2927387"/>
        <n v="2927390"/>
        <n v="2927391"/>
        <n v="2927392"/>
        <n v="2927393"/>
        <n v="2927394"/>
        <n v="94326809"/>
        <n v="94326810"/>
        <n v="2927400"/>
        <n v="2927401"/>
        <n v="2927395"/>
        <n v="2927396"/>
        <n v="2927397"/>
        <n v="2927398"/>
        <n v="2927399"/>
        <n v="91002262"/>
        <n v="91002263"/>
        <n v="91002257"/>
        <n v="91002258"/>
        <n v="91002259"/>
        <n v="91002260"/>
        <n v="91002261"/>
        <n v="91002264"/>
        <n v="91002265"/>
        <n v="91002266"/>
        <n v="91002267"/>
        <n v="91002268"/>
        <n v="91002269"/>
        <n v="91002270"/>
        <n v="2927403"/>
        <n v="2927404"/>
        <n v="2927402"/>
        <n v="91002274"/>
        <n v="91002275"/>
        <n v="91002271"/>
        <n v="91002272"/>
        <n v="91002273"/>
        <n v="91002276"/>
        <n v="91002277"/>
        <n v="91002278"/>
        <n v="91002279"/>
        <n v="91002280"/>
        <n v="91002281"/>
        <n v="91002282"/>
        <n v="91002283"/>
        <n v="91002284"/>
        <n v="91002286"/>
        <n v="91002287"/>
        <n v="91002288"/>
        <n v="91002289"/>
        <n v="91002285"/>
        <n v="91002290"/>
        <n v="91002291"/>
        <n v="91002292"/>
        <n v="94326811"/>
        <n v="94326812"/>
        <n v="94326813"/>
        <n v="91002294"/>
        <n v="91002295"/>
        <n v="91002296"/>
        <n v="91002297"/>
        <n v="91002298"/>
        <n v="91002299"/>
        <n v="91002308"/>
        <n v="91002309"/>
        <n v="91002293"/>
        <n v="91002300"/>
        <n v="91002301"/>
        <n v="91002302"/>
        <n v="91002303"/>
        <n v="91002304"/>
        <n v="91002305"/>
        <n v="91002306"/>
        <n v="91002307"/>
        <n v="91002310"/>
        <n v="91002311"/>
        <n v="91002312"/>
        <n v="91002313"/>
        <n v="94326814"/>
        <n v="91002314"/>
        <n v="91002315"/>
        <n v="91002316"/>
        <n v="91002317"/>
        <n v="91002318"/>
        <n v="91002319"/>
        <n v="91002320"/>
        <n v="91002321"/>
        <n v="91002322"/>
        <n v="91002323"/>
        <n v="91002324"/>
        <n v="94326815"/>
        <n v="91002327"/>
        <n v="91002328"/>
        <n v="91002329"/>
        <n v="91002330"/>
        <n v="91002332"/>
        <n v="91002333"/>
        <n v="91002334"/>
        <n v="91002335"/>
        <n v="91002339"/>
        <n v="91002340"/>
        <n v="91002345"/>
        <n v="91002346"/>
        <n v="91002347"/>
        <n v="91002348"/>
        <n v="91002325"/>
        <n v="91002326"/>
        <n v="91002331"/>
        <n v="91002336"/>
        <n v="91002337"/>
        <n v="91002338"/>
        <n v="91002341"/>
        <n v="91002342"/>
        <n v="91002343"/>
        <n v="91002344"/>
        <n v="91002349"/>
        <n v="94326816"/>
        <n v="94326817"/>
        <n v="94326818"/>
        <n v="94326819"/>
        <n v="94326820"/>
        <n v="94326821"/>
        <n v="94326822"/>
        <n v="94326823"/>
        <n v="94326824"/>
        <n v="91002350"/>
        <n v="91002351"/>
        <n v="91002353"/>
        <n v="91002354"/>
        <n v="91002355"/>
        <n v="91002356"/>
        <n v="91002358"/>
        <n v="91002359"/>
        <n v="91002360"/>
        <n v="91002361"/>
        <n v="91002362"/>
        <n v="91002363"/>
        <n v="91002364"/>
        <n v="91002365"/>
        <n v="91002368"/>
        <n v="91002369"/>
        <n v="91002370"/>
        <n v="91002371"/>
        <n v="91002352"/>
        <n v="91002357"/>
        <n v="91002366"/>
        <n v="91002367"/>
        <n v="94326825"/>
        <n v="94326826"/>
        <n v="91002372"/>
        <n v="91002374"/>
        <n v="91002373"/>
        <n v="2927405"/>
        <n v="94326827"/>
        <n v="91002381"/>
        <n v="91002382"/>
        <n v="91002375"/>
        <n v="91002376"/>
        <n v="91002377"/>
        <n v="91002378"/>
        <n v="91002379"/>
        <n v="91002380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94326828"/>
        <n v="1198"/>
        <n v="1199"/>
        <n v="1200"/>
        <n v="1201"/>
        <n v="1202"/>
        <n v="1203"/>
        <n v="1204"/>
        <n v="94326829"/>
        <n v="91002396"/>
        <n v="91002397"/>
        <n v="91002399"/>
        <n v="91002400"/>
        <n v="91002383"/>
        <n v="91002384"/>
        <n v="91002385"/>
        <n v="91002386"/>
        <n v="91002387"/>
        <n v="91002388"/>
        <n v="91002389"/>
        <n v="91002390"/>
        <n v="91002391"/>
        <n v="91002392"/>
        <n v="91002393"/>
        <n v="91002394"/>
        <n v="91002395"/>
        <n v="91002398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91002401"/>
        <n v="94326830"/>
        <n v="94326831"/>
        <n v="94326832"/>
        <n v="94326833"/>
        <n v="94326834"/>
        <n v="94326835"/>
        <n v="94326836"/>
        <n v="94326837"/>
        <n v="94326838"/>
        <n v="1217"/>
        <n v="1218"/>
        <n v="1219"/>
        <n v="1220"/>
        <n v="1221"/>
        <n v="1222"/>
        <n v="1223"/>
        <n v="1224"/>
        <n v="1234"/>
        <n v="1235"/>
        <n v="1237"/>
        <n v="1238"/>
        <n v="1225"/>
        <n v="1226"/>
        <n v="1227"/>
        <n v="1228"/>
        <n v="1229"/>
        <n v="1230"/>
        <n v="1231"/>
        <n v="1232"/>
        <n v="1233"/>
        <n v="1236"/>
        <n v="1244"/>
        <n v="1245"/>
        <n v="1248"/>
        <n v="1249"/>
        <n v="1250"/>
        <n v="1251"/>
        <n v="1252"/>
        <n v="1239"/>
        <n v="1240"/>
        <n v="1241"/>
        <n v="1242"/>
        <n v="1243"/>
        <n v="1246"/>
        <n v="1247"/>
        <n v="1253"/>
        <n v="1254"/>
        <n v="1255"/>
        <n v="1256"/>
        <n v="94326839"/>
        <n v="94326840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94326841"/>
        <n v="94326842"/>
        <n v="94326843"/>
        <n v="94326844"/>
        <n v="94326845"/>
        <n v="94326846"/>
        <n v="94326847"/>
        <n v="94326848"/>
        <n v="1314"/>
        <n v="1315"/>
        <n v="1302"/>
        <n v="1303"/>
        <n v="1305"/>
        <n v="1306"/>
        <n v="1309"/>
        <n v="1310"/>
        <n v="1304"/>
        <n v="1307"/>
        <n v="1308"/>
        <n v="1311"/>
        <n v="1312"/>
        <n v="1313"/>
        <n v="1317"/>
        <n v="1318"/>
        <n v="1319"/>
        <n v="1324"/>
        <n v="1325"/>
        <n v="1316"/>
        <n v="1320"/>
        <n v="1321"/>
        <n v="1322"/>
        <n v="1323"/>
        <n v="1326"/>
        <n v="94326849"/>
        <n v="94326850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4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9432685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91002402"/>
        <n v="91002403"/>
        <n v="91002404"/>
        <n v="91002405"/>
        <n v="91002406"/>
        <n v="91002407"/>
        <n v="91002408"/>
        <n v="91002409"/>
        <n v="91002410"/>
        <n v="91002411"/>
        <n v="91002412"/>
        <n v="91002413"/>
        <n v="91002414"/>
        <n v="91002415"/>
        <n v="91002416"/>
        <n v="91002417"/>
        <n v="91002418"/>
        <n v="91002419"/>
        <n v="91002420"/>
        <n v="91002421"/>
        <n v="91002422"/>
        <n v="91002423"/>
        <n v="91002424"/>
        <n v="94326853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40272950"/>
        <n v="40272951"/>
        <n v="40272952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40272954"/>
        <n v="40272955"/>
        <n v="40272956"/>
        <n v="40272957"/>
        <n v="40272958"/>
        <n v="40272959"/>
        <n v="40272960"/>
        <n v="40272961"/>
        <n v="40272962"/>
        <n v="40272953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40272963"/>
        <n v="40272964"/>
        <n v="40272965"/>
        <n v="40272966"/>
        <n v="40272967"/>
        <n v="40272968"/>
        <n v="91002425"/>
        <n v="91002426"/>
        <n v="91002427"/>
        <n v="91002428"/>
        <n v="91002429"/>
        <n v="91002430"/>
        <n v="91002431"/>
        <n v="91002432"/>
        <n v="91002433"/>
        <n v="91002434"/>
        <n v="91002435"/>
        <n v="91002436"/>
        <n v="91002437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51"/>
        <n v="1652"/>
        <n v="1653"/>
        <n v="1654"/>
        <n v="1647"/>
        <n v="1648"/>
        <n v="1649"/>
        <n v="1650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6"/>
        <n v="1737"/>
        <n v="1738"/>
        <n v="1739"/>
        <n v="1740"/>
        <n v="1741"/>
        <n v="1742"/>
        <n v="1743"/>
        <n v="1744"/>
        <n v="1745"/>
        <n v="1753"/>
        <n v="1754"/>
        <n v="1755"/>
        <n v="1756"/>
        <n v="1758"/>
        <n v="1759"/>
        <n v="1764"/>
        <n v="1765"/>
        <n v="1766"/>
        <n v="1767"/>
        <n v="1735"/>
        <n v="1746"/>
        <n v="1747"/>
        <n v="1748"/>
        <n v="1749"/>
        <n v="1750"/>
        <n v="1751"/>
        <n v="1752"/>
        <n v="1757"/>
        <n v="1760"/>
        <n v="1761"/>
        <n v="1762"/>
        <n v="1763"/>
        <n v="40272970"/>
        <n v="91002438"/>
        <n v="91002439"/>
        <n v="91002440"/>
        <n v="91002441"/>
        <n v="91002442"/>
        <n v="91002443"/>
        <n v="91002444"/>
        <n v="91002445"/>
        <n v="91002446"/>
        <n v="91002447"/>
        <n v="91002448"/>
        <n v="91002449"/>
        <n v="1769"/>
        <n v="1768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40272971"/>
        <n v="40272972"/>
        <n v="40272973"/>
        <n v="40272974"/>
        <n v="40272975"/>
        <n v="40272976"/>
        <n v="40272977"/>
        <n v="40272978"/>
        <n v="40272979"/>
        <n v="91002450"/>
        <n v="91002451"/>
        <n v="91002452"/>
        <n v="91002454"/>
        <n v="91002455"/>
        <n v="91002456"/>
        <n v="91002457"/>
        <n v="91002458"/>
        <n v="91002459"/>
        <n v="91002468"/>
        <n v="91002469"/>
        <n v="91002470"/>
        <n v="91002471"/>
        <n v="91002473"/>
        <n v="91002474"/>
        <n v="91002453"/>
        <n v="91002460"/>
        <n v="91002461"/>
        <n v="91002462"/>
        <n v="91002463"/>
        <n v="91002464"/>
        <n v="91002465"/>
        <n v="91002466"/>
        <n v="91002467"/>
        <n v="91002472"/>
        <n v="91002475"/>
        <n v="91002476"/>
        <n v="91002477"/>
        <n v="91002478"/>
        <n v="91002479"/>
        <n v="91002480"/>
        <n v="91002481"/>
        <n v="91002482"/>
        <n v="91002483"/>
        <n v="91002484"/>
        <n v="91002485"/>
        <n v="91002486"/>
        <n v="91002487"/>
        <n v="91002488"/>
        <n v="91002489"/>
        <n v="91002490"/>
        <n v="91002491"/>
        <n v="91002492"/>
        <n v="91002493"/>
        <n v="91002494"/>
        <n v="91002495"/>
        <n v="91002496"/>
        <n v="91002497"/>
        <n v="91002498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40272981"/>
        <n v="40272982"/>
        <n v="40272983"/>
        <n v="91002499"/>
        <n v="91002500"/>
        <n v="91002501"/>
        <n v="91002502"/>
        <n v="91002503"/>
        <n v="91002504"/>
        <n v="91002505"/>
        <n v="91002506"/>
        <n v="91002507"/>
        <n v="91002508"/>
        <n v="91002509"/>
        <n v="91002510"/>
        <n v="91002511"/>
        <n v="91002512"/>
        <n v="91002513"/>
        <n v="91002514"/>
        <n v="91002515"/>
        <n v="91002516"/>
        <n v="91002517"/>
        <n v="40272984"/>
        <n v="40272987"/>
        <n v="40272988"/>
        <n v="91002518"/>
        <n v="91002519"/>
        <n v="91002520"/>
        <n v="91002521"/>
        <n v="91002522"/>
        <n v="91002523"/>
        <n v="91002524"/>
        <n v="91002525"/>
        <n v="91002526"/>
        <n v="91002527"/>
        <n v="91002528"/>
        <n v="91002529"/>
        <n v="91002530"/>
        <n v="91002531"/>
        <n v="91002532"/>
        <n v="91002533"/>
        <n v="91002534"/>
        <n v="91002535"/>
        <n v="91002536"/>
        <n v="91002537"/>
        <n v="91002538"/>
        <n v="91002539"/>
        <n v="91002540"/>
        <n v="91002541"/>
        <n v="91002542"/>
        <n v="91002543"/>
        <n v="91002544"/>
        <n v="91002545"/>
        <n v="91002546"/>
        <n v="91002547"/>
        <n v="91002548"/>
        <n v="91002549"/>
        <n v="91002550"/>
        <n v="91002551"/>
        <n v="91002552"/>
        <n v="91002553"/>
        <n v="91002554"/>
        <n v="91002555"/>
        <n v="91002556"/>
        <n v="91002557"/>
        <n v="91002558"/>
        <n v="91002559"/>
        <n v="91002560"/>
        <n v="91002561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40272990"/>
        <n v="40272991"/>
        <n v="91002562"/>
        <n v="91002563"/>
        <n v="91002564"/>
        <n v="91002565"/>
        <n v="91002566"/>
        <n v="91002567"/>
        <n v="91002568"/>
        <n v="91002569"/>
        <n v="40272992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40272993"/>
        <n v="91002570"/>
        <n v="91002571"/>
        <n v="91002572"/>
        <n v="91002573"/>
        <n v="91002574"/>
        <n v="91002575"/>
        <n v="91002576"/>
        <n v="91002577"/>
        <n v="91002578"/>
        <n v="91002579"/>
        <n v="91002580"/>
        <n v="40272994"/>
        <n v="40272995"/>
        <n v="91002581"/>
        <n v="91002582"/>
        <n v="91002583"/>
        <n v="91002584"/>
        <n v="91002585"/>
        <n v="91002586"/>
        <n v="91002587"/>
        <n v="91002588"/>
        <n v="91002589"/>
        <n v="1934"/>
        <n v="1935"/>
        <n v="1936"/>
        <n v="1937"/>
        <n v="1938"/>
        <n v="1939"/>
        <n v="1940"/>
        <n v="1941"/>
        <n v="91002590"/>
        <n v="91002591"/>
        <n v="91002592"/>
        <n v="91002593"/>
        <n v="91002594"/>
        <n v="91002595"/>
        <n v="91002596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40272996"/>
        <n v="40272997"/>
        <n v="91002597"/>
        <n v="91002598"/>
        <n v="91002599"/>
        <n v="91002600"/>
        <n v="91002601"/>
        <n v="91002602"/>
        <n v="91002603"/>
        <n v="91002604"/>
        <n v="91002605"/>
        <n v="91002606"/>
        <n v="91002607"/>
        <n v="91002608"/>
        <n v="91002609"/>
        <n v="91002610"/>
        <n v="91002611"/>
        <n v="91002612"/>
        <n v="91002613"/>
        <n v="91002614"/>
        <n v="91002615"/>
        <n v="91002616"/>
        <n v="1957"/>
        <n v="40272998"/>
        <n v="40272999"/>
        <n v="40273000"/>
        <n v="40273001"/>
        <n v="40273002"/>
        <n v="91002617"/>
        <n v="91002618"/>
        <n v="91002619"/>
        <n v="91002620"/>
        <n v="91002621"/>
        <n v="91002622"/>
        <n v="91002623"/>
        <n v="91002624"/>
        <n v="91002625"/>
        <n v="91002626"/>
        <n v="91002627"/>
        <n v="91002628"/>
        <n v="91002629"/>
        <n v="91002630"/>
        <n v="91002631"/>
        <n v="91002632"/>
        <n v="91002633"/>
        <n v="91002634"/>
        <n v="91002635"/>
        <n v="91002636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91002639"/>
        <n v="91002640"/>
        <n v="91002637"/>
        <n v="91002638"/>
        <n v="91002641"/>
        <n v="91002642"/>
        <n v="91002643"/>
        <n v="91002644"/>
        <n v="91002645"/>
        <n v="91002646"/>
        <n v="91002647"/>
        <n v="91002648"/>
        <n v="91002649"/>
        <n v="91002650"/>
        <n v="1976"/>
        <n v="91002651"/>
        <n v="91002652"/>
        <n v="91002653"/>
        <n v="91002654"/>
        <n v="91002655"/>
        <n v="91002656"/>
        <n v="91002657"/>
        <n v="91002658"/>
        <n v="91002659"/>
        <n v="91002660"/>
        <n v="91002661"/>
        <n v="91002662"/>
        <n v="91002663"/>
        <n v="91002664"/>
        <n v="91002665"/>
        <n v="91002666"/>
        <n v="40273003"/>
        <n v="1977"/>
        <n v="1978"/>
        <n v="1979"/>
        <n v="1980"/>
        <n v="91002667"/>
        <n v="91002668"/>
        <n v="91002669"/>
        <n v="91002670"/>
        <n v="91002671"/>
        <n v="91002672"/>
        <n v="91002673"/>
        <n v="91002674"/>
        <n v="91002675"/>
        <n v="91002676"/>
        <n v="91002677"/>
        <n v="91002678"/>
        <n v="91002679"/>
        <n v="91002680"/>
        <n v="91002681"/>
        <n v="91002682"/>
        <n v="91002683"/>
        <n v="91002684"/>
        <n v="91002685"/>
        <n v="91002686"/>
        <n v="91002687"/>
        <n v="91002688"/>
        <n v="91002689"/>
        <n v="91002690"/>
        <n v="91002691"/>
        <n v="91002692"/>
        <n v="91002693"/>
        <n v="91002694"/>
        <n v="91002695"/>
        <n v="91002696"/>
        <n v="91002697"/>
        <n v="91002698"/>
        <n v="91002699"/>
        <n v="91002700"/>
        <n v="40273004"/>
        <n v="1981"/>
        <n v="1982"/>
        <n v="1983"/>
        <n v="1984"/>
        <n v="1985"/>
        <n v="1986"/>
        <n v="1987"/>
        <n v="40273005"/>
        <n v="40273006"/>
        <n v="40273007"/>
        <n v="91002701"/>
        <n v="91002702"/>
        <n v="91002703"/>
        <n v="91002704"/>
        <n v="91002705"/>
        <n v="91002706"/>
        <n v="9100270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91002708"/>
        <n v="91002709"/>
        <n v="91002710"/>
        <n v="91002711"/>
        <n v="91002712"/>
        <n v="91002713"/>
        <n v="91002714"/>
        <n v="91002715"/>
        <n v="91002716"/>
        <n v="91002717"/>
        <n v="91002718"/>
        <n v="91002719"/>
        <n v="91002720"/>
        <n v="91002721"/>
        <n v="91002722"/>
        <n v="91002723"/>
        <n v="91002724"/>
        <n v="91002725"/>
        <n v="91002726"/>
        <n v="91002727"/>
        <n v="91002728"/>
        <n v="91002729"/>
        <n v="91002730"/>
        <n v="91002731"/>
        <n v="91002732"/>
        <n v="40273008"/>
        <n v="40273009"/>
        <n v="40273010"/>
        <n v="40273011"/>
        <n v="40273012"/>
        <n v="40273013"/>
        <n v="40273014"/>
        <n v="40273015"/>
        <n v="91002733"/>
        <n v="91002734"/>
        <n v="91002735"/>
        <n v="91002736"/>
        <n v="91002737"/>
        <n v="91002738"/>
        <n v="91002739"/>
        <n v="91002740"/>
        <n v="91002741"/>
        <n v="91002742"/>
        <n v="91002743"/>
        <n v="91002744"/>
        <n v="91002745"/>
        <n v="91002746"/>
        <n v="91002747"/>
        <n v="91002748"/>
        <n v="91002749"/>
        <n v="91002750"/>
        <n v="91002751"/>
        <n v="91002752"/>
        <n v="2021"/>
        <n v="2022"/>
        <n v="2023"/>
        <n v="2024"/>
        <n v="2013"/>
        <n v="2014"/>
        <n v="2015"/>
        <n v="2016"/>
        <n v="2017"/>
        <n v="2018"/>
        <n v="2019"/>
        <n v="2020"/>
        <n v="2025"/>
        <n v="2026"/>
        <n v="2027"/>
        <n v="2028"/>
        <n v="2029"/>
        <n v="2030"/>
        <n v="40273016"/>
        <n v="40273017"/>
        <n v="91002753"/>
        <n v="91002754"/>
        <n v="91002755"/>
        <n v="91002756"/>
        <n v="91002757"/>
        <n v="91002758"/>
        <n v="91002759"/>
        <n v="91002760"/>
        <n v="91002761"/>
        <n v="91002762"/>
        <n v="91002763"/>
        <n v="91002764"/>
        <n v="91002765"/>
        <n v="91002766"/>
        <n v="91002767"/>
        <n v="91002768"/>
        <n v="91002769"/>
        <n v="2031"/>
        <n v="2032"/>
        <n v="2033"/>
        <n v="2034"/>
        <n v="2035"/>
        <n v="2036"/>
        <n v="2037"/>
        <n v="2038"/>
        <n v="2039"/>
        <n v="2040"/>
        <n v="2041"/>
        <n v="91002770"/>
        <n v="91002771"/>
        <n v="91002772"/>
        <n v="91002773"/>
        <n v="91002774"/>
        <n v="91002775"/>
        <n v="91002776"/>
        <n v="91002777"/>
        <n v="91002778"/>
        <n v="91002779"/>
        <n v="91002780"/>
        <n v="91002784"/>
        <n v="91002785"/>
        <n v="91002786"/>
        <n v="91002787"/>
        <n v="91002788"/>
        <n v="91002789"/>
        <n v="91002781"/>
        <n v="91002782"/>
        <n v="91002783"/>
        <n v="91002790"/>
        <n v="91002791"/>
        <n v="91002792"/>
        <n v="91002793"/>
        <n v="91002794"/>
        <n v="91002795"/>
        <n v="91002796"/>
        <n v="91002797"/>
        <n v="91002798"/>
        <n v="91002799"/>
        <n v="91002810"/>
        <n v="91002811"/>
        <n v="91002812"/>
        <n v="91002813"/>
        <n v="91002814"/>
        <n v="91002815"/>
        <n v="40273018"/>
        <n v="91002800"/>
        <n v="91002801"/>
        <n v="91002802"/>
        <n v="91002803"/>
        <n v="91002804"/>
        <n v="91002805"/>
        <n v="91002806"/>
        <n v="91002807"/>
        <n v="91002808"/>
        <n v="91002809"/>
        <n v="91002822"/>
        <n v="91002823"/>
        <n v="91002824"/>
        <n v="91002817"/>
        <n v="91002818"/>
        <n v="91002816"/>
        <n v="91002819"/>
        <n v="91002820"/>
        <n v="91002821"/>
        <n v="40273019"/>
        <n v="91002825"/>
        <n v="91002826"/>
        <n v="91002827"/>
        <n v="91002828"/>
        <n v="91002829"/>
        <n v="91002830"/>
        <n v="91002831"/>
        <n v="91002832"/>
        <n v="91002833"/>
        <n v="91002834"/>
        <n v="91002835"/>
        <n v="91002836"/>
        <n v="91002837"/>
        <n v="91002838"/>
        <n v="91002839"/>
        <n v="91002840"/>
        <n v="91002841"/>
        <n v="91002842"/>
        <n v="91002843"/>
        <n v="91002850"/>
        <n v="91002851"/>
        <n v="91002852"/>
        <n v="91002853"/>
        <n v="91002854"/>
        <n v="91002855"/>
        <n v="91002856"/>
        <n v="91002857"/>
        <n v="91002858"/>
        <n v="91002859"/>
        <n v="91002844"/>
        <n v="91002845"/>
        <n v="91002846"/>
        <n v="91002847"/>
        <n v="91002848"/>
        <n v="91002849"/>
        <n v="40273020"/>
        <n v="91002862"/>
        <n v="91002863"/>
        <n v="91002865"/>
        <n v="91002866"/>
        <n v="91002867"/>
        <n v="91002868"/>
        <n v="91002869"/>
        <n v="91002870"/>
        <n v="91002871"/>
        <n v="91002872"/>
        <n v="91002873"/>
        <n v="91002874"/>
        <n v="91002875"/>
        <n v="91002876"/>
        <n v="91002860"/>
        <n v="91002861"/>
        <n v="91002864"/>
        <n v="91002877"/>
        <n v="91002878"/>
        <n v="91002879"/>
        <n v="91002880"/>
        <n v="91002881"/>
        <n v="91002882"/>
        <n v="91002883"/>
        <n v="91002884"/>
        <n v="91002885"/>
        <n v="91002886"/>
        <n v="91002887"/>
        <n v="91002888"/>
        <n v="91002889"/>
        <n v="91002890"/>
        <n v="91002891"/>
        <n v="91002892"/>
        <n v="91002893"/>
        <n v="91002894"/>
        <n v="91002895"/>
        <n v="91002896"/>
        <n v="91002897"/>
        <n v="91002898"/>
        <n v="91002899"/>
        <n v="91002900"/>
        <n v="91002901"/>
        <n v="91002902"/>
        <n v="91002903"/>
        <n v="2042"/>
        <n v="91002904"/>
        <n v="91002905"/>
        <n v="91002906"/>
        <n v="91002907"/>
        <n v="91002908"/>
        <n v="91002909"/>
        <n v="91002910"/>
        <n v="91002911"/>
        <n v="91002912"/>
        <n v="91002913"/>
        <n v="91002916"/>
        <n v="91002917"/>
        <n v="91002919"/>
        <n v="91002920"/>
        <n v="91002914"/>
        <n v="91002915"/>
        <n v="91002918"/>
        <n v="91002921"/>
        <n v="91002922"/>
        <n v="91002923"/>
        <n v="91002924"/>
        <n v="91002925"/>
        <n v="91002926"/>
        <n v="40273021"/>
        <n v="40273022"/>
        <n v="40273023"/>
        <n v="40273024"/>
        <n v="40273025"/>
        <n v="91002927"/>
        <n v="91002928"/>
        <n v="91002929"/>
        <n v="91002930"/>
        <n v="91002931"/>
        <n v="91002932"/>
        <n v="91002933"/>
        <n v="91002934"/>
        <n v="91002935"/>
        <n v="91002936"/>
        <n v="91002937"/>
        <n v="91002938"/>
        <n v="91002939"/>
        <n v="91002940"/>
        <n v="91002941"/>
        <n v="91002942"/>
        <n v="91002943"/>
        <n v="91002944"/>
        <n v="91002945"/>
        <n v="91002946"/>
        <n v="2043"/>
        <n v="91002947"/>
        <n v="91002948"/>
        <n v="91002949"/>
        <n v="91002950"/>
        <n v="91002951"/>
        <n v="91002952"/>
        <n v="91002953"/>
        <n v="91002958"/>
        <n v="91002959"/>
        <n v="91002954"/>
        <n v="91002955"/>
        <n v="91002956"/>
        <n v="91002957"/>
        <n v="91002960"/>
        <n v="91002961"/>
        <n v="91002962"/>
        <n v="91002963"/>
        <n v="91002964"/>
        <n v="91002965"/>
        <n v="91002966"/>
        <n v="91002967"/>
        <n v="91002968"/>
        <n v="91002969"/>
        <n v="91002970"/>
        <n v="2044"/>
        <n v="91002971"/>
        <n v="61301826"/>
        <n v="91002972"/>
        <n v="91002973"/>
        <n v="91002974"/>
        <n v="91002975"/>
        <n v="91002976"/>
        <n v="91002977"/>
        <n v="91002978"/>
        <n v="91002979"/>
        <n v="91002980"/>
        <n v="91002981"/>
        <n v="91002982"/>
        <n v="91002983"/>
        <n v="91002984"/>
        <n v="91002985"/>
        <n v="91002986"/>
        <n v="61301827"/>
        <n v="61301828"/>
        <n v="91002987"/>
        <n v="91002988"/>
        <n v="91002989"/>
        <n v="91002990"/>
        <n v="91002991"/>
        <n v="91002992"/>
        <n v="91002993"/>
        <n v="91002994"/>
        <n v="91002995"/>
        <n v="91002996"/>
        <n v="91002997"/>
        <n v="91002998"/>
        <n v="91002999"/>
        <n v="91003000"/>
        <n v="91003001"/>
        <n v="91003002"/>
        <n v="91003003"/>
        <n v="91003004"/>
        <n v="91003005"/>
        <n v="91003006"/>
        <n v="91003007"/>
        <n v="91003008"/>
        <n v="91003009"/>
        <n v="91003010"/>
        <n v="91003011"/>
        <n v="91003012"/>
        <n v="91003013"/>
        <n v="91003014"/>
        <n v="91003015"/>
        <n v="91003016"/>
        <n v="91003017"/>
        <n v="91003018"/>
        <n v="91003019"/>
        <n v="91003020"/>
        <n v="91003021"/>
        <n v="91003022"/>
        <n v="91003023"/>
        <n v="91003024"/>
        <n v="91003025"/>
        <n v="91003026"/>
        <n v="91003027"/>
        <n v="91003028"/>
        <n v="91003029"/>
        <n v="91003030"/>
        <n v="91003031"/>
        <n v="91003032"/>
        <n v="91003033"/>
        <n v="91003034"/>
        <n v="91003035"/>
        <n v="95780900"/>
        <n v="91003036"/>
        <n v="61301829"/>
        <n v="91003037"/>
        <n v="91003038"/>
        <n v="91003039"/>
        <n v="61301830"/>
        <n v="61301831"/>
        <n v="61301832"/>
        <n v="61301833"/>
        <n v="61301834"/>
        <n v="91003040"/>
        <n v="91003041"/>
        <n v="91003042"/>
        <n v="91003043"/>
        <n v="91003044"/>
        <n v="91003045"/>
        <n v="91003046"/>
        <n v="91003047"/>
        <n v="91003049"/>
        <n v="91003050"/>
        <n v="91003051"/>
        <n v="91003052"/>
        <n v="91003053"/>
        <n v="91003054"/>
        <n v="91003055"/>
        <n v="91003048"/>
        <n v="61301835"/>
        <n v="91003056"/>
        <n v="91003057"/>
        <n v="61301836"/>
        <n v="91003058"/>
        <n v="91003059"/>
        <n v="91003060"/>
        <n v="91003061"/>
        <n v="91003062"/>
        <n v="91003063"/>
        <n v="91003064"/>
        <n v="91003065"/>
        <n v="91003066"/>
        <n v="91003067"/>
        <n v="91003068"/>
        <n v="91003069"/>
        <n v="91003070"/>
        <n v="91003071"/>
        <n v="91003072"/>
        <n v="91003073"/>
        <n v="91003074"/>
        <n v="91003075"/>
        <n v="91003076"/>
        <n v="91003077"/>
        <n v="91003078"/>
        <n v="91003079"/>
        <n v="61301837"/>
        <n v="95780901"/>
        <n v="61301838"/>
        <n v="61301839"/>
        <n v="91003080"/>
        <n v="91003081"/>
        <n v="91003082"/>
        <n v="91003083"/>
        <n v="91003084"/>
        <n v="91003085"/>
        <n v="91003086"/>
        <n v="91003087"/>
        <n v="91003088"/>
        <n v="91003089"/>
        <n v="91003090"/>
        <n v="91003091"/>
        <n v="91003092"/>
        <n v="91003093"/>
        <n v="91003094"/>
        <n v="91003095"/>
        <n v="91003096"/>
        <n v="91003116"/>
        <n v="91003117"/>
        <n v="91003127"/>
        <n v="91003128"/>
        <n v="91003097"/>
        <n v="91003098"/>
        <n v="91003099"/>
        <n v="91003100"/>
        <n v="91003101"/>
        <n v="91003102"/>
        <n v="91003103"/>
        <n v="91003104"/>
        <n v="91003105"/>
        <n v="91003106"/>
        <n v="91003107"/>
        <n v="91003108"/>
        <n v="91003109"/>
        <n v="91003110"/>
        <n v="91003111"/>
        <n v="91003112"/>
        <n v="91003113"/>
        <n v="91003114"/>
        <n v="91003115"/>
        <n v="91003118"/>
        <n v="91003119"/>
        <n v="91003120"/>
        <n v="91003121"/>
        <n v="91003122"/>
        <n v="91003123"/>
        <n v="91003124"/>
        <n v="91003125"/>
        <n v="91003126"/>
        <n v="61301840"/>
        <n v="61301841"/>
        <n v="95780902"/>
        <n v="91003129"/>
        <n v="91003130"/>
        <n v="91003131"/>
        <n v="91003132"/>
        <n v="91003133"/>
        <n v="91003134"/>
        <n v="91003135"/>
        <n v="91003136"/>
        <n v="91003137"/>
        <n v="91003138"/>
        <n v="91003139"/>
        <n v="91003140"/>
        <n v="91003149"/>
        <n v="91003150"/>
        <n v="91003141"/>
        <n v="91003142"/>
        <n v="91003143"/>
        <n v="91003144"/>
        <n v="91003145"/>
        <n v="91003146"/>
        <n v="91003147"/>
        <n v="91003148"/>
        <n v="61301842"/>
        <n v="61301843"/>
        <n v="91003153"/>
        <n v="91003154"/>
        <n v="91003155"/>
        <n v="91003156"/>
        <n v="91003157"/>
        <n v="91003158"/>
        <n v="91003159"/>
        <n v="91003160"/>
        <n v="91003161"/>
        <n v="91003162"/>
        <n v="91003163"/>
        <n v="91003164"/>
        <n v="91003165"/>
        <n v="91003166"/>
        <n v="91003167"/>
        <n v="91003168"/>
        <n v="91003169"/>
        <n v="91003170"/>
        <n v="91003171"/>
        <n v="91003172"/>
        <n v="91003173"/>
        <n v="91003174"/>
        <n v="91003175"/>
        <n v="91003176"/>
        <n v="91003177"/>
        <n v="91003178"/>
        <n v="91003179"/>
        <n v="91003180"/>
        <n v="91003151"/>
        <n v="91003152"/>
        <n v="61301844"/>
        <n v="91003181"/>
        <n v="91003182"/>
        <n v="91003183"/>
        <n v="91003184"/>
        <n v="91003185"/>
        <n v="91003186"/>
        <n v="91003191"/>
        <n v="91003192"/>
        <n v="91003187"/>
        <n v="91003188"/>
        <n v="91003189"/>
        <n v="91003190"/>
        <n v="91003193"/>
        <n v="91003194"/>
        <n v="91003195"/>
        <n v="91003196"/>
        <n v="91003197"/>
        <n v="91003198"/>
        <n v="91003199"/>
        <n v="91003200"/>
        <n v="91003201"/>
        <n v="91003202"/>
        <n v="91003203"/>
        <n v="91003204"/>
        <n v="91003205"/>
        <n v="61301845"/>
        <n v="61301846"/>
        <n v="61301847"/>
        <n v="61301848"/>
        <n v="61301849"/>
        <n v="61301850"/>
        <n v="91003206"/>
        <n v="91003207"/>
        <n v="91003208"/>
        <n v="91003209"/>
        <n v="91003210"/>
        <n v="91003211"/>
        <n v="91003212"/>
        <n v="91003213"/>
        <n v="91003214"/>
        <n v="91003215"/>
        <n v="91003216"/>
        <n v="91003217"/>
        <n v="91003218"/>
        <n v="91003219"/>
        <n v="91003220"/>
        <n v="91003224"/>
        <n v="91003225"/>
        <n v="91003221"/>
        <n v="91003222"/>
        <n v="91003223"/>
        <n v="91003226"/>
        <n v="91003227"/>
        <n v="91003228"/>
        <n v="91003229"/>
        <n v="91003230"/>
        <n v="91003231"/>
        <n v="91003232"/>
        <n v="91003233"/>
        <n v="91003234"/>
        <n v="61301851"/>
        <n v="61301852"/>
        <n v="61301853"/>
        <n v="91003235"/>
        <n v="91003236"/>
        <n v="91003240"/>
        <n v="91003241"/>
        <n v="91003242"/>
        <n v="95780903"/>
        <n v="91003237"/>
        <n v="91003238"/>
        <n v="91003239"/>
        <n v="91003243"/>
        <n v="91003244"/>
        <n v="91003245"/>
        <n v="91003246"/>
        <n v="91003247"/>
        <n v="91003248"/>
        <n v="91003249"/>
        <n v="91003250"/>
        <n v="91003251"/>
        <n v="91003252"/>
        <n v="91003253"/>
        <n v="91003254"/>
        <n v="91003255"/>
        <n v="91003256"/>
        <n v="91003257"/>
        <n v="91003258"/>
        <n v="91003259"/>
        <n v="91003260"/>
        <n v="91003261"/>
        <n v="61301854"/>
        <n v="91003262"/>
        <n v="91003263"/>
        <n v="91003264"/>
        <n v="91003265"/>
        <n v="91003267"/>
        <n v="91003268"/>
        <n v="91003269"/>
        <n v="91003270"/>
        <n v="91003271"/>
        <n v="91003272"/>
        <n v="91003273"/>
        <n v="91003266"/>
        <n v="91003274"/>
        <n v="91003275"/>
        <n v="61301855"/>
        <n v="61301856"/>
        <n v="91003276"/>
        <n v="91003277"/>
        <n v="91003278"/>
        <n v="91003279"/>
        <n v="91003280"/>
        <n v="91003281"/>
        <n v="91003282"/>
        <n v="91003283"/>
        <n v="61301857"/>
        <n v="91003284"/>
        <n v="91003285"/>
        <n v="91003286"/>
        <n v="91003287"/>
        <n v="91003288"/>
        <n v="91003289"/>
        <n v="91003290"/>
        <n v="91003291"/>
        <n v="91003292"/>
        <n v="91003293"/>
        <n v="91003294"/>
        <n v="91003295"/>
        <n v="91003296"/>
        <n v="91003297"/>
        <n v="91003298"/>
        <n v="91003305"/>
        <n v="91003306"/>
        <n v="91003299"/>
        <n v="91003300"/>
        <n v="91003301"/>
        <n v="91003302"/>
        <n v="91003303"/>
        <n v="91003304"/>
        <n v="61301858"/>
        <n v="91003307"/>
        <n v="91003308"/>
        <n v="91003309"/>
        <n v="91003310"/>
        <n v="91003311"/>
        <n v="91003312"/>
        <n v="91003313"/>
        <n v="91003314"/>
        <n v="91003315"/>
        <n v="91003316"/>
        <n v="91003317"/>
        <n v="91003318"/>
        <n v="91003319"/>
        <n v="91003320"/>
        <n v="91003321"/>
        <n v="91003322"/>
        <n v="91003323"/>
        <n v="61301859"/>
        <n v="91003328"/>
        <n v="91003329"/>
        <n v="91003330"/>
        <n v="91003324"/>
        <n v="91003325"/>
        <n v="91003326"/>
        <n v="91003327"/>
        <n v="91003331"/>
        <n v="91003332"/>
        <n v="91003333"/>
        <n v="91003334"/>
        <n v="91003335"/>
        <n v="91003336"/>
        <n v="91003337"/>
        <n v="91003338"/>
        <n v="91003339"/>
        <n v="91003340"/>
        <n v="61301860"/>
        <n v="61301861"/>
        <n v="91003342"/>
        <n v="91003343"/>
        <n v="91003341"/>
        <n v="91003344"/>
        <n v="91003345"/>
        <n v="91003346"/>
        <n v="91003347"/>
        <n v="91003348"/>
        <n v="91003349"/>
        <n v="91003350"/>
        <n v="91003351"/>
        <n v="91003352"/>
        <n v="91003353"/>
        <n v="91003354"/>
        <n v="91003355"/>
        <n v="91003356"/>
        <n v="91003357"/>
        <n v="61301862"/>
        <n v="61301863"/>
        <n v="61301864"/>
        <n v="91003358"/>
        <n v="91003359"/>
        <n v="91003360"/>
        <n v="91003361"/>
        <n v="91003362"/>
        <n v="91003363"/>
        <n v="91003364"/>
        <n v="91003365"/>
        <n v="91003366"/>
        <n v="91003367"/>
        <n v="91003368"/>
        <n v="91003369"/>
        <n v="91003370"/>
        <n v="91003371"/>
        <n v="91003372"/>
        <n v="91003373"/>
        <n v="91003374"/>
        <n v="91003375"/>
        <n v="91003376"/>
        <n v="91003377"/>
        <n v="91003378"/>
        <n v="91003379"/>
        <n v="91003380"/>
        <n v="95780904"/>
        <n v="61301865"/>
        <n v="91003381"/>
        <n v="91003382"/>
        <n v="91003383"/>
        <n v="91003384"/>
        <n v="91003385"/>
        <n v="91003386"/>
        <n v="91003387"/>
        <n v="91003388"/>
        <n v="91003389"/>
        <n v="91003390"/>
        <n v="91003391"/>
        <n v="91003392"/>
        <n v="91003393"/>
        <n v="91003394"/>
        <n v="91003395"/>
        <n v="91003396"/>
        <n v="91003397"/>
        <n v="91003398"/>
        <n v="91003399"/>
        <n v="91003400"/>
        <n v="91003401"/>
        <n v="91003402"/>
        <n v="91003403"/>
        <n v="91003404"/>
        <n v="91003405"/>
        <n v="91003406"/>
        <n v="61301866"/>
        <n v="91003407"/>
        <n v="91003408"/>
        <n v="91003409"/>
        <n v="91003410"/>
        <n v="91003411"/>
        <n v="91003412"/>
        <n v="91003413"/>
        <n v="91003414"/>
        <n v="91003415"/>
        <n v="91003416"/>
        <n v="91003417"/>
        <n v="91003418"/>
        <n v="91003419"/>
        <n v="91003420"/>
        <n v="61301867"/>
        <n v="91003421"/>
        <n v="91003422"/>
        <n v="91003423"/>
        <n v="91003424"/>
        <n v="91003425"/>
        <n v="91003426"/>
        <n v="91003427"/>
        <n v="91003428"/>
        <n v="91003429"/>
        <n v="91003430"/>
        <n v="91003437"/>
        <n v="91003438"/>
        <n v="91003461"/>
        <n v="91003462"/>
        <n v="61301870"/>
        <n v="61301871"/>
        <n v="61301872"/>
        <n v="61301873"/>
        <n v="61301874"/>
        <n v="61301875"/>
        <n v="91003431"/>
        <n v="91003432"/>
        <n v="91003433"/>
        <n v="91003434"/>
        <n v="91003435"/>
        <n v="91003436"/>
        <n v="91003439"/>
        <n v="91003440"/>
        <n v="91003441"/>
        <n v="91003442"/>
        <n v="91003443"/>
        <n v="91003444"/>
        <n v="91003445"/>
        <n v="91003446"/>
        <n v="91003447"/>
        <n v="91003448"/>
        <n v="91003449"/>
        <n v="91003450"/>
        <n v="91003451"/>
        <n v="91003452"/>
        <n v="91003453"/>
        <n v="91003454"/>
        <n v="91003455"/>
        <n v="91003456"/>
        <n v="91003457"/>
        <n v="91003458"/>
        <n v="91003459"/>
        <n v="91003460"/>
        <n v="91003463"/>
        <n v="61301868"/>
        <n v="61301869"/>
        <n v="91003464"/>
        <n v="91003465"/>
        <n v="91003466"/>
        <n v="91003467"/>
        <n v="91003468"/>
        <n v="91003469"/>
        <n v="91003470"/>
        <n v="91003471"/>
        <n v="91003472"/>
        <n v="91003473"/>
        <n v="91003474"/>
        <n v="91003475"/>
        <n v="91003476"/>
        <n v="91003477"/>
        <n v="66622026"/>
        <n v="91003478"/>
        <n v="91003479"/>
        <n v="91003480"/>
        <n v="91003481"/>
        <n v="91003482"/>
        <n v="91003483"/>
        <n v="91003484"/>
        <n v="91003485"/>
        <n v="91003486"/>
        <n v="91003487"/>
        <n v="91003488"/>
        <n v="91003489"/>
        <n v="91003490"/>
        <n v="91003491"/>
        <n v="91003492"/>
        <n v="91003493"/>
        <n v="91003494"/>
        <n v="91003495"/>
        <n v="91003496"/>
        <n v="91003497"/>
        <n v="91003498"/>
        <n v="91003499"/>
        <n v="91003500"/>
        <n v="91003501"/>
        <n v="91003502"/>
        <n v="91003503"/>
        <n v="91003504"/>
        <n v="91003505"/>
        <n v="91003506"/>
        <n v="91003507"/>
        <n v="91003508"/>
        <n v="91003509"/>
        <n v="91003510"/>
        <n v="91003511"/>
        <n v="91003512"/>
        <n v="91003513"/>
        <n v="91003514"/>
        <n v="91003515"/>
        <n v="95780905"/>
        <n v="66622027"/>
        <n v="95780906"/>
        <n v="91003516"/>
        <n v="91003517"/>
        <n v="91003518"/>
        <n v="91003519"/>
        <n v="91003520"/>
        <n v="91003521"/>
        <n v="91003522"/>
        <n v="91003523"/>
        <n v="91003524"/>
        <n v="91003525"/>
        <n v="91003526"/>
        <n v="91003527"/>
        <n v="91003528"/>
        <n v="91003529"/>
        <n v="91003530"/>
        <n v="91003531"/>
        <n v="91003532"/>
        <n v="91003533"/>
        <n v="95780907"/>
        <n v="91003534"/>
        <n v="91003535"/>
        <n v="91003536"/>
        <n v="91003537"/>
        <n v="91003538"/>
        <n v="91003539"/>
        <n v="91003540"/>
        <n v="91003541"/>
        <n v="91003542"/>
        <n v="91003543"/>
        <n v="91003544"/>
        <n v="91003545"/>
        <n v="91003546"/>
        <n v="91003547"/>
        <n v="91003548"/>
        <n v="91003549"/>
        <n v="91003550"/>
        <n v="91003551"/>
        <n v="91003552"/>
        <n v="91003553"/>
        <n v="91003554"/>
        <n v="91003555"/>
        <n v="66622028"/>
        <n v="91003556"/>
        <n v="91003557"/>
        <n v="91003558"/>
        <n v="91003559"/>
        <n v="91003560"/>
        <n v="91003561"/>
        <m/>
        <n v="3045959" u="1"/>
        <n v="3045960" u="1"/>
        <n v="3045961" u="1"/>
        <n v="3045962" u="1"/>
        <n v="3045963" u="1"/>
        <n v="3045964" u="1"/>
        <n v="3045958" u="1"/>
        <n v="93655828" u="1"/>
        <n v="93919608" u="1"/>
        <n v="93919609" u="1"/>
        <n v="95363988" u="1"/>
        <n v="95363989" u="1"/>
        <n v="95363990" u="1"/>
        <n v="95363991" u="1"/>
        <n v="95363992" u="1"/>
        <n v="3045965" u="1"/>
        <n v="3045966" u="1"/>
        <n v="3045967" u="1"/>
        <n v="3045968" u="1"/>
        <n v="3045969" u="1"/>
        <n v="3045970" u="1"/>
        <n v="3045971" u="1"/>
        <n v="95363993" u="1"/>
        <n v="95363994" u="1"/>
        <n v="95363995" u="1"/>
        <n v="95363996" u="1"/>
        <n v="95363997" u="1"/>
        <n v="95363998" u="1"/>
        <n v="95363999" u="1"/>
        <n v="95364000" u="1"/>
        <n v="95364001" u="1"/>
        <n v="95364002" u="1"/>
        <n v="95364003" u="1"/>
        <n v="3045972" u="1"/>
        <n v="3045973" u="1"/>
        <n v="3045974" u="1"/>
        <n v="3045975" u="1"/>
        <n v="3045976" u="1"/>
        <n v="3045977" u="1"/>
        <n v="3045978" u="1"/>
        <n v="3045979" u="1"/>
        <n v="3045980" u="1"/>
        <n v="3045981" u="1"/>
        <n v="3045982" u="1"/>
        <n v="3045983" u="1"/>
        <n v="3045984" u="1"/>
        <n v="3045985" u="1"/>
        <n v="3045986" u="1"/>
        <n v="95364004" u="1"/>
        <n v="95364005" u="1"/>
        <n v="95364006" u="1"/>
        <n v="95364007" u="1"/>
        <n v="95364008" u="1"/>
        <n v="55259926" u="1"/>
        <n v="55259927" u="1"/>
        <n v="55259928" u="1"/>
        <n v="55259929" u="1"/>
        <n v="95364009" u="1"/>
        <n v="95364010" u="1"/>
        <n v="95364011" u="1"/>
        <n v="95364012" u="1"/>
        <n v="95364013" u="1"/>
        <n v="95364014" u="1"/>
        <n v="95364015" u="1"/>
        <n v="95364016" u="1"/>
        <n v="95364017" u="1"/>
        <n v="95364018" u="1"/>
        <n v="95364019" u="1"/>
        <n v="95364020" u="1"/>
        <n v="95364021" u="1"/>
        <n v="95364022" u="1"/>
        <n v="95364023" u="1"/>
        <n v="95364024" u="1"/>
        <n v="3045987" u="1"/>
        <n v="3045988" u="1"/>
        <n v="3045989" u="1"/>
        <n v="3045990" u="1"/>
        <n v="3045991" u="1"/>
        <n v="3045992" u="1"/>
        <n v="3045993" u="1"/>
        <n v="3045994" u="1"/>
        <n v="3045995" u="1"/>
        <n v="3045996" u="1"/>
        <n v="3045997" u="1"/>
        <n v="3045998" u="1"/>
        <n v="94462901" u="1"/>
        <n v="3045999" u="1"/>
        <n v="3046000" u="1"/>
        <n v="3046001" u="1"/>
        <n v="3046002" u="1"/>
        <n v="3046003" u="1"/>
        <n v="3046004" u="1"/>
        <n v="3046005" u="1"/>
        <n v="3046006" u="1"/>
        <n v="3046007" u="1"/>
        <n v="3046008" u="1"/>
        <n v="3046009" u="1"/>
        <n v="3046010" u="1"/>
        <n v="3046011" u="1"/>
        <n v="3046012" u="1"/>
        <n v="3046013" u="1"/>
        <n v="3046014" u="1"/>
        <n v="3046015" u="1"/>
        <n v="3046016" u="1"/>
        <n v="3046017" u="1"/>
        <n v="3046018" u="1"/>
        <n v="3046019" u="1"/>
        <n v="95364025" u="1"/>
        <n v="95364026" u="1"/>
        <n v="95364027" u="1"/>
        <n v="95364028" u="1"/>
        <n v="95364029" u="1"/>
        <n v="3046020" u="1"/>
        <n v="3046021" u="1"/>
        <n v="3046022" u="1"/>
        <n v="3046023" u="1"/>
        <n v="95364030" u="1"/>
        <n v="95364031" u="1"/>
        <n v="95364032" u="1"/>
        <n v="95364033" u="1"/>
        <n v="95364034" u="1"/>
        <n v="95364035" u="1"/>
        <n v="95364036" u="1"/>
        <n v="94462902" u="1"/>
        <n v="94462904" u="1"/>
        <n v="94462905" u="1"/>
        <n v="94462906" u="1"/>
        <n v="94462907" u="1"/>
        <n v="94462908" u="1"/>
        <n v="94462909" u="1"/>
        <n v="94462910" u="1"/>
        <n v="94462911" u="1"/>
        <n v="94462912" u="1"/>
        <n v="94462913" u="1"/>
        <n v="94462914" u="1"/>
        <n v="94462915" u="1"/>
        <n v="94462916" u="1"/>
        <n v="94462917" u="1"/>
        <n v="94462918" u="1"/>
        <n v="95364037" u="1"/>
        <n v="95364038" u="1"/>
        <n v="95364039" u="1"/>
        <n v="95364040" u="1"/>
        <n v="95364041" u="1"/>
        <n v="95364042" u="1"/>
        <n v="95364043" u="1"/>
        <n v="95364044" u="1"/>
        <n v="3046024" u="1"/>
        <n v="3046025" u="1"/>
        <n v="4462919" u="1"/>
        <n v="3046026" u="1"/>
        <n v="3046027" u="1"/>
        <n v="3046028" u="1"/>
        <n v="3046029" u="1"/>
        <n v="95364045" u="1"/>
        <n v="95364046" u="1"/>
        <n v="95364047" u="1"/>
        <n v="95364048" u="1"/>
        <n v="95364049" u="1"/>
        <n v="95364050" u="1"/>
        <n v="95364051" u="1"/>
        <n v="95364052" u="1"/>
        <n v="95364053" u="1"/>
        <n v="95364054" u="1"/>
        <n v="95364055" u="1"/>
        <n v="95364056" u="1"/>
        <n v="95364057" u="1"/>
        <n v="95364058" u="1"/>
        <n v="95364059" u="1"/>
        <n v="95364060" u="1"/>
        <n v="95364061" u="1"/>
        <n v="95364062" u="1"/>
        <n v="95364063" u="1"/>
        <n v="95364064" u="1"/>
        <n v="95364065" u="1"/>
        <n v="95364066" u="1"/>
        <n v="95364067" u="1"/>
        <n v="95364068" u="1"/>
        <n v="95364069" u="1"/>
        <n v="95364070" u="1"/>
        <n v="95364071" u="1"/>
        <n v="95364072" u="1"/>
        <n v="95364073" u="1"/>
        <n v="95364074" u="1"/>
        <n v="95364075" u="1"/>
        <n v="95364076" u="1"/>
        <n v="95364077" u="1"/>
        <n v="95364078" u="1"/>
        <n v="95364079" u="1"/>
        <n v="95364080" u="1"/>
        <n v="94462920" u="1"/>
        <n v="94462921" u="1"/>
        <n v="94462922" u="1"/>
        <n v="94462923" u="1"/>
        <n v="95364081" u="1"/>
        <n v="95364082" u="1"/>
        <n v="95364083" u="1"/>
        <n v="95364084" u="1"/>
        <n v="95364085" u="1"/>
        <n v="95364086" u="1"/>
        <n v="95364087" u="1"/>
        <n v="95364088" u="1"/>
        <n v="95364089" u="1"/>
        <n v="95364090" u="1"/>
        <n v="95364091" u="1"/>
        <n v="95364092" u="1"/>
        <n v="95364093" u="1"/>
        <n v="95364094" u="1"/>
        <n v="95364095" u="1"/>
        <n v="95364096" u="1"/>
        <n v="95364097" u="1"/>
        <n v="95364098" u="1"/>
        <n v="95364099" u="1"/>
        <n v="95364100" u="1"/>
        <n v="95364101" u="1"/>
        <n v="95364102" u="1"/>
        <n v="95364103" u="1"/>
        <n v="95364104" u="1"/>
        <n v="95364105" u="1"/>
        <n v="95364106" u="1"/>
        <n v="95364107" u="1"/>
        <n v="95364108" u="1"/>
        <n v="95364109" u="1"/>
        <n v="95364110" u="1"/>
        <n v="95364111" u="1"/>
        <n v="95364112" u="1"/>
        <n v="95364113" u="1"/>
        <n v="95364114" u="1"/>
        <n v="95364115" u="1"/>
        <n v="95364116" u="1"/>
        <n v="95364117" u="1"/>
        <n v="95364118" u="1"/>
        <n v="95364119" u="1"/>
        <n v="95364120" u="1"/>
        <n v="95364121" u="1"/>
        <n v="95364122" u="1"/>
        <n v="95364123" u="1"/>
        <n v="95364124" u="1"/>
        <n v="95364125" u="1"/>
        <n v="95364126" u="1"/>
        <n v="95364127" u="1"/>
        <n v="95364128" u="1"/>
        <n v="95364129" u="1"/>
        <n v="95364130" u="1"/>
        <n v="95364131" u="1"/>
        <n v="94462924" u="1"/>
        <n v="95364132" u="1"/>
        <n v="95364133" u="1"/>
        <n v="95364134" u="1"/>
        <n v="95364135" u="1"/>
        <n v="95364136" u="1"/>
        <n v="95364137" u="1"/>
        <n v="95364138" u="1"/>
        <n v="95364139" u="1"/>
        <n v="95364140" u="1"/>
        <n v="95364141" u="1"/>
        <n v="95364142" u="1"/>
        <n v="95364143" u="1"/>
        <n v="95364144" u="1"/>
        <n v="95364145" u="1"/>
        <n v="95364146" u="1"/>
        <n v="95364147" u="1"/>
        <n v="95364148" u="1"/>
        <n v="95364149" u="1"/>
        <n v="95364150" u="1"/>
        <n v="95364151" u="1"/>
        <n v="95364152" u="1"/>
        <n v="95364153" u="1"/>
        <n v="95364154" u="1"/>
        <n v="95364155" u="1"/>
        <n v="95364156" u="1"/>
        <n v="95364157" u="1"/>
        <n v="95364158" u="1"/>
        <n v="95364159" u="1"/>
        <n v="95364160" u="1"/>
        <n v="95364161" u="1"/>
        <n v="95364162" u="1"/>
        <n v="95364163" u="1"/>
        <n v="95364164" u="1"/>
        <n v="95364165" u="1"/>
        <n v="95364166" u="1"/>
        <n v="95364167" u="1"/>
        <n v="95364168" u="1"/>
        <n v="95364169" u="1"/>
        <n v="95364170" u="1"/>
        <n v="95364171" u="1"/>
        <n v="95364172" u="1"/>
        <n v="95364173" u="1"/>
        <n v="95364174" u="1"/>
        <n v="95364175" u="1"/>
        <n v="95364176" u="1"/>
        <n v="95364177" u="1"/>
        <n v="95364178" u="1"/>
        <n v="95364179" u="1"/>
        <n v="95364180" u="1"/>
        <n v="94462925" u="1"/>
        <n v="95364181" u="1"/>
        <n v="95364182" u="1"/>
        <n v="95364183" u="1"/>
        <n v="95364184" u="1"/>
        <n v="95364185" u="1"/>
        <n v="95364186" u="1"/>
        <n v="95364187" u="1"/>
        <n v="99267932" u="1"/>
        <n v="99267933" u="1"/>
        <n v="99267934" u="1"/>
        <n v="99267935" u="1"/>
        <n v="99267936" u="1"/>
        <n v="99267937" u="1"/>
        <n v="99267938" u="1"/>
        <n v="99267939" u="1"/>
        <n v="99267940" u="1"/>
        <n v="94462927" u="1"/>
        <n v="99267941" u="1"/>
        <n v="99267942" u="1"/>
        <n v="99267943" u="1"/>
        <n v="99267944" u="1"/>
        <n v="99267945" u="1"/>
        <n v="99267946" u="1"/>
        <n v="99267947" u="1"/>
        <n v="99267948" u="1"/>
        <n v="99267949" u="1"/>
        <n v="99267950" u="1"/>
        <n v="99267951" u="1"/>
        <n v="99267952" u="1"/>
        <n v="99267953" u="1"/>
        <n v="99267954" u="1"/>
        <n v="99267955" u="1"/>
        <n v="99267956" u="1"/>
        <n v="99267957" u="1"/>
        <n v="99267958" u="1"/>
        <n v="99267959" u="1"/>
        <n v="99267960" u="1"/>
        <n v="99267961" u="1"/>
        <n v="99267962" u="1"/>
        <n v="99267963" u="1"/>
        <n v="99267964" u="1"/>
        <n v="99267965" u="1"/>
        <n v="99267966" u="1"/>
        <n v="99267967" u="1"/>
        <n v="99267968" u="1"/>
        <n v="99267969" u="1"/>
        <n v="99267970" u="1"/>
        <n v="99267971" u="1"/>
        <n v="99267972" u="1"/>
        <n v="99267973" u="1"/>
        <n v="99267974" u="1"/>
        <n v="99267975" u="1"/>
        <n v="99267976" u="1"/>
        <n v="99267977" u="1"/>
        <n v="99267978" u="1"/>
        <n v="99267979" u="1"/>
        <n v="99267980" u="1"/>
        <n v="99267981" u="1"/>
        <n v="55259930" u="1"/>
        <n v="99267982" u="1"/>
        <n v="99267983" u="1"/>
        <n v="99267984" u="1"/>
        <n v="99267985" u="1"/>
        <n v="99267986" u="1"/>
        <n v="99267987" u="1"/>
        <n v="99267988" u="1"/>
        <n v="99267989" u="1"/>
        <n v="99267990" u="1"/>
        <n v="99267991" u="1"/>
        <n v="99267992" u="1"/>
        <n v="99267993" u="1"/>
        <n v="99267994" u="1"/>
        <n v="99267995" u="1"/>
        <n v="99267996" u="1"/>
        <n v="99267997" u="1"/>
        <n v="99267998" u="1"/>
        <n v="55259931" u="1"/>
        <n v="99267999" u="1"/>
        <n v="99268000" u="1"/>
        <n v="99268001" u="1"/>
        <n v="99268002" u="1"/>
        <n v="99268003" u="1"/>
        <n v="99268004" u="1"/>
        <n v="99268005" u="1"/>
        <n v="99268006" u="1"/>
        <n v="99268007" u="1"/>
        <n v="99268008" u="1"/>
        <n v="99268009" u="1"/>
        <n v="99268010" u="1"/>
        <n v="99268011" u="1"/>
        <n v="99268012" u="1"/>
        <n v="99268013" u="1"/>
        <n v="99268014" u="1"/>
        <n v="99268015" u="1"/>
        <n v="99268016" u="1"/>
        <n v="99268017" u="1"/>
        <n v="99268018" u="1"/>
        <n v="99268019" u="1"/>
        <n v="99268020" u="1"/>
        <n v="99268021" u="1"/>
        <n v="99268022" u="1"/>
        <n v="99268023" u="1"/>
        <n v="99268024" u="1"/>
        <n v="99268025" u="1"/>
        <n v="99268026" u="1"/>
        <n v="99268027" u="1"/>
        <n v="99268028" u="1"/>
        <n v="99268029" u="1"/>
        <n v="99268030" u="1"/>
        <n v="99268031" u="1"/>
        <n v="99268032" u="1"/>
        <n v="99268033" u="1"/>
        <n v="99268034" u="1"/>
        <n v="99268035" u="1"/>
        <n v="99268036" u="1"/>
        <n v="99268037" u="1"/>
        <n v="99268038" u="1"/>
        <n v="99268039" u="1"/>
        <n v="99268040" u="1"/>
        <n v="99268041" u="1"/>
        <n v="99268042" u="1"/>
        <n v="99268043" u="1"/>
        <n v="99268044" u="1"/>
        <n v="99268050" u="1"/>
        <n v="99268051" u="1"/>
        <n v="99268052" u="1"/>
        <n v="99268053" u="1"/>
        <n v="99268054" u="1"/>
        <n v="99268055" u="1"/>
        <n v="99268056" u="1"/>
        <n v="99268057" u="1"/>
        <n v="99268058" u="1"/>
        <n v="99268045" u="1"/>
        <n v="99268046" u="1"/>
        <n v="99268047" u="1"/>
        <n v="99268048" u="1"/>
        <n v="99268049" u="1"/>
        <n v="99268059" u="1"/>
        <n v="99268060" u="1"/>
        <n v="99268061" u="1"/>
        <n v="55259932" u="1"/>
        <n v="99268062" u="1"/>
        <n v="99268063" u="1"/>
        <n v="99268064" u="1"/>
        <n v="99268065" u="1"/>
        <n v="99268066" u="1"/>
        <n v="99268067" u="1"/>
        <n v="99268068" u="1"/>
        <n v="99268069" u="1"/>
        <n v="99268070" u="1"/>
        <n v="99268071" u="1"/>
        <n v="99268072" u="1"/>
        <n v="99268073" u="1"/>
        <n v="99268074" u="1"/>
        <n v="99268075" u="1"/>
        <n v="99268076" u="1"/>
        <n v="99268077" u="1"/>
        <n v="99268078" u="1"/>
        <n v="99268079" u="1"/>
        <n v="99268080" u="1"/>
        <n v="99268081" u="1"/>
        <n v="99268082" u="1"/>
        <n v="99268083" u="1"/>
        <n v="99268084" u="1"/>
        <n v="99268085" u="1"/>
        <n v="99268086" u="1"/>
        <n v="99268087" u="1"/>
        <n v="99268088" u="1"/>
        <n v="99268089" u="1"/>
        <n v="99268090" u="1"/>
        <n v="99268091" u="1"/>
        <n v="99268092" u="1"/>
        <n v="99268093" u="1"/>
        <n v="99268094" u="1"/>
        <n v="99268095" u="1"/>
        <n v="99268096" u="1"/>
        <n v="99268097" u="1"/>
        <n v="99268098" u="1"/>
        <n v="99268099" u="1"/>
        <n v="99268100" u="1"/>
        <n v="99268101" u="1"/>
        <n v="99268102" u="1"/>
        <n v="99268103" u="1"/>
        <n v="99268104" u="1"/>
        <n v="99268105" u="1"/>
        <n v="99268106" u="1"/>
        <n v="99268107" u="1"/>
        <n v="99268108" u="1"/>
        <n v="99268109" u="1"/>
        <n v="99268110" u="1"/>
        <n v="99268111" u="1"/>
        <n v="99268112" u="1"/>
        <n v="99268113" u="1"/>
        <n v="99268114" u="1"/>
        <n v="99268115" u="1"/>
        <n v="99268116" u="1"/>
        <n v="99268117" u="1"/>
        <n v="99268118" u="1"/>
        <n v="99268119" u="1"/>
        <n v="99268120" u="1"/>
        <n v="99268121" u="1"/>
        <n v="99268122" u="1"/>
        <n v="99268123" u="1"/>
        <n v="99268124" u="1"/>
        <n v="99268125" u="1"/>
        <n v="99268126" u="1"/>
        <n v="99268127" u="1"/>
        <n v="99268128" u="1"/>
        <n v="99268129" u="1"/>
        <n v="99268130" u="1"/>
        <n v="99268131" u="1"/>
        <n v="71643623" u="1"/>
        <n v="71643624" u="1"/>
        <n v="71643625" u="1"/>
        <n v="71643626" u="1"/>
        <n v="71643627" u="1"/>
        <n v="71643628" u="1"/>
        <n v="71643629" u="1"/>
        <n v="71643630" u="1"/>
        <n v="71643631" u="1"/>
        <n v="71643632" u="1"/>
        <n v="71643633" u="1"/>
        <n v="71643634" u="1"/>
        <n v="71643635" u="1"/>
        <n v="71643636" u="1"/>
        <n v="71643637" u="1"/>
        <n v="71643638" u="1"/>
        <n v="71643639" u="1"/>
        <n v="71643640" u="1"/>
        <n v="71643641" u="1"/>
        <n v="71643642" u="1"/>
        <n v="71643643" u="1"/>
        <n v="71643644" u="1"/>
        <n v="71643645" u="1"/>
        <n v="71643646" u="1"/>
        <n v="71643647" u="1"/>
        <n v="71643648" u="1"/>
        <n v="71643649" u="1"/>
        <n v="71643650" u="1"/>
        <n v="71643651" u="1"/>
        <n v="71643652" u="1"/>
        <n v="71643653" u="1"/>
        <n v="71643654" u="1"/>
        <n v="71643655" u="1"/>
        <n v="71643656" u="1"/>
        <n v="71643657" u="1"/>
        <n v="71643658" u="1"/>
        <n v="71643659" u="1"/>
        <n v="71643660" u="1"/>
        <n v="71643661" u="1"/>
        <n v="71643662" u="1"/>
        <n v="71643663" u="1"/>
        <n v="71643664" u="1"/>
        <n v="55259933" u="1"/>
        <n v="71643665" u="1"/>
        <n v="71643666" u="1"/>
        <n v="71643667" u="1"/>
        <n v="71643668" u="1"/>
        <n v="71643669" u="1"/>
        <n v="71643670" u="1"/>
        <n v="71643671" u="1"/>
        <n v="71643672" u="1"/>
        <n v="71643673" u="1"/>
        <n v="71643674" u="1"/>
        <n v="71643675" u="1"/>
        <n v="71643676" u="1"/>
        <n v="71643677" u="1"/>
        <n v="71643678" u="1"/>
        <n v="71643679" u="1"/>
        <n v="71643680" u="1"/>
        <n v="71643681" u="1"/>
        <n v="71643682" u="1"/>
        <n v="71643683" u="1"/>
        <n v="71643684" u="1"/>
        <n v="71643685" u="1"/>
        <n v="71643686" u="1"/>
        <n v="71643687" u="1"/>
        <n v="55259934" u="1"/>
        <n v="71643688" u="1"/>
        <n v="71643689" u="1"/>
        <n v="71643690" u="1"/>
        <n v="71643691" u="1"/>
        <n v="71643692" u="1"/>
        <n v="71643693" u="1"/>
        <n v="71643694" u="1"/>
        <n v="71643695" u="1"/>
        <n v="71643696" u="1"/>
        <n v="71643697" u="1"/>
        <n v="71643698" u="1"/>
        <n v="71643699" u="1"/>
        <n v="71643700" u="1"/>
        <n v="71643701" u="1"/>
        <n v="71643702" u="1"/>
        <n v="71643703" u="1"/>
        <n v="71643704" u="1"/>
        <n v="71643705" u="1"/>
        <n v="71643706" u="1"/>
        <n v="71643707" u="1"/>
        <n v="71643708" u="1"/>
        <n v="71643709" u="1"/>
        <n v="71643710" u="1"/>
        <n v="71643711" u="1"/>
        <n v="71643712" u="1"/>
        <n v="71643713" u="1"/>
        <n v="71643714" u="1"/>
        <n v="71643715" u="1"/>
        <n v="71643716" u="1"/>
        <n v="71643717" u="1"/>
        <n v="71643718" u="1"/>
        <n v="71643719" u="1"/>
        <n v="71643720" u="1"/>
        <n v="71643721" u="1"/>
        <n v="71643723" u="1"/>
        <n v="71643722" u="1"/>
        <n v="71643724" u="1"/>
        <n v="71643725" u="1"/>
        <n v="71643726" u="1"/>
        <n v="71643727" u="1"/>
        <n v="71643728" u="1"/>
        <n v="71643729" u="1"/>
        <n v="55259935" u="1"/>
        <n v="71643730" u="1"/>
        <n v="71643731" u="1"/>
        <n v="71643732" u="1"/>
        <n v="71643733" u="1"/>
        <n v="71643734" u="1"/>
        <n v="71643735" u="1"/>
        <n v="71643736" u="1"/>
        <n v="71643737" u="1"/>
        <n v="71643738" u="1"/>
        <n v="71643739" u="1"/>
        <n v="71643740" u="1"/>
        <n v="71643741" u="1"/>
        <n v="71643742" u="1"/>
        <n v="71643743" u="1"/>
        <n v="71643744" u="1"/>
        <n v="55259936" u="1"/>
        <n v="55259937" u="1"/>
        <n v="71643745" u="1"/>
        <n v="71643746" u="1"/>
        <n v="71643747" u="1"/>
        <n v="71643748" u="1"/>
        <n v="71643749" u="1"/>
        <n v="71643750" u="1"/>
        <n v="71643751" u="1"/>
        <n v="71643752" u="1"/>
        <n v="71643753" u="1"/>
        <n v="71643754" u="1"/>
        <n v="71643755" u="1"/>
        <n v="71643756" u="1"/>
        <n v="71643757" u="1"/>
        <n v="71643758" u="1"/>
        <n v="71643759" u="1"/>
        <n v="71643760" u="1"/>
        <n v="71643761" u="1"/>
        <n v="71643762" u="1"/>
        <n v="71643763" u="1"/>
        <n v="71643764" u="1"/>
        <n v="55259938" u="1"/>
        <n v="71643765" u="1"/>
        <n v="71643766" u="1"/>
        <n v="71643767" u="1"/>
        <n v="71643768" u="1"/>
        <n v="71643769" u="1"/>
        <n v="71643770" u="1"/>
        <n v="71643771" u="1"/>
        <n v="71643772" u="1"/>
        <n v="71643773" u="1"/>
        <n v="71643774" u="1"/>
        <n v="71643775" u="1"/>
        <n v="71643776" u="1"/>
        <n v="71643777" u="1"/>
        <n v="71643778" u="1"/>
        <n v="71643779" u="1"/>
        <n v="71643780" u="1"/>
        <n v="71643781" u="1"/>
        <n v="71643782" u="1"/>
        <n v="71643783" u="1"/>
        <n v="71643784" u="1"/>
        <n v="71643785" u="1"/>
        <n v="71643786" u="1"/>
        <n v="71643787" u="1"/>
        <n v="71643788" u="1"/>
        <n v="71643789" u="1"/>
        <n v="71643790" u="1"/>
        <n v="71643791" u="1"/>
        <n v="71643792" u="1"/>
        <n v="71643793" u="1"/>
        <n v="71643794" u="1"/>
        <n v="71643795" u="1"/>
        <n v="71643796" u="1"/>
        <n v="71643797" u="1"/>
        <n v="71643798" u="1"/>
        <n v="71643799" u="1"/>
        <n v="71643800" u="1"/>
        <n v="55259939" u="1"/>
        <n v="71643801" u="1"/>
        <n v="71643802" u="1"/>
        <n v="71643803" u="1"/>
        <n v="71643804" u="1"/>
        <n v="71643805" u="1"/>
        <n v="71643806" u="1"/>
        <n v="71643807" u="1"/>
        <n v="71643808" u="1"/>
        <n v="71643809" u="1"/>
        <n v="71643810" u="1"/>
        <n v="71643811" u="1"/>
        <n v="71643812" u="1"/>
        <n v="71643813" u="1"/>
        <n v="71643814" u="1"/>
        <n v="71643815" u="1"/>
        <n v="71643816" u="1"/>
        <n v="71643817" u="1"/>
        <n v="71643818" u="1"/>
        <n v="71643819" u="1"/>
        <n v="71643820" u="1"/>
        <n v="71643821" u="1"/>
        <n v="71643822" u="1"/>
        <n v="73815611" u="1"/>
        <n v="73815612" u="1"/>
        <n v="73815613" u="1"/>
        <n v="73815614" u="1"/>
        <n v="73815615" u="1"/>
        <n v="73815616" u="1"/>
        <n v="73815617" u="1"/>
        <n v="73815618" u="1"/>
        <n v="73815619" u="1"/>
        <n v="73815620" u="1"/>
        <n v="73815621" u="1"/>
        <n v="73815622" u="1"/>
        <n v="73815623" u="1"/>
        <n v="73815624" u="1"/>
        <n v="73815625" u="1"/>
        <n v="73815626" u="1"/>
        <n v="73815627" u="1"/>
        <n v="73815628" u="1"/>
        <n v="73815629" u="1"/>
        <n v="73815630" u="1"/>
        <n v="73815631" u="1"/>
        <n v="73815632" u="1"/>
        <n v="73815633" u="1"/>
        <n v="73815634" u="1"/>
        <n v="73815635" u="1"/>
        <n v="74835425" u="1"/>
        <n v="73815636" u="1"/>
        <n v="73815637" u="1"/>
        <n v="73815638" u="1"/>
        <n v="73815639" u="1"/>
        <n v="73815640" u="1"/>
        <n v="73815641" u="1"/>
        <n v="73815642" u="1"/>
        <n v="73815643" u="1"/>
        <n v="73815644" u="1"/>
        <n v="73815645" u="1"/>
        <n v="73815646" u="1"/>
        <n v="73815647" u="1"/>
        <n v="73815648" u="1"/>
        <n v="73815649" u="1"/>
        <n v="73815650" u="1"/>
        <n v="73815651" u="1"/>
        <n v="73815652" u="1"/>
        <n v="73815653" u="1"/>
        <n v="73815654" u="1"/>
        <n v="73815655" u="1"/>
        <n v="73815656" u="1"/>
        <n v="73815657" u="1"/>
        <n v="73815658" u="1"/>
        <n v="73815659" u="1"/>
        <n v="73815660" u="1"/>
        <n v="73815661" u="1"/>
        <n v="73815662" u="1"/>
        <n v="73815663" u="1"/>
        <n v="73815664" u="1"/>
        <n v="73815665" u="1"/>
        <n v="73815666" u="1"/>
        <n v="73815667" u="1"/>
        <n v="73815668" u="1"/>
        <n v="73815669" u="1"/>
        <n v="73815670" u="1"/>
        <n v="73815671" u="1"/>
        <n v="73815672" u="1"/>
        <n v="73815673" u="1"/>
        <n v="73815674" u="1"/>
        <n v="73815675" u="1"/>
        <n v="73815676" u="1"/>
        <n v="73815677" u="1"/>
        <n v="73815678" u="1"/>
        <n v="73815679" u="1"/>
        <n v="73815680" u="1"/>
        <n v="73815681" u="1"/>
        <n v="73815682" u="1"/>
        <n v="73815683" u="1"/>
        <n v="73815684" u="1"/>
        <n v="73815685" u="1"/>
        <n v="73815686" u="1"/>
        <n v="73815687" u="1"/>
        <n v="73815688" u="1"/>
        <n v="73815689" u="1"/>
        <n v="73815690" u="1"/>
        <n v="73815691" u="1"/>
        <n v="73815692" u="1"/>
        <n v="73815693" u="1"/>
        <n v="73815694" u="1"/>
        <n v="73815695" u="1"/>
        <n v="73815696" u="1"/>
        <n v="73815697" u="1"/>
        <n v="73815698" u="1"/>
        <n v="73815699" u="1"/>
        <n v="73815700" u="1"/>
        <n v="73815701" u="1"/>
        <n v="73815702" u="1"/>
        <n v="73815703" u="1"/>
        <n v="73815704" u="1"/>
        <n v="73815705" u="1"/>
        <n v="73815706" u="1"/>
        <n v="73815707" u="1"/>
        <n v="73815708" u="1"/>
        <n v="73815709" u="1"/>
        <n v="73815710" u="1"/>
        <n v="73815711" u="1"/>
        <n v="73815712" u="1"/>
        <n v="73815713" u="1"/>
        <n v="73815714" u="1"/>
        <n v="73815715" u="1"/>
        <n v="73815716" u="1"/>
        <n v="73815717" u="1"/>
        <n v="73815718" u="1"/>
        <n v="73815719" u="1"/>
        <n v="73815720" u="1"/>
        <n v="73815721" u="1"/>
        <n v="73815722" u="1"/>
        <n v="73815723" u="1"/>
        <n v="73815724" u="1"/>
        <n v="74835426" u="1"/>
        <n v="75259940" u="1"/>
        <n v="73815725" u="1"/>
        <n v="73815726" u="1"/>
        <n v="73815727" u="1"/>
        <n v="73815728" u="1"/>
        <n v="73815729" u="1"/>
        <n v="73815730" u="1"/>
        <n v="73815731" u="1"/>
        <n v="73815732" u="1"/>
        <n v="73815733" u="1"/>
        <n v="73815734" u="1"/>
        <n v="73815735" u="1"/>
        <n v="73815736" u="1"/>
        <n v="73815737" u="1"/>
        <n v="73815738" u="1"/>
        <n v="73815739" u="1"/>
        <n v="73815740" u="1"/>
        <n v="73815741" u="1"/>
        <n v="73815742" u="1"/>
        <n v="73815743" u="1"/>
        <n v="73815744" u="1"/>
        <n v="73815745" u="1"/>
        <n v="73815746" u="1"/>
        <n v="73815747" u="1"/>
        <n v="73815748" u="1"/>
        <n v="73815749" u="1"/>
        <n v="73815750" u="1"/>
        <n v="73815751" u="1"/>
        <n v="73815752" u="1"/>
        <n v="73815753" u="1"/>
        <n v="73815754" u="1"/>
        <n v="73815755" u="1"/>
        <n v="73815756" u="1"/>
        <n v="73815757" u="1"/>
        <n v="73815758" u="1"/>
        <n v="73815759" u="1"/>
        <n v="73815760" u="1"/>
        <n v="73815761" u="1"/>
        <n v="73815762" u="1"/>
        <n v="73815763" u="1"/>
        <n v="73815764" u="1"/>
        <n v="73815765" u="1"/>
        <n v="74835427" u="1"/>
        <n v="73815766" u="1"/>
        <n v="73815767" u="1"/>
        <n v="73815768" u="1"/>
        <n v="73815769" u="1"/>
        <n v="73815770" u="1"/>
        <n v="73815771" u="1"/>
        <n v="73815772" u="1"/>
        <n v="73815773" u="1"/>
        <n v="73815774" u="1"/>
        <n v="73815775" u="1"/>
        <n v="73815776" u="1"/>
        <n v="73815777" u="1"/>
        <n v="73815778" u="1"/>
        <n v="73815779" u="1"/>
        <n v="73815780" u="1"/>
        <n v="73815781" u="1"/>
        <n v="73815782" u="1"/>
        <n v="73815783" u="1"/>
        <n v="73815784" u="1"/>
        <n v="73815785" u="1"/>
        <n v="73815786" u="1"/>
        <n v="73815787" u="1"/>
        <n v="73815788" u="1"/>
        <n v="73815789" u="1"/>
        <n v="73815790" u="1"/>
        <n v="73815791" u="1"/>
        <n v="73815792" u="1"/>
        <n v="73815793" u="1"/>
        <n v="73815794" u="1"/>
        <n v="73815795" u="1"/>
        <n v="73815796" u="1"/>
        <n v="73815797" u="1"/>
        <n v="73815798" u="1"/>
        <n v="73815799" u="1"/>
        <n v="73815800" u="1"/>
        <n v="73815801" u="1"/>
        <n v="73815802" u="1"/>
        <n v="73815803" u="1"/>
        <n v="73815804" u="1"/>
        <n v="73815805" u="1"/>
        <n v="73815806" u="1"/>
        <n v="73815807" u="1"/>
        <n v="73815808" u="1"/>
        <n v="73815809" u="1"/>
        <n v="73815810" u="1"/>
        <n v="74071811" u="1"/>
        <n v="74071812" u="1"/>
        <n v="74071813" u="1"/>
        <n v="74071824" u="1"/>
        <n v="74071825" u="1"/>
        <n v="74071826" u="1"/>
        <n v="74071827" u="1"/>
        <n v="74071828" u="1"/>
        <n v="74071829" u="1"/>
        <n v="74071830" u="1"/>
        <n v="74071831" u="1"/>
        <n v="74071832" u="1"/>
        <n v="74071833" u="1"/>
        <n v="74071834" u="1"/>
        <n v="74071835" u="1"/>
        <n v="74071836" u="1"/>
        <n v="74071837" u="1"/>
        <n v="74071838" u="1"/>
        <n v="74071839" u="1"/>
        <n v="74071840" u="1"/>
        <n v="74071841" u="1"/>
        <n v="74835428" u="1"/>
        <n v="75259941" u="1"/>
        <n v="74071842" u="1"/>
        <n v="74071843" u="1"/>
        <n v="74071844" u="1"/>
        <n v="74071845" u="1"/>
        <n v="74071846" u="1"/>
        <n v="74071847" u="1"/>
        <n v="74071848" u="1"/>
        <n v="74071849" u="1"/>
        <n v="4071846" u="1"/>
        <n v="4071847" u="1"/>
        <n v="4071848" u="1"/>
        <n v="4071849" u="1"/>
        <n v="74071814" u="1"/>
        <n v="74071815" u="1"/>
        <n v="74071816" u="1"/>
        <n v="74071817" u="1"/>
        <n v="74071818" u="1"/>
        <n v="74071819" u="1"/>
        <n v="74071820" u="1"/>
        <n v="74071821" u="1"/>
        <n v="74071822" u="1"/>
        <n v="74071823" u="1"/>
        <n v="93419143" u="1"/>
        <n v="93419144" u="1"/>
        <n v="93419145" u="1"/>
        <n v="93419146" u="1"/>
        <n v="93419147" u="1"/>
        <n v="93419148" u="1"/>
        <n v="93419149" u="1"/>
        <n v="93419150" u="1"/>
        <n v="93419151" u="1"/>
        <n v="93419152" u="1"/>
        <n v="93419153" u="1"/>
        <n v="93419154" u="1"/>
        <n v="93419155" u="1"/>
        <n v="93419156" u="1"/>
        <n v="93419157" u="1"/>
        <n v="93419158" u="1"/>
        <n v="93419159" u="1"/>
        <n v="93419160" u="1"/>
        <n v="93419161" u="1"/>
        <n v="93419162" u="1"/>
        <n v="93419163" u="1"/>
        <n v="37746149" u="1"/>
        <n v="93419164" u="1"/>
        <n v="93419165" u="1"/>
        <n v="93419166" u="1"/>
        <n v="93419167" u="1"/>
        <n v="93419168" u="1"/>
        <n v="93419169" u="1"/>
        <n v="93419170" u="1"/>
        <n v="93419171" u="1"/>
        <n v="93419172" u="1"/>
        <n v="93419173" u="1"/>
        <n v="93419174" u="1"/>
        <n v="93419175" u="1"/>
        <n v="93419176" u="1"/>
        <n v="93419177" u="1"/>
        <n v="93419178" u="1"/>
        <n v="93419179" u="1"/>
        <n v="93419180" u="1"/>
        <n v="93419181" u="1"/>
        <n v="93419182" u="1"/>
        <n v="93419183" u="1"/>
        <n v="93419184" u="1"/>
        <n v="93419185" u="1"/>
        <n v="93419186" u="1"/>
        <n v="93419187" u="1"/>
        <n v="93419188" u="1"/>
        <n v="93419189" u="1"/>
        <n v="93419190" u="1"/>
        <n v="93419191" u="1"/>
        <n v="93419192" u="1"/>
        <n v="93419193" u="1"/>
        <n v="93419194" u="1"/>
        <n v="93419195" u="1"/>
        <n v="93419196" u="1"/>
        <n v="93419197" u="1"/>
        <n v="93419198" u="1"/>
        <n v="93419199" u="1"/>
        <n v="93419200" u="1"/>
        <n v="93419201" u="1"/>
        <n v="93419202" u="1"/>
        <n v="93419203" u="1"/>
        <n v="93419204" u="1"/>
        <n v="93419205" u="1"/>
        <n v="93419206" u="1"/>
        <n v="93419207" u="1"/>
        <n v="93419208" u="1"/>
        <n v="93419209" u="1"/>
        <n v="93419210" u="1"/>
        <n v="93419211" u="1"/>
        <n v="93419212" u="1"/>
        <n v="93419213" u="1"/>
        <n v="93419214" u="1"/>
        <n v="93419215" u="1"/>
        <n v="93419216" u="1"/>
        <n v="93419217" u="1"/>
        <n v="93419218" u="1"/>
        <n v="93419219" u="1"/>
        <n v="93419220" u="1"/>
        <n v="93419221" u="1"/>
        <n v="93419222" u="1"/>
        <n v="93419223" u="1"/>
        <n v="93419224" u="1"/>
        <n v="93419225" u="1"/>
        <n v="93419226" u="1"/>
        <n v="93419227" u="1"/>
        <n v="93419228" u="1"/>
        <n v="93419229" u="1"/>
        <n v="93419230" u="1"/>
        <n v="93419231" u="1"/>
        <n v="93419232" u="1"/>
        <n v="93419233" u="1"/>
        <n v="93419234" u="1"/>
        <n v="93419235" u="1"/>
        <n v="93419236" u="1"/>
        <n v="93419237" u="1"/>
        <n v="93419238" u="1"/>
        <n v="93419239" u="1"/>
        <n v="93419240" u="1"/>
        <n v="93419241" u="1"/>
        <n v="93419242" u="1"/>
        <n v="93419243" u="1"/>
        <n v="93419244" u="1"/>
        <n v="93419245" u="1"/>
        <n v="93419246" u="1"/>
        <n v="93419247" u="1"/>
        <n v="93419248" u="1"/>
        <n v="93419249" u="1"/>
        <n v="93419250" u="1"/>
        <n v="93419251" u="1"/>
        <n v="93419252" u="1"/>
        <n v="93419253" u="1"/>
        <n v="93419254" u="1"/>
        <n v="93419255" u="1"/>
        <n v="93419256" u="1"/>
        <n v="93419257" u="1"/>
        <n v="93419258" u="1"/>
        <n v="93419259" u="1"/>
        <n v="93419260" u="1"/>
        <n v="93419261" u="1"/>
        <n v="93419262" u="1"/>
        <n v="93419263" u="1"/>
        <n v="93419264" u="1"/>
        <n v="93419265" u="1"/>
        <n v="93419266" u="1"/>
        <n v="93419267" u="1"/>
        <n v="93419268" u="1"/>
        <n v="93419269" u="1"/>
        <n v="93419270" u="1"/>
        <n v="93419271" u="1"/>
        <n v="93419272" u="1"/>
        <n v="93419273" u="1"/>
        <n v="93419274" u="1"/>
        <n v="93419275" u="1"/>
        <n v="93419276" u="1"/>
        <n v="93419277" u="1"/>
        <n v="93419278" u="1"/>
        <n v="93419279" u="1"/>
        <n v="93419280" u="1"/>
        <n v="93419281" u="1"/>
        <n v="93419282" u="1"/>
        <n v="93419283" u="1"/>
        <n v="93419284" u="1"/>
        <n v="93419285" u="1"/>
        <n v="93419286" u="1"/>
        <n v="93419287" u="1"/>
        <n v="93419288" u="1"/>
        <n v="93419289" u="1"/>
        <n v="93419290" u="1"/>
        <n v="93419291" u="1"/>
        <n v="93419292" u="1"/>
        <n v="93419293" u="1"/>
        <n v="63592596" u="1"/>
        <n v="63592597" u="1"/>
        <n v="63592598" u="1"/>
        <n v="63592599" u="1"/>
        <n v="63592600" u="1"/>
        <n v="63592601" u="1"/>
        <n v="63592602" u="1"/>
        <n v="63592603" u="1"/>
        <n v="63592604" u="1"/>
        <n v="93419294" u="1"/>
        <n v="93419295" u="1"/>
        <n v="93419296" u="1"/>
        <n v="93419297" u="1"/>
        <n v="93419298" u="1"/>
        <n v="93419299" u="1"/>
        <n v="93419300" u="1"/>
        <n v="93419301" u="1"/>
        <n v="93419302" u="1"/>
        <n v="93419303" u="1"/>
        <n v="93419304" u="1"/>
        <n v="63592605" u="1"/>
        <n v="93419305" u="1"/>
        <n v="93419306" u="1"/>
        <n v="93419307" u="1"/>
        <n v="93419308" u="1"/>
        <n v="93419309" u="1"/>
        <n v="93419310" u="1"/>
        <n v="93419311" u="1"/>
        <n v="93419312" u="1"/>
        <n v="93419313" u="1"/>
        <n v="93419314" u="1"/>
        <n v="93419315" u="1"/>
        <n v="93419316" u="1"/>
        <n v="93419317" u="1"/>
        <n v="93419318" u="1"/>
        <n v="93419319" u="1"/>
        <n v="93419320" u="1"/>
        <n v="93419321" u="1"/>
        <n v="93419322" u="1"/>
        <n v="93419323" u="1"/>
        <n v="93419324" u="1"/>
        <n v="93419325" u="1"/>
        <n v="93419326" u="1"/>
        <n v="93419327" u="1"/>
        <n v="93419328" u="1"/>
        <n v="93419329" u="1"/>
        <n v="37746150" u="1"/>
        <n v="37746151" u="1"/>
        <n v="93419330" u="1"/>
        <n v="37746152" u="1"/>
        <n v="37746153" u="1"/>
        <n v="37746154" u="1"/>
        <n v="37746155" u="1"/>
        <n v="37746156" u="1"/>
        <n v="37746157" u="1"/>
        <n v="37746158" u="1"/>
        <n v="37746159" u="1"/>
        <n v="93419331" u="1"/>
        <n v="93419332" u="1"/>
        <n v="93419333" u="1"/>
        <n v="93419334" u="1"/>
        <n v="93419335" u="1"/>
        <n v="93419336" u="1"/>
        <n v="93419337" u="1"/>
        <n v="93419338" u="1"/>
        <n v="93419339" u="1"/>
        <n v="93419340" u="1"/>
        <n v="93419341" u="1"/>
        <n v="93419342" u="1"/>
        <n v="93419343" u="1"/>
        <n v="93419344" u="1"/>
        <n v="93419345" u="1"/>
        <n v="93419346" u="1"/>
        <n v="93419347" u="1"/>
        <n v="93419348" u="1"/>
        <n v="93419349" u="1"/>
        <n v="93419350" u="1"/>
        <n v="93419351" u="1"/>
        <n v="93419352" u="1"/>
        <n v="93419353" u="1"/>
        <n v="93419354" u="1"/>
        <n v="93419355" u="1"/>
        <n v="93419356" u="1"/>
        <n v="93419357" u="1"/>
        <n v="37746160" u="1"/>
        <n v="37746161" u="1"/>
        <n v="37746162" u="1"/>
        <n v="37746163" u="1"/>
        <n v="37746164" u="1"/>
        <n v="37746165" u="1"/>
        <n v="37746166" u="1"/>
        <n v="37746167" u="1"/>
        <n v="37746168" u="1"/>
        <n v="37746169" u="1"/>
        <n v="37746170" u="1"/>
        <n v="37746171" u="1"/>
        <n v="37746172" u="1"/>
        <n v="37746173" u="1"/>
        <n v="37746174" u="1"/>
        <n v="93419358" u="1"/>
        <n v="93419359" u="1"/>
        <n v="93419360" u="1"/>
        <n v="93419361" u="1"/>
        <n v="93419362" u="1"/>
        <n v="93419363" u="1"/>
        <n v="93419364" u="1"/>
        <n v="93419365" u="1"/>
        <n v="93419366" u="1"/>
        <n v="93419367" u="1"/>
        <n v="93419368" u="1"/>
        <n v="93419369" u="1"/>
        <n v="93419370" u="1"/>
        <n v="93419371" u="1"/>
        <n v="93419372" u="1"/>
        <n v="93419373" u="1"/>
        <n v="93419374" u="1"/>
        <n v="93419375" u="1"/>
        <n v="93419376" u="1"/>
        <n v="93419377" u="1"/>
        <n v="93419378" u="1"/>
        <n v="93419379" u="1"/>
        <n v="93419380" u="1"/>
        <n v="93419381" u="1"/>
        <n v="93419382" u="1"/>
        <n v="93419383" u="1"/>
        <n v="93419384" u="1"/>
        <n v="93419385" u="1"/>
        <n v="93419386" u="1"/>
        <n v="93419387" u="1"/>
        <n v="93419388" u="1"/>
        <n v="93419389" u="1"/>
        <n v="93419390" u="1"/>
        <n v="93419391" u="1"/>
        <n v="93419392" u="1"/>
        <n v="93419393" u="1"/>
        <n v="93419394" u="1"/>
        <n v="93419395" u="1"/>
        <n v="93419396" u="1"/>
        <n v="93419397" u="1"/>
        <n v="93419398" u="1"/>
        <n v="93419399" u="1"/>
        <n v="93419400" u="1"/>
        <n v="93419401" u="1"/>
        <n v="93419402" u="1"/>
        <n v="93419403" u="1"/>
        <n v="93419404" u="1"/>
        <n v="93419405" u="1"/>
        <n v="93419406" u="1"/>
        <n v="93419407" u="1"/>
        <n v="93419408" u="1"/>
        <n v="93419409" u="1"/>
        <n v="93419410" u="1"/>
        <n v="93419411" u="1"/>
        <n v="93419412" u="1"/>
        <n v="93419413" u="1"/>
        <n v="93419414" u="1"/>
        <n v="93419415" u="1"/>
        <n v="93419416" u="1"/>
        <n v="93419417" u="1"/>
        <n v="93419418" u="1"/>
        <n v="93419419" u="1"/>
        <n v="93419420" u="1"/>
        <n v="93419421" u="1"/>
        <n v="93419422" u="1"/>
        <n v="93419423" u="1"/>
        <n v="93419424" u="1"/>
        <n v="93419425" u="1"/>
        <n v="93419426" u="1"/>
        <n v="93419427" u="1"/>
        <n v="93419428" u="1"/>
        <n v="93419429" u="1"/>
        <n v="93419430" u="1"/>
        <n v="93419431" u="1"/>
        <n v="93419432" u="1"/>
        <n v="93419433" u="1"/>
        <n v="93419434" u="1"/>
        <n v="93419435" u="1"/>
        <n v="93419436" u="1"/>
        <n v="93419437" u="1"/>
        <n v="93419438" u="1"/>
        <n v="93419439" u="1"/>
        <n v="93419440" u="1"/>
        <n v="93419441" u="1"/>
        <n v="93419442" u="1"/>
        <n v="93419443" u="1"/>
        <n v="93419444" u="1"/>
        <n v="93419445" u="1"/>
        <n v="93419446" u="1"/>
        <n v="93419447" u="1"/>
        <n v="93419448" u="1"/>
        <n v="93419449" u="1"/>
        <n v="93419450" u="1"/>
        <n v="93419451" u="1"/>
        <n v="93419452" u="1"/>
        <n v="93419453" u="1"/>
        <n v="93419454" u="1"/>
        <n v="93419455" u="1"/>
        <n v="93419456" u="1"/>
        <n v="93419457" u="1"/>
        <n v="93419458" u="1"/>
        <n v="93419459" u="1"/>
        <n v="93419460" u="1"/>
        <n v="93419461" u="1"/>
        <n v="93419462" u="1"/>
        <n v="93419463" u="1"/>
        <n v="93419464" u="1"/>
        <n v="93419465" u="1"/>
        <n v="93419466" u="1"/>
        <n v="93419467" u="1"/>
        <n v="93419468" u="1"/>
        <n v="93419469" u="1"/>
        <n v="93419470" u="1"/>
        <n v="93419471" u="1"/>
        <n v="93419472" u="1"/>
        <n v="93419473" u="1"/>
        <n v="93419474" u="1"/>
        <n v="93419475" u="1"/>
        <n v="93419476" u="1"/>
        <n v="93419477" u="1"/>
        <n v="93419478" u="1"/>
        <n v="93419479" u="1"/>
        <n v="93419480" u="1"/>
        <n v="93419481" u="1"/>
        <n v="93419482" u="1"/>
        <n v="93419483" u="1"/>
        <n v="93419484" u="1"/>
        <n v="93419485" u="1"/>
        <n v="93419486" u="1"/>
        <n v="93419487" u="1"/>
        <n v="93419488" u="1"/>
        <n v="93419489" u="1"/>
        <n v="93419490" u="1"/>
        <n v="93419491" u="1"/>
        <n v="93419492" u="1"/>
        <n v="93419493" u="1"/>
        <n v="93419494" u="1"/>
        <n v="93419495" u="1"/>
        <n v="93419496" u="1"/>
        <n v="93419497" u="1"/>
        <n v="93419498" u="1"/>
        <n v="93419499" u="1"/>
        <n v="93419500" u="1"/>
        <n v="93419501" u="1"/>
        <n v="93419502" u="1"/>
        <n v="93419503" u="1"/>
        <n v="93419504" u="1"/>
        <n v="93419505" u="1"/>
        <n v="93419506" u="1"/>
        <n v="93419507" u="1"/>
        <n v="93419508" u="1"/>
        <n v="93419509" u="1"/>
        <n v="93419510" u="1"/>
        <n v="93419511" u="1"/>
        <n v="93419512" u="1"/>
        <n v="93419513" u="1"/>
        <n v="93419514" u="1"/>
        <n v="93419515" u="1"/>
        <n v="93419516" u="1"/>
        <n v="93419517" u="1"/>
        <n v="93419518" u="1"/>
        <n v="93419519" u="1"/>
        <n v="93419520" u="1"/>
        <n v="93419521" u="1"/>
        <n v="93419522" u="1"/>
        <n v="93419523" u="1"/>
        <n v="93419524" u="1"/>
        <n v="93419525" u="1"/>
        <n v="93419526" u="1"/>
        <n v="93419527" u="1"/>
        <n v="93419528" u="1"/>
        <n v="93419529" u="1"/>
        <n v="93419530" u="1"/>
        <n v="93419531" u="1"/>
        <n v="93419532" u="1"/>
        <n v="93419533" u="1"/>
        <n v="93419534" u="1"/>
        <n v="93419535" u="1"/>
        <n v="93419536" u="1"/>
        <n v="93419537" u="1"/>
        <n v="93419538" u="1"/>
        <n v="93419539" u="1"/>
        <n v="93419540" u="1"/>
        <n v="93419541" u="1"/>
        <n v="93419542" u="1"/>
        <n v="93419543" u="1"/>
        <n v="93419544" u="1"/>
        <n v="93419545" u="1"/>
        <n v="93419546" u="1"/>
        <n v="93419547" u="1"/>
        <n v="93419548" u="1"/>
        <n v="93419549" u="1"/>
        <n v="93419550" u="1"/>
        <n v="93419551" u="1"/>
        <n v="93419552" u="1"/>
        <n v="93419553" u="1"/>
        <n v="93419554" u="1"/>
        <n v="93419555" u="1"/>
        <n v="93419556" u="1"/>
        <n v="93419557" u="1"/>
        <n v="93419558" u="1"/>
        <n v="93419559" u="1"/>
        <n v="93419560" u="1"/>
        <n v="93419561" u="1"/>
        <n v="93419562" u="1"/>
        <n v="93419563" u="1"/>
        <n v="93419564" u="1"/>
        <n v="93419565" u="1"/>
        <n v="93419566" u="1"/>
        <n v="93419567" u="1"/>
        <n v="93419568" u="1"/>
        <n v="93419569" u="1"/>
        <n v="93419570" u="1"/>
        <n v="93419571" u="1"/>
        <n v="93419572" u="1"/>
        <n v="93419573" u="1"/>
        <n v="93419574" u="1"/>
        <n v="93419575" u="1"/>
        <n v="93419576" u="1"/>
        <n v="93419577" u="1"/>
        <n v="93419578" u="1"/>
        <n v="93419579" u="1"/>
        <n v="93419580" u="1"/>
        <n v="93419581" u="1"/>
        <n v="93419582" u="1"/>
        <n v="93419583" u="1"/>
        <n v="93419584" u="1"/>
        <n v="93419585" u="1"/>
        <n v="93419586" u="1"/>
        <n v="93419587" u="1"/>
        <n v="93419588" u="1"/>
        <n v="93419589" u="1"/>
        <n v="93419590" u="1"/>
        <n v="93419591" u="1"/>
        <n v="93419592" u="1"/>
        <n v="93419593" u="1"/>
        <n v="93419594" u="1"/>
        <n v="93419595" u="1"/>
        <n v="93419596" u="1"/>
        <n v="93419597" u="1"/>
        <n v="93419598" u="1"/>
        <n v="93419599" u="1"/>
        <n v="93419600" u="1"/>
        <n v="93419601" u="1"/>
        <n v="93419602" u="1"/>
        <n v="93419603" u="1"/>
        <n v="93419604" u="1"/>
        <n v="93419605" u="1"/>
        <n v="93419606" u="1"/>
        <n v="93419607" u="1"/>
        <n v="93419608" u="1"/>
        <n v="93419609" u="1"/>
        <n v="93419610" u="1"/>
        <n v="93419611" u="1"/>
        <n v="93419612" u="1"/>
        <n v="93419613" u="1"/>
        <n v="93419614" u="1"/>
        <n v="93419615" u="1"/>
        <n v="93419616" u="1"/>
        <n v="93419617" u="1"/>
        <n v="93419618" u="1"/>
        <n v="93419619" u="1"/>
        <n v="93419620" u="1"/>
        <n v="93419621" u="1"/>
        <n v="93419622" u="1"/>
        <n v="93419623" u="1"/>
        <n v="93419624" u="1"/>
        <n v="93419625" u="1"/>
        <n v="93419626" u="1"/>
        <n v="93419627" u="1"/>
        <n v="93419628" u="1"/>
        <n v="93419629" u="1"/>
        <n v="93419630" u="1"/>
        <n v="93419631" u="1"/>
        <n v="93419632" u="1"/>
        <n v="93419633" u="1"/>
        <n v="93419634" u="1"/>
        <n v="93419635" u="1"/>
        <n v="93419636" u="1"/>
        <n v="93419637" u="1"/>
        <n v="93419638" u="1"/>
        <n v="93419639" u="1"/>
        <n v="93419640" u="1"/>
        <n v="93419641" u="1"/>
        <n v="93419642" u="1"/>
        <n v="93419643" u="1"/>
        <n v="93419644" u="1"/>
        <n v="93419645" u="1"/>
        <n v="93419646" u="1"/>
        <n v="93419647" u="1"/>
        <n v="93419648" u="1"/>
        <n v="93419649" u="1"/>
        <n v="93419650" u="1"/>
        <n v="93419651" u="1"/>
        <n v="93419652" u="1"/>
        <n v="93419653" u="1"/>
        <n v="93419654" u="1"/>
        <n v="93419655" u="1"/>
        <n v="93419656" u="1"/>
        <n v="93419657" u="1"/>
        <n v="93419658" u="1"/>
        <n v="93419659" u="1"/>
        <n v="93419660" u="1"/>
        <n v="93419661" u="1"/>
        <n v="93419662" u="1"/>
        <n v="93419663" u="1"/>
        <n v="93419664" u="1"/>
        <n v="93419665" u="1"/>
        <n v="93419666" u="1"/>
        <n v="93419667" u="1"/>
        <n v="93419668" u="1"/>
        <n v="93419669" u="1"/>
        <n v="93419670" u="1"/>
        <n v="93419671" u="1"/>
        <n v="93419672" u="1"/>
        <n v="93419673" u="1"/>
        <n v="93419674" u="1"/>
        <n v="93419675" u="1"/>
        <n v="93419676" u="1"/>
        <n v="93419677" u="1"/>
        <n v="93419678" u="1"/>
        <n v="93419679" u="1"/>
        <n v="93419680" u="1"/>
        <n v="93419681" u="1"/>
        <n v="93419682" u="1"/>
        <n v="93419683" u="1"/>
        <n v="93419684" u="1"/>
        <n v="93419685" u="1"/>
        <n v="93419686" u="1"/>
        <n v="93419687" u="1"/>
        <n v="93419688" u="1"/>
        <n v="93419689" u="1"/>
        <n v="93419690" u="1"/>
        <n v="93419691" u="1"/>
        <n v="93419692" u="1"/>
        <n v="93419693" u="1"/>
        <n v="93419694" u="1"/>
        <n v="93419695" u="1"/>
        <n v="93419696" u="1"/>
        <n v="93419697" u="1"/>
        <n v="93419698" u="1"/>
        <n v="93419699" u="1"/>
        <n v="93419700" u="1"/>
        <n v="93419701" u="1"/>
        <n v="93419702" u="1"/>
        <n v="93419703" u="1"/>
        <n v="93419704" u="1"/>
        <n v="93419705" u="1"/>
        <n v="93419706" u="1"/>
        <n v="93419707" u="1"/>
        <n v="93419708" u="1"/>
        <n v="93419709" u="1"/>
        <n v="93419710" u="1"/>
        <n v="93419711" u="1"/>
        <n v="93419712" u="1"/>
        <n v="93419713" u="1"/>
        <n v="93419714" u="1"/>
        <n v="93419715" u="1"/>
        <n v="93419716" u="1"/>
        <n v="93419717" u="1"/>
        <n v="93419718" u="1"/>
        <n v="93419719" u="1"/>
        <n v="93419720" u="1"/>
        <n v="93419721" u="1"/>
        <n v="93419722" u="1"/>
        <n v="93419723" u="1"/>
        <n v="93419724" u="1"/>
        <n v="93419725" u="1"/>
        <n v="93419726" u="1"/>
        <n v="93419727" u="1"/>
        <n v="93419728" u="1"/>
        <n v="93419729" u="1"/>
        <n v="93419730" u="1"/>
        <n v="93419731" u="1"/>
        <n v="93419732" u="1"/>
        <n v="93419733" u="1"/>
        <n v="93419734" u="1"/>
        <n v="93419735" u="1"/>
        <n v="93419736" u="1"/>
        <n v="93419737" u="1"/>
        <n v="93419738" u="1"/>
        <n v="93419739" u="1"/>
        <n v="93419740" u="1"/>
        <n v="93419741" u="1"/>
        <n v="93419742" u="1"/>
        <n v="93419743" u="1"/>
        <n v="93419744" u="1"/>
        <n v="93419745" u="1"/>
        <n v="93419746" u="1"/>
        <n v="93419747" u="1"/>
        <n v="93419748" u="1"/>
        <n v="93419749" u="1"/>
        <n v="93419750" u="1"/>
        <n v="93419751" u="1"/>
        <n v="93419752" u="1"/>
        <n v="93419753" u="1"/>
        <n v="93419754" u="1"/>
        <n v="93419755" u="1"/>
        <n v="93419756" u="1"/>
        <n v="93419757" u="1"/>
        <n v="93419758" u="1"/>
        <n v="93419759" u="1"/>
        <n v="93419760" u="1"/>
        <n v="93419761" u="1"/>
        <n v="93419762" u="1"/>
        <n v="93419763" u="1"/>
        <n v="93419764" u="1"/>
        <n v="93419765" u="1"/>
        <n v="93419766" u="1"/>
        <n v="93419767" u="1"/>
        <n v="93419768" u="1"/>
        <n v="93419769" u="1"/>
        <n v="93419770" u="1"/>
        <n v="93419771" u="1"/>
        <n v="93419772" u="1"/>
        <n v="93419773" u="1"/>
        <n v="93419774" u="1"/>
        <n v="93419775" u="1"/>
        <n v="93419776" u="1"/>
        <n v="93419777" u="1"/>
        <n v="93419778" u="1"/>
        <n v="93419779" u="1"/>
        <n v="93419780" u="1"/>
        <n v="93419781" u="1"/>
        <n v="93419782" u="1"/>
        <n v="93419783" u="1"/>
        <n v="93419784" u="1"/>
        <n v="93419785" u="1"/>
        <n v="93419786" u="1"/>
        <n v="93419787" u="1"/>
        <n v="93419788" u="1"/>
        <n v="93419789" u="1"/>
        <n v="93419790" u="1"/>
        <n v="93419791" u="1"/>
        <n v="93419792" u="1"/>
        <n v="93419793" u="1"/>
        <n v="93419794" u="1"/>
        <n v="93419795" u="1"/>
        <n v="93419796" u="1"/>
        <n v="93419797" u="1"/>
        <n v="93419798" u="1"/>
        <n v="93419799" u="1"/>
        <n v="93419800" u="1"/>
        <n v="93419801" u="1"/>
        <n v="93419802" u="1"/>
        <n v="93419803" u="1"/>
        <n v="93419804" u="1"/>
        <n v="93419805" u="1"/>
        <n v="93419806" u="1"/>
        <n v="93419807" u="1"/>
        <n v="93419808" u="1"/>
        <n v="93419809" u="1"/>
        <n v="93419810" u="1"/>
        <n v="93419811" u="1"/>
        <n v="93419812" u="1"/>
        <n v="93419813" u="1"/>
        <n v="93419814" u="1"/>
        <n v="93419815" u="1"/>
        <n v="93419816" u="1"/>
        <n v="93419817" u="1"/>
        <n v="93419818" u="1"/>
        <n v="93419819" u="1"/>
        <n v="93419820" u="1"/>
        <n v="93419821" u="1"/>
        <n v="93419822" u="1"/>
        <n v="93419823" u="1"/>
        <n v="93419824" u="1"/>
        <n v="93419825" u="1"/>
        <n v="93419826" u="1"/>
        <n v="93419827" u="1"/>
        <n v="93419828" u="1"/>
        <n v="93419829" u="1"/>
        <n v="93419830" u="1"/>
        <n v="93419831" u="1"/>
        <n v="93419832" u="1"/>
        <n v="93419833" u="1"/>
        <n v="93419834" u="1"/>
        <n v="93419835" u="1"/>
        <n v="93419836" u="1"/>
        <n v="93419837" u="1"/>
        <n v="93419838" u="1"/>
        <n v="93419839" u="1"/>
        <n v="93419840" u="1"/>
        <n v="93419841" u="1"/>
        <n v="93419842" u="1"/>
        <n v="93419843" u="1"/>
        <n v="93419844" u="1"/>
        <n v="93419845" u="1"/>
        <n v="93419846" u="1"/>
        <n v="93419847" u="1"/>
        <n v="93419848" u="1"/>
        <n v="93419849" u="1"/>
        <n v="93419850" u="1"/>
        <n v="93654451" u="1"/>
        <n v="93654452" u="1"/>
        <n v="93654453" u="1"/>
        <n v="93654454" u="1"/>
        <n v="93654455" u="1"/>
        <n v="93654456" u="1"/>
        <n v="93654457" u="1"/>
        <n v="93654458" u="1"/>
        <n v="93654459" u="1"/>
        <n v="93654460" u="1"/>
        <n v="93654461" u="1"/>
        <n v="93654462" u="1"/>
        <n v="93654463" u="1"/>
        <n v="93654464" u="1"/>
        <n v="93654465" u="1"/>
        <n v="93654466" u="1"/>
        <n v="93654467" u="1"/>
        <n v="93654468" u="1"/>
        <n v="93654469" u="1"/>
        <n v="93654470" u="1"/>
        <n v="93654471" u="1"/>
        <n v="93654472" u="1"/>
        <n v="93654473" u="1"/>
        <n v="93654474" u="1"/>
        <n v="93654475" u="1"/>
        <n v="93654476" u="1"/>
        <n v="93654477" u="1"/>
        <n v="93654478" u="1"/>
        <n v="93654479" u="1"/>
        <n v="93654480" u="1"/>
        <n v="93654481" u="1"/>
        <n v="93654482" u="1"/>
        <n v="93654483" u="1"/>
        <n v="93654484" u="1"/>
        <n v="93654485" u="1"/>
        <n v="93654486" u="1"/>
        <n v="93654487" u="1"/>
        <n v="93654488" u="1"/>
        <n v="93654489" u="1"/>
        <n v="93654490" u="1"/>
        <n v="93654491" u="1"/>
        <n v="93654492" u="1"/>
        <n v="93654493" u="1"/>
        <n v="93654494" u="1"/>
        <n v="93654495" u="1"/>
        <n v="93654496" u="1"/>
        <n v="93654497" u="1"/>
        <n v="93654498" u="1"/>
        <n v="93654499" u="1"/>
        <n v="93654500" u="1"/>
        <n v="93654501" u="1"/>
        <n v="93654502" u="1"/>
        <n v="93654503" u="1"/>
        <n v="93654504" u="1"/>
        <n v="93654505" u="1"/>
        <n v="93654506" u="1"/>
        <n v="93654507" u="1"/>
        <n v="93654508" u="1"/>
        <n v="93654509" u="1"/>
        <n v="93654510" u="1"/>
        <n v="93654511" u="1"/>
        <n v="93654512" u="1"/>
        <n v="93654513" u="1"/>
        <n v="93654514" u="1"/>
        <n v="93654515" u="1"/>
        <n v="93654516" u="1"/>
        <n v="93654517" u="1"/>
        <n v="93654518" u="1"/>
        <n v="93654519" u="1"/>
        <n v="93654520" u="1"/>
        <n v="93654521" u="1"/>
        <n v="93654522" u="1"/>
        <n v="93654523" u="1"/>
        <n v="93654524" u="1"/>
        <n v="93654525" u="1"/>
        <n v="93654526" u="1"/>
        <n v="93654527" u="1"/>
        <n v="93654528" u="1"/>
        <n v="93654529" u="1"/>
        <n v="93654530" u="1"/>
        <n v="93654531" u="1"/>
        <n v="93654532" u="1"/>
        <n v="93654533" u="1"/>
        <n v="93654534" u="1"/>
        <n v="93654535" u="1"/>
        <n v="93654536" u="1"/>
        <n v="93654537" u="1"/>
        <n v="93654538" u="1"/>
        <n v="93654539" u="1"/>
        <n v="93654540" u="1"/>
        <n v="93654541" u="1"/>
        <n v="93654542" u="1"/>
        <n v="93654543" u="1"/>
        <n v="93654544" u="1"/>
        <n v="93654545" u="1"/>
        <n v="93654546" u="1"/>
        <n v="93654547" u="1"/>
        <n v="93654548" u="1"/>
        <n v="93654549" u="1"/>
        <n v="93654550" u="1"/>
        <n v="93654551" u="1"/>
        <n v="93654552" u="1"/>
        <n v="93654553" u="1"/>
        <n v="93654554" u="1"/>
        <n v="93654555" u="1"/>
        <n v="93654556" u="1"/>
        <n v="93654557" u="1"/>
        <n v="93654558" u="1"/>
        <n v="93654559" u="1"/>
        <n v="93654560" u="1"/>
        <n v="93654561" u="1"/>
        <n v="93654562" u="1"/>
        <n v="93654563" u="1"/>
        <n v="93654564" u="1"/>
        <n v="93654565" u="1"/>
        <n v="93654566" u="1"/>
        <n v="93654567" u="1"/>
        <n v="93654568" u="1"/>
        <n v="93654569" u="1"/>
        <n v="93654570" u="1"/>
        <n v="93654571" u="1"/>
        <n v="93654572" u="1"/>
        <n v="93654573" u="1"/>
        <n v="93654574" u="1"/>
        <n v="93654575" u="1"/>
        <n v="93654576" u="1"/>
        <n v="93654577" u="1"/>
        <n v="93654578" u="1"/>
        <n v="93654579" u="1"/>
        <n v="93654580" u="1"/>
        <n v="93654581" u="1"/>
        <n v="93654582" u="1"/>
        <n v="93654583" u="1"/>
        <n v="93654584" u="1"/>
        <n v="93654585" u="1"/>
        <n v="93654586" u="1"/>
        <n v="93654587" u="1"/>
        <n v="93654588" u="1"/>
        <n v="93654589" u="1"/>
        <n v="93654590" u="1"/>
        <n v="93654591" u="1"/>
        <n v="93654592" u="1"/>
        <n v="93654593" u="1"/>
        <n v="93654594" u="1"/>
        <n v="93654595" u="1"/>
        <n v="93654596" u="1"/>
        <n v="93654597" u="1"/>
        <n v="93654598" u="1"/>
        <n v="93654599" u="1"/>
        <n v="93654600" u="1"/>
        <n v="93654601" u="1"/>
        <n v="93654602" u="1"/>
        <n v="93654603" u="1"/>
        <n v="93654604" u="1"/>
        <n v="93654606" u="1"/>
        <n v="93654607" u="1"/>
        <n v="93654608" u="1"/>
        <n v="93654609" u="1"/>
        <n v="93654610" u="1"/>
        <n v="93654611" u="1"/>
        <n v="93654612" u="1"/>
        <n v="93654613" u="1"/>
        <n v="93654614" u="1"/>
        <n v="93654615" u="1"/>
        <n v="93654616" u="1"/>
        <n v="93654617" u="1"/>
        <n v="93654618" u="1"/>
        <n v="93654619" u="1"/>
        <n v="93654620" u="1"/>
        <n v="93654621" u="1"/>
        <n v="93654622" u="1"/>
        <n v="93654623" u="1"/>
        <n v="93654624" u="1"/>
        <n v="93654625" u="1"/>
        <n v="93654626" u="1"/>
        <n v="93654627" u="1"/>
        <n v="93654628" u="1"/>
        <n v="93654629" u="1"/>
        <n v="93654630" u="1"/>
        <n v="93654631" u="1"/>
        <n v="93654632" u="1"/>
        <n v="93654633" u="1"/>
        <n v="93654634" u="1"/>
        <n v="93654635" u="1"/>
        <n v="93654636" u="1"/>
        <n v="93654637" u="1"/>
        <n v="93654638" u="1"/>
        <n v="93654639" u="1"/>
        <n v="93654640" u="1"/>
        <n v="93654641" u="1"/>
        <n v="93654642" u="1"/>
        <n v="93654643" u="1"/>
        <n v="93654644" u="1"/>
        <n v="93654645" u="1"/>
        <n v="93654646" u="1"/>
        <n v="93654647" u="1"/>
        <n v="93654648" u="1"/>
        <n v="93654649" u="1"/>
        <n v="93654650" u="1"/>
        <n v="93654651" u="1"/>
        <n v="93654652" u="1"/>
        <n v="93654653" u="1"/>
        <n v="93654654" u="1"/>
        <n v="93654655" u="1"/>
        <n v="93654656" u="1"/>
        <n v="93654657" u="1"/>
        <n v="93654658" u="1"/>
        <n v="93654659" u="1"/>
        <n v="93654660" u="1"/>
        <n v="93654661" u="1"/>
        <n v="93654662" u="1"/>
        <n v="93654663" u="1"/>
        <n v="93654664" u="1"/>
        <n v="93654666" u="1"/>
        <n v="93654667" u="1"/>
        <n v="93654668" u="1"/>
        <n v="93654669" u="1"/>
        <n v="93654670" u="1"/>
        <n v="93654671" u="1"/>
        <n v="93654672" u="1"/>
        <n v="93654673" u="1"/>
        <n v="93654674" u="1"/>
        <n v="93654675" u="1"/>
        <n v="93654676" u="1"/>
        <n v="93654677" u="1"/>
        <n v="93654678" u="1"/>
        <n v="93654679" u="1"/>
        <n v="93654680" u="1"/>
        <n v="93654681" u="1"/>
        <n v="93654682" u="1"/>
        <n v="93654683" u="1"/>
        <n v="93654684" u="1"/>
        <n v="93654685" u="1"/>
        <n v="93654686" u="1"/>
        <n v="93654687" u="1"/>
        <n v="93654688" u="1"/>
        <n v="93654689" u="1"/>
        <n v="93654690" u="1"/>
        <n v="93654691" u="1"/>
        <n v="93654692" u="1"/>
        <n v="93654693" u="1"/>
        <n v="93654694" u="1"/>
        <n v="93654695" u="1"/>
        <n v="93654696" u="1"/>
        <n v="93654697" u="1"/>
        <n v="93654698" u="1"/>
        <n v="93654699" u="1"/>
        <n v="93654700" u="1"/>
        <n v="93654701" u="1"/>
        <n v="93654702" u="1"/>
        <n v="93654703" u="1"/>
        <n v="93654704" u="1"/>
        <n v="93654705" u="1"/>
        <n v="93654706" u="1"/>
        <n v="93654707" u="1"/>
        <n v="93654708" u="1"/>
        <n v="93654709" u="1"/>
        <n v="93654710" u="1"/>
        <n v="93654711" u="1"/>
        <n v="93654712" u="1"/>
        <n v="93654713" u="1"/>
        <n v="93654714" u="1"/>
        <n v="93654715" u="1"/>
        <n v="93654716" u="1"/>
        <n v="93654717" u="1"/>
        <n v="93654718" u="1"/>
        <n v="93654719" u="1"/>
        <n v="93654720" u="1"/>
        <n v="93654721" u="1"/>
        <n v="93654722" u="1"/>
        <n v="93654723" u="1"/>
        <n v="93654724" u="1"/>
        <n v="93654725" u="1"/>
        <n v="93654726" u="1"/>
        <n v="93654727" u="1"/>
        <n v="93654728" u="1"/>
        <n v="93654729" u="1"/>
        <n v="93654730" u="1"/>
        <n v="93654731" u="1"/>
        <n v="93654732" u="1"/>
        <n v="93654733" u="1"/>
        <n v="93654734" u="1"/>
        <n v="93654735" u="1"/>
        <n v="93654736" u="1"/>
        <n v="93654737" u="1"/>
        <n v="93654738" u="1"/>
        <n v="93654739" u="1"/>
        <n v="93654740" u="1"/>
        <n v="93654741" u="1"/>
        <n v="93654742" u="1"/>
        <n v="93654743" u="1"/>
        <n v="93654744" u="1"/>
        <n v="93654745" u="1"/>
        <n v="93654746" u="1"/>
        <n v="93654747" u="1"/>
        <n v="93654748" u="1"/>
        <n v="93654749" u="1"/>
        <n v="93654750" u="1"/>
        <n v="93654751" u="1"/>
        <n v="93654752" u="1"/>
        <n v="93654753" u="1"/>
        <n v="93654754" u="1"/>
        <n v="93654755" u="1"/>
        <n v="93654756" u="1"/>
        <n v="93654757" u="1"/>
        <n v="93654758" u="1"/>
        <n v="93654759" u="1"/>
        <n v="93654760" u="1"/>
        <n v="93654761" u="1"/>
        <n v="93654762" u="1"/>
        <n v="93654763" u="1"/>
        <n v="93654764" u="1"/>
        <n v="93654765" u="1"/>
        <n v="93654766" u="1"/>
        <n v="93654767" u="1"/>
        <n v="93654768" u="1"/>
        <n v="93654769" u="1"/>
        <n v="93654770" u="1"/>
        <n v="93654771" u="1"/>
        <n v="93654772" u="1"/>
        <n v="93654773" u="1"/>
        <n v="93654774" u="1"/>
        <n v="93654775" u="1"/>
        <n v="93654776" u="1"/>
        <n v="93654777" u="1"/>
        <n v="93654778" u="1"/>
        <n v="93654779" u="1"/>
        <n v="93654780" u="1"/>
        <n v="93654781" u="1"/>
        <n v="93654782" u="1"/>
        <n v="93654783" u="1"/>
        <n v="93654784" u="1"/>
        <n v="93654785" u="1"/>
        <n v="93654786" u="1"/>
        <n v="93654787" u="1"/>
        <n v="93654788" u="1"/>
        <n v="93654789" u="1"/>
        <n v="93654790" u="1"/>
        <n v="93654791" u="1"/>
        <n v="93654792" u="1"/>
        <n v="93654793" u="1"/>
        <n v="93654794" u="1"/>
        <n v="93654795" u="1"/>
        <n v="93654796" u="1"/>
        <n v="93654797" u="1"/>
        <n v="93654798" u="1"/>
        <n v="93654799" u="1"/>
        <n v="93654800" u="1"/>
        <n v="93654801" u="1"/>
        <n v="93654802" u="1"/>
        <n v="93654803" u="1"/>
        <n v="93654804" u="1"/>
        <n v="93654805" u="1"/>
        <n v="93654806" u="1"/>
        <n v="93654807" u="1"/>
        <n v="93654808" u="1"/>
        <n v="93654809" u="1"/>
        <n v="93654810" u="1"/>
        <n v="93654811" u="1"/>
        <n v="93654812" u="1"/>
        <n v="93654813" u="1"/>
        <n v="93654815" u="1"/>
        <n v="93654816" u="1"/>
        <n v="93654817" u="1"/>
        <n v="93654818" u="1"/>
        <n v="93654823" u="1"/>
        <n v="93654826" u="1"/>
        <n v="93654827" u="1"/>
        <n v="93654830" u="1"/>
        <n v="93654831" u="1"/>
        <n v="93654832" u="1"/>
        <n v="93654833" u="1"/>
        <n v="93654834" u="1"/>
        <n v="93654835" u="1"/>
        <n v="93654836" u="1"/>
        <n v="93654837" u="1"/>
        <n v="93654838" u="1"/>
        <n v="93654839" u="1"/>
        <n v="93654840" u="1"/>
        <n v="93654841" u="1"/>
        <n v="93654842" u="1"/>
        <n v="93654843" u="1"/>
        <n v="93654844" u="1"/>
        <n v="93654845" u="1"/>
        <n v="93654846" u="1"/>
        <n v="93654847" u="1"/>
        <n v="93654848" u="1"/>
        <n v="93654849" u="1"/>
        <n v="93654850" u="1"/>
        <n v="93654851" u="1"/>
        <n v="93654852" u="1"/>
        <n v="93654853" u="1"/>
        <n v="93654854" u="1"/>
        <n v="93654855" u="1"/>
        <n v="93654856" u="1"/>
        <n v="93654857" u="1"/>
        <n v="93654858" u="1"/>
        <n v="93654859" u="1"/>
        <n v="93654860" u="1"/>
        <n v="93654861" u="1"/>
        <n v="93654862" u="1"/>
        <n v="93654863" u="1"/>
        <n v="93654864" u="1"/>
        <n v="93654865" u="1"/>
        <n v="93654866" u="1"/>
        <n v="93654867" u="1"/>
        <n v="93654868" u="1"/>
        <n v="93654869" u="1"/>
        <n v="93654870" u="1"/>
        <n v="93654871" u="1"/>
        <n v="93654872" u="1"/>
        <n v="93654873" u="1"/>
        <n v="93654874" u="1"/>
        <n v="93654875" u="1"/>
        <n v="93654876" u="1"/>
        <n v="93654877" u="1"/>
        <n v="93654878" u="1"/>
        <n v="93654879" u="1"/>
        <n v="93654880" u="1"/>
        <n v="93654881" u="1"/>
        <n v="93654882" u="1"/>
        <n v="93654883" u="1"/>
        <n v="93654884" u="1"/>
        <n v="93654885" u="1"/>
        <n v="1" u="1"/>
        <n v="2" u="1"/>
        <n v="93654886" u="1"/>
        <n v="93654887" u="1"/>
        <n v="93654888" u="1"/>
        <n v="93654889" u="1"/>
        <n v="93654890" u="1"/>
        <n v="93654891" u="1"/>
        <n v="93654892" u="1"/>
        <n v="93654893" u="1"/>
        <n v="93654894" u="1"/>
        <n v="93654895" u="1"/>
        <n v="93654896" u="1"/>
        <n v="93654897" u="1"/>
        <n v="93654898" u="1"/>
        <n v="93654899" u="1"/>
        <n v="93654900" u="1"/>
        <n v="93654901" u="1"/>
        <n v="93654902" u="1"/>
        <n v="93654903" u="1"/>
        <n v="93654904" u="1"/>
        <n v="93654905" u="1"/>
        <n v="93654906" u="1"/>
        <n v="93654907" u="1"/>
        <n v="93654908" u="1"/>
        <n v="93654909" u="1"/>
        <n v="93654910" u="1"/>
        <n v="93654911" u="1"/>
        <n v="3" u="1"/>
        <n v="4" u="1"/>
        <n v="5" u="1"/>
        <n v="6" u="1"/>
        <n v="7" u="1"/>
        <n v="93654912" u="1"/>
        <n v="93654913" u="1"/>
        <n v="93654914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93654918" u="1"/>
        <n v="93654919" u="1"/>
        <n v="93654920" u="1"/>
        <n v="93654921" u="1"/>
        <n v="93654922" u="1"/>
        <n v="93654923" u="1"/>
        <n v="93654924" u="1"/>
        <n v="93654925" u="1"/>
        <n v="93654926" u="1"/>
        <n v="93654927" u="1"/>
        <n v="93654928" u="1"/>
        <n v="93654929" u="1"/>
        <n v="93654915" u="1"/>
        <n v="93654916" u="1"/>
        <n v="93654917" u="1"/>
        <n v="93654955" u="1"/>
        <n v="93654956" u="1"/>
        <n v="93654957" u="1"/>
        <n v="93654958" u="1"/>
        <n v="93654959" u="1"/>
        <n v="93654930" u="1"/>
        <n v="93654931" u="1"/>
        <n v="93654932" u="1"/>
        <n v="93654933" u="1"/>
        <n v="93654934" u="1"/>
        <n v="93654935" u="1"/>
        <n v="93654936" u="1"/>
        <n v="93654937" u="1"/>
        <n v="93654938" u="1"/>
        <n v="93654939" u="1"/>
        <n v="93654940" u="1"/>
        <n v="93654941" u="1"/>
        <n v="93654942" u="1"/>
        <n v="93654943" u="1"/>
        <n v="93654944" u="1"/>
        <n v="93654945" u="1"/>
        <n v="93654946" u="1"/>
        <n v="93654947" u="1"/>
        <n v="93654948" u="1"/>
        <n v="93654949" u="1"/>
        <n v="93654950" u="1"/>
        <n v="93654951" u="1"/>
        <n v="93654952" u="1"/>
        <n v="93654953" u="1"/>
        <n v="93654954" u="1"/>
        <n v="93654960" u="1"/>
        <n v="93654961" u="1"/>
        <n v="93654962" u="1"/>
        <n v="93654963" u="1"/>
        <n v="93654964" u="1"/>
        <n v="93654965" u="1"/>
        <n v="93654966" u="1"/>
        <n v="93654967" u="1"/>
        <n v="93654968" u="1"/>
        <n v="93654969" u="1"/>
        <n v="93654970" u="1"/>
        <n v="93654971" u="1"/>
        <n v="93654972" u="1"/>
        <n v="93654973" u="1"/>
        <n v="93654974" u="1"/>
        <n v="93654975" u="1"/>
        <n v="93654976" u="1"/>
        <n v="93654977" u="1"/>
        <n v="93654978" u="1"/>
        <n v="93654979" u="1"/>
        <n v="93654980" u="1"/>
        <n v="93654981" u="1"/>
        <n v="93654982" u="1"/>
        <n v="93654983" u="1"/>
        <n v="93654984" u="1"/>
        <n v="93654985" u="1"/>
        <n v="93654986" u="1"/>
        <n v="93654987" u="1"/>
        <n v="93654988" u="1"/>
        <n v="93654989" u="1"/>
        <n v="93654990" u="1"/>
        <n v="93654991" u="1"/>
        <n v="93654992" u="1"/>
        <n v="93654993" u="1"/>
        <n v="93654994" u="1"/>
        <n v="93654995" u="1"/>
        <n v="93654996" u="1"/>
        <n v="93654997" u="1"/>
        <n v="93654998" u="1"/>
        <n v="93654999" u="1"/>
        <n v="93655000" u="1"/>
        <n v="93655001" u="1"/>
        <n v="27" u="1"/>
        <n v="93655002" u="1"/>
        <n v="93655003" u="1"/>
        <n v="93655004" u="1"/>
        <n v="93655005" u="1"/>
        <n v="93655006" u="1"/>
        <n v="93655007" u="1"/>
        <n v="93655008" u="1"/>
        <n v="93655009" u="1"/>
        <n v="93655010" u="1"/>
        <n v="93655011" u="1"/>
        <n v="93655012" u="1"/>
        <n v="93655013" u="1"/>
        <n v="93655014" u="1"/>
        <n v="93655015" u="1"/>
        <n v="93655016" u="1"/>
        <n v="93655017" u="1"/>
        <n v="93655018" u="1"/>
        <n v="93655019" u="1"/>
        <n v="93655020" u="1"/>
        <n v="93655021" u="1"/>
        <n v="93655022" u="1"/>
        <n v="93655023" u="1"/>
        <n v="93655024" u="1"/>
        <n v="93655025" u="1"/>
        <n v="93655026" u="1"/>
        <n v="93655027" u="1"/>
        <n v="93655028" u="1"/>
        <n v="93655029" u="1"/>
        <n v="93655030" u="1"/>
        <n v="93655031" u="1"/>
        <n v="93655032" u="1"/>
        <n v="93655033" u="1"/>
        <n v="93655034" u="1"/>
        <n v="93655035" u="1"/>
        <n v="93655036" u="1"/>
        <n v="93655037" u="1"/>
        <n v="93655038" u="1"/>
        <n v="93655039" u="1"/>
        <n v="93655040" u="1"/>
        <n v="28" u="1"/>
        <n v="29" u="1"/>
        <n v="30" u="1"/>
        <n v="31" u="1"/>
        <n v="32" u="1"/>
        <n v="33" u="1"/>
        <n v="34" u="1"/>
        <n v="35" u="1"/>
        <n v="36" u="1"/>
        <n v="93655041" u="1"/>
        <n v="93655042" u="1"/>
        <n v="93655043" u="1"/>
        <n v="93655044" u="1"/>
        <n v="93655045" u="1"/>
        <n v="93655046" u="1"/>
        <n v="93655047" u="1"/>
        <n v="93655048" u="1"/>
        <n v="93655049" u="1"/>
        <n v="93655050" u="1"/>
        <n v="93655051" u="1"/>
        <n v="93655052" u="1"/>
        <n v="93655053" u="1"/>
        <n v="93655054" u="1"/>
        <n v="93655055" u="1"/>
        <n v="93655056" u="1"/>
        <n v="93655057" u="1"/>
        <n v="93655058" u="1"/>
        <n v="93655059" u="1"/>
        <n v="93655060" u="1"/>
        <n v="93655061" u="1"/>
        <n v="93655062" u="1"/>
        <n v="93655063" u="1"/>
        <n v="93655064" u="1"/>
        <n v="93655065" u="1"/>
        <n v="93655066" u="1"/>
        <n v="93655067" u="1"/>
        <n v="93655068" u="1"/>
        <n v="93655069" u="1"/>
        <n v="93655070" u="1"/>
        <n v="93655071" u="1"/>
        <n v="93655072" u="1"/>
        <n v="93655073" u="1"/>
        <n v="93655074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93655075" u="1"/>
        <n v="93655076" u="1"/>
        <n v="93655077" u="1"/>
        <n v="93655078" u="1"/>
        <n v="93655079" u="1"/>
        <n v="93655080" u="1"/>
        <n v="93655081" u="1"/>
        <n v="93655082" u="1"/>
        <n v="93655083" u="1"/>
        <n v="93655084" u="1"/>
        <n v="93655085" u="1"/>
        <n v="93655087" u="1"/>
        <n v="93655088" u="1"/>
        <n v="93655089" u="1"/>
        <n v="52" u="1"/>
        <n v="53" u="1"/>
        <n v="54" u="1"/>
        <n v="55" u="1"/>
        <n v="56" u="1"/>
        <n v="57" u="1"/>
        <n v="58" u="1"/>
        <n v="59" u="1"/>
        <n v="93655090" u="1"/>
        <n v="93655091" u="1"/>
        <n v="93655092" u="1"/>
        <n v="93655093" u="1"/>
        <n v="93655094" u="1"/>
        <n v="93655095" u="1"/>
        <n v="93655096" u="1"/>
        <n v="93655097" u="1"/>
        <n v="93655098" u="1"/>
        <n v="93655099" u="1"/>
        <n v="93655100" u="1"/>
        <n v="93655101" u="1"/>
        <n v="93655102" u="1"/>
        <n v="93655103" u="1"/>
        <n v="93655104" u="1"/>
        <n v="60" u="1"/>
        <n v="93655105" u="1"/>
        <n v="93655106" u="1"/>
        <n v="93655107" u="1"/>
        <n v="93655108" u="1"/>
        <n v="93655109" u="1"/>
        <n v="93655110" u="1"/>
        <n v="93655111" u="1"/>
        <n v="93655112" u="1"/>
        <n v="93655113" u="1"/>
        <n v="93655114" u="1"/>
        <n v="93655115" u="1"/>
        <n v="93655116" u="1"/>
        <n v="93655117" u="1"/>
        <n v="93655118" u="1"/>
        <n v="93655119" u="1"/>
        <n v="93655120" u="1"/>
        <n v="93655121" u="1"/>
        <n v="93655122" u="1"/>
        <n v="93655123" u="1"/>
        <n v="93655124" u="1"/>
        <n v="93655125" u="1"/>
        <n v="93655126" u="1"/>
        <n v="93655127" u="1"/>
        <n v="93655128" u="1"/>
        <n v="93655129" u="1"/>
        <n v="93655130" u="1"/>
        <n v="93655131" u="1"/>
        <n v="93655132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93655133" u="1"/>
        <n v="93655134" u="1"/>
        <n v="93655135" u="1"/>
        <n v="93655136" u="1"/>
        <n v="93655137" u="1"/>
        <n v="93655138" u="1"/>
        <n v="93655139" u="1"/>
        <n v="93655140" u="1"/>
        <n v="93655141" u="1"/>
        <n v="93655142" u="1"/>
        <n v="93655143" u="1"/>
        <n v="93655144" u="1"/>
        <n v="93655145" u="1"/>
        <n v="93655146" u="1"/>
        <n v="93655147" u="1"/>
        <n v="93655148" u="1"/>
        <n v="93655149" u="1"/>
        <n v="93655150" u="1"/>
        <n v="93655151" u="1"/>
        <n v="93655152" u="1"/>
        <n v="93655153" u="1"/>
        <n v="93655154" u="1"/>
        <n v="93655155" u="1"/>
        <n v="93655156" u="1"/>
        <n v="93655157" u="1"/>
        <n v="93655158" u="1"/>
        <n v="93655159" u="1"/>
        <n v="93655160" u="1"/>
        <n v="93655161" u="1"/>
        <n v="93655162" u="1"/>
        <n v="93655163" u="1"/>
        <n v="93655164" u="1"/>
        <n v="93655165" u="1"/>
        <n v="93655166" u="1"/>
        <n v="93655167" u="1"/>
        <n v="93655168" u="1"/>
        <n v="93655169" u="1"/>
        <n v="93655170" u="1"/>
        <n v="93655171" u="1"/>
        <n v="93655172" u="1"/>
        <n v="93655173" u="1"/>
        <n v="93655174" u="1"/>
        <n v="93655175" u="1"/>
        <n v="93655176" u="1"/>
        <n v="93655177" u="1"/>
        <n v="93655178" u="1"/>
        <n v="93655179" u="1"/>
        <n v="93655180" u="1"/>
        <n v="93655181" u="1"/>
        <n v="93655182" u="1"/>
        <n v="93655183" u="1"/>
        <n v="93655184" u="1"/>
        <n v="93655185" u="1"/>
        <n v="93655186" u="1"/>
        <n v="93655187" u="1"/>
        <n v="93655188" u="1"/>
        <n v="93655189" u="1"/>
        <n v="93655190" u="1"/>
        <n v="93655191" u="1"/>
        <n v="93655192" u="1"/>
        <n v="93655193" u="1"/>
        <n v="93655194" u="1"/>
        <n v="93655195" u="1"/>
        <n v="93655196" u="1"/>
        <n v="93655197" u="1"/>
        <n v="93655198" u="1"/>
        <n v="93655199" u="1"/>
        <n v="93655200" u="1"/>
        <n v="93655201" u="1"/>
        <n v="93655202" u="1"/>
        <n v="93655203" u="1"/>
        <n v="93655204" u="1"/>
        <n v="93655205" u="1"/>
        <n v="93655206" u="1"/>
        <n v="93655207" u="1"/>
        <n v="93655208" u="1"/>
        <n v="93655209" u="1"/>
        <n v="93655210" u="1"/>
        <n v="93655211" u="1"/>
        <n v="93655212" u="1"/>
        <n v="93655213" u="1"/>
        <n v="93655214" u="1"/>
        <n v="93655215" u="1"/>
        <n v="93655216" u="1"/>
        <n v="93655217" u="1"/>
        <n v="93655218" u="1"/>
        <n v="93655219" u="1"/>
        <n v="93655220" u="1"/>
        <n v="93655221" u="1"/>
        <n v="93655222" u="1"/>
        <n v="93655223" u="1"/>
        <n v="93655224" u="1"/>
        <n v="82" u="1"/>
        <n v="83" u="1"/>
        <n v="84" u="1"/>
        <n v="85" u="1"/>
        <n v="86" u="1"/>
        <n v="87" u="1"/>
        <n v="88" u="1"/>
        <n v="93655225" u="1"/>
        <n v="93655226" u="1"/>
        <n v="93655227" u="1"/>
        <n v="93655228" u="1"/>
        <n v="93655229" u="1"/>
        <n v="93655230" u="1"/>
        <n v="93655231" u="1"/>
        <n v="93655232" u="1"/>
        <n v="93655233" u="1"/>
        <n v="93655234" u="1"/>
        <n v="93655235" u="1"/>
        <n v="93655236" u="1"/>
        <n v="93655237" u="1"/>
        <n v="93655238" u="1"/>
        <n v="93655239" u="1"/>
        <n v="93655240" u="1"/>
        <n v="93655241" u="1"/>
        <n v="93655242" u="1"/>
        <n v="93655243" u="1"/>
        <n v="93655244" u="1"/>
        <n v="93655245" u="1"/>
        <n v="93655246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3655247" u="1"/>
        <n v="93655248" u="1"/>
        <n v="93655249" u="1"/>
        <n v="93655250" u="1"/>
        <n v="93655251" u="1"/>
        <n v="93655252" u="1"/>
        <n v="93655253" u="1"/>
        <n v="93655254" u="1"/>
        <n v="93655255" u="1"/>
        <n v="93655256" u="1"/>
        <n v="93655257" u="1"/>
        <n v="93655258" u="1"/>
        <n v="93655259" u="1"/>
        <n v="93655260" u="1"/>
        <n v="93655261" u="1"/>
        <n v="93655262" u="1"/>
        <n v="93655263" u="1"/>
        <n v="93655264" u="1"/>
        <n v="93655265" u="1"/>
        <n v="93655266" u="1"/>
        <n v="93655267" u="1"/>
        <n v="93655268" u="1"/>
        <n v="93655269" u="1"/>
        <n v="93655270" u="1"/>
        <n v="93655271" u="1"/>
        <n v="93655272" u="1"/>
        <n v="93655273" u="1"/>
        <n v="93655274" u="1"/>
        <n v="93655275" u="1"/>
        <n v="93655276" u="1"/>
        <n v="93655277" u="1"/>
        <n v="93655278" u="1"/>
        <n v="93655279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93655280" u="1"/>
        <n v="93655281" u="1"/>
        <n v="93655282" u="1"/>
        <n v="93655283" u="1"/>
        <n v="93655284" u="1"/>
        <n v="93655285" u="1"/>
        <n v="93655286" u="1"/>
        <n v="93655287" u="1"/>
        <n v="93655288" u="1"/>
        <n v="93655289" u="1"/>
        <n v="93655290" u="1"/>
        <n v="93655291" u="1"/>
        <n v="93655292" u="1"/>
        <n v="93655293" u="1"/>
        <n v="93655294" u="1"/>
        <n v="93655295" u="1"/>
        <n v="93655296" u="1"/>
        <n v="93655297" u="1"/>
        <n v="93655298" u="1"/>
        <n v="93655299" u="1"/>
        <n v="93655300" u="1"/>
        <n v="93655301" u="1"/>
        <n v="93655302" u="1"/>
        <n v="93655303" u="1"/>
        <n v="93655304" u="1"/>
        <n v="93655305" u="1"/>
        <n v="93655306" u="1"/>
        <n v="93655307" u="1"/>
        <n v="93655308" u="1"/>
        <n v="93655309" u="1"/>
        <n v="93655310" u="1"/>
        <n v="93655311" u="1"/>
        <n v="93655312" u="1"/>
        <n v="93655313" u="1"/>
        <n v="93655314" u="1"/>
        <n v="93655315" u="1"/>
        <n v="93655316" u="1"/>
        <n v="93655317" u="1"/>
        <n v="109" u="1"/>
        <n v="110" u="1"/>
        <n v="111" u="1"/>
        <n v="112" u="1"/>
        <n v="113" u="1"/>
        <n v="114" u="1"/>
        <n v="115" u="1"/>
        <n v="93655318" u="1"/>
        <n v="93655319" u="1"/>
        <n v="93655320" u="1"/>
        <n v="93655321" u="1"/>
        <n v="93655322" u="1"/>
        <n v="93655323" u="1"/>
        <n v="93655324" u="1"/>
        <n v="93655325" u="1"/>
        <n v="93655326" u="1"/>
        <n v="93655327" u="1"/>
        <n v="93655328" u="1"/>
        <n v="93655329" u="1"/>
        <n v="93655330" u="1"/>
        <n v="93655331" u="1"/>
        <n v="93655332" u="1"/>
        <n v="93655333" u="1"/>
        <n v="116" u="1"/>
        <n v="117" u="1"/>
        <n v="118" u="1"/>
        <n v="119" u="1"/>
        <n v="93655334" u="1"/>
        <n v="93655335" u="1"/>
        <n v="93655336" u="1"/>
        <n v="93655337" u="1"/>
        <n v="93655338" u="1"/>
        <n v="93655339" u="1"/>
        <n v="93655340" u="1"/>
        <n v="93655341" u="1"/>
        <n v="93655342" u="1"/>
        <n v="93655343" u="1"/>
        <n v="93655344" u="1"/>
        <n v="120" u="1"/>
        <n v="121" u="1"/>
        <n v="122" u="1"/>
        <n v="123" u="1"/>
        <n v="124" u="1"/>
        <n v="128" u="1"/>
        <n v="126" u="1"/>
        <n v="93655345" u="1"/>
        <n v="93655346" u="1"/>
        <n v="127" u="1"/>
        <n v="93655347" u="1"/>
        <n v="93655348" u="1"/>
        <n v="93655349" u="1"/>
        <n v="93655350" u="1"/>
        <n v="93655351" u="1"/>
        <n v="93655352" u="1"/>
        <n v="93655353" u="1"/>
        <n v="93655354" u="1"/>
        <n v="93655355" u="1"/>
        <n v="93655356" u="1"/>
        <n v="93655357" u="1"/>
        <n v="93655358" u="1"/>
        <n v="93655359" u="1"/>
        <n v="93655360" u="1"/>
        <n v="93655361" u="1"/>
        <n v="93655362" u="1"/>
        <n v="93655363" u="1"/>
        <n v="93655364" u="1"/>
        <n v="93655365" u="1"/>
        <n v="93655366" u="1"/>
        <n v="93655367" u="1"/>
        <n v="93655368" u="1"/>
        <n v="93655369" u="1"/>
        <n v="93655370" u="1"/>
        <n v="93655371" u="1"/>
        <n v="93655372" u="1"/>
        <n v="93655373" u="1"/>
        <n v="93655374" u="1"/>
        <n v="93655375" u="1"/>
        <n v="93655376" u="1"/>
        <n v="93655377" u="1"/>
        <n v="93655378" u="1"/>
        <n v="93655379" u="1"/>
        <n v="93655380" u="1"/>
        <n v="93655381" u="1"/>
        <n v="93655382" u="1"/>
        <n v="93655383" u="1"/>
        <n v="93655384" u="1"/>
        <n v="93655385" u="1"/>
        <n v="93655386" u="1"/>
        <n v="93655387" u="1"/>
        <n v="93655388" u="1"/>
        <n v="93655389" u="1"/>
        <n v="93655390" u="1"/>
        <n v="93655391" u="1"/>
        <n v="132" u="1"/>
        <n v="133" u="1"/>
        <n v="134" u="1"/>
        <n v="131" u="1"/>
        <n v="137" u="1"/>
        <n v="135" u="1"/>
        <n v="136" u="1"/>
        <n v="138" u="1"/>
        <n v="139" u="1"/>
        <n v="140" u="1"/>
        <n v="141" u="1"/>
        <n v="142" u="1"/>
        <n v="146" u="1"/>
        <n v="93655392" u="1"/>
        <n v="93655393" u="1"/>
        <n v="93655394" u="1"/>
        <n v="93655395" u="1"/>
        <n v="93655396" u="1"/>
        <n v="93655397" u="1"/>
        <n v="93655398" u="1"/>
        <n v="93655399" u="1"/>
        <n v="93655400" u="1"/>
        <n v="93655401" u="1"/>
        <n v="93655402" u="1"/>
        <n v="93655403" u="1"/>
        <n v="144" u="1"/>
        <n v="145" u="1"/>
        <n v="147" u="1"/>
        <n v="148" u="1"/>
        <n v="149" u="1"/>
        <n v="150" u="1"/>
        <n v="151" u="1"/>
        <n v="152" u="1"/>
        <n v="153" u="1"/>
        <n v="177" u="1"/>
        <n v="176" u="1"/>
        <n v="175" u="1"/>
        <n v="157" u="1"/>
        <n v="158" u="1"/>
        <n v="172" u="1"/>
        <n v="160" u="1"/>
        <n v="161" u="1"/>
        <n v="162" u="1"/>
        <n v="163" u="1"/>
        <n v="167" u="1"/>
        <n v="165" u="1"/>
        <n v="166" u="1"/>
        <n v="164" u="1"/>
        <n v="168" u="1"/>
        <n v="169" u="1"/>
        <n v="170" u="1"/>
        <n v="171" u="1"/>
        <n v="173" u="1"/>
        <n v="174" u="1"/>
        <n v="178" u="1"/>
        <n v="182" u="1"/>
        <n v="93655404" u="1"/>
        <n v="93655405" u="1"/>
        <n v="93655406" u="1"/>
        <n v="93655407" u="1"/>
        <n v="93655408" u="1"/>
        <n v="93655409" u="1"/>
        <n v="93655410" u="1"/>
        <n v="93655411" u="1"/>
        <n v="93655412" u="1"/>
        <n v="93655413" u="1"/>
        <n v="93655414" u="1"/>
        <n v="93655415" u="1"/>
        <n v="93655416" u="1"/>
        <n v="93655417" u="1"/>
        <n v="93655418" u="1"/>
        <n v="93655419" u="1"/>
        <n v="93655420" u="1"/>
        <n v="93655421" u="1"/>
        <n v="93655422" u="1"/>
        <n v="93655423" u="1"/>
        <n v="93655424" u="1"/>
        <n v="93655425" u="1"/>
        <n v="93655426" u="1"/>
        <n v="93655427" u="1"/>
        <n v="93655428" u="1"/>
        <n v="93655429" u="1"/>
        <n v="93655430" u="1"/>
        <n v="93655431" u="1"/>
        <n v="93655432" u="1"/>
        <n v="93655433" u="1"/>
        <n v="93655434" u="1"/>
        <n v="93655435" u="1"/>
        <n v="93655436" u="1"/>
        <n v="180" u="1"/>
        <n v="181" u="1"/>
        <n v="183" u="1"/>
        <n v="191" u="1"/>
        <n v="188" u="1"/>
        <n v="189" u="1"/>
        <n v="187" u="1"/>
        <n v="190" u="1"/>
        <n v="192" u="1"/>
        <n v="194" u="1"/>
        <n v="195" u="1"/>
        <n v="196" u="1"/>
        <n v="93655437" u="1"/>
        <n v="93655438" u="1"/>
        <n v="93655439" u="1"/>
        <n v="197" u="1"/>
        <n v="198" u="1"/>
        <n v="199" u="1"/>
        <n v="200" u="1"/>
        <n v="204" u="1"/>
        <n v="203" u="1"/>
        <n v="202" u="1"/>
        <n v="201" u="1"/>
        <n v="206" u="1"/>
        <n v="205" u="1"/>
        <n v="207" u="1"/>
        <n v="208" u="1"/>
        <n v="209" u="1"/>
        <n v="93655440" u="1"/>
        <n v="93655441" u="1"/>
        <n v="93655442" u="1"/>
        <n v="93655443" u="1"/>
        <n v="93655444" u="1"/>
        <n v="93655445" u="1"/>
        <n v="93655446" u="1"/>
        <n v="93655447" u="1"/>
        <n v="93966901" u="1"/>
        <n v="93966902" u="1"/>
        <n v="93966903" u="1"/>
        <n v="93966904" u="1"/>
        <n v="93966905" u="1"/>
        <n v="93966906" u="1"/>
        <n v="93966907" u="1"/>
        <n v="93966908" u="1"/>
        <n v="93966909" u="1"/>
        <n v="93966910" u="1"/>
        <n v="93966911" u="1"/>
        <n v="93966912" u="1"/>
        <n v="93966913" u="1"/>
        <n v="93966914" u="1"/>
        <n v="93966915" u="1"/>
        <n v="93966916" u="1"/>
        <n v="93966917" u="1"/>
        <n v="93966918" u="1"/>
        <n v="93966919" u="1"/>
        <n v="93966920" u="1"/>
        <n v="93966921" u="1"/>
        <n v="215" u="1"/>
        <n v="216" u="1"/>
        <n v="213" u="1"/>
        <n v="214" u="1"/>
        <n v="210" u="1"/>
        <n v="211" u="1"/>
        <n v="212" u="1"/>
        <n v="217" u="1"/>
        <n v="218" u="1"/>
        <n v="219" u="1"/>
        <n v="220" u="1"/>
        <n v="221" u="1"/>
        <n v="222" u="1"/>
        <n v="223" u="1"/>
        <n v="224" u="1"/>
        <n v="226" u="1"/>
        <n v="227" u="1"/>
        <n v="225" u="1"/>
        <n v="228" u="1"/>
        <n v="230" u="1"/>
        <n v="229" u="1"/>
        <n v="234" u="1"/>
        <n v="235" u="1"/>
        <n v="236" u="1"/>
        <n v="231" u="1"/>
        <n v="232" u="1"/>
        <n v="233" u="1"/>
        <n v="237" u="1"/>
        <n v="238" u="1"/>
        <n v="93966922" u="1"/>
        <n v="93966923" u="1"/>
        <n v="93966924" u="1"/>
        <n v="93966925" u="1"/>
        <n v="93966926" u="1"/>
        <n v="93966927" u="1"/>
        <n v="93966928" u="1"/>
        <n v="93966929" u="1"/>
        <n v="93966930" u="1"/>
        <n v="93966931" u="1"/>
        <n v="93966932" u="1"/>
        <n v="93966933" u="1"/>
        <n v="93966934" u="1"/>
        <n v="93966935" u="1"/>
        <n v="93966936" u="1"/>
        <n v="93966937" u="1"/>
        <n v="93966938" u="1"/>
        <n v="93966939" u="1"/>
        <n v="93966940" u="1"/>
        <n v="93966941" u="1"/>
        <n v="93655448" u="1"/>
        <n v="93655449" u="1"/>
        <n v="93966942" u="1"/>
        <n v="93966943" u="1"/>
        <n v="93966944" u="1"/>
        <n v="93966945" u="1"/>
        <n v="93966946" u="1"/>
        <n v="93966947" u="1"/>
        <n v="93966948" u="1"/>
        <n v="93966949" u="1"/>
        <n v="93966950" u="1"/>
        <n v="93966951" u="1"/>
        <n v="93966952" u="1"/>
        <n v="93966953" u="1"/>
        <n v="93655450" u="1"/>
        <n v="93966954" u="1"/>
        <n v="93966955" u="1"/>
        <n v="93966956" u="1"/>
        <n v="93966957" u="1"/>
        <n v="93966958" u="1"/>
        <n v="93966959" u="1"/>
        <n v="93966960" u="1"/>
        <n v="93966961" u="1"/>
        <n v="93966962" u="1"/>
        <n v="239" u="1"/>
        <n v="240" u="1"/>
        <n v="245" u="1"/>
        <n v="242" u="1"/>
        <n v="243" u="1"/>
        <n v="241" u="1"/>
        <n v="248" u="1"/>
        <n v="249" u="1"/>
        <n v="244" u="1"/>
        <n v="247" u="1"/>
        <n v="246" u="1"/>
        <n v="250" u="1"/>
        <n v="251" u="1"/>
        <n v="252" u="1"/>
        <n v="253" u="1"/>
        <n v="259" u="1"/>
        <n v="260" u="1"/>
        <n v="261" u="1"/>
        <n v="266" u="1"/>
        <n v="262" u="1"/>
        <n v="257" u="1"/>
        <n v="256" u="1"/>
        <n v="255" u="1"/>
        <n v="254" u="1"/>
        <n v="263" u="1"/>
        <n v="93966963" u="1"/>
        <n v="93966964" u="1"/>
        <n v="93966965" u="1"/>
        <n v="93966966" u="1"/>
        <n v="93966967" u="1"/>
        <n v="93966968" u="1"/>
        <n v="93966969" u="1"/>
        <n v="93966970" u="1"/>
        <n v="93966971" u="1"/>
        <n v="93966972" u="1"/>
        <n v="93966973" u="1"/>
        <n v="93966974" u="1"/>
        <n v="93966975" u="1"/>
        <n v="93966976" u="1"/>
        <n v="93966977" u="1"/>
        <n v="93966978" u="1"/>
        <n v="93966979" u="1"/>
        <n v="93966980" u="1"/>
        <n v="93966981" u="1"/>
        <n v="93966982" u="1"/>
        <n v="93966983" u="1"/>
        <n v="93966984" u="1"/>
        <n v="93966985" u="1"/>
        <n v="93966986" u="1"/>
        <n v="93966987" u="1"/>
        <n v="93966988" u="1"/>
        <n v="93966989" u="1"/>
        <n v="93966990" u="1"/>
        <n v="93966991" u="1"/>
        <n v="93966992" u="1"/>
        <n v="93966993" u="1"/>
        <n v="93966994" u="1"/>
        <n v="93966995" u="1"/>
        <n v="93966996" u="1"/>
        <n v="93966997" u="1"/>
        <n v="93966998" u="1"/>
        <n v="93966999" u="1"/>
        <n v="93967000" u="1"/>
        <n v="93967001" u="1"/>
        <n v="93967002" u="1"/>
        <n v="93967003" u="1"/>
        <n v="93967004" u="1"/>
        <n v="93967005" u="1"/>
        <n v="93967006" u="1"/>
        <n v="264" u="1"/>
        <n v="267" u="1"/>
        <n v="258" u="1"/>
        <n v="265" u="1"/>
        <n v="268" u="1"/>
        <n v="269" u="1"/>
        <n v="270" u="1"/>
        <n v="271" u="1"/>
        <n v="272" u="1"/>
        <n v="273" u="1"/>
        <n v="274" u="1"/>
        <n v="275" u="1"/>
        <n v="276" u="1"/>
        <n v="277" u="1"/>
        <n v="278" u="1"/>
        <n v="279" u="1"/>
        <n v="93967007" u="1"/>
        <n v="93967008" u="1"/>
        <n v="93967009" u="1"/>
        <n v="93967010" u="1"/>
        <n v="93967011" u="1"/>
        <n v="93967012" u="1"/>
        <n v="93967013" u="1"/>
        <n v="93967014" u="1"/>
        <n v="93967015" u="1"/>
        <n v="93967016" u="1"/>
        <n v="93967017" u="1"/>
        <n v="93967018" u="1"/>
        <n v="93967019" u="1"/>
        <n v="93967020" u="1"/>
        <n v="93967021" u="1"/>
        <n v="93967022" u="1"/>
        <n v="93967023" u="1"/>
        <n v="93967024" u="1"/>
        <n v="93967025" u="1"/>
        <n v="283" u="1"/>
        <n v="284" u="1"/>
        <n v="285" u="1"/>
        <n v="286" u="1"/>
        <n v="287" u="1"/>
        <n v="292" u="1"/>
        <n v="280" u="1"/>
        <n v="290" u="1"/>
        <n v="294" u="1"/>
        <n v="291" u="1"/>
        <n v="293" u="1"/>
        <n v="288" u="1"/>
        <n v="289" u="1"/>
        <n v="281" u="1"/>
        <n v="282" u="1"/>
        <n v="300" u="1"/>
        <n v="298" u="1"/>
        <n v="299" u="1"/>
        <n v="295" u="1"/>
        <n v="297" u="1"/>
        <n v="296" u="1"/>
        <n v="301" u="1"/>
        <n v="306" u="1"/>
        <n v="307" u="1"/>
        <n v="308" u="1"/>
        <n v="309" u="1"/>
        <n v="310" u="1"/>
        <n v="311" u="1"/>
        <n v="312" u="1"/>
        <n v="313" u="1"/>
        <n v="303" u="1"/>
        <n v="302" u="1"/>
        <n v="304" u="1"/>
        <n v="305" u="1"/>
        <n v="314" u="1"/>
        <n v="93967026" u="1"/>
        <n v="93967027" u="1"/>
        <n v="93967028" u="1"/>
        <n v="93967029" u="1"/>
        <n v="93967030" u="1"/>
        <n v="93967031" u="1"/>
        <n v="93967032" u="1"/>
        <n v="93967033" u="1"/>
        <n v="93967034" u="1"/>
        <n v="93967035" u="1"/>
        <n v="93967036" u="1"/>
        <n v="93967037" u="1"/>
        <n v="93967038" u="1"/>
        <n v="93967039" u="1"/>
        <n v="93967040" u="1"/>
        <n v="93967041" u="1"/>
        <n v="93967042" u="1"/>
        <n v="93967043" u="1"/>
        <n v="93967044" u="1"/>
        <n v="93967046" u="1"/>
        <n v="93967047" u="1"/>
        <n v="93967048" u="1"/>
        <n v="93967049" u="1"/>
        <n v="93967050" u="1"/>
        <n v="93967051" u="1"/>
        <n v="93967052" u="1"/>
        <n v="315" u="1"/>
        <n v="316" u="1"/>
        <n v="317" u="1"/>
        <n v="318" u="1"/>
        <n v="328" u="1"/>
        <n v="329" u="1"/>
        <n v="330" u="1"/>
        <n v="327" u="1"/>
        <n v="320" u="1"/>
        <n v="321" u="1"/>
        <n v="322" u="1"/>
        <n v="323" u="1"/>
        <n v="324" u="1"/>
        <n v="326" u="1"/>
        <n v="325" u="1"/>
        <n v="331" u="1"/>
        <n v="93967053" u="1"/>
        <n v="93967054" u="1"/>
        <n v="93967055" u="1"/>
        <n v="93967056" u="1"/>
        <n v="93967057" u="1"/>
        <n v="93967058" u="1"/>
        <n v="93967059" u="1"/>
        <n v="93967060" u="1"/>
        <n v="332" u="1"/>
        <n v="93967061" u="1"/>
        <n v="333" u="1"/>
        <n v="334" u="1"/>
        <n v="335" u="1"/>
        <n v="336" u="1"/>
        <n v="337" u="1"/>
        <n v="338" u="1"/>
        <n v="339" u="1"/>
        <n v="340" u="1"/>
        <n v="341" u="1"/>
        <n v="342" u="1"/>
        <n v="343" u="1"/>
        <n v="344" u="1"/>
        <n v="345" u="1"/>
        <n v="346" u="1"/>
        <n v="347" u="1"/>
        <n v="348" u="1"/>
        <n v="349" u="1"/>
        <n v="350" u="1"/>
        <n v="351" u="1"/>
        <n v="352" u="1"/>
        <n v="353" u="1"/>
        <n v="355" u="1"/>
        <n v="354" u="1"/>
        <n v="356" u="1"/>
        <n v="357" u="1"/>
        <n v="358" u="1"/>
        <n v="359" u="1"/>
        <n v="93967062" u="1"/>
        <n v="360" u="1"/>
        <n v="361" u="1"/>
        <n v="362" u="1"/>
        <n v="363" u="1"/>
        <n v="364" u="1"/>
        <n v="365" u="1"/>
        <n v="366" u="1"/>
        <n v="367" u="1"/>
        <n v="368" u="1"/>
        <n v="369" u="1"/>
        <n v="370" u="1"/>
        <n v="371" u="1"/>
        <n v="372" u="1"/>
        <n v="93967063" u="1"/>
        <n v="93967064" u="1"/>
        <n v="93967065" u="1"/>
        <n v="93967066" u="1"/>
        <n v="93967067" u="1"/>
        <n v="93967068" u="1"/>
        <n v="93967069" u="1"/>
        <n v="93967070" u="1"/>
        <n v="93967071" u="1"/>
        <n v="373" u="1"/>
        <n v="374" u="1"/>
        <n v="375" u="1"/>
        <n v="376" u="1"/>
        <n v="377" u="1"/>
        <n v="378" u="1"/>
        <n v="93967072" u="1"/>
        <n v="93967073" u="1"/>
        <n v="93967074" u="1"/>
        <n v="93967075" u="1"/>
        <n v="93967076" u="1"/>
        <n v="93967077" u="1"/>
        <n v="93967078" u="1"/>
        <n v="379" u="1"/>
        <n v="380" u="1"/>
        <n v="381" u="1"/>
        <n v="382" u="1"/>
        <n v="383" u="1"/>
        <n v="384" u="1"/>
        <n v="93967079" u="1"/>
        <n v="93967080" u="1"/>
        <n v="93967081" u="1"/>
        <n v="93967082" u="1"/>
        <n v="93967083" u="1"/>
        <n v="93967084" u="1"/>
        <n v="93967085" u="1"/>
        <n v="93967086" u="1"/>
        <n v="93967087" u="1"/>
        <n v="93967088" u="1"/>
        <n v="93967089" u="1"/>
        <n v="93967090" u="1"/>
        <n v="93967091" u="1"/>
        <n v="93967092" u="1"/>
        <n v="93967093" u="1"/>
        <n v="93967094" u="1"/>
        <n v="93967095" u="1"/>
        <n v="93967096" u="1"/>
        <n v="93967097" u="1"/>
        <n v="93967098" u="1"/>
        <n v="93967099" u="1"/>
        <n v="93967100" u="1"/>
        <n v="93967101" u="1"/>
        <n v="93967102" u="1"/>
        <n v="93967103" u="1"/>
        <n v="385" u="1"/>
        <n v="386" u="1"/>
        <n v="387" u="1"/>
        <n v="388" u="1"/>
        <n v="389" u="1"/>
        <n v="390" u="1"/>
        <n v="391" u="1"/>
        <n v="392" u="1"/>
        <n v="393" u="1"/>
        <n v="394" u="1"/>
        <n v="395" u="1"/>
        <n v="396" u="1"/>
        <n v="402" u="1"/>
        <n v="403" u="1"/>
        <n v="397" u="1"/>
        <n v="398" u="1"/>
        <n v="399" u="1"/>
        <n v="400" u="1"/>
        <n v="401" u="1"/>
        <n v="404" u="1"/>
        <n v="405" u="1"/>
        <n v="409" u="1"/>
        <n v="410" u="1"/>
        <n v="411" u="1"/>
        <n v="412" u="1"/>
        <n v="413" u="1"/>
        <n v="414" u="1"/>
        <n v="415" u="1"/>
        <n v="416" u="1"/>
        <n v="417" u="1"/>
        <n v="418" u="1"/>
        <n v="419" u="1"/>
        <n v="420" u="1"/>
        <n v="406" u="1"/>
        <n v="407" u="1"/>
        <n v="408" u="1"/>
        <n v="421" u="1"/>
        <n v="422" u="1"/>
        <n v="423" u="1"/>
        <n v="424" u="1"/>
        <n v="425" u="1"/>
        <n v="426" u="1"/>
        <n v="427" u="1"/>
        <n v="428" u="1"/>
        <n v="429" u="1"/>
        <n v="430" u="1"/>
        <n v="431" u="1"/>
        <n v="93967104" u="1"/>
        <n v="93967105" u="1"/>
        <n v="93967106" u="1"/>
        <n v="93967107" u="1"/>
        <n v="432" u="1"/>
        <n v="433" u="1"/>
        <n v="434" u="1"/>
        <n v="435" u="1"/>
        <n v="436" u="1"/>
        <n v="437" u="1"/>
        <n v="438" u="1"/>
        <n v="439" u="1"/>
        <n v="440" u="1"/>
        <n v="441" u="1"/>
        <n v="442" u="1"/>
        <n v="443" u="1"/>
        <n v="93967108" u="1"/>
        <n v="444" u="1"/>
        <n v="445" u="1"/>
        <n v="125012" u="1"/>
        <n v="125013" u="1"/>
        <n v="125014" u="1"/>
        <n v="93967109" u="1"/>
        <n v="446" u="1"/>
        <n v="447" u="1"/>
        <n v="448" u="1"/>
        <n v="449" u="1"/>
        <n v="450" u="1"/>
        <n v="451" u="1"/>
        <n v="452" u="1"/>
        <n v="453" u="1"/>
        <n v="125015" u="1"/>
        <n v="125016" u="1"/>
        <n v="125017" u="1"/>
        <n v="125018" u="1"/>
        <n v="125019" u="1"/>
        <n v="125020" u="1"/>
        <n v="125021" u="1"/>
        <n v="125022" u="1"/>
        <n v="93967110" u="1"/>
        <n v="93967111" u="1"/>
        <n v="93967112" u="1"/>
        <n v="93967113" u="1"/>
        <n v="93967114" u="1"/>
        <n v="93967115" u="1"/>
        <n v="93967116" u="1"/>
        <n v="93967117" u="1"/>
        <n v="93967118" u="1"/>
        <n v="93967119" u="1"/>
        <n v="93967120" u="1"/>
        <n v="93967121" u="1"/>
        <n v="125023" u="1"/>
        <n v="125024" u="1"/>
        <n v="125025" u="1"/>
        <n v="125026" u="1"/>
        <n v="125027" u="1"/>
        <n v="125028" u="1"/>
        <n v="125029" u="1"/>
        <n v="125030" u="1"/>
        <n v="125031" u="1"/>
        <n v="125032" u="1"/>
        <n v="125033" u="1"/>
        <n v="125034" u="1"/>
        <n v="125035" u="1"/>
        <n v="125036" u="1"/>
        <n v="125037" u="1"/>
        <n v="125038" u="1"/>
        <n v="125039" u="1"/>
        <n v="125040" u="1"/>
        <n v="125041" u="1"/>
        <n v="125042" u="1"/>
        <n v="125043" u="1"/>
        <n v="125044" u="1"/>
        <n v="125045" u="1"/>
        <n v="125046" u="1"/>
        <n v="125047" u="1"/>
        <n v="125048" u="1"/>
        <n v="125049" u="1"/>
        <n v="125050" u="1"/>
        <n v="125051" u="1"/>
        <n v="125052" u="1"/>
        <n v="125053" u="1"/>
        <n v="125054" u="1"/>
        <n v="125055" u="1"/>
        <n v="125056" u="1"/>
        <n v="125057" u="1"/>
        <n v="125058" u="1"/>
        <n v="125059" u="1"/>
        <n v="125060" u="1"/>
        <n v="125061" u="1"/>
        <n v="136647" u="1"/>
        <n v="136648" u="1"/>
        <n v="136649" u="1"/>
        <n v="136650" u="1"/>
        <n v="136651" u="1"/>
        <n v="136652" u="1"/>
        <n v="93967122" u="1"/>
        <n v="93967123" u="1"/>
        <n v="93967124" u="1"/>
        <n v="93967125" u="1"/>
        <n v="93967126" u="1"/>
        <n v="93967127" u="1"/>
        <n v="93967128" u="1"/>
        <n v="93967129" u="1"/>
        <n v="93967130" u="1"/>
        <n v="93967131" u="1"/>
        <n v="454" u="1"/>
        <n v="455" u="1"/>
        <n v="456" u="1"/>
        <n v="457" u="1"/>
        <n v="458" u="1"/>
        <n v="93967132" u="1"/>
        <n v="93967133" u="1"/>
        <n v="93967134" u="1"/>
        <n v="459" u="1"/>
        <n v="93967135" u="1"/>
        <n v="93967136" u="1"/>
        <n v="93967137" u="1"/>
        <n v="93967138" u="1"/>
        <n v="93967139" u="1"/>
        <n v="93967140" u="1"/>
        <n v="93967141" u="1"/>
        <n v="93967142" u="1"/>
        <n v="460" u="1"/>
        <n v="461" u="1"/>
        <n v="462" u="1"/>
        <n v="463" u="1"/>
        <n v="464" u="1"/>
        <n v="465" u="1"/>
        <n v="466" u="1"/>
        <n v="467" u="1"/>
        <n v="468" u="1"/>
        <n v="469" u="1"/>
        <n v="470" u="1"/>
        <n v="471" u="1"/>
        <n v="472" u="1"/>
        <n v="473" u="1"/>
        <n v="474" u="1"/>
        <n v="475" u="1"/>
        <n v="476" u="1"/>
        <n v="477" u="1"/>
        <n v="478" u="1"/>
        <n v="479" u="1"/>
        <n v="480" u="1"/>
        <n v="481" u="1"/>
        <n v="482" u="1"/>
        <n v="483" u="1"/>
        <n v="484" u="1"/>
        <n v="485" u="1"/>
        <n v="486" u="1"/>
        <n v="487" u="1"/>
        <n v="488" u="1"/>
        <n v="489" u="1"/>
        <n v="490" u="1"/>
        <n v="93967143" u="1"/>
        <n v="136653" u="1"/>
        <n v="136654" u="1"/>
        <n v="136655" u="1"/>
        <n v="136656" u="1"/>
        <n v="136657" u="1"/>
        <n v="93967144" u="1"/>
        <n v="93967145" u="1"/>
        <n v="93967146" u="1"/>
        <n v="93967147" u="1"/>
        <n v="93967148" u="1"/>
        <n v="93967149" u="1"/>
        <n v="93967150" u="1"/>
        <n v="491" u="1"/>
        <n v="492" u="1"/>
        <n v="493" u="1"/>
        <n v="494" u="1"/>
        <n v="495" u="1"/>
        <n v="496" u="1"/>
        <n v="497" u="1"/>
        <n v="498" u="1"/>
        <n v="499" u="1"/>
        <n v="500" u="1"/>
        <n v="501" u="1"/>
        <n v="502" u="1"/>
        <n v="503" u="1"/>
        <n v="504" u="1"/>
        <n v="505" u="1"/>
        <n v="506" u="1"/>
        <n v="507" u="1"/>
        <n v="508" u="1"/>
        <n v="509" u="1"/>
        <n v="510" u="1"/>
        <n v="511" u="1"/>
        <n v="512" u="1"/>
        <n v="513" u="1"/>
        <n v="514" u="1"/>
        <n v="515" u="1"/>
        <n v="516" u="1"/>
        <n v="517" u="1"/>
        <n v="518" u="1"/>
        <n v="519" u="1"/>
        <n v="520" u="1"/>
        <n v="521" u="1"/>
        <n v="522" u="1"/>
        <n v="523" u="1"/>
        <n v="524" u="1"/>
        <n v="525" u="1"/>
        <n v="93967151" u="1"/>
        <n v="93967152" u="1"/>
        <n v="93967153" u="1"/>
        <n v="93967154" u="1"/>
        <n v="93967155" u="1"/>
        <n v="93967156" u="1"/>
        <n v="93967157" u="1"/>
        <n v="93967158" u="1"/>
        <n v="93967159" u="1"/>
        <n v="93967160" u="1"/>
        <n v="526" u="1"/>
        <n v="527" u="1"/>
        <n v="528" u="1"/>
        <n v="529" u="1"/>
        <n v="530" u="1"/>
        <n v="531" u="1"/>
        <n v="532" u="1"/>
        <n v="533" u="1"/>
        <n v="534" u="1"/>
        <n v="535" u="1"/>
        <n v="536" u="1"/>
        <n v="537" u="1"/>
        <n v="93967161" u="1"/>
        <n v="93967162" u="1"/>
        <n v="93967163" u="1"/>
        <n v="93967164" u="1"/>
        <n v="538" u="1"/>
        <n v="539" u="1"/>
        <n v="540" u="1"/>
        <n v="541" u="1"/>
        <n v="542" u="1"/>
        <n v="543" u="1"/>
        <n v="544" u="1"/>
        <n v="136658" u="1"/>
        <n v="136659" u="1"/>
        <n v="136660" u="1"/>
        <n v="136661" u="1"/>
        <n v="136662" u="1"/>
        <n v="136663" u="1"/>
        <n v="136664" u="1"/>
        <n v="136665" u="1"/>
        <n v="136666" u="1"/>
        <n v="136667" u="1"/>
        <n v="136668" u="1"/>
        <n v="136669" u="1"/>
        <n v="136670" u="1"/>
        <n v="136671" u="1"/>
        <n v="136672" u="1"/>
        <n v="136673" u="1"/>
        <n v="545" u="1"/>
        <n v="546" u="1"/>
        <n v="547" u="1"/>
        <n v="548" u="1"/>
        <n v="549" u="1"/>
        <n v="136674" u="1"/>
        <n v="136675" u="1"/>
        <n v="136676" u="1"/>
        <n v="136677" u="1"/>
        <n v="136678" u="1"/>
        <n v="136679" u="1"/>
        <n v="136680" u="1"/>
        <n v="136681" u="1"/>
        <n v="136682" u="1"/>
        <n v="136683" u="1"/>
        <n v="136684" u="1"/>
        <n v="136685" u="1"/>
        <n v="136686" u="1"/>
        <n v="136687" u="1"/>
        <n v="136688" u="1"/>
        <n v="136689" u="1"/>
        <n v="136690" u="1"/>
        <n v="136691" u="1"/>
        <n v="136692" u="1"/>
        <n v="136693" u="1"/>
        <n v="136694" u="1"/>
        <n v="136695" u="1"/>
        <n v="136696" u="1"/>
        <n v="136697" u="1"/>
        <n v="136698" u="1"/>
        <n v="136699" u="1"/>
        <n v="136700" u="1"/>
        <n v="93967165" u="1"/>
        <n v="93967166" u="1"/>
        <n v="93967167" u="1"/>
        <n v="93967168" u="1"/>
        <n v="550" u="1"/>
        <n v="551" u="1"/>
        <n v="552" u="1"/>
        <n v="553" u="1"/>
        <n v="554" u="1"/>
        <n v="555" u="1"/>
        <n v="556" u="1"/>
        <n v="557" u="1"/>
        <n v="558" u="1"/>
        <n v="559" u="1"/>
        <n v="560" u="1"/>
        <n v="561" u="1"/>
        <n v="562" u="1"/>
        <n v="563" u="1"/>
        <n v="564" u="1"/>
        <n v="565" u="1"/>
        <n v="566" u="1"/>
        <n v="567" u="1"/>
        <n v="568" u="1"/>
        <n v="569" u="1"/>
        <n v="570" u="1"/>
        <n v="571" u="1"/>
        <n v="572" u="1"/>
        <n v="573" u="1"/>
        <n v="574" u="1"/>
        <n v="575" u="1"/>
        <n v="576" u="1"/>
        <n v="577" u="1"/>
        <n v="578" u="1"/>
        <n v="579" u="1"/>
        <n v="580" u="1"/>
        <n v="93967169" u="1"/>
        <n v="93967170" u="1"/>
        <n v="93967171" u="1"/>
        <n v="93967172" u="1"/>
        <n v="93967173" u="1"/>
        <n v="581" u="1"/>
        <n v="582" u="1"/>
        <n v="583" u="1"/>
        <n v="584" u="1"/>
        <n v="585" u="1"/>
        <n v="586" u="1"/>
        <n v="587" u="1"/>
        <n v="588" u="1"/>
        <n v="589" u="1"/>
        <n v="590" u="1"/>
        <n v="591" u="1"/>
        <n v="592" u="1"/>
        <n v="593" u="1"/>
        <n v="594" u="1"/>
        <n v="595" u="1"/>
        <n v="596" u="1"/>
        <n v="597" u="1"/>
        <n v="598" u="1"/>
        <n v="599" u="1"/>
        <n v="600" u="1"/>
        <n v="601" u="1"/>
        <n v="602" u="1"/>
        <n v="603" u="1"/>
        <n v="604" u="1"/>
        <n v="605" u="1"/>
        <n v="606" u="1"/>
        <n v="607" u="1"/>
        <n v="608" u="1"/>
        <n v="609" u="1"/>
        <n v="610" u="1"/>
        <n v="611" u="1"/>
        <n v="612" u="1"/>
        <n v="613" u="1"/>
        <n v="614" u="1"/>
        <n v="615" u="1"/>
        <n v="616" u="1"/>
        <n v="617" u="1"/>
        <n v="618" u="1"/>
        <n v="619" u="1"/>
        <n v="620" u="1"/>
        <n v="621" u="1"/>
        <n v="622" u="1"/>
        <n v="623" u="1"/>
        <n v="624" u="1"/>
        <n v="625" u="1"/>
        <n v="626" u="1"/>
        <n v="627" u="1"/>
        <n v="628" u="1"/>
        <n v="629" u="1"/>
        <n v="630" u="1"/>
        <n v="631" u="1"/>
        <n v="632" u="1"/>
        <n v="633" u="1"/>
        <n v="634" u="1"/>
        <n v="635" u="1"/>
        <n v="636" u="1"/>
        <n v="637" u="1"/>
        <n v="638" u="1"/>
        <n v="639" u="1"/>
        <n v="640" u="1"/>
        <n v="136701" u="1"/>
        <n v="136702" u="1"/>
        <n v="641" u="1"/>
        <n v="642" u="1"/>
        <n v="643" u="1"/>
        <n v="644" u="1"/>
        <n v="645" u="1"/>
        <n v="646" u="1"/>
        <n v="647" u="1"/>
        <n v="648" u="1"/>
        <n v="649" u="1"/>
        <n v="650" u="1"/>
        <n v="93967174" u="1"/>
        <n v="93967175" u="1"/>
        <n v="93967176" u="1"/>
        <n v="93967177" u="1"/>
        <n v="93967178" u="1"/>
        <n v="93967179" u="1"/>
        <n v="93967180" u="1"/>
        <n v="93967181" u="1"/>
        <n v="93967182" u="1"/>
        <n v="651" u="1"/>
        <n v="652" u="1"/>
        <n v="653" u="1"/>
        <n v="654" u="1"/>
        <n v="655" u="1"/>
        <n v="656" u="1"/>
        <n v="657" u="1"/>
        <n v="658" u="1"/>
        <n v="659" u="1"/>
        <n v="660" u="1"/>
        <n v="661" u="1"/>
        <n v="662" u="1"/>
        <n v="663" u="1"/>
        <n v="664" u="1"/>
        <n v="665" u="1"/>
        <n v="666" u="1"/>
        <n v="667" u="1"/>
        <n v="668" u="1"/>
        <n v="669" u="1"/>
        <n v="670" u="1"/>
        <n v="671" u="1"/>
        <n v="672" u="1"/>
        <n v="673" u="1"/>
        <n v="674" u="1"/>
        <n v="675" u="1"/>
        <n v="676" u="1"/>
        <n v="677" u="1"/>
        <n v="678" u="1"/>
        <n v="679" u="1"/>
        <n v="680" u="1"/>
        <n v="681" u="1"/>
        <n v="682" u="1"/>
        <n v="683" u="1"/>
        <n v="93967183" u="1"/>
        <n v="93967184" u="1"/>
        <n v="93967185" u="1"/>
        <n v="93967186" u="1"/>
        <n v="93967187" u="1"/>
        <n v="93967188" u="1"/>
        <n v="93967189" u="1"/>
        <n v="93967190" u="1"/>
        <n v="93967191" u="1"/>
        <n v="93967192" u="1"/>
        <n v="93967193" u="1"/>
        <n v="93967194" u="1"/>
        <n v="93967195" u="1"/>
        <n v="93967196" u="1"/>
        <n v="93967197" u="1"/>
        <n v="684" u="1"/>
        <n v="685" u="1"/>
        <n v="686" u="1"/>
        <n v="687" u="1"/>
        <n v="688" u="1"/>
        <n v="689" u="1"/>
        <n v="690" u="1"/>
        <n v="691" u="1"/>
        <n v="692" u="1"/>
        <n v="693" u="1"/>
        <n v="694" u="1"/>
        <n v="695" u="1"/>
        <n v="696" u="1"/>
        <n v="697" u="1"/>
        <n v="698" u="1"/>
        <n v="699" u="1"/>
        <n v="700" u="1"/>
        <n v="701" u="1"/>
        <n v="702" u="1"/>
        <n v="703" u="1"/>
        <n v="704" u="1"/>
        <n v="705" u="1"/>
        <n v="706" u="1"/>
        <n v="707" u="1"/>
        <n v="708" u="1"/>
        <n v="709" u="1"/>
        <n v="710" u="1"/>
        <n v="711" u="1"/>
        <n v="712" u="1"/>
        <n v="713" u="1"/>
        <n v="714" u="1"/>
        <n v="715" u="1"/>
        <n v="716" u="1"/>
        <n v="717" u="1"/>
        <n v="718" u="1"/>
        <n v="719" u="1"/>
        <n v="720" u="1"/>
        <n v="721" u="1"/>
        <n v="722" u="1"/>
        <n v="723" u="1"/>
        <n v="724" u="1"/>
        <n v="725" u="1"/>
        <n v="726" u="1"/>
        <n v="727" u="1"/>
        <n v="728" u="1"/>
        <n v="729" u="1"/>
        <n v="730" u="1"/>
        <n v="731" u="1"/>
        <n v="732" u="1"/>
        <n v="733" u="1"/>
        <n v="734" u="1"/>
        <n v="735" u="1"/>
        <n v="736" u="1"/>
        <n v="737" u="1"/>
        <n v="738" u="1"/>
        <n v="739" u="1"/>
        <n v="740" u="1"/>
        <n v="741" u="1"/>
        <n v="742" u="1"/>
        <n v="743" u="1"/>
        <n v="744" u="1"/>
        <n v="745" u="1"/>
        <n v="746" u="1"/>
        <n v="747" u="1"/>
        <n v="748" u="1"/>
        <n v="749" u="1"/>
        <n v="750" u="1"/>
        <n v="751" u="1"/>
        <n v="752" u="1"/>
        <n v="753" u="1"/>
        <n v="754" u="1"/>
        <n v="93967198" u="1"/>
        <n v="755" u="1"/>
        <n v="756" u="1"/>
        <n v="757" u="1"/>
        <n v="760" u="1"/>
        <n v="758" u="1"/>
        <n v="761" u="1"/>
        <n v="759" u="1"/>
        <n v="762" u="1"/>
        <n v="763" u="1"/>
        <n v="764" u="1"/>
        <n v="765" u="1"/>
        <n v="766" u="1"/>
        <n v="767" u="1"/>
        <n v="768" u="1"/>
        <n v="769" u="1"/>
        <n v="93967199" u="1"/>
        <n v="93967200" u="1"/>
        <n v="93967201" u="1"/>
        <n v="770" u="1"/>
        <n v="771" u="1"/>
        <n v="772" u="1"/>
        <n v="773" u="1"/>
        <n v="774" u="1"/>
        <n v="775" u="1"/>
        <n v="776" u="1"/>
        <n v="777" u="1"/>
        <n v="778" u="1"/>
        <n v="779" u="1"/>
        <n v="780" u="1"/>
        <n v="781" u="1"/>
        <n v="782" u="1"/>
        <n v="783" u="1"/>
        <n v="784" u="1"/>
        <n v="785" u="1"/>
        <n v="786" u="1"/>
        <n v="787" u="1"/>
        <n v="136703" u="1"/>
        <n v="136704" u="1"/>
        <n v="136705" u="1"/>
        <n v="136706" u="1"/>
        <n v="136707" u="1"/>
        <n v="136708" u="1"/>
        <n v="788" u="1"/>
        <n v="789" u="1"/>
        <n v="790" u="1"/>
        <n v="791" u="1"/>
        <n v="792" u="1"/>
        <n v="793" u="1"/>
        <n v="794" u="1"/>
        <n v="795" u="1"/>
        <n v="796" u="1"/>
        <n v="797" u="1"/>
        <n v="798" u="1"/>
        <n v="799" u="1"/>
        <n v="800" u="1"/>
        <n v="801" u="1"/>
        <n v="93967202" u="1"/>
        <n v="93967203" u="1"/>
        <n v="93967204" u="1"/>
        <n v="93967205" u="1"/>
        <n v="93967206" u="1"/>
        <n v="93967207" u="1"/>
        <n v="93967208" u="1"/>
        <n v="93967209" u="1"/>
        <n v="93967210" u="1"/>
        <n v="93967211" u="1"/>
        <n v="93967212" u="1"/>
        <n v="93967213" u="1"/>
        <n v="93967214" u="1"/>
        <n v="37746175" u="1"/>
        <n v="37746176" u="1"/>
        <n v="803" u="1"/>
        <n v="804" u="1"/>
        <n v="805" u="1"/>
        <n v="806" u="1"/>
        <n v="807" u="1"/>
        <n v="808" u="1"/>
        <n v="809" u="1"/>
        <n v="810" u="1"/>
        <n v="811" u="1"/>
        <n v="812" u="1"/>
        <n v="813" u="1"/>
        <n v="93967215" u="1"/>
        <n v="93967216" u="1"/>
        <n v="93967217" u="1"/>
        <n v="93967218" u="1"/>
        <n v="93967219" u="1"/>
        <n v="93967220" u="1"/>
        <n v="93967221" u="1"/>
        <n v="93967222" u="1"/>
        <n v="93967223" u="1"/>
        <n v="93967224" u="1"/>
        <n v="93967225" u="1"/>
        <n v="93967226" u="1"/>
        <n v="93967227" u="1"/>
        <n v="93967228" u="1"/>
        <n v="93967229" u="1"/>
        <n v="93967230" u="1"/>
        <n v="814" u="1"/>
        <n v="815" u="1"/>
        <n v="816" u="1"/>
        <n v="817" u="1"/>
        <n v="818" u="1"/>
        <n v="819" u="1"/>
        <n v="820" u="1"/>
        <n v="821" u="1"/>
        <n v="822" u="1"/>
        <n v="823" u="1"/>
        <n v="824" u="1"/>
        <n v="825" u="1"/>
        <n v="826" u="1"/>
        <n v="827" u="1"/>
        <n v="828" u="1"/>
        <n v="829" u="1"/>
        <n v="830" u="1"/>
        <n v="831" u="1"/>
        <n v="832" u="1"/>
        <n v="833" u="1"/>
        <n v="834" u="1"/>
        <n v="835" u="1"/>
        <n v="836" u="1"/>
        <n v="837" u="1"/>
        <n v="838" u="1"/>
        <n v="839" u="1"/>
        <n v="840" u="1"/>
        <n v="841" u="1"/>
        <n v="842" u="1"/>
        <n v="843" u="1"/>
        <n v="844" u="1"/>
        <n v="845" u="1"/>
        <n v="846" u="1"/>
        <n v="847" u="1"/>
        <n v="848" u="1"/>
        <n v="849" u="1"/>
        <n v="850" u="1"/>
        <n v="851" u="1"/>
        <n v="852" u="1"/>
        <n v="853" u="1"/>
        <n v="854" u="1"/>
        <n v="855" u="1"/>
        <n v="856" u="1"/>
        <n v="857" u="1"/>
        <n v="858" u="1"/>
        <n v="859" u="1"/>
        <n v="860" u="1"/>
        <n v="861" u="1"/>
        <n v="862" u="1"/>
        <n v="863" u="1"/>
        <n v="864" u="1"/>
        <n v="865" u="1"/>
        <n v="866" u="1"/>
        <n v="867" u="1"/>
        <n v="868" u="1"/>
        <n v="869" u="1"/>
        <n v="870" u="1"/>
        <n v="871" u="1"/>
        <n v="872" u="1"/>
        <n v="873" u="1"/>
        <n v="874" u="1"/>
        <n v="875" u="1"/>
        <n v="876" u="1"/>
        <n v="93967231" u="1"/>
        <n v="93967232" u="1"/>
        <n v="93967233" u="1"/>
        <n v="93967234" u="1"/>
        <n v="93967235" u="1"/>
        <n v="93967236" u="1"/>
        <n v="37746177" u="1"/>
        <n v="37746178" u="1"/>
        <n v="93967237" u="1"/>
        <n v="877" u="1"/>
        <n v="878" u="1"/>
        <n v="879" u="1"/>
        <n v="880" u="1"/>
        <n v="881" u="1"/>
        <n v="882" u="1"/>
        <n v="883" u="1"/>
        <n v="884" u="1"/>
        <n v="885" u="1"/>
        <n v="886" u="1"/>
        <n v="887" u="1"/>
        <n v="888" u="1"/>
        <n v="889" u="1"/>
        <n v="890" u="1"/>
        <n v="891" u="1"/>
        <n v="892" u="1"/>
        <n v="893" u="1"/>
        <n v="894" u="1"/>
        <n v="895" u="1"/>
        <n v="896" u="1"/>
        <n v="93967238" u="1"/>
        <n v="93967239" u="1"/>
        <n v="93967240" u="1"/>
        <n v="906" u="1"/>
        <n v="907" u="1"/>
        <n v="908" u="1"/>
        <n v="909" u="1"/>
        <n v="910" u="1"/>
        <n v="911" u="1"/>
        <n v="912" u="1"/>
        <n v="913" u="1"/>
        <n v="914" u="1"/>
        <n v="915" u="1"/>
        <n v="916" u="1"/>
        <n v="897" u="1"/>
        <n v="898" u="1"/>
        <n v="899" u="1"/>
        <n v="900" u="1"/>
        <n v="901" u="1"/>
        <n v="902" u="1"/>
        <n v="903" u="1"/>
        <n v="904" u="1"/>
        <n v="905" u="1"/>
        <n v="917" u="1"/>
        <n v="918" u="1"/>
        <n v="919" u="1"/>
        <n v="920" u="1"/>
        <n v="921" u="1"/>
        <n v="922" u="1"/>
        <n v="923" u="1"/>
        <n v="924" u="1"/>
        <n v="925" u="1"/>
        <n v="926" u="1"/>
        <n v="927" u="1"/>
        <n v="928" u="1"/>
        <n v="929" u="1"/>
        <n v="930" u="1"/>
        <n v="931" u="1"/>
        <n v="932" u="1"/>
        <n v="933" u="1"/>
        <n v="934" u="1"/>
        <n v="935" u="1"/>
        <n v="936" u="1"/>
        <n v="937" u="1"/>
        <n v="938" u="1"/>
        <n v="939" u="1"/>
        <n v="940" u="1"/>
        <n v="93967241" u="1"/>
        <n v="93967242" u="1"/>
        <n v="93967243" u="1"/>
        <n v="93967244" u="1"/>
        <n v="93967245" u="1"/>
        <n v="93967246" u="1"/>
        <n v="93967247" u="1"/>
        <n v="93967248" u="1"/>
        <n v="93967249" u="1"/>
        <n v="93967250" u="1"/>
        <n v="93967251" u="1"/>
        <n v="93967252" u="1"/>
        <n v="93967253" u="1"/>
        <n v="93967254" u="1"/>
        <n v="93967255" u="1"/>
        <n v="93967256" u="1"/>
        <n v="93967257" u="1"/>
        <n v="941" u="1"/>
        <n v="942" u="1"/>
        <n v="943" u="1"/>
        <n v="944" u="1"/>
        <n v="945" u="1"/>
        <n v="946" u="1"/>
        <n v="947" u="1"/>
        <n v="948" u="1"/>
        <n v="949" u="1"/>
        <n v="950" u="1"/>
        <n v="951" u="1"/>
        <n v="952" u="1"/>
        <n v="953" u="1"/>
        <n v="954" u="1"/>
        <n v="955" u="1"/>
        <n v="956" u="1"/>
        <n v="957" u="1"/>
        <n v="958" u="1"/>
        <n v="959" u="1"/>
        <n v="960" u="1"/>
        <n v="961" u="1"/>
        <n v="962" u="1"/>
        <n v="963" u="1"/>
        <n v="964" u="1"/>
        <n v="965" u="1"/>
        <n v="966" u="1"/>
        <n v="1012" u="1"/>
        <n v="967" u="1"/>
        <n v="968" u="1"/>
        <n v="969" u="1"/>
        <n v="970" u="1"/>
        <n v="971" u="1"/>
        <n v="972" u="1"/>
        <n v="973" u="1"/>
        <n v="974" u="1"/>
        <n v="975" u="1"/>
        <n v="976" u="1"/>
        <n v="977" u="1"/>
        <n v="978" u="1"/>
        <n v="979" u="1"/>
        <n v="980" u="1"/>
        <n v="981" u="1"/>
        <n v="982" u="1"/>
        <n v="983" u="1"/>
        <n v="984" u="1"/>
        <n v="985" u="1"/>
        <n v="986" u="1"/>
        <n v="987" u="1"/>
        <n v="988" u="1"/>
        <n v="989" u="1"/>
        <n v="990" u="1"/>
        <n v="991" u="1"/>
        <n v="992" u="1"/>
        <n v="993" u="1"/>
        <n v="994" u="1"/>
        <n v="995" u="1"/>
        <n v="996" u="1"/>
        <n v="997" u="1"/>
        <n v="998" u="1"/>
        <n v="999" u="1"/>
        <n v="1000" u="1"/>
        <n v="1001" u="1"/>
        <n v="1002" u="1"/>
        <n v="1003" u="1"/>
        <n v="1004" u="1"/>
        <n v="1005" u="1"/>
        <n v="1006" u="1"/>
        <n v="1007" u="1"/>
        <n v="1008" u="1"/>
        <n v="1009" u="1"/>
        <n v="1010" u="1"/>
        <n v="1011" u="1"/>
        <n v="37746179" u="1"/>
        <n v="136709" u="1"/>
        <n v="136710" u="1"/>
        <n v="93967258" u="1"/>
        <n v="1013" u="1"/>
        <n v="1014" u="1"/>
        <n v="1015" u="1"/>
        <n v="1016" u="1"/>
        <n v="93967259" u="1"/>
        <n v="93967260" u="1"/>
        <n v="93967261" u="1"/>
        <n v="93967262" u="1"/>
        <n v="93967263" u="1"/>
        <n v="37746180" u="1"/>
        <n v="93967264" u="1"/>
        <n v="93967265" u="1"/>
        <n v="93967266" u="1"/>
        <n v="93967267" u="1"/>
        <n v="93967268" u="1"/>
        <n v="93967269" u="1"/>
        <n v="93967270" u="1"/>
        <n v="93967271" u="1"/>
        <n v="93967272" u="1"/>
        <n v="93967273" u="1"/>
        <n v="93967274" u="1"/>
        <n v="93967275" u="1"/>
        <n v="93967276" u="1"/>
        <n v="93967277" u="1"/>
        <n v="93967278" u="1"/>
        <n v="93967279" u="1"/>
        <n v="93967280" u="1"/>
        <n v="93967281" u="1"/>
        <n v="93967282" u="1"/>
        <n v="93967283" u="1"/>
        <n v="1017" u="1"/>
        <n v="1018" u="1"/>
        <n v="1019" u="1"/>
        <n v="1020" u="1"/>
        <n v="1021" u="1"/>
        <n v="1022" u="1"/>
        <n v="1023" u="1"/>
        <n v="1024" u="1"/>
        <n v="1025" u="1"/>
        <n v="1026" u="1"/>
        <n v="1027" u="1"/>
        <n v="1028" u="1"/>
        <n v="1029" u="1"/>
        <n v="1030" u="1"/>
        <n v="93967284" u="1"/>
        <n v="93967285" u="1"/>
        <n v="1037" u="1"/>
        <n v="1038" u="1"/>
        <n v="1039" u="1"/>
        <n v="1040" u="1"/>
        <n v="1041" u="1"/>
        <n v="1042" u="1"/>
        <n v="1031" u="1"/>
        <n v="1032" u="1"/>
        <n v="1033" u="1"/>
        <n v="1034" u="1"/>
        <n v="1035" u="1"/>
        <n v="1036" u="1"/>
        <n v="1043" u="1"/>
        <n v="1044" u="1"/>
        <n v="1045" u="1"/>
        <n v="1046" u="1"/>
        <n v="1047" u="1"/>
        <n v="1048" u="1"/>
        <n v="1049" u="1"/>
        <n v="1050" u="1"/>
        <n v="1051" u="1"/>
        <n v="1052" u="1"/>
        <n v="1053" u="1"/>
        <n v="1054" u="1"/>
        <n v="1055" u="1"/>
        <n v="1056" u="1"/>
        <n v="1057" u="1"/>
        <n v="93967286" u="1"/>
        <n v="93967287" u="1"/>
        <n v="93967288" u="1"/>
        <n v="93967289" u="1"/>
        <n v="93967290" u="1"/>
        <n v="93967291" u="1"/>
        <n v="93967292" u="1"/>
        <n v="93967293" u="1"/>
        <n v="93967294" u="1"/>
        <n v="93967295" u="1"/>
        <n v="93967296" u="1"/>
        <n v="93967297" u="1"/>
        <n v="93967298" u="1"/>
        <n v="93967299" u="1"/>
        <n v="93967300" u="1"/>
        <n v="93967301" u="1"/>
        <n v="93967302" u="1"/>
        <n v="93967303" u="1"/>
        <n v="93967304" u="1"/>
        <n v="93967305" u="1"/>
        <n v="1058" u="1"/>
        <n v="1059" u="1"/>
        <n v="1060" u="1"/>
        <n v="1061" u="1"/>
        <n v="1062" u="1"/>
        <n v="1063" u="1"/>
        <n v="1064" u="1"/>
        <n v="1065" u="1"/>
        <n v="1066" u="1"/>
        <n v="1067" u="1"/>
        <n v="1068" u="1"/>
        <n v="1069" u="1"/>
        <n v="1070" u="1"/>
        <n v="1071" u="1"/>
        <n v="1072" u="1"/>
        <n v="1073" u="1"/>
        <n v="1074" u="1"/>
        <n v="1075" u="1"/>
        <n v="1076" u="1"/>
        <n v="1077" u="1"/>
        <n v="1078" u="1"/>
        <n v="1079" u="1"/>
        <n v="1080" u="1"/>
        <n v="1081" u="1"/>
        <n v="1082" u="1"/>
        <n v="1083" u="1"/>
        <n v="1084" u="1"/>
        <n v="1085" u="1"/>
        <n v="1086" u="1"/>
        <n v="1087" u="1"/>
        <n v="1088" u="1"/>
        <n v="1089" u="1"/>
        <n v="1090" u="1"/>
        <n v="1091" u="1"/>
        <n v="1092" u="1"/>
        <n v="1093" u="1"/>
        <n v="1094" u="1"/>
        <n v="1095" u="1"/>
        <n v="1096" u="1"/>
        <n v="93967306" u="1"/>
        <n v="1097" u="1"/>
        <n v="93967307" u="1"/>
        <n v="93967308" u="1"/>
        <n v="93967309" u="1"/>
        <n v="1098" u="1"/>
        <n v="1099" u="1"/>
        <n v="1100" u="1"/>
        <n v="1101" u="1"/>
        <n v="1102" u="1"/>
        <n v="1103" u="1"/>
        <n v="1104" u="1"/>
        <n v="1105" u="1"/>
        <n v="1106" u="1"/>
        <n v="1107" u="1"/>
        <n v="1108" u="1"/>
        <n v="1109" u="1"/>
        <n v="1110" u="1"/>
        <n v="1111" u="1"/>
        <n v="1114" u="1"/>
        <n v="1115" u="1"/>
        <n v="1112" u="1"/>
        <n v="1113" u="1"/>
        <n v="93967310" u="1"/>
        <n v="93967311" u="1"/>
        <n v="93967312" u="1"/>
        <n v="93967313" u="1"/>
        <n v="93967314" u="1"/>
        <n v="93967315" u="1"/>
        <n v="1116" u="1"/>
        <n v="1117" u="1"/>
        <n v="1118" u="1"/>
        <n v="1119" u="1"/>
        <n v="1120" u="1"/>
        <n v="1121" u="1"/>
        <n v="1122" u="1"/>
        <n v="1123" u="1"/>
        <n v="1124" u="1"/>
        <n v="1125" u="1"/>
        <n v="1126" u="1"/>
        <n v="1127" u="1"/>
        <n v="1128" u="1"/>
        <n v="1129" u="1"/>
        <n v="1130" u="1"/>
        <n v="1131" u="1"/>
        <n v="1132" u="1"/>
        <n v="1133" u="1"/>
        <n v="1134" u="1"/>
        <n v="1135" u="1"/>
        <n v="93967316" u="1"/>
        <n v="93967317" u="1"/>
        <n v="93967318" u="1"/>
        <n v="93967319" u="1"/>
        <n v="93967320" u="1"/>
        <n v="93967321" u="1"/>
        <n v="93967322" u="1"/>
        <n v="93967323" u="1"/>
        <n v="93967324" u="1"/>
        <n v="93967325" u="1"/>
        <n v="93967326" u="1"/>
        <n v="93967327" u="1"/>
        <n v="1136" u="1"/>
        <n v="1137" u="1"/>
        <n v="1138" u="1"/>
        <n v="1139" u="1"/>
        <n v="1140" u="1"/>
        <n v="1141" u="1"/>
        <n v="1142" u="1"/>
        <n v="1143" u="1"/>
        <n v="1144" u="1"/>
        <n v="1145" u="1"/>
        <n v="1146" u="1"/>
        <n v="1147" u="1"/>
        <n v="1148" u="1"/>
        <n v="1149" u="1"/>
        <n v="1150" u="1"/>
        <n v="1151" u="1"/>
        <n v="1152" u="1"/>
        <n v="1153" u="1"/>
        <n v="1154" u="1"/>
        <n v="1155" u="1"/>
        <n v="1156" u="1"/>
        <n v="1157" u="1"/>
        <n v="93967328" u="1"/>
        <n v="93967329" u="1"/>
        <n v="93967330" u="1"/>
        <n v="93967331" u="1"/>
        <n v="93967332" u="1"/>
        <n v="93967333" u="1"/>
        <n v="93967334" u="1"/>
        <n v="93967335" u="1"/>
        <n v="93967336" u="1"/>
        <n v="93967337" u="1"/>
        <n v="93967338" u="1"/>
        <n v="93967339" u="1"/>
        <n v="93967340" u="1"/>
        <n v="93967341" u="1"/>
        <n v="93967342" u="1"/>
        <n v="93967343" u="1"/>
        <n v="93967344" u="1"/>
        <n v="93967345" u="1"/>
        <n v="93967346" u="1"/>
        <n v="93967347" u="1"/>
        <n v="93967348" u="1"/>
        <n v="136711" u="1"/>
        <n v="136712" u="1"/>
        <n v="136713" u="1"/>
        <n v="136714" u="1"/>
        <n v="136715" u="1"/>
        <n v="136716" u="1"/>
        <n v="136717" u="1"/>
        <n v="136718" u="1"/>
        <n v="136719" u="1"/>
        <n v="136720" u="1"/>
        <n v="136721" u="1"/>
        <n v="136722" u="1"/>
        <n v="136723" u="1"/>
        <n v="136724" u="1"/>
        <n v="136725" u="1"/>
        <n v="136726" u="1"/>
        <n v="136727" u="1"/>
        <n v="136728" u="1"/>
        <n v="136729" u="1"/>
        <n v="136730" u="1"/>
        <n v="136731" u="1"/>
        <n v="136732" u="1"/>
        <n v="136733" u="1"/>
        <n v="136734" u="1"/>
        <n v="136735" u="1"/>
        <n v="136736" u="1"/>
        <n v="136737" u="1"/>
        <n v="136738" u="1"/>
        <n v="136739" u="1"/>
        <n v="136740" u="1"/>
        <n v="136741" u="1"/>
        <n v="136742" u="1"/>
        <n v="136743" u="1"/>
        <n v="93967349" u="1"/>
        <n v="136744" u="1"/>
        <n v="93967350" u="1"/>
        <n v="93967351" u="1"/>
        <n v="93967352" u="1"/>
        <n v="1158" u="1"/>
        <n v="93967353" u="1"/>
        <n v="37746181" u="1"/>
        <n v="317749" u="1"/>
        <n v="317750" u="1"/>
        <n v="317751" u="1"/>
        <n v="317752" u="1"/>
        <n v="317753" u="1"/>
        <n v="317754" u="1"/>
        <n v="317755" u="1"/>
        <n v="317756" u="1"/>
        <n v="317757" u="1"/>
        <n v="317758" u="1"/>
        <n v="317759" u="1"/>
        <n v="317760" u="1"/>
        <n v="317761" u="1"/>
        <n v="136745" u="1"/>
        <n v="136746" u="1"/>
        <n v="317762" u="1"/>
        <n v="317763" u="1"/>
        <n v="317764" u="1"/>
        <n v="317765" u="1"/>
        <n v="317766" u="1"/>
        <n v="317767" u="1"/>
        <n v="317768" u="1"/>
        <n v="317769" u="1"/>
        <n v="317770" u="1"/>
        <n v="317771" u="1"/>
        <n v="317772" u="1"/>
        <n v="317773" u="1"/>
        <n v="93967355" u="1"/>
        <n v="93967356" u="1"/>
        <n v="93967357" u="1"/>
        <n v="93967358" u="1"/>
        <n v="93967359" u="1"/>
        <n v="93967360" u="1"/>
        <n v="93967361" u="1"/>
        <n v="93967362" u="1"/>
        <n v="93967363" u="1"/>
        <n v="93967364" u="1"/>
        <n v="93967365" u="1"/>
        <n v="93967366" u="1"/>
        <n v="93967367" u="1"/>
        <n v="93967368" u="1"/>
        <n v="93967369" u="1"/>
        <n v="93967370" u="1"/>
        <n v="317781" u="1"/>
        <n v="317782" u="1"/>
        <n v="317783" u="1"/>
        <n v="317784" u="1"/>
        <n v="317785" u="1"/>
        <n v="317786" u="1"/>
        <n v="317787" u="1"/>
        <n v="317788" u="1"/>
        <n v="317789" u="1"/>
        <n v="317790" u="1"/>
        <n v="317791" u="1"/>
        <n v="317792" u="1"/>
        <n v="317793" u="1"/>
        <n v="317794" u="1"/>
        <n v="317795" u="1"/>
        <n v="317796" u="1"/>
        <n v="317797" u="1"/>
        <n v="317798" u="1"/>
        <n v="317799" u="1"/>
        <n v="317800" u="1"/>
        <n v="317801" u="1"/>
        <n v="317802" u="1"/>
        <n v="317803" u="1"/>
        <n v="317804" u="1"/>
        <n v="317805" u="1"/>
        <n v="317806" u="1"/>
        <n v="317807" u="1"/>
        <n v="317808" u="1"/>
        <n v="317809" u="1"/>
        <n v="317810" u="1"/>
        <n v="317811" u="1"/>
        <n v="317812" u="1"/>
        <n v="317813" u="1"/>
        <n v="317814" u="1"/>
        <n v="317815" u="1"/>
        <n v="317816" u="1"/>
        <n v="317817" u="1"/>
        <n v="317818" u="1"/>
        <n v="317819" u="1"/>
        <n v="317820" u="1"/>
        <n v="317821" u="1"/>
        <n v="317822" u="1"/>
        <n v="317823" u="1"/>
        <n v="317824" u="1"/>
        <n v="317825" u="1"/>
        <n v="317826" u="1"/>
        <n v="317827" u="1"/>
        <n v="93967371" u="1"/>
        <n v="317828" u="1"/>
        <n v="317829" u="1"/>
        <n v="317830" u="1"/>
        <n v="317831" u="1"/>
        <n v="93967372" u="1"/>
        <n v="317832" u="1"/>
        <n v="317833" u="1"/>
        <n v="93967373" u="1"/>
        <n v="317835" u="1"/>
        <n v="317837" u="1"/>
        <n v="317838" u="1"/>
        <n v="93967374" u="1"/>
        <n v="358072" u="1"/>
        <n v="358073" u="1"/>
        <n v="358074" u="1"/>
        <n v="358075" u="1"/>
        <n v="358076" u="1"/>
        <n v="358077" u="1"/>
        <n v="358078" u="1"/>
        <n v="358079" u="1"/>
        <n v="358080" u="1"/>
        <n v="358081" u="1"/>
        <n v="358082" u="1"/>
        <n v="358083" u="1"/>
        <n v="358084" u="1"/>
        <n v="358085" u="1"/>
        <n v="358086" u="1"/>
        <n v="358087" u="1"/>
        <n v="358088" u="1"/>
        <n v="358089" u="1"/>
        <n v="358090" u="1"/>
        <n v="358091" u="1"/>
        <n v="358092" u="1"/>
        <n v="358093" u="1"/>
        <n v="358094" u="1"/>
        <n v="358095" u="1"/>
        <n v="358096" u="1"/>
        <n v="358097" u="1"/>
        <n v="358071" u="1"/>
        <n v="93967375" u="1"/>
        <n v="358098" u="1"/>
        <n v="358099" u="1"/>
        <n v="358100" u="1"/>
        <n v="358101" u="1"/>
        <n v="358102" u="1"/>
        <n v="358103" u="1"/>
        <n v="358104" u="1"/>
        <n v="358105" u="1"/>
        <n v="358106" u="1"/>
        <n v="93967376" u="1"/>
        <n v="358107" u="1"/>
        <n v="358108" u="1"/>
        <n v="358109" u="1"/>
        <n v="358110" u="1"/>
        <n v="358111" u="1"/>
        <n v="358112" u="1"/>
        <n v="358113" u="1"/>
        <n v="358114" u="1"/>
        <n v="358115" u="1"/>
        <n v="358116" u="1"/>
        <n v="358117" u="1"/>
        <n v="358118" u="1"/>
        <n v="358119" u="1"/>
        <n v="358120" u="1"/>
        <n v="358121" u="1"/>
        <n v="358122" u="1"/>
        <n v="358123" u="1"/>
        <n v="358124" u="1"/>
        <n v="358125" u="1"/>
        <n v="358126" u="1"/>
        <n v="358127" u="1"/>
        <n v="358128" u="1"/>
        <n v="358129" u="1"/>
        <n v="358130" u="1"/>
        <n v="358131" u="1"/>
        <n v="358132" u="1"/>
        <n v="358133" u="1"/>
        <n v="358134" u="1"/>
        <n v="358135" u="1"/>
        <n v="358136" u="1"/>
        <n v="358137" u="1"/>
        <n v="358138" u="1"/>
        <n v="93967377" u="1"/>
        <n v="93967378" u="1"/>
        <n v="93967379" u="1"/>
        <n v="93967380" u="1"/>
        <n v="93967381" u="1"/>
        <n v="93967382" u="1"/>
        <n v="93967383" u="1"/>
        <n v="93967384" u="1"/>
        <n v="93967385" u="1"/>
        <n v="93967386" u="1"/>
        <n v="93967387" u="1"/>
        <n v="93967388" u="1"/>
        <n v="93967389" u="1"/>
        <n v="93967390" u="1"/>
        <n v="93967391" u="1"/>
        <n v="93967392" u="1"/>
        <n v="358139" u="1"/>
        <n v="358140" u="1"/>
        <n v="358141" u="1"/>
        <n v="358142" u="1"/>
        <n v="358143" u="1"/>
        <n v="358144" u="1"/>
        <n v="358145" u="1"/>
        <n v="358146" u="1"/>
        <n v="358147" u="1"/>
        <n v="358148" u="1"/>
        <n v="358149" u="1"/>
        <n v="358150" u="1"/>
        <n v="358151" u="1"/>
        <n v="358152" u="1"/>
        <n v="358153" u="1"/>
        <n v="358154" u="1"/>
        <n v="376822" u="1"/>
        <n v="376823" u="1"/>
        <n v="376824" u="1"/>
        <n v="376825" u="1"/>
        <n v="376826" u="1"/>
        <n v="376827" u="1"/>
        <n v="376828" u="1"/>
        <n v="376829" u="1"/>
        <n v="1159" u="1"/>
        <n v="1160" u="1"/>
        <n v="1161" u="1"/>
        <n v="1162" u="1"/>
        <n v="1163" u="1"/>
        <n v="1164" u="1"/>
        <n v="1165" u="1"/>
        <n v="1166" u="1"/>
        <n v="376830" u="1"/>
        <n v="376831" u="1"/>
        <n v="376832" u="1"/>
        <n v="1167" u="1"/>
        <n v="93967393" u="1"/>
        <n v="376833" u="1"/>
        <n v="376834" u="1"/>
        <n v="376835" u="1"/>
        <n v="376836" u="1"/>
        <n v="376837" u="1"/>
        <n v="376838" u="1"/>
        <n v="376839" u="1"/>
        <n v="376840" u="1"/>
        <n v="376841" u="1"/>
        <n v="376842" u="1"/>
        <n v="376843" u="1"/>
        <n v="376844" u="1"/>
        <n v="376845" u="1"/>
        <n v="376846" u="1"/>
        <n v="376847" u="1"/>
        <n v="376848" u="1"/>
        <n v="376849" u="1"/>
        <n v="376850" u="1"/>
        <n v="376851" u="1"/>
        <n v="376852" u="1"/>
        <n v="376853" u="1"/>
        <n v="376854" u="1"/>
        <n v="376855" u="1"/>
        <n v="376856" u="1"/>
        <n v="376857" u="1"/>
        <n v="93967394" u="1"/>
        <n v="376858" u="1"/>
        <n v="376859" u="1"/>
        <n v="376860" u="1"/>
        <n v="376861" u="1"/>
        <n v="376862" u="1"/>
        <n v="358063" u="1"/>
        <n v="376864" u="1"/>
        <n v="376865" u="1"/>
        <n v="376866" u="1"/>
        <n v="93967395" u="1"/>
        <n v="93967396" u="1"/>
        <n v="376867" u="1"/>
        <n v="376868" u="1"/>
        <n v="376869" u="1"/>
        <n v="376870" u="1"/>
        <n v="376871" u="1"/>
        <n v="93967398" u="1"/>
        <n v="376872" u="1"/>
        <n v="376873" u="1"/>
        <n v="376874" u="1"/>
        <n v="376875" u="1"/>
        <n v="376876" u="1"/>
        <n v="376877" u="1"/>
        <n v="376878" u="1"/>
        <n v="376879" u="1"/>
        <n v="376880" u="1"/>
        <n v="376881" u="1"/>
        <n v="376882" u="1"/>
        <n v="376883" u="1"/>
        <n v="376884" u="1"/>
        <n v="376885" u="1"/>
        <n v="376886" u="1"/>
        <n v="376887" u="1"/>
        <n v="376888" u="1"/>
        <n v="376889" u="1"/>
        <n v="376890" u="1"/>
        <n v="376891" u="1"/>
        <n v="376892" u="1"/>
        <n v="376893" u="1"/>
        <n v="376894" u="1"/>
        <n v="376895" u="1"/>
        <n v="376896" u="1"/>
        <n v="376897" u="1"/>
        <n v="376898" u="1"/>
        <n v="376899" u="1"/>
        <n v="376900" u="1"/>
        <n v="376901" u="1"/>
        <n v="376902" u="1"/>
        <n v="376903" u="1"/>
        <n v="376904" u="1"/>
        <n v="376905" u="1"/>
        <n v="376906" u="1"/>
        <n v="376907" u="1"/>
        <n v="376908" u="1"/>
        <n v="376909" u="1"/>
        <n v="376910" u="1"/>
        <n v="376911" u="1"/>
        <n v="376912" u="1"/>
        <n v="376913" u="1"/>
        <n v="376914" u="1"/>
        <n v="376915" u="1"/>
        <n v="376916" u="1"/>
        <n v="376917" u="1"/>
        <n v="93967399" u="1"/>
        <n v="93967400" u="1"/>
        <n v="93967401" u="1"/>
        <n v="93967402" u="1"/>
        <n v="93967403" u="1"/>
        <n v="93967404" u="1"/>
        <n v="93967405" u="1"/>
        <n v="93967406" u="1"/>
        <n v="93967407" u="1"/>
        <n v="93967408" u="1"/>
        <n v="93967409" u="1"/>
        <n v="93967410" u="1"/>
        <n v="376918" u="1"/>
        <n v="93967411" u="1"/>
        <n v="93967412" u="1"/>
        <n v="93967413" u="1"/>
        <n v="93967414" u="1"/>
        <n v="93967415" u="1"/>
        <n v="376919" u="1"/>
        <n v="376920" u="1"/>
        <n v="376921" u="1"/>
        <n v="420330" u="1"/>
        <n v="420331" u="1"/>
        <n v="93967416" u="1"/>
        <n v="420332" u="1"/>
        <n v="420333" u="1"/>
        <n v="420334" u="1"/>
        <n v="93967417" u="1"/>
        <n v="93967418" u="1"/>
        <n v="93967419" u="1"/>
        <n v="93967420" u="1"/>
        <n v="93967421" u="1"/>
        <n v="93967422" u="1"/>
        <n v="93967423" u="1"/>
        <n v="93967424" u="1"/>
        <n v="93967425" u="1"/>
        <n v="93967426" u="1"/>
        <n v="420335" u="1"/>
        <n v="420336" u="1"/>
        <n v="420337" u="1"/>
        <n v="420338" u="1"/>
        <n v="420339" u="1"/>
        <n v="420340" u="1"/>
        <n v="420341" u="1"/>
        <n v="420342" u="1"/>
        <n v="420343" u="1"/>
        <n v="420344" u="1"/>
        <n v="420345" u="1"/>
        <n v="420346" u="1"/>
        <n v="420347" u="1"/>
        <n v="420348" u="1"/>
        <n v="420349" u="1"/>
        <n v="5042054" u="1"/>
        <n v="5042055" u="1"/>
        <n v="5042056" u="1"/>
        <n v="5042057" u="1"/>
        <n v="5042058" u="1"/>
        <n v="5042059" u="1"/>
        <n v="5042060" u="1"/>
        <n v="5042061" u="1"/>
        <n v="5042062" u="1"/>
        <n v="5042063" u="1"/>
        <n v="420350" u="1"/>
        <n v="420351" u="1"/>
        <n v="420352" u="1"/>
        <n v="420353" u="1"/>
        <n v="420354" u="1"/>
        <n v="420355" u="1"/>
        <n v="420356" u="1"/>
        <n v="420357" u="1"/>
        <n v="420358" u="1"/>
        <n v="420359" u="1"/>
        <n v="93967427" u="1"/>
        <n v="93967428" u="1"/>
        <n v="420360" u="1"/>
        <n v="420361" u="1"/>
        <n v="420362" u="1"/>
        <n v="93967429" u="1"/>
        <n v="93967430" u="1"/>
        <n v="93967431" u="1"/>
        <n v="93967432" u="1"/>
        <n v="93967433" u="1"/>
        <n v="420363" u="1"/>
        <n v="420364" u="1"/>
        <n v="420365" u="1"/>
        <n v="420366" u="1"/>
        <n v="420367" u="1"/>
        <n v="420368" u="1"/>
        <n v="420369" u="1"/>
        <n v="93967434" u="1"/>
        <n v="93967435" u="1"/>
        <n v="93967436" u="1"/>
        <n v="420370" u="1"/>
        <n v="420371" u="1"/>
        <n v="420372" u="1"/>
        <n v="420373" u="1"/>
        <n v="420374" u="1"/>
        <n v="420375" u="1"/>
        <n v="420376" u="1"/>
        <n v="420377" u="1"/>
        <n v="420378" u="1"/>
        <n v="93967437" u="1"/>
        <n v="420379" u="1"/>
        <n v="420380" u="1"/>
        <n v="420381" u="1"/>
        <n v="420382" u="1"/>
        <n v="420383" u="1"/>
        <n v="420384" u="1"/>
        <n v="420385" u="1"/>
        <n v="420386" u="1"/>
        <n v="420387" u="1"/>
        <n v="420388" u="1"/>
        <n v="420389" u="1"/>
        <n v="420390" u="1"/>
        <n v="420391" u="1"/>
        <n v="420392" u="1"/>
        <n v="420393" u="1"/>
        <n v="420394" u="1"/>
        <n v="420395" u="1"/>
        <n v="420396" u="1"/>
        <n v="420397" u="1"/>
        <n v="420398" u="1"/>
        <n v="93967438" u="1"/>
        <n v="93967439" u="1"/>
        <n v="93967440" u="1"/>
        <n v="93967441" u="1"/>
        <n v="93967442" u="1"/>
        <n v="93967443" u="1"/>
        <n v="93967444" u="1"/>
        <n v="93967445" u="1"/>
        <n v="93967446" u="1"/>
        <n v="93967447" u="1"/>
        <n v="93967448" u="1"/>
        <n v="93967449" u="1"/>
        <n v="93967450" u="1"/>
        <n v="420399" u="1"/>
        <n v="420400" u="1"/>
        <n v="420401" u="1"/>
        <n v="420402" u="1"/>
        <n v="420403" u="1"/>
        <n v="420404" u="1"/>
        <n v="420405" u="1"/>
        <n v="420406" u="1"/>
        <n v="420407" u="1"/>
        <n v="420408" u="1"/>
        <n v="420409" u="1"/>
        <n v="420410" u="1"/>
        <n v="420411" u="1"/>
        <n v="420412" u="1"/>
        <n v="420413" u="1"/>
        <n v="420414" u="1"/>
        <n v="420415" u="1"/>
        <n v="420416" u="1"/>
        <n v="420417" u="1"/>
        <n v="420418" u="1"/>
        <n v="420419" u="1"/>
        <n v="420420" u="1"/>
        <n v="420421" u="1"/>
        <n v="420422" u="1"/>
        <n v="420423" u="1"/>
        <n v="420424" u="1"/>
        <n v="420425" u="1"/>
        <n v="420426" u="1"/>
        <n v="420427" u="1"/>
        <n v="420428" u="1"/>
        <n v="420429" u="1"/>
        <n v="93967451" u="1"/>
        <n v="93967452" u="1"/>
        <n v="93967453" u="1"/>
        <n v="93967454" u="1"/>
        <n v="93967455" u="1"/>
        <n v="93967456" u="1"/>
        <n v="93967457" u="1"/>
        <n v="93967458" u="1"/>
        <n v="93967459" u="1"/>
        <n v="451368" u="1"/>
        <n v="93967460" u="1"/>
        <n v="93967461" u="1"/>
        <n v="93967462" u="1"/>
        <n v="451369" u="1"/>
        <n v="451370" u="1"/>
        <n v="451371" u="1"/>
        <n v="93967466" u="1"/>
        <n v="93967467" u="1"/>
        <n v="93967468" u="1"/>
        <n v="93967469" u="1"/>
        <n v="93967470" u="1"/>
        <n v="93967471" u="1"/>
        <n v="451372" u="1"/>
        <n v="451373" u="1"/>
        <n v="451374" u="1"/>
        <n v="451375" u="1"/>
        <n v="451376" u="1"/>
        <n v="451377" u="1"/>
        <n v="451378" u="1"/>
        <n v="451379" u="1"/>
        <n v="451380" u="1"/>
        <n v="451381" u="1"/>
        <n v="451382" u="1"/>
        <n v="451383" u="1"/>
        <n v="451384" u="1"/>
        <n v="451385" u="1"/>
        <n v="451386" u="1"/>
        <n v="451387" u="1"/>
        <n v="451388" u="1"/>
        <n v="451389" u="1"/>
        <n v="451390" u="1"/>
        <n v="451391" u="1"/>
        <n v="93967472" u="1"/>
        <n v="93967473" u="1"/>
        <n v="93967474" u="1"/>
        <n v="93967475" u="1"/>
        <n v="93967476" u="1"/>
        <n v="93967480" u="1"/>
        <n v="93967481" u="1"/>
        <n v="93967482" u="1"/>
        <n v="451392" u="1"/>
        <n v="451393" u="1"/>
        <n v="451394" u="1"/>
        <n v="451395" u="1"/>
        <n v="451396" u="1"/>
        <n v="451397" u="1"/>
        <n v="451398" u="1"/>
        <n v="93967483" u="1"/>
        <n v="93967484" u="1"/>
        <n v="5042064" u="1"/>
        <n v="5042065" u="1"/>
        <n v="5042066" u="1"/>
        <n v="451399" u="1"/>
        <n v="451400" u="1"/>
        <n v="451401" u="1"/>
        <n v="451402" u="1"/>
        <n v="451403" u="1"/>
        <n v="451404" u="1"/>
        <n v="451405" u="1"/>
        <n v="451406" u="1"/>
        <n v="451407" u="1"/>
        <n v="451408" u="1"/>
        <n v="451409" u="1"/>
        <n v="451410" u="1"/>
        <n v="451411" u="1"/>
        <n v="451412" u="1"/>
        <n v="451413" u="1"/>
        <n v="451414" u="1"/>
        <n v="451415" u="1"/>
        <n v="451416" u="1"/>
        <n v="93967485" u="1"/>
        <n v="93967486" u="1"/>
        <n v="93967487" u="1"/>
        <n v="93967488" u="1"/>
        <n v="93967489" u="1"/>
        <n v="93967490" u="1"/>
        <n v="93967491" u="1"/>
        <n v="93967492" u="1"/>
        <n v="93967493" u="1"/>
        <n v="93967494" u="1"/>
        <n v="93967495" u="1"/>
        <n v="93967496" u="1"/>
        <n v="451417" u="1"/>
        <n v="451418" u="1"/>
        <n v="451419" u="1"/>
        <n v="451420" u="1"/>
        <n v="451421" u="1"/>
        <n v="451422" u="1"/>
        <n v="451423" u="1"/>
        <n v="451424" u="1"/>
        <n v="451425" u="1"/>
        <n v="451426" u="1"/>
        <n v="451427" u="1"/>
        <n v="451428" u="1"/>
        <n v="451429" u="1"/>
        <n v="451430" u="1"/>
        <n v="451431" u="1"/>
        <n v="451432" u="1"/>
        <n v="451433" u="1"/>
        <n v="451434" u="1"/>
        <n v="451435" u="1"/>
        <n v="451436" u="1"/>
        <n v="451437" u="1"/>
        <n v="451438" u="1"/>
        <n v="451439" u="1"/>
        <n v="451440" u="1"/>
        <n v="451441" u="1"/>
        <n v="93967497" u="1"/>
        <n v="93967498" u="1"/>
        <n v="451442" u="1"/>
        <n v="451443" u="1"/>
        <n v="451444" u="1"/>
        <n v="451445" u="1"/>
        <n v="451446" u="1"/>
        <n v="451447" u="1"/>
        <n v="451448" u="1"/>
        <n v="451449" u="1"/>
        <n v="451450" u="1"/>
        <n v="451451" u="1"/>
        <n v="451452" u="1"/>
        <n v="451453" u="1"/>
        <n v="451454" u="1"/>
        <n v="451455" u="1"/>
        <n v="451456" u="1"/>
        <n v="451457" u="1"/>
        <n v="451458" u="1"/>
        <n v="451459" u="1"/>
        <n v="451460" u="1"/>
        <n v="451461" u="1"/>
        <n v="451462" u="1"/>
        <n v="451463" u="1"/>
        <n v="451464" u="1"/>
        <n v="451465" u="1"/>
        <n v="451466" u="1"/>
        <n v="451467" u="1"/>
        <n v="479592" u="1"/>
        <n v="479593" u="1"/>
        <n v="479594" u="1"/>
        <n v="479595" u="1"/>
        <n v="93967499" u="1"/>
        <n v="93967500" u="1"/>
        <n v="93967501" u="1"/>
        <n v="93967502" u="1"/>
        <n v="93967503" u="1"/>
        <n v="479596" u="1"/>
        <n v="479597" u="1"/>
        <n v="479598" u="1"/>
        <n v="479599" u="1"/>
        <n v="479600" u="1"/>
        <n v="479601" u="1"/>
        <n v="479602" u="1"/>
        <n v="479603" u="1"/>
        <n v="479604" u="1"/>
        <n v="479605" u="1"/>
        <n v="93967504" u="1"/>
        <n v="93967505" u="1"/>
        <n v="93967506" u="1"/>
        <n v="93967507" u="1"/>
        <n v="93967508" u="1"/>
        <n v="93967509" u="1"/>
        <n v="93967510" u="1"/>
        <n v="93967511" u="1"/>
        <n v="93967512" u="1"/>
        <n v="479606" u="1"/>
        <n v="479607" u="1"/>
        <n v="479608" u="1"/>
        <n v="479609" u="1"/>
        <n v="479610" u="1"/>
        <n v="479611" u="1"/>
        <n v="479612" u="1"/>
        <n v="479613" u="1"/>
        <n v="479614" u="1"/>
        <n v="479615" u="1"/>
        <n v="479616" u="1"/>
        <n v="479617" u="1"/>
        <n v="479618" u="1"/>
        <n v="479619" u="1"/>
        <n v="479620" u="1"/>
        <n v="479621" u="1"/>
        <n v="479622" u="1"/>
        <n v="479623" u="1"/>
        <n v="479624" u="1"/>
        <n v="479625" u="1"/>
        <n v="479626" u="1"/>
        <n v="479627" u="1"/>
        <n v="479628" u="1"/>
        <n v="479629" u="1"/>
        <n v="479630" u="1"/>
        <n v="479631" u="1"/>
        <n v="479632" u="1"/>
        <n v="479633" u="1"/>
        <n v="93967513" u="1"/>
        <n v="93967514" u="1"/>
        <n v="93967515" u="1"/>
        <n v="93967516" u="1"/>
        <n v="93967517" u="1"/>
        <n v="93967518" u="1"/>
        <n v="93967519" u="1"/>
        <n v="93967520" u="1"/>
        <n v="93967521" u="1"/>
        <n v="93967522" u="1"/>
        <n v="93967523" u="1"/>
        <n v="93967524" u="1"/>
        <n v="93967525" u="1"/>
        <n v="93967526" u="1"/>
        <n v="93967527" u="1"/>
        <n v="93967528" u="1"/>
        <n v="93967529" u="1"/>
        <n v="93967530" u="1"/>
        <n v="93967531" u="1"/>
        <n v="93967532" u="1"/>
        <n v="93967533" u="1"/>
        <n v="479634" u="1"/>
        <n v="479635" u="1"/>
        <n v="479636" u="1"/>
        <n v="93967534" u="1"/>
        <n v="479637" u="1"/>
        <n v="479638" u="1"/>
        <n v="479639" u="1"/>
        <n v="479640" u="1"/>
        <n v="479641" u="1"/>
        <n v="479642" u="1"/>
        <n v="479643" u="1"/>
        <n v="479644" u="1"/>
        <n v="479645" u="1"/>
        <n v="479646" u="1"/>
        <n v="479647" u="1"/>
        <n v="479648" u="1"/>
        <n v="479649" u="1"/>
        <n v="479650" u="1"/>
        <n v="479651" u="1"/>
        <n v="479652" u="1"/>
        <n v="479653" u="1"/>
        <n v="479654" u="1"/>
        <n v="479655" u="1"/>
        <n v="479656" u="1"/>
        <n v="479657" u="1"/>
        <n v="479658" u="1"/>
        <n v="479659" u="1"/>
        <n v="479660" u="1"/>
        <n v="479661" u="1"/>
        <n v="93967535" u="1"/>
        <n v="479669" u="1"/>
        <n v="479670" u="1"/>
        <n v="479671" u="1"/>
        <n v="479662" u="1"/>
        <n v="479663" u="1"/>
        <n v="479664" u="1"/>
        <n v="479665" u="1"/>
        <n v="479666" u="1"/>
        <n v="479667" u="1"/>
        <n v="479668" u="1"/>
        <n v="93967536" u="1"/>
        <n v="93967537" u="1"/>
        <n v="93967538" u="1"/>
        <n v="93967539" u="1"/>
        <n v="93967540" u="1"/>
        <n v="93967541" u="1"/>
        <n v="479672" u="1"/>
        <n v="479673" u="1"/>
        <n v="479674" u="1"/>
        <n v="479675" u="1"/>
        <n v="479676" u="1"/>
        <n v="479677" u="1"/>
        <n v="479678" u="1"/>
        <n v="479679" u="1"/>
        <n v="479680" u="1"/>
        <n v="479681" u="1"/>
        <n v="479682" u="1"/>
        <n v="479683" u="1"/>
        <n v="93967542" u="1"/>
        <n v="93967543" u="1"/>
        <n v="93967544" u="1"/>
        <n v="93967545" u="1"/>
        <n v="93967546" u="1"/>
        <n v="93967547" u="1"/>
        <n v="93967548" u="1"/>
        <n v="93967549" u="1"/>
        <n v="93967550" u="1"/>
        <n v="93967551" u="1"/>
        <n v="93967552" u="1"/>
        <n v="93967553" u="1"/>
        <n v="479684" u="1"/>
        <n v="479685" u="1"/>
        <n v="479686" u="1"/>
        <n v="479687" u="1"/>
        <n v="479688" u="1"/>
        <n v="479689" u="1"/>
        <n v="479690" u="1"/>
        <n v="479691" u="1"/>
        <n v="479692" u="1"/>
        <n v="479693" u="1"/>
        <n v="479694" u="1"/>
        <n v="479695" u="1"/>
        <n v="479696" u="1"/>
        <n v="93967554" u="1"/>
        <n v="93967555" u="1"/>
        <n v="93967556" u="1"/>
        <n v="93967557" u="1"/>
        <n v="93967558" u="1"/>
        <n v="93967559" u="1"/>
        <n v="93967560" u="1"/>
        <n v="93967561" u="1"/>
        <n v="93967562" u="1"/>
        <n v="93967563" u="1"/>
        <n v="93967564" u="1"/>
        <n v="93967565" u="1"/>
        <n v="479697" u="1"/>
        <n v="479698" u="1"/>
        <n v="479699" u="1"/>
        <n v="479700" u="1"/>
        <n v="479701" u="1"/>
        <n v="479702" u="1"/>
        <n v="479703" u="1"/>
        <n v="479704" u="1"/>
        <n v="479705" u="1"/>
        <n v="479706" u="1"/>
        <n v="93967566" u="1"/>
        <n v="93967567" u="1"/>
        <n v="93967568" u="1"/>
        <n v="93967569" u="1"/>
        <n v="93967570" u="1"/>
        <n v="93967571" u="1"/>
        <n v="93967572" u="1"/>
        <n v="93967573" u="1"/>
        <n v="479707" u="1"/>
        <n v="479708" u="1"/>
        <n v="479709" u="1"/>
        <n v="479710" u="1"/>
        <n v="479711" u="1"/>
        <n v="479712" u="1"/>
        <n v="479713" u="1"/>
        <n v="479714" u="1"/>
        <n v="479715" u="1"/>
        <n v="479716" u="1"/>
        <n v="479717" u="1"/>
        <n v="479718" u="1"/>
        <n v="479719" u="1"/>
        <n v="479720" u="1"/>
        <n v="93967574" u="1"/>
        <n v="93967575" u="1"/>
        <n v="93967576" u="1"/>
        <n v="93967577" u="1"/>
        <n v="479721" u="1"/>
        <n v="479722" u="1"/>
        <n v="479723" u="1"/>
        <n v="479724" u="1"/>
        <n v="479725" u="1"/>
        <n v="479726" u="1"/>
        <n v="479727" u="1"/>
        <n v="479728" u="1"/>
        <n v="479729" u="1"/>
        <n v="479730" u="1"/>
        <n v="479731" u="1"/>
        <n v="479732" u="1"/>
        <n v="479733" u="1"/>
        <n v="479734" u="1"/>
        <n v="479735" u="1"/>
        <n v="93967578" u="1"/>
        <n v="479736" u="1"/>
        <n v="479737" u="1"/>
        <n v="479738" u="1"/>
        <n v="479739" u="1"/>
        <n v="479740" u="1"/>
        <n v="479741" u="1"/>
        <n v="93967579" u="1"/>
        <n v="93967580" u="1"/>
        <n v="93967581" u="1"/>
        <n v="93967582" u="1"/>
        <n v="93967583" u="1"/>
        <n v="93967584" u="1"/>
        <n v="93967585" u="1"/>
        <n v="544546" u="1"/>
        <n v="544547" u="1"/>
        <n v="544548" u="1"/>
        <n v="544549" u="1"/>
        <n v="544550" u="1"/>
        <n v="544551" u="1"/>
        <n v="544552" u="1"/>
        <n v="544553" u="1"/>
        <n v="544554" u="1"/>
        <n v="544555" u="1"/>
        <n v="544556" u="1"/>
        <n v="544557" u="1"/>
        <n v="544558" u="1"/>
        <n v="544559" u="1"/>
        <n v="544560" u="1"/>
        <n v="544561" u="1"/>
        <n v="544562" u="1"/>
        <n v="544563" u="1"/>
        <n v="544564" u="1"/>
        <n v="544565" u="1"/>
        <n v="544566" u="1"/>
        <n v="544567" u="1"/>
        <n v="544568" u="1"/>
        <n v="544569" u="1"/>
        <n v="544570" u="1"/>
        <n v="544571" u="1"/>
        <n v="544572" u="1"/>
        <n v="544573" u="1"/>
        <n v="544574" u="1"/>
        <n v="544575" u="1"/>
        <n v="544576" u="1"/>
        <n v="544577" u="1"/>
        <n v="544578" u="1"/>
        <n v="544579" u="1"/>
        <n v="544580" u="1"/>
        <n v="544581" u="1"/>
        <n v="93967586" u="1"/>
        <n v="93967587" u="1"/>
        <n v="93967588" u="1"/>
        <n v="93967589" u="1"/>
        <n v="93967590" u="1"/>
        <n v="93967591" u="1"/>
        <n v="93967592" u="1"/>
        <n v="93967593" u="1"/>
        <n v="93967594" u="1"/>
        <n v="93967595" u="1"/>
        <n v="93967596" u="1"/>
        <n v="544582" u="1"/>
        <n v="544583" u="1"/>
        <n v="544584" u="1"/>
        <n v="544585" u="1"/>
        <n v="544586" u="1"/>
        <n v="544587" u="1"/>
        <n v="544588" u="1"/>
        <n v="544589" u="1"/>
        <n v="544590" u="1"/>
        <n v="93967597" u="1"/>
        <n v="93967598" u="1"/>
        <n v="93967599" u="1"/>
        <n v="93967600" u="1"/>
        <n v="93967601" u="1"/>
        <n v="93967602" u="1"/>
        <n v="93967603" u="1"/>
        <n v="93967604" u="1"/>
        <n v="544591" u="1"/>
        <n v="544592" u="1"/>
        <n v="544593" u="1"/>
        <n v="544594" u="1"/>
        <n v="544595" u="1"/>
        <n v="544596" u="1"/>
        <n v="544597" u="1"/>
        <n v="544598" u="1"/>
        <n v="544599" u="1"/>
        <n v="544600" u="1"/>
        <n v="544601" u="1"/>
        <n v="544602" u="1"/>
        <n v="544603" u="1"/>
        <n v="544604" u="1"/>
        <n v="544605" u="1"/>
        <n v="544606" u="1"/>
        <n v="544607" u="1"/>
        <n v="544608" u="1"/>
        <n v="544609" u="1"/>
        <n v="544610" u="1"/>
        <n v="544611" u="1"/>
        <n v="544612" u="1"/>
        <n v="544613" u="1"/>
        <n v="544614" u="1"/>
        <n v="544615" u="1"/>
        <n v="544616" u="1"/>
        <n v="544617" u="1"/>
        <n v="544618" u="1"/>
        <n v="544619" u="1"/>
        <n v="544620" u="1"/>
        <n v="544621" u="1"/>
        <n v="544622" u="1"/>
        <n v="544623" u="1"/>
        <n v="544624" u="1"/>
        <n v="544625" u="1"/>
        <n v="544626" u="1"/>
        <n v="544627" u="1"/>
        <n v="544628" u="1"/>
        <n v="544629" u="1"/>
        <n v="544630" u="1"/>
        <n v="544631" u="1"/>
        <n v="544632" u="1"/>
        <n v="544633" u="1"/>
        <n v="93967605" u="1"/>
        <n v="93967606" u="1"/>
        <n v="93967607" u="1"/>
        <n v="93967608" u="1"/>
        <n v="93967609" u="1"/>
        <n v="93967610" u="1"/>
        <n v="93967611" u="1"/>
        <n v="93967612" u="1"/>
        <n v="93967613" u="1"/>
        <n v="93967614" u="1"/>
        <n v="93967615" u="1"/>
        <n v="93967616" u="1"/>
        <n v="93967617" u="1"/>
        <n v="93967618" u="1"/>
        <n v="544634" u="1"/>
        <n v="544635" u="1"/>
        <n v="544636" u="1"/>
        <n v="544637" u="1"/>
        <n v="544638" u="1"/>
        <n v="544639" u="1"/>
        <n v="544640" u="1"/>
        <n v="544641" u="1"/>
        <n v="544642" u="1"/>
        <n v="544643" u="1"/>
        <n v="544644" u="1"/>
        <n v="544645" u="1"/>
        <n v="544646" u="1"/>
        <n v="93967619" u="1"/>
        <n v="93967620" u="1"/>
        <n v="544647" u="1"/>
        <n v="544648" u="1"/>
        <n v="544649" u="1"/>
        <n v="544650" u="1"/>
        <n v="544651" u="1"/>
        <n v="544652" u="1"/>
        <n v="93967621" u="1"/>
        <n v="544653" u="1"/>
        <n v="544654" u="1"/>
        <n v="544655" u="1"/>
        <n v="544656" u="1"/>
        <n v="544657" u="1"/>
        <n v="544658" u="1"/>
        <n v="544659" u="1"/>
        <n v="544660" u="1"/>
        <n v="544661" u="1"/>
        <n v="544662" u="1"/>
        <n v="544663" u="1"/>
        <n v="544664" u="1"/>
        <n v="544665" u="1"/>
        <n v="544666" u="1"/>
        <n v="544667" u="1"/>
        <n v="544668" u="1"/>
        <n v="544669" u="1"/>
        <n v="544670" u="1"/>
        <n v="93967622" u="1"/>
        <n v="93967623" u="1"/>
        <n v="93967624" u="1"/>
        <n v="93967625" u="1"/>
        <n v="93967626" u="1"/>
        <n v="93967627" u="1"/>
        <n v="93967628" u="1"/>
        <n v="544671" u="1"/>
        <n v="544672" u="1"/>
        <n v="544673" u="1"/>
        <n v="544674" u="1"/>
        <n v="544675" u="1"/>
        <n v="93967629" u="1"/>
        <n v="93967630" u="1"/>
        <n v="93967631" u="1"/>
        <n v="93967632" u="1"/>
        <n v="93967633" u="1"/>
        <n v="93967634" u="1"/>
        <n v="93967635" u="1"/>
        <n v="544676" u="1"/>
        <n v="544677" u="1"/>
        <n v="544678" u="1"/>
        <n v="544679" u="1"/>
        <n v="544680" u="1"/>
        <n v="544681" u="1"/>
        <n v="93967636" u="1"/>
        <n v="544682" u="1"/>
        <n v="544683" u="1"/>
        <n v="544684" u="1"/>
        <n v="544685" u="1"/>
        <n v="544686" u="1"/>
        <n v="544687" u="1"/>
        <n v="544688" u="1"/>
        <n v="544689" u="1"/>
        <n v="544690" u="1"/>
        <n v="544691" u="1"/>
        <n v="544692" u="1"/>
        <n v="544693" u="1"/>
        <n v="544694" u="1"/>
        <n v="544695" u="1"/>
        <n v="544696" u="1"/>
        <n v="544697" u="1"/>
        <n v="544698" u="1"/>
        <n v="544699" u="1"/>
        <n v="544700" u="1"/>
        <n v="544701" u="1"/>
        <n v="544702" u="1"/>
        <n v="93967637" u="1"/>
        <n v="544703" u="1"/>
        <n v="544704" u="1"/>
        <n v="544705" u="1"/>
        <n v="544706" u="1"/>
        <n v="544707" u="1"/>
        <n v="544708" u="1"/>
        <n v="544709" u="1"/>
        <n v="544710" u="1"/>
        <n v="544711" u="1"/>
        <n v="544712" u="1"/>
        <n v="544713" u="1"/>
        <n v="544714" u="1"/>
        <n v="544715" u="1"/>
        <n v="544716" u="1"/>
        <n v="544717" u="1"/>
        <n v="544718" u="1"/>
        <n v="544719" u="1"/>
        <n v="544720" u="1"/>
        <n v="544721" u="1"/>
        <n v="544722" u="1"/>
        <n v="544723" u="1"/>
        <n v="544724" u="1"/>
        <n v="544725" u="1"/>
        <n v="544726" u="1"/>
      </sharedItems>
    </cacheField>
    <cacheField name="importe" numFmtId="0">
      <sharedItems containsString="0" containsBlank="1" containsNumber="1" minValue="0" maxValue="458463870"/>
    </cacheField>
    <cacheField name="Fe.valor" numFmtId="14">
      <sharedItems containsNonDate="0" containsDate="1" containsString="0" containsBlank="1" minDate="2025-01-02T00:00:00" maxDate="2026-11-06T00:00:00" count="303">
        <d v="2025-01-02T00:00:00"/>
        <d v="2025-01-06T00:00:00"/>
        <d v="2025-01-07T00:00:00"/>
        <d v="2025-01-13T00:00:00"/>
        <d v="2025-01-14T00:00:00"/>
        <d v="2025-01-10T00:00:00"/>
        <d v="2025-01-09T00:00:00"/>
        <d v="2025-01-15T00:00:00"/>
        <d v="2025-01-16T00:00:00"/>
        <d v="2025-01-17T00:00:00"/>
        <d v="2025-01-23T00:00:00"/>
        <d v="2025-01-24T00:00:00"/>
        <d v="2025-01-21T00:00:00"/>
        <d v="2025-01-27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4T00:00:00"/>
        <d v="2025-02-12T00:00:00"/>
        <d v="2025-02-13T00:00:00"/>
        <d v="2025-02-19T00:00:00"/>
        <d v="2025-02-20T00:00:00"/>
        <d v="2025-02-25T00:00:00"/>
        <d v="2025-03-05T00:00:00"/>
        <d v="2025-03-06T00:00:00"/>
        <d v="2025-03-10T00:00:00"/>
        <d v="2025-03-11T00:00:00"/>
        <d v="2025-03-13T00:00:00"/>
        <d v="2025-03-14T00:00:00"/>
        <d v="2025-03-19T00:00:00"/>
        <d v="2025-03-24T00:00:00"/>
        <d v="2025-03-20T00:00:00"/>
        <d v="2025-03-25T00:00:00"/>
        <d v="2025-03-26T00:00:00"/>
        <d v="2025-03-18T00:00:00"/>
        <d v="2025-03-21T00:00:00"/>
        <d v="2025-03-27T00:00:00"/>
        <d v="2025-03-28T00:00:00"/>
        <d v="2025-04-03T00:00:00"/>
        <d v="2025-04-04T00:00:00"/>
        <d v="2025-04-07T00:00:00"/>
        <d v="2025-04-10T00:00:00"/>
        <d v="2025-04-11T00:00:00"/>
        <d v="2025-04-14T00:00:00"/>
        <d v="2025-04-16T00:00:00"/>
        <d v="2025-04-21T00:00:00"/>
        <d v="2025-04-23T00:00:00"/>
        <d v="2025-04-28T00:00:00"/>
        <d v="2025-04-29T00:00:00"/>
        <d v="2025-04-30T00:00:00"/>
        <d v="2025-05-05T00:00:00"/>
        <d v="2025-05-10T00:00:00"/>
        <d v="2025-05-07T00:00:00"/>
        <d v="2025-05-08T00:00:00"/>
        <d v="2025-05-09T00:00:00"/>
        <d v="2025-05-12T00:00:00"/>
        <d v="2025-05-14T00:00:00"/>
        <d v="2025-05-16T00:00:00"/>
        <d v="2025-05-15T00:00:00"/>
        <d v="2025-05-19T00:00:00"/>
        <d v="2025-05-20T00:00:00"/>
        <d v="2025-05-22T00:00:00"/>
        <d v="2025-05-23T00:00:00"/>
        <d v="2025-05-21T00:00:00"/>
        <d v="2025-05-26T00:00:00"/>
        <d v="2025-05-29T00:00:00"/>
        <d v="2025-05-30T00:00:00"/>
        <d v="2025-06-20T00:00:00"/>
        <d v="2025-06-02T00:00:00"/>
        <d v="2025-06-05T00:00:00"/>
        <d v="2025-06-06T00:00:00"/>
        <d v="2025-06-04T00:00:00"/>
        <d v="2025-06-03T00:00:00"/>
        <d v="2025-06-11T00:00:00"/>
        <d v="2025-06-12T00:00:00"/>
        <d v="2025-06-13T00:00:00"/>
        <d v="2025-06-17T00:00:00"/>
        <d v="2025-06-19T00:00:00"/>
        <d v="2025-06-23T00:00:00"/>
        <d v="2025-06-18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8T00:00:00"/>
        <d v="2025-07-11T00:00:00"/>
        <d v="2025-07-14T00:00:00"/>
        <d v="2025-07-15T00:00:00"/>
        <d v="2025-07-17T00:00:00"/>
        <d v="2025-07-18T00:00:00"/>
        <d v="2025-07-21T00:00:00"/>
        <d v="2025-07-24T00:00:00"/>
        <d v="2025-07-25T00:00:00"/>
        <d v="2025-07-23T00:00:00"/>
        <d v="2025-07-28T00:00:00"/>
        <d v="2025-07-29T00:00:00"/>
        <d v="2025-07-30T00:00:00"/>
        <d v="2025-07-31T00:00:00"/>
        <d v="2025-08-01T00:00:00"/>
        <d v="2025-08-04T00:00:00"/>
        <d v="2025-08-06T00:00:00"/>
        <d v="2025-08-18T00:00:00"/>
        <d v="2025-09-15T00:00:00"/>
        <d v="2025-08-07T00:00:00"/>
        <d v="2025-08-08T00:00:00"/>
        <d v="2025-08-11T00:00:00"/>
        <d v="2025-08-14T00:00:00"/>
        <d v="2025-08-19T00:00:00"/>
        <d v="2025-08-20T00:00:00"/>
        <d v="2025-08-22T00:00:00"/>
        <d v="2025-08-25T00:00:00"/>
        <d v="2025-08-29T00:00:00"/>
        <d v="2025-09-05T00:00:00"/>
        <d v="2025-09-18T00:00:00"/>
        <d v="2025-10-03T00:00:00"/>
        <d v="2025-09-01T00:00:00"/>
        <d v="2025-08-26T00:00:00"/>
        <d v="2025-09-03T00:00:00"/>
        <d v="2025-10-20T00:00:00"/>
        <d v="2025-11-17T00:00:00"/>
        <d v="2025-12-17T00:00:00"/>
        <d v="2025-09-02T00:00:00"/>
        <d v="2025-09-08T00:00:00"/>
        <d v="2025-09-12T00:00:00"/>
        <d v="2025-09-11T00:00:00"/>
        <d v="2025-09-19T00:00:00"/>
        <d v="2025-09-17T00:00:00"/>
        <d v="2025-09-23T00:00:00"/>
        <d v="2025-09-25T00:00:00"/>
        <d v="2025-09-26T00:00:00"/>
        <d v="2025-09-30T00:00:00"/>
        <d v="2025-09-29T00:00:00"/>
        <d v="2025-10-27T00:00:00"/>
        <d v="2025-11-25T00:00:00"/>
        <d v="2025-10-15T00:00:00"/>
        <d v="2025-10-01T00:00:00"/>
        <d v="2025-10-02T00:00:00"/>
        <d v="2025-10-06T00:00:00"/>
        <d v="2025-10-08T00:00:00"/>
        <d v="2025-10-09T00:00:00"/>
        <d v="2025-10-13T00:00:00"/>
        <d v="2025-10-14T00:00:00"/>
        <d v="2025-10-17T00:00:00"/>
        <d v="2025-10-16T00:00:00"/>
        <d v="2025-11-07T00:00:00"/>
        <d v="2025-12-05T00:00:00"/>
        <d v="2025-10-22T00:00:00"/>
        <d v="2025-10-23T00:00:00"/>
        <d v="2025-10-24T00:00:00"/>
        <d v="2025-10-30T00:00:00"/>
        <d v="2025-10-29T00:00:00"/>
        <d v="2025-10-31T00:00:00"/>
        <d v="2025-12-23T00:00:00"/>
        <d v="2026-01-23T00:00:00"/>
        <d v="2025-11-10T00:00:00"/>
        <d v="2025-11-13T00:00:00"/>
        <d v="2025-11-14T00:00:00"/>
        <d v="2025-11-20T00:00:00"/>
        <d v="2025-11-28T00:00:00"/>
        <d v="2025-12-12T00:00:00"/>
        <d v="2025-11-26T00:00:00"/>
        <d v="2026-01-19T00:00:00"/>
        <d v="2026-02-19T00:00:00"/>
        <d v="2025-12-09T00:00:00"/>
        <d v="2025-12-10T00:00:00"/>
        <d v="2025-12-11T00:00:00"/>
        <d v="2025-12-27T00:00:00"/>
        <d v="2026-01-26T00:00:00"/>
        <d v="2026-02-25T00:00:00"/>
        <d v="2025-12-15T00:00:00"/>
        <d v="2025-12-18T00:00:00"/>
        <d v="2025-12-19T00:00:00"/>
        <d v="2026-01-04T00:00:00"/>
        <d v="2025-12-16T00:00:00"/>
        <d v="2025-12-22T00:00:00"/>
        <d v="2025-12-26T00:00:00"/>
        <d v="2025-12-30T00:00:00"/>
        <d v="2026-01-02T00:00:00"/>
        <d v="2026-01-09T00:00:00"/>
        <d v="2026-01-13T00:00:00"/>
        <d v="2026-01-15T00:00:00"/>
        <d v="2026-01-16T00:00:00"/>
        <d v="2026-01-14T00:00:00"/>
        <d v="2026-01-22T00:00:00"/>
        <d v="2026-01-20T00:00:00"/>
        <d v="2026-01-27T00:00:00"/>
        <d v="2026-01-28T00:00:00"/>
        <d v="2026-01-29T00:00:00"/>
        <d v="2026-01-30T00:00:00"/>
        <d v="2026-02-05T00:00:00"/>
        <d v="2026-02-06T00:00:00"/>
        <d v="2026-03-27T00:00:00"/>
        <d v="2026-04-26T00:00:00"/>
        <d v="2026-05-26T00:00:00"/>
        <d v="2026-06-25T00:00:00"/>
        <d v="2026-07-25T00:00:00"/>
        <d v="2026-08-24T00:00:00"/>
        <d v="2026-09-23T00:00:00"/>
        <d v="2026-10-23T00:00:00"/>
        <d v="2026-02-09T00:00:00"/>
        <d v="2026-02-04T00:00:00"/>
        <d v="2026-02-13T00:00:00"/>
        <d v="2026-02-18T00:00:00"/>
        <d v="2026-02-27T00:00:00"/>
        <d v="2026-02-20T00:00:00"/>
        <d v="2026-02-23T00:00:00"/>
        <d v="2026-02-26T00:00:00"/>
        <d v="2026-03-04T00:00:00"/>
        <d v="2026-03-05T00:00:00"/>
        <d v="2026-03-06T00:00:00"/>
        <d v="2026-03-09T00:00:00"/>
        <d v="2026-03-13T00:00:00"/>
        <d v="2026-03-16T00:00:00"/>
        <d v="2026-03-18T00:00:00"/>
        <d v="2026-03-19T00:00:00"/>
        <d v="2026-03-20T00:00:00"/>
        <d v="2026-03-25T00:00:00"/>
        <d v="2026-03-30T00:00:00"/>
        <d v="2026-04-10T00:00:00"/>
        <d v="2026-04-13T00:00:00"/>
        <d v="2026-04-15T00:00:00"/>
        <d v="2026-04-16T00:00:00"/>
        <d v="2026-04-17T00:00:00"/>
        <d v="2026-04-20T00:00:00"/>
        <d v="2026-04-21T00:00:00"/>
        <d v="2026-04-22T00:00:00"/>
        <d v="2026-05-22T00:00:00"/>
        <d v="2026-06-22T00:00:00"/>
        <d v="2026-04-23T00:00:00"/>
        <d v="2026-04-24T00:00:00"/>
        <d v="2026-04-27T00:00:00"/>
        <d v="2026-04-28T00:00:00"/>
        <d v="2026-04-30T00:00:00"/>
        <d v="2026-05-04T00:00:00"/>
        <d v="2026-05-07T00:00:00"/>
        <d v="2026-05-08T00:00:00"/>
        <d v="2026-05-06T00:00:00"/>
        <d v="2026-06-03T00:00:00"/>
        <d v="2026-05-15T00:00:00"/>
        <d v="2026-05-13T00:00:00"/>
        <d v="2026-05-14T00:00:00"/>
        <d v="2026-05-18T00:00:00"/>
        <d v="2026-05-19T00:00:00"/>
        <d v="2026-05-20T00:00:00"/>
        <d v="2026-05-21T00:00:00"/>
        <d v="2026-05-28T00:00:00"/>
        <d v="2026-05-29T00:00:00"/>
        <d v="2026-06-09T00:00:00"/>
        <d v="2026-06-16T00:00:00"/>
        <d v="2026-06-04T00:00:00"/>
        <d v="2026-06-05T00:00:00"/>
        <d v="2026-07-01T00:00:00"/>
        <d v="2026-08-03T00:00:00"/>
        <d v="2026-06-08T00:00:00"/>
        <d v="2026-07-04T00:00:00"/>
        <d v="2026-06-11T00:00:00"/>
        <d v="2026-06-12T00:00:00"/>
        <d v="2026-07-08T00:00:00"/>
        <d v="2026-08-07T00:00:00"/>
        <d v="2026-07-06T00:00:00"/>
        <d v="2026-07-07T00:00:00"/>
        <d v="2026-06-19T00:00:00"/>
        <d v="2026-07-17T00:00:00"/>
        <d v="2026-08-17T00:00:00"/>
        <d v="2026-08-05T00:00:00"/>
        <d v="2026-09-07T00:00:00"/>
        <d v="2026-10-05T00:00:00"/>
        <d v="2026-11-05T00:00:00"/>
        <d v="2026-06-26T00:00:00"/>
        <d v="2026-07-22T00:00:00"/>
        <d v="2026-07-02T00:00:00"/>
        <d v="2026-07-03T00:00:00"/>
        <d v="2026-07-13T00:00:00"/>
        <d v="2026-07-16T00:00:00"/>
        <d v="2026-07-15T00:00:00"/>
        <d v="2026-07-20T00:00:00"/>
        <d v="2026-07-23T00:00:00"/>
        <d v="2026-09-10T00:00:00"/>
        <d v="2026-10-09T00:00:00"/>
        <d v="2026-07-24T00:00:00"/>
        <d v="2026-07-30T00:00:00"/>
        <d v="2026-07-31T00:00:00"/>
        <d v="2026-08-10T00:00:00"/>
        <d v="2026-08-13T00:00:00"/>
        <d v="2026-08-14T00:00:00"/>
        <d v="2026-09-04T00:00:00"/>
        <d v="2026-08-25T00:00:00"/>
        <d v="2026-08-26T00:00:00"/>
        <d v="2026-08-20T00:00:00"/>
        <d v="2026-08-28T00:00:00"/>
        <d v="2026-09-01T00:00:00"/>
        <d v="2026-09-02T00:00:00"/>
        <d v="2026-09-03T00:00:00"/>
        <m/>
      </sharedItems>
    </cacheField>
    <cacheField name="Banco" numFmtId="0">
      <sharedItems containsBlank="1" count="7">
        <s v="MACRO"/>
        <s v="HSBC"/>
        <s v="GALICIA"/>
        <m/>
        <s v="NACION" u="1"/>
        <s v="Credicoop" u="1"/>
        <s v="COMAFI" u="1"/>
      </sharedItems>
    </cacheField>
    <cacheField name="pagado" numFmtId="0">
      <sharedItems containsBlank="1"/>
    </cacheField>
    <cacheField name="estado" numFmtId="0">
      <sharedItems containsBlank="1"/>
    </cacheField>
    <cacheField name="estado dos" numFmtId="0">
      <sharedItems containsBlank="1" count="4">
        <s v="excluir"/>
        <s v="proximo a vencer"/>
        <s v="a pagar"/>
        <m/>
      </sharedItems>
    </cacheField>
    <cacheField name="estado tres" numFmtId="0">
      <sharedItems containsBlank="1" count="3">
        <s v="no semana"/>
        <s v="para la seman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cia Maribel Diaz" refreshedDate="46272.353030555554" createdVersion="6" refreshedVersion="8" minRefreshableVersion="3" recordCount="2462" xr:uid="{00000000-000A-0000-FFFF-FFFF13000000}">
  <cacheSource type="worksheet">
    <worksheetSource ref="A1:M1048576" sheet="sap nuevo"/>
  </cacheSource>
  <cacheFields count="13">
    <cacheField name="Nº doc." numFmtId="0">
      <sharedItems containsString="0" containsBlank="1" containsNumber="1" containsInteger="1" minValue="3000000030" maxValue="3000007599"/>
    </cacheField>
    <cacheField name="Fecha doc." numFmtId="0">
      <sharedItems containsNonDate="0" containsDate="1" containsString="0" containsBlank="1" minDate="2025-01-02T00:00:00" maxDate="2026-09-03T00:00:00"/>
    </cacheField>
    <cacheField name="       Importe en ML" numFmtId="0">
      <sharedItems containsString="0" containsBlank="1" containsNumber="1" minValue="0" maxValue="458463870"/>
    </cacheField>
    <cacheField name="Usuario" numFmtId="0">
      <sharedItems containsBlank="1"/>
    </cacheField>
    <cacheField name="numero de cheque" numFmtId="0">
      <sharedItems containsString="0" containsBlank="1" containsNumber="1" containsInteger="1" minValue="1" maxValue="99268131" count="8000">
        <n v="91002228"/>
        <n v="91002229"/>
        <n v="91002230"/>
        <n v="91002231"/>
        <n v="91002232"/>
        <n v="2927344"/>
        <n v="2927345"/>
        <n v="2927346"/>
        <n v="91002234"/>
        <n v="91002235"/>
        <n v="91002233"/>
        <n v="94326781"/>
        <n v="94326782"/>
        <n v="94326783"/>
        <n v="94326784"/>
        <n v="94326785"/>
        <n v="94326786"/>
        <n v="94326787"/>
        <n v="2927347"/>
        <n v="2927348"/>
        <n v="2927351"/>
        <n v="2927352"/>
        <n v="2927349"/>
        <n v="2927350"/>
        <n v="2927353"/>
        <n v="2927354"/>
        <n v="94326788"/>
        <n v="94326789"/>
        <n v="94326790"/>
        <n v="94326791"/>
        <n v="94326792"/>
        <n v="94326793"/>
        <n v="2927358"/>
        <n v="2927359"/>
        <n v="94326794"/>
        <n v="2927355"/>
        <n v="2927356"/>
        <n v="2927357"/>
        <n v="2927360"/>
        <n v="2927361"/>
        <n v="2927362"/>
        <n v="2927363"/>
        <n v="2927364"/>
        <n v="2927365"/>
        <n v="2927366"/>
        <n v="94326795"/>
        <n v="94326796"/>
        <n v="94326797"/>
        <n v="91002236"/>
        <n v="91002237"/>
        <n v="91002238"/>
        <n v="91002239"/>
        <n v="91002240"/>
        <n v="91002241"/>
        <n v="91002242"/>
        <n v="91002243"/>
        <n v="91002244"/>
        <n v="94326798"/>
        <n v="94326799"/>
        <n v="2927367"/>
        <n v="94326800"/>
        <n v="91002247"/>
        <n v="91002248"/>
        <n v="91002250"/>
        <n v="91002251"/>
        <n v="91002254"/>
        <n v="91002255"/>
        <n v="91002245"/>
        <n v="91002246"/>
        <n v="91002249"/>
        <n v="91002252"/>
        <n v="91002253"/>
        <n v="91002256"/>
        <n v="2927368"/>
        <n v="2927369"/>
        <n v="2927370"/>
        <n v="2927371"/>
        <n v="94326808"/>
        <n v="2927372"/>
        <n v="2927373"/>
        <n v="2927374"/>
        <n v="2927375"/>
        <n v="2927376"/>
        <n v="2927377"/>
        <n v="2927378"/>
        <n v="2927379"/>
        <n v="2927380"/>
        <n v="2927381"/>
        <n v="94326801"/>
        <n v="94326802"/>
        <n v="94326803"/>
        <n v="94326804"/>
        <n v="94326805"/>
        <n v="94326806"/>
        <n v="94326807"/>
        <n v="2927382"/>
        <n v="2927383"/>
        <n v="2927384"/>
        <n v="2927388"/>
        <n v="2927389"/>
        <n v="2927385"/>
        <n v="2927386"/>
        <n v="2927387"/>
        <n v="2927390"/>
        <n v="2927391"/>
        <n v="2927392"/>
        <n v="2927393"/>
        <n v="2927394"/>
        <n v="94326809"/>
        <n v="94326810"/>
        <n v="2927400"/>
        <n v="2927401"/>
        <n v="2927395"/>
        <n v="2927396"/>
        <n v="2927397"/>
        <n v="2927398"/>
        <n v="2927399"/>
        <n v="91002262"/>
        <n v="91002263"/>
        <n v="91002257"/>
        <n v="91002258"/>
        <n v="91002259"/>
        <n v="91002260"/>
        <n v="91002261"/>
        <n v="91002264"/>
        <n v="91002265"/>
        <n v="91002266"/>
        <n v="91002267"/>
        <n v="91002268"/>
        <n v="91002269"/>
        <n v="91002270"/>
        <n v="2927403"/>
        <n v="2927404"/>
        <n v="2927402"/>
        <n v="91002274"/>
        <n v="91002275"/>
        <n v="91002271"/>
        <n v="91002272"/>
        <n v="91002273"/>
        <n v="91002276"/>
        <n v="91002277"/>
        <n v="91002278"/>
        <n v="91002279"/>
        <n v="91002280"/>
        <n v="91002281"/>
        <n v="91002282"/>
        <n v="91002283"/>
        <n v="91002284"/>
        <n v="91002286"/>
        <n v="91002287"/>
        <n v="91002288"/>
        <n v="91002289"/>
        <n v="91002285"/>
        <n v="91002290"/>
        <n v="91002291"/>
        <n v="91002292"/>
        <n v="94326811"/>
        <n v="94326812"/>
        <n v="94326813"/>
        <n v="91002294"/>
        <n v="91002295"/>
        <n v="91002296"/>
        <n v="91002297"/>
        <n v="91002298"/>
        <n v="91002299"/>
        <n v="91002308"/>
        <n v="91002309"/>
        <n v="91002293"/>
        <n v="91002300"/>
        <n v="91002301"/>
        <n v="91002302"/>
        <n v="91002303"/>
        <n v="91002304"/>
        <n v="91002305"/>
        <n v="91002306"/>
        <n v="91002307"/>
        <n v="91002310"/>
        <n v="91002311"/>
        <n v="91002312"/>
        <n v="91002313"/>
        <n v="94326814"/>
        <n v="91002314"/>
        <n v="91002315"/>
        <n v="91002316"/>
        <n v="91002317"/>
        <n v="91002318"/>
        <n v="91002319"/>
        <n v="91002320"/>
        <n v="91002321"/>
        <n v="91002322"/>
        <n v="91002323"/>
        <n v="91002324"/>
        <n v="94326815"/>
        <n v="91002327"/>
        <n v="91002328"/>
        <n v="91002329"/>
        <n v="91002330"/>
        <n v="91002332"/>
        <n v="91002333"/>
        <n v="91002334"/>
        <n v="91002335"/>
        <n v="91002339"/>
        <n v="91002340"/>
        <n v="91002345"/>
        <n v="91002346"/>
        <n v="91002347"/>
        <n v="91002348"/>
        <n v="91002325"/>
        <n v="91002326"/>
        <n v="91002331"/>
        <n v="91002336"/>
        <n v="91002337"/>
        <n v="91002338"/>
        <n v="91002341"/>
        <n v="91002342"/>
        <n v="91002343"/>
        <n v="91002344"/>
        <n v="91002349"/>
        <n v="94326816"/>
        <n v="94326817"/>
        <n v="94326818"/>
        <n v="94326819"/>
        <n v="94326820"/>
        <n v="94326821"/>
        <n v="94326822"/>
        <n v="94326823"/>
        <n v="94326824"/>
        <n v="91002350"/>
        <n v="91002351"/>
        <n v="91002353"/>
        <n v="91002354"/>
        <n v="91002355"/>
        <n v="91002356"/>
        <n v="91002358"/>
        <n v="91002359"/>
        <n v="91002360"/>
        <n v="91002361"/>
        <n v="91002362"/>
        <n v="91002363"/>
        <n v="91002364"/>
        <n v="91002365"/>
        <n v="91002368"/>
        <n v="91002369"/>
        <n v="91002370"/>
        <n v="91002371"/>
        <n v="91002352"/>
        <n v="91002357"/>
        <n v="91002366"/>
        <n v="91002367"/>
        <n v="94326825"/>
        <n v="94326826"/>
        <n v="91002372"/>
        <n v="91002374"/>
        <n v="91002373"/>
        <n v="2927405"/>
        <n v="94326827"/>
        <n v="91002381"/>
        <n v="91002382"/>
        <n v="91002375"/>
        <n v="91002376"/>
        <n v="91002377"/>
        <n v="91002378"/>
        <n v="91002379"/>
        <n v="91002380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94326828"/>
        <n v="1198"/>
        <n v="1199"/>
        <n v="1200"/>
        <n v="1201"/>
        <n v="1202"/>
        <n v="1203"/>
        <n v="1204"/>
        <n v="94326829"/>
        <n v="91002396"/>
        <n v="91002397"/>
        <n v="91002399"/>
        <n v="91002400"/>
        <n v="91002383"/>
        <n v="91002384"/>
        <n v="91002385"/>
        <n v="91002386"/>
        <n v="91002387"/>
        <n v="91002388"/>
        <n v="91002389"/>
        <n v="91002390"/>
        <n v="91002391"/>
        <n v="91002392"/>
        <n v="91002393"/>
        <n v="91002394"/>
        <n v="91002395"/>
        <n v="91002398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91002401"/>
        <n v="94326830"/>
        <n v="94326831"/>
        <n v="94326832"/>
        <n v="94326833"/>
        <n v="94326834"/>
        <n v="94326835"/>
        <n v="94326836"/>
        <n v="94326837"/>
        <n v="94326838"/>
        <n v="1217"/>
        <n v="1218"/>
        <n v="1219"/>
        <n v="1220"/>
        <n v="1221"/>
        <n v="1222"/>
        <n v="1223"/>
        <n v="1224"/>
        <n v="1234"/>
        <n v="1235"/>
        <n v="1237"/>
        <n v="1238"/>
        <n v="1225"/>
        <n v="1226"/>
        <n v="1227"/>
        <n v="1228"/>
        <n v="1229"/>
        <n v="1230"/>
        <n v="1231"/>
        <n v="1232"/>
        <n v="1233"/>
        <n v="1236"/>
        <n v="1244"/>
        <n v="1245"/>
        <n v="1248"/>
        <n v="1249"/>
        <n v="1250"/>
        <n v="1251"/>
        <n v="1252"/>
        <n v="1239"/>
        <n v="1240"/>
        <n v="1241"/>
        <n v="1242"/>
        <n v="1243"/>
        <n v="1246"/>
        <n v="1247"/>
        <n v="1253"/>
        <n v="1254"/>
        <n v="1255"/>
        <n v="1256"/>
        <n v="94326839"/>
        <n v="94326840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94326841"/>
        <n v="94326842"/>
        <n v="94326843"/>
        <n v="94326844"/>
        <n v="94326845"/>
        <n v="94326846"/>
        <n v="94326847"/>
        <n v="94326848"/>
        <n v="1314"/>
        <n v="1315"/>
        <n v="1302"/>
        <n v="1303"/>
        <n v="1305"/>
        <n v="1306"/>
        <n v="1309"/>
        <n v="1310"/>
        <n v="1304"/>
        <n v="1307"/>
        <n v="1308"/>
        <n v="1311"/>
        <n v="1312"/>
        <n v="1313"/>
        <n v="1317"/>
        <n v="1318"/>
        <n v="1319"/>
        <n v="1324"/>
        <n v="1325"/>
        <n v="1316"/>
        <n v="1320"/>
        <n v="1321"/>
        <n v="1322"/>
        <n v="1323"/>
        <n v="1326"/>
        <n v="94326849"/>
        <n v="94326850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4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9432685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91002402"/>
        <n v="91002403"/>
        <n v="91002404"/>
        <n v="91002405"/>
        <n v="91002406"/>
        <n v="91002407"/>
        <n v="91002408"/>
        <n v="91002409"/>
        <n v="91002410"/>
        <n v="91002411"/>
        <n v="91002412"/>
        <n v="91002413"/>
        <n v="91002414"/>
        <n v="91002415"/>
        <n v="91002416"/>
        <n v="91002417"/>
        <n v="91002418"/>
        <n v="91002419"/>
        <n v="91002420"/>
        <n v="91002421"/>
        <n v="91002422"/>
        <n v="91002423"/>
        <n v="91002424"/>
        <n v="94326853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40272950"/>
        <n v="40272951"/>
        <n v="40272952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40272954"/>
        <n v="40272955"/>
        <n v="40272956"/>
        <n v="40272957"/>
        <n v="40272958"/>
        <n v="40272959"/>
        <n v="40272960"/>
        <n v="40272961"/>
        <n v="40272962"/>
        <n v="40272953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40272963"/>
        <n v="40272964"/>
        <n v="40272965"/>
        <n v="40272966"/>
        <n v="40272967"/>
        <n v="40272968"/>
        <n v="91002425"/>
        <n v="91002426"/>
        <n v="91002427"/>
        <n v="91002428"/>
        <n v="91002429"/>
        <n v="91002430"/>
        <n v="91002431"/>
        <n v="91002432"/>
        <n v="91002433"/>
        <n v="91002434"/>
        <n v="91002435"/>
        <n v="91002436"/>
        <n v="91002437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51"/>
        <n v="1652"/>
        <n v="1653"/>
        <n v="1654"/>
        <n v="1647"/>
        <n v="1648"/>
        <n v="1649"/>
        <n v="1650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6"/>
        <n v="1737"/>
        <n v="1738"/>
        <n v="1739"/>
        <n v="1740"/>
        <n v="1741"/>
        <n v="1742"/>
        <n v="1743"/>
        <n v="1744"/>
        <n v="1745"/>
        <n v="1753"/>
        <n v="1754"/>
        <n v="1755"/>
        <n v="1756"/>
        <n v="1758"/>
        <n v="1759"/>
        <n v="1764"/>
        <n v="1765"/>
        <n v="1766"/>
        <n v="1767"/>
        <n v="1735"/>
        <n v="1746"/>
        <n v="1747"/>
        <n v="1748"/>
        <n v="1749"/>
        <n v="1750"/>
        <n v="1751"/>
        <n v="1752"/>
        <n v="1757"/>
        <n v="1760"/>
        <n v="1761"/>
        <n v="1762"/>
        <n v="1763"/>
        <n v="40272970"/>
        <n v="91002438"/>
        <n v="91002439"/>
        <n v="91002440"/>
        <n v="91002441"/>
        <n v="91002442"/>
        <n v="91002443"/>
        <n v="91002444"/>
        <n v="91002445"/>
        <n v="91002446"/>
        <n v="91002447"/>
        <n v="91002448"/>
        <n v="91002449"/>
        <n v="1769"/>
        <n v="1768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40272971"/>
        <n v="40272972"/>
        <n v="40272973"/>
        <n v="40272974"/>
        <n v="40272975"/>
        <n v="40272976"/>
        <n v="40272977"/>
        <n v="40272978"/>
        <n v="40272979"/>
        <n v="91002450"/>
        <n v="91002451"/>
        <n v="91002452"/>
        <n v="91002454"/>
        <n v="91002455"/>
        <n v="91002456"/>
        <n v="91002457"/>
        <n v="91002458"/>
        <n v="91002459"/>
        <n v="91002468"/>
        <n v="91002469"/>
        <n v="91002470"/>
        <n v="91002471"/>
        <n v="91002473"/>
        <n v="91002474"/>
        <n v="91002453"/>
        <n v="91002460"/>
        <n v="91002461"/>
        <n v="91002462"/>
        <n v="91002463"/>
        <n v="91002464"/>
        <n v="91002465"/>
        <n v="91002466"/>
        <n v="91002467"/>
        <n v="91002472"/>
        <n v="91002475"/>
        <n v="91002476"/>
        <n v="91002477"/>
        <n v="91002478"/>
        <n v="91002479"/>
        <n v="91002480"/>
        <n v="91002481"/>
        <n v="91002482"/>
        <n v="91002483"/>
        <n v="91002484"/>
        <n v="91002485"/>
        <n v="91002486"/>
        <n v="91002487"/>
        <n v="91002488"/>
        <n v="91002489"/>
        <n v="91002490"/>
        <n v="91002491"/>
        <n v="91002492"/>
        <n v="91002493"/>
        <n v="91002494"/>
        <n v="91002495"/>
        <n v="91002496"/>
        <n v="91002497"/>
        <n v="91002498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40272981"/>
        <n v="40272982"/>
        <n v="40272983"/>
        <n v="91002499"/>
        <n v="91002500"/>
        <n v="91002501"/>
        <n v="91002502"/>
        <n v="91002503"/>
        <n v="91002504"/>
        <n v="91002505"/>
        <n v="91002506"/>
        <n v="91002507"/>
        <n v="91002508"/>
        <n v="91002509"/>
        <n v="91002510"/>
        <n v="91002511"/>
        <n v="91002512"/>
        <n v="91002513"/>
        <n v="91002514"/>
        <n v="91002515"/>
        <n v="91002516"/>
        <n v="91002517"/>
        <n v="40272984"/>
        <n v="40272987"/>
        <n v="40272988"/>
        <n v="91002518"/>
        <n v="91002519"/>
        <n v="91002520"/>
        <n v="91002521"/>
        <n v="91002522"/>
        <n v="91002523"/>
        <n v="91002524"/>
        <n v="91002525"/>
        <n v="91002526"/>
        <n v="91002527"/>
        <n v="91002528"/>
        <n v="91002529"/>
        <n v="91002530"/>
        <n v="91002531"/>
        <n v="91002532"/>
        <n v="91002533"/>
        <n v="91002534"/>
        <n v="91002535"/>
        <n v="91002536"/>
        <n v="91002537"/>
        <n v="91002538"/>
        <n v="91002539"/>
        <n v="91002540"/>
        <n v="91002541"/>
        <n v="91002542"/>
        <n v="91002543"/>
        <n v="91002544"/>
        <n v="91002545"/>
        <n v="91002546"/>
        <n v="91002547"/>
        <n v="91002548"/>
        <n v="91002549"/>
        <n v="91002550"/>
        <n v="91002551"/>
        <n v="91002552"/>
        <n v="91002553"/>
        <n v="91002554"/>
        <n v="91002555"/>
        <n v="91002556"/>
        <n v="91002557"/>
        <n v="91002558"/>
        <n v="91002559"/>
        <n v="91002560"/>
        <n v="91002561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40272990"/>
        <n v="40272991"/>
        <n v="91002562"/>
        <n v="91002563"/>
        <n v="91002564"/>
        <n v="91002565"/>
        <n v="91002566"/>
        <n v="91002567"/>
        <n v="91002568"/>
        <n v="91002569"/>
        <n v="40272992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40272993"/>
        <n v="91002570"/>
        <n v="91002571"/>
        <n v="91002572"/>
        <n v="91002573"/>
        <n v="91002574"/>
        <n v="91002575"/>
        <n v="91002576"/>
        <n v="91002577"/>
        <n v="91002578"/>
        <n v="91002579"/>
        <n v="91002580"/>
        <n v="40272994"/>
        <n v="40272995"/>
        <n v="91002581"/>
        <n v="91002582"/>
        <n v="91002583"/>
        <n v="91002584"/>
        <n v="91002585"/>
        <n v="91002586"/>
        <n v="91002587"/>
        <n v="91002588"/>
        <n v="91002589"/>
        <n v="1934"/>
        <n v="1935"/>
        <n v="1936"/>
        <n v="1937"/>
        <n v="1938"/>
        <n v="1939"/>
        <n v="1940"/>
        <n v="1941"/>
        <n v="91002590"/>
        <n v="91002591"/>
        <n v="91002592"/>
        <n v="91002593"/>
        <n v="91002594"/>
        <n v="91002595"/>
        <n v="91002596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40272996"/>
        <n v="40272997"/>
        <n v="91002597"/>
        <n v="91002598"/>
        <n v="91002599"/>
        <n v="91002600"/>
        <n v="91002601"/>
        <n v="91002602"/>
        <n v="91002603"/>
        <n v="91002604"/>
        <n v="91002605"/>
        <n v="91002606"/>
        <n v="91002607"/>
        <n v="91002608"/>
        <n v="91002609"/>
        <n v="91002610"/>
        <n v="91002611"/>
        <n v="91002612"/>
        <n v="91002613"/>
        <n v="91002614"/>
        <n v="91002615"/>
        <n v="91002616"/>
        <n v="1957"/>
        <n v="40272998"/>
        <n v="40272999"/>
        <n v="40273000"/>
        <n v="40273001"/>
        <n v="40273002"/>
        <n v="91002617"/>
        <n v="91002618"/>
        <n v="91002619"/>
        <n v="91002620"/>
        <n v="91002621"/>
        <n v="91002622"/>
        <n v="91002623"/>
        <n v="91002624"/>
        <n v="91002625"/>
        <n v="91002626"/>
        <n v="91002627"/>
        <n v="91002628"/>
        <n v="91002629"/>
        <n v="91002630"/>
        <n v="91002631"/>
        <n v="91002632"/>
        <n v="91002633"/>
        <n v="91002634"/>
        <n v="91002635"/>
        <n v="91002636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91002639"/>
        <n v="91002640"/>
        <n v="91002637"/>
        <n v="91002638"/>
        <n v="91002641"/>
        <n v="91002642"/>
        <n v="91002643"/>
        <n v="91002644"/>
        <n v="91002645"/>
        <n v="91002646"/>
        <n v="91002647"/>
        <n v="91002648"/>
        <n v="91002649"/>
        <n v="91002650"/>
        <n v="1976"/>
        <n v="91002651"/>
        <n v="91002652"/>
        <n v="91002653"/>
        <n v="91002654"/>
        <n v="91002655"/>
        <n v="91002656"/>
        <n v="91002657"/>
        <n v="91002658"/>
        <n v="91002659"/>
        <n v="91002660"/>
        <n v="91002661"/>
        <n v="91002662"/>
        <n v="91002663"/>
        <n v="91002664"/>
        <n v="91002665"/>
        <n v="91002666"/>
        <n v="40273003"/>
        <n v="1977"/>
        <n v="1978"/>
        <n v="1979"/>
        <n v="1980"/>
        <n v="91002667"/>
        <n v="91002668"/>
        <n v="91002669"/>
        <n v="91002670"/>
        <n v="91002671"/>
        <n v="91002672"/>
        <n v="91002673"/>
        <n v="91002674"/>
        <n v="91002675"/>
        <n v="91002676"/>
        <n v="91002677"/>
        <n v="91002678"/>
        <n v="91002679"/>
        <n v="91002680"/>
        <n v="91002681"/>
        <n v="91002682"/>
        <n v="91002683"/>
        <n v="91002684"/>
        <n v="91002685"/>
        <n v="91002686"/>
        <n v="91002687"/>
        <n v="91002688"/>
        <n v="91002689"/>
        <n v="91002690"/>
        <n v="91002691"/>
        <n v="91002692"/>
        <n v="91002693"/>
        <n v="91002694"/>
        <n v="91002695"/>
        <n v="91002696"/>
        <n v="91002697"/>
        <n v="91002698"/>
        <n v="91002699"/>
        <n v="91002700"/>
        <n v="40273004"/>
        <n v="1981"/>
        <n v="1982"/>
        <n v="1983"/>
        <n v="1984"/>
        <n v="1985"/>
        <n v="1986"/>
        <n v="1987"/>
        <n v="40273005"/>
        <n v="40273006"/>
        <n v="40273007"/>
        <n v="91002701"/>
        <n v="91002702"/>
        <n v="91002703"/>
        <n v="91002704"/>
        <n v="91002705"/>
        <n v="91002706"/>
        <n v="9100270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91002708"/>
        <n v="91002709"/>
        <n v="91002710"/>
        <n v="91002711"/>
        <n v="91002712"/>
        <n v="91002713"/>
        <n v="91002714"/>
        <n v="91002715"/>
        <n v="91002716"/>
        <n v="91002717"/>
        <n v="91002718"/>
        <n v="91002719"/>
        <n v="91002720"/>
        <n v="91002721"/>
        <n v="91002722"/>
        <n v="91002723"/>
        <n v="91002724"/>
        <n v="91002725"/>
        <n v="91002726"/>
        <n v="91002727"/>
        <n v="91002728"/>
        <n v="91002729"/>
        <n v="91002730"/>
        <n v="91002731"/>
        <n v="91002732"/>
        <n v="40273008"/>
        <n v="40273009"/>
        <n v="40273010"/>
        <n v="40273011"/>
        <n v="40273012"/>
        <n v="40273013"/>
        <n v="40273014"/>
        <n v="40273015"/>
        <n v="91002733"/>
        <n v="91002734"/>
        <n v="91002735"/>
        <n v="91002736"/>
        <n v="91002737"/>
        <n v="91002738"/>
        <n v="91002739"/>
        <n v="91002740"/>
        <n v="91002741"/>
        <n v="91002742"/>
        <n v="91002743"/>
        <n v="91002744"/>
        <n v="91002745"/>
        <n v="91002746"/>
        <n v="91002747"/>
        <n v="91002748"/>
        <n v="91002749"/>
        <n v="91002750"/>
        <n v="91002751"/>
        <n v="91002752"/>
        <n v="2021"/>
        <n v="2022"/>
        <n v="2023"/>
        <n v="2024"/>
        <n v="2013"/>
        <n v="2014"/>
        <n v="2015"/>
        <n v="2016"/>
        <n v="2017"/>
        <n v="2018"/>
        <n v="2019"/>
        <n v="2020"/>
        <n v="2025"/>
        <n v="2026"/>
        <n v="2027"/>
        <n v="2028"/>
        <n v="2029"/>
        <n v="2030"/>
        <n v="40273016"/>
        <n v="40273017"/>
        <n v="91002753"/>
        <n v="91002754"/>
        <n v="91002755"/>
        <n v="91002756"/>
        <n v="91002757"/>
        <n v="91002758"/>
        <n v="91002759"/>
        <n v="91002760"/>
        <n v="91002761"/>
        <n v="91002762"/>
        <n v="91002763"/>
        <n v="91002764"/>
        <n v="91002765"/>
        <n v="91002766"/>
        <n v="91002767"/>
        <n v="91002768"/>
        <n v="91002769"/>
        <n v="2031"/>
        <n v="2032"/>
        <n v="2033"/>
        <n v="2034"/>
        <n v="2035"/>
        <n v="2036"/>
        <n v="2037"/>
        <n v="2038"/>
        <n v="2039"/>
        <n v="2040"/>
        <n v="2041"/>
        <n v="91002770"/>
        <n v="91002771"/>
        <n v="91002772"/>
        <n v="91002773"/>
        <n v="91002774"/>
        <n v="91002775"/>
        <n v="91002776"/>
        <n v="91002777"/>
        <n v="91002778"/>
        <n v="91002779"/>
        <n v="91002780"/>
        <n v="91002784"/>
        <n v="91002785"/>
        <n v="91002786"/>
        <n v="91002787"/>
        <n v="91002788"/>
        <n v="91002789"/>
        <n v="91002781"/>
        <n v="91002782"/>
        <n v="91002783"/>
        <n v="91002790"/>
        <n v="91002791"/>
        <n v="91002792"/>
        <n v="91002793"/>
        <n v="91002794"/>
        <n v="91002795"/>
        <n v="91002796"/>
        <n v="91002797"/>
        <n v="91002798"/>
        <n v="91002799"/>
        <n v="91002810"/>
        <n v="91002811"/>
        <n v="91002812"/>
        <n v="91002813"/>
        <n v="91002814"/>
        <n v="91002815"/>
        <n v="40273018"/>
        <n v="91002800"/>
        <n v="91002801"/>
        <n v="91002802"/>
        <n v="91002803"/>
        <n v="91002804"/>
        <n v="91002805"/>
        <n v="91002806"/>
        <n v="91002807"/>
        <n v="91002808"/>
        <n v="91002809"/>
        <n v="91002822"/>
        <n v="91002823"/>
        <n v="91002824"/>
        <n v="91002817"/>
        <n v="91002818"/>
        <n v="91002816"/>
        <n v="91002819"/>
        <n v="91002820"/>
        <n v="91002821"/>
        <n v="40273019"/>
        <n v="91002825"/>
        <n v="91002826"/>
        <n v="91002827"/>
        <n v="91002828"/>
        <n v="91002829"/>
        <n v="91002830"/>
        <n v="91002831"/>
        <n v="91002832"/>
        <n v="91002833"/>
        <n v="91002834"/>
        <n v="91002835"/>
        <n v="91002836"/>
        <n v="91002837"/>
        <n v="91002838"/>
        <n v="91002839"/>
        <n v="91002840"/>
        <n v="91002841"/>
        <n v="91002842"/>
        <n v="91002843"/>
        <n v="91002850"/>
        <n v="91002851"/>
        <n v="91002852"/>
        <n v="91002853"/>
        <n v="91002854"/>
        <n v="91002855"/>
        <n v="91002856"/>
        <n v="91002857"/>
        <n v="91002858"/>
        <n v="91002859"/>
        <n v="91002844"/>
        <n v="91002845"/>
        <n v="91002846"/>
        <n v="91002847"/>
        <n v="91002848"/>
        <n v="91002849"/>
        <n v="40273020"/>
        <n v="91002862"/>
        <n v="91002863"/>
        <n v="91002865"/>
        <n v="91002866"/>
        <n v="91002867"/>
        <n v="91002868"/>
        <n v="91002869"/>
        <n v="91002870"/>
        <n v="91002871"/>
        <n v="91002872"/>
        <n v="91002873"/>
        <n v="91002874"/>
        <n v="91002875"/>
        <n v="91002876"/>
        <n v="91002860"/>
        <n v="91002861"/>
        <n v="91002864"/>
        <n v="91002877"/>
        <n v="91002878"/>
        <n v="91002879"/>
        <n v="91002880"/>
        <n v="91002881"/>
        <n v="91002882"/>
        <n v="91002883"/>
        <n v="91002884"/>
        <n v="91002885"/>
        <n v="91002886"/>
        <n v="91002887"/>
        <n v="91002888"/>
        <n v="91002889"/>
        <n v="91002890"/>
        <n v="91002891"/>
        <n v="91002892"/>
        <n v="91002893"/>
        <n v="91002894"/>
        <n v="91002895"/>
        <n v="91002896"/>
        <n v="91002897"/>
        <n v="91002898"/>
        <n v="91002899"/>
        <n v="91002900"/>
        <n v="91002901"/>
        <n v="91002902"/>
        <n v="91002903"/>
        <n v="2042"/>
        <n v="91002904"/>
        <n v="91002905"/>
        <n v="91002906"/>
        <n v="91002907"/>
        <n v="91002908"/>
        <n v="91002909"/>
        <n v="91002910"/>
        <n v="91002911"/>
        <n v="91002912"/>
        <n v="91002913"/>
        <n v="91002916"/>
        <n v="91002917"/>
        <n v="91002919"/>
        <n v="91002920"/>
        <n v="91002914"/>
        <n v="91002915"/>
        <n v="91002918"/>
        <n v="91002921"/>
        <n v="91002922"/>
        <n v="91002923"/>
        <n v="91002924"/>
        <n v="91002925"/>
        <n v="91002926"/>
        <n v="40273021"/>
        <n v="40273022"/>
        <n v="40273023"/>
        <n v="40273024"/>
        <n v="40273025"/>
        <n v="91002927"/>
        <n v="91002928"/>
        <n v="91002929"/>
        <n v="91002930"/>
        <n v="91002931"/>
        <n v="91002932"/>
        <n v="91002933"/>
        <n v="91002934"/>
        <n v="91002935"/>
        <n v="91002936"/>
        <n v="91002937"/>
        <n v="91002938"/>
        <n v="91002939"/>
        <n v="91002940"/>
        <n v="91002941"/>
        <n v="91002942"/>
        <n v="91002943"/>
        <n v="91002944"/>
        <n v="91002945"/>
        <n v="91002946"/>
        <n v="2043"/>
        <n v="91002947"/>
        <n v="91002948"/>
        <n v="91002949"/>
        <n v="91002950"/>
        <n v="91002951"/>
        <n v="91002952"/>
        <n v="91002953"/>
        <n v="91002958"/>
        <n v="91002959"/>
        <n v="91002954"/>
        <n v="91002955"/>
        <n v="91002956"/>
        <n v="91002957"/>
        <n v="91002960"/>
        <n v="91002961"/>
        <n v="91002962"/>
        <n v="91002963"/>
        <n v="91002964"/>
        <n v="91002965"/>
        <n v="91002966"/>
        <n v="91002967"/>
        <n v="91002968"/>
        <n v="91002969"/>
        <n v="91002970"/>
        <n v="2044"/>
        <n v="91002971"/>
        <n v="61301826"/>
        <n v="91002972"/>
        <n v="91002973"/>
        <n v="91002974"/>
        <n v="91002975"/>
        <n v="91002976"/>
        <n v="91002977"/>
        <n v="91002978"/>
        <n v="91002979"/>
        <n v="91002980"/>
        <n v="91002981"/>
        <n v="91002982"/>
        <n v="91002983"/>
        <n v="91002984"/>
        <n v="91002985"/>
        <n v="91002986"/>
        <n v="61301827"/>
        <n v="61301828"/>
        <n v="91002987"/>
        <n v="91002988"/>
        <n v="91002989"/>
        <n v="91002990"/>
        <n v="91002991"/>
        <n v="91002992"/>
        <n v="91002993"/>
        <n v="91002994"/>
        <n v="91002995"/>
        <n v="91002996"/>
        <n v="91002997"/>
        <n v="91002998"/>
        <n v="91002999"/>
        <n v="91003000"/>
        <n v="91003001"/>
        <n v="91003002"/>
        <n v="91003003"/>
        <n v="91003004"/>
        <n v="91003005"/>
        <n v="91003006"/>
        <n v="91003007"/>
        <n v="91003008"/>
        <n v="91003009"/>
        <n v="91003010"/>
        <n v="91003011"/>
        <n v="91003012"/>
        <n v="91003013"/>
        <n v="91003014"/>
        <n v="91003015"/>
        <n v="91003016"/>
        <n v="91003017"/>
        <n v="91003018"/>
        <n v="91003019"/>
        <n v="91003020"/>
        <n v="91003021"/>
        <n v="91003022"/>
        <n v="91003023"/>
        <n v="91003024"/>
        <n v="91003025"/>
        <n v="91003026"/>
        <n v="91003027"/>
        <n v="91003028"/>
        <n v="91003029"/>
        <n v="91003030"/>
        <n v="91003031"/>
        <n v="91003032"/>
        <n v="91003033"/>
        <n v="91003034"/>
        <n v="91003035"/>
        <n v="95780900"/>
        <n v="91003036"/>
        <n v="61301829"/>
        <n v="91003037"/>
        <n v="91003038"/>
        <n v="91003039"/>
        <n v="61301830"/>
        <n v="61301831"/>
        <n v="61301832"/>
        <n v="61301833"/>
        <n v="61301834"/>
        <n v="91003040"/>
        <n v="91003041"/>
        <n v="91003042"/>
        <n v="91003043"/>
        <n v="91003044"/>
        <n v="91003045"/>
        <n v="91003046"/>
        <n v="91003047"/>
        <n v="91003049"/>
        <n v="91003050"/>
        <n v="91003051"/>
        <n v="91003052"/>
        <n v="91003053"/>
        <n v="91003054"/>
        <n v="91003055"/>
        <n v="91003048"/>
        <n v="61301835"/>
        <n v="91003056"/>
        <n v="91003057"/>
        <n v="61301836"/>
        <n v="91003058"/>
        <n v="91003059"/>
        <n v="91003060"/>
        <n v="91003061"/>
        <n v="91003062"/>
        <n v="91003063"/>
        <n v="91003064"/>
        <n v="91003065"/>
        <n v="91003066"/>
        <n v="91003067"/>
        <n v="91003068"/>
        <n v="91003069"/>
        <n v="91003070"/>
        <n v="91003071"/>
        <n v="91003072"/>
        <n v="91003073"/>
        <n v="91003074"/>
        <n v="91003075"/>
        <n v="91003076"/>
        <n v="91003077"/>
        <n v="91003078"/>
        <n v="91003079"/>
        <n v="61301837"/>
        <n v="95780901"/>
        <n v="61301838"/>
        <n v="61301839"/>
        <n v="91003080"/>
        <n v="91003081"/>
        <n v="91003082"/>
        <n v="91003083"/>
        <n v="91003084"/>
        <n v="91003085"/>
        <n v="91003086"/>
        <n v="91003087"/>
        <n v="91003088"/>
        <n v="91003089"/>
        <n v="91003090"/>
        <n v="91003091"/>
        <n v="91003092"/>
        <n v="91003093"/>
        <n v="91003094"/>
        <n v="91003095"/>
        <n v="91003096"/>
        <n v="91003116"/>
        <n v="91003117"/>
        <n v="91003127"/>
        <n v="91003128"/>
        <n v="91003097"/>
        <n v="91003098"/>
        <n v="91003099"/>
        <n v="91003100"/>
        <n v="91003101"/>
        <n v="91003102"/>
        <n v="91003103"/>
        <n v="91003104"/>
        <n v="91003105"/>
        <n v="91003106"/>
        <n v="91003107"/>
        <n v="91003108"/>
        <n v="91003109"/>
        <n v="91003110"/>
        <n v="91003111"/>
        <n v="91003112"/>
        <n v="91003113"/>
        <n v="91003114"/>
        <n v="91003115"/>
        <n v="91003118"/>
        <n v="91003119"/>
        <n v="91003120"/>
        <n v="91003121"/>
        <n v="91003122"/>
        <n v="91003123"/>
        <n v="91003124"/>
        <n v="91003125"/>
        <n v="91003126"/>
        <n v="61301840"/>
        <n v="61301841"/>
        <n v="95780902"/>
        <n v="91003129"/>
        <n v="91003130"/>
        <n v="91003131"/>
        <n v="91003132"/>
        <n v="91003133"/>
        <n v="91003134"/>
        <n v="91003135"/>
        <n v="91003136"/>
        <n v="91003137"/>
        <n v="91003138"/>
        <n v="91003139"/>
        <n v="91003140"/>
        <n v="91003149"/>
        <n v="91003150"/>
        <n v="91003141"/>
        <n v="91003142"/>
        <n v="91003143"/>
        <n v="91003144"/>
        <n v="91003145"/>
        <n v="91003146"/>
        <n v="91003147"/>
        <n v="91003148"/>
        <n v="61301842"/>
        <n v="61301843"/>
        <n v="91003153"/>
        <n v="91003154"/>
        <n v="91003155"/>
        <n v="91003156"/>
        <n v="91003157"/>
        <n v="91003158"/>
        <n v="91003159"/>
        <n v="91003160"/>
        <n v="91003161"/>
        <n v="91003162"/>
        <n v="91003163"/>
        <n v="91003164"/>
        <n v="91003165"/>
        <n v="91003166"/>
        <n v="91003167"/>
        <n v="91003168"/>
        <n v="91003169"/>
        <n v="91003170"/>
        <n v="91003171"/>
        <n v="91003172"/>
        <n v="91003173"/>
        <n v="91003174"/>
        <n v="91003175"/>
        <n v="91003176"/>
        <n v="91003177"/>
        <n v="91003178"/>
        <n v="91003179"/>
        <n v="91003180"/>
        <n v="91003151"/>
        <n v="91003152"/>
        <n v="61301844"/>
        <n v="91003181"/>
        <n v="91003182"/>
        <n v="91003183"/>
        <n v="91003184"/>
        <n v="91003185"/>
        <n v="91003186"/>
        <n v="91003191"/>
        <n v="91003192"/>
        <n v="91003187"/>
        <n v="91003188"/>
        <n v="91003189"/>
        <n v="91003190"/>
        <n v="91003193"/>
        <n v="91003194"/>
        <n v="91003195"/>
        <n v="91003196"/>
        <n v="91003197"/>
        <n v="91003198"/>
        <n v="91003199"/>
        <n v="91003200"/>
        <n v="91003201"/>
        <n v="91003202"/>
        <n v="91003203"/>
        <n v="91003204"/>
        <n v="91003205"/>
        <n v="61301845"/>
        <n v="61301846"/>
        <n v="61301847"/>
        <n v="61301848"/>
        <n v="61301849"/>
        <n v="61301850"/>
        <n v="91003206"/>
        <n v="91003207"/>
        <n v="91003208"/>
        <n v="91003209"/>
        <n v="91003210"/>
        <n v="91003211"/>
        <n v="91003212"/>
        <n v="91003213"/>
        <n v="91003214"/>
        <n v="91003215"/>
        <n v="91003216"/>
        <n v="91003217"/>
        <n v="91003218"/>
        <n v="91003219"/>
        <n v="91003220"/>
        <n v="91003224"/>
        <n v="91003225"/>
        <n v="91003221"/>
        <n v="91003222"/>
        <n v="91003223"/>
        <n v="91003226"/>
        <n v="91003227"/>
        <n v="91003228"/>
        <n v="91003229"/>
        <n v="91003230"/>
        <n v="91003231"/>
        <n v="91003232"/>
        <n v="91003233"/>
        <n v="91003234"/>
        <n v="61301851"/>
        <n v="61301852"/>
        <n v="61301853"/>
        <n v="91003235"/>
        <n v="91003236"/>
        <n v="91003240"/>
        <n v="91003241"/>
        <n v="91003242"/>
        <n v="95780903"/>
        <n v="91003237"/>
        <n v="91003238"/>
        <n v="91003239"/>
        <n v="91003243"/>
        <n v="91003244"/>
        <n v="91003245"/>
        <n v="91003246"/>
        <n v="91003247"/>
        <n v="91003248"/>
        <n v="91003249"/>
        <n v="91003250"/>
        <n v="91003251"/>
        <n v="91003252"/>
        <n v="91003253"/>
        <n v="91003254"/>
        <n v="91003255"/>
        <n v="91003256"/>
        <n v="91003257"/>
        <n v="91003258"/>
        <n v="91003259"/>
        <n v="91003260"/>
        <n v="91003261"/>
        <n v="61301854"/>
        <n v="91003262"/>
        <n v="91003263"/>
        <n v="91003264"/>
        <n v="91003265"/>
        <n v="91003267"/>
        <n v="91003268"/>
        <n v="91003269"/>
        <n v="91003270"/>
        <n v="91003271"/>
        <n v="91003272"/>
        <n v="91003273"/>
        <n v="91003266"/>
        <n v="91003274"/>
        <n v="91003275"/>
        <n v="61301855"/>
        <n v="61301856"/>
        <n v="91003276"/>
        <n v="91003277"/>
        <n v="91003278"/>
        <n v="91003279"/>
        <n v="91003280"/>
        <n v="91003281"/>
        <n v="91003282"/>
        <n v="91003283"/>
        <n v="61301857"/>
        <n v="91003284"/>
        <n v="91003285"/>
        <n v="91003286"/>
        <n v="91003287"/>
        <n v="91003288"/>
        <n v="91003289"/>
        <n v="91003290"/>
        <n v="91003291"/>
        <n v="91003292"/>
        <n v="91003293"/>
        <n v="91003294"/>
        <n v="91003295"/>
        <n v="91003296"/>
        <n v="91003297"/>
        <n v="91003298"/>
        <n v="91003305"/>
        <n v="91003306"/>
        <n v="91003299"/>
        <n v="91003300"/>
        <n v="91003301"/>
        <n v="91003302"/>
        <n v="91003303"/>
        <n v="91003304"/>
        <n v="61301858"/>
        <n v="91003307"/>
        <n v="91003308"/>
        <n v="91003309"/>
        <n v="91003310"/>
        <n v="91003311"/>
        <n v="91003312"/>
        <n v="91003313"/>
        <n v="91003314"/>
        <n v="91003315"/>
        <n v="91003316"/>
        <n v="91003317"/>
        <n v="91003318"/>
        <n v="91003319"/>
        <n v="91003320"/>
        <n v="91003321"/>
        <n v="91003322"/>
        <n v="91003323"/>
        <n v="61301859"/>
        <n v="91003328"/>
        <n v="91003329"/>
        <n v="91003330"/>
        <n v="91003324"/>
        <n v="91003325"/>
        <n v="91003326"/>
        <n v="91003327"/>
        <n v="91003331"/>
        <n v="91003332"/>
        <n v="91003333"/>
        <n v="91003334"/>
        <n v="91003335"/>
        <n v="91003336"/>
        <n v="91003337"/>
        <n v="91003338"/>
        <n v="91003339"/>
        <n v="91003340"/>
        <n v="61301860"/>
        <n v="61301861"/>
        <n v="91003342"/>
        <n v="91003343"/>
        <n v="91003341"/>
        <n v="91003344"/>
        <n v="91003345"/>
        <n v="91003346"/>
        <n v="91003347"/>
        <n v="91003348"/>
        <n v="91003349"/>
        <n v="91003350"/>
        <n v="91003351"/>
        <n v="91003352"/>
        <n v="91003353"/>
        <n v="91003354"/>
        <n v="91003355"/>
        <n v="91003356"/>
        <n v="91003357"/>
        <n v="61301862"/>
        <n v="61301863"/>
        <n v="61301864"/>
        <n v="91003358"/>
        <n v="91003359"/>
        <n v="91003360"/>
        <n v="91003361"/>
        <n v="91003362"/>
        <n v="91003363"/>
        <n v="91003364"/>
        <n v="91003365"/>
        <n v="91003366"/>
        <n v="91003367"/>
        <n v="91003368"/>
        <n v="91003369"/>
        <n v="91003370"/>
        <n v="91003371"/>
        <n v="91003372"/>
        <n v="91003373"/>
        <n v="91003374"/>
        <n v="91003375"/>
        <n v="91003376"/>
        <n v="91003377"/>
        <n v="91003378"/>
        <n v="91003379"/>
        <n v="91003380"/>
        <n v="95780904"/>
        <n v="61301865"/>
        <n v="91003381"/>
        <n v="91003382"/>
        <n v="91003383"/>
        <n v="91003384"/>
        <n v="91003385"/>
        <n v="91003386"/>
        <n v="91003387"/>
        <n v="91003388"/>
        <n v="91003389"/>
        <n v="91003390"/>
        <n v="91003391"/>
        <n v="91003392"/>
        <n v="91003393"/>
        <n v="91003394"/>
        <n v="91003395"/>
        <n v="91003396"/>
        <n v="91003397"/>
        <n v="91003398"/>
        <n v="91003399"/>
        <n v="91003400"/>
        <n v="91003401"/>
        <n v="91003402"/>
        <n v="91003403"/>
        <n v="91003404"/>
        <n v="91003405"/>
        <n v="91003406"/>
        <n v="61301866"/>
        <n v="91003407"/>
        <n v="91003408"/>
        <n v="91003409"/>
        <n v="91003410"/>
        <n v="91003411"/>
        <n v="91003412"/>
        <n v="91003413"/>
        <n v="91003414"/>
        <n v="91003415"/>
        <n v="91003416"/>
        <n v="91003417"/>
        <n v="91003418"/>
        <n v="91003419"/>
        <n v="91003420"/>
        <n v="61301867"/>
        <n v="91003421"/>
        <n v="91003422"/>
        <n v="91003423"/>
        <n v="91003424"/>
        <n v="91003425"/>
        <n v="91003426"/>
        <n v="91003427"/>
        <n v="91003428"/>
        <n v="91003429"/>
        <n v="91003430"/>
        <n v="91003437"/>
        <n v="91003438"/>
        <n v="91003461"/>
        <n v="91003462"/>
        <n v="61301870"/>
        <n v="61301871"/>
        <n v="61301872"/>
        <n v="61301873"/>
        <n v="61301874"/>
        <n v="61301875"/>
        <n v="91003431"/>
        <n v="91003432"/>
        <n v="91003433"/>
        <n v="91003434"/>
        <n v="91003435"/>
        <n v="91003436"/>
        <n v="91003439"/>
        <n v="91003440"/>
        <n v="91003441"/>
        <n v="91003442"/>
        <n v="91003443"/>
        <n v="91003444"/>
        <n v="91003445"/>
        <n v="91003446"/>
        <n v="91003447"/>
        <n v="91003448"/>
        <n v="91003449"/>
        <n v="91003450"/>
        <n v="91003451"/>
        <n v="91003452"/>
        <n v="91003453"/>
        <n v="91003454"/>
        <n v="91003455"/>
        <n v="91003456"/>
        <n v="91003457"/>
        <n v="91003458"/>
        <n v="91003459"/>
        <n v="91003460"/>
        <n v="91003463"/>
        <n v="61301868"/>
        <n v="61301869"/>
        <n v="91003464"/>
        <n v="91003465"/>
        <n v="91003466"/>
        <n v="91003467"/>
        <n v="91003468"/>
        <n v="91003469"/>
        <n v="91003470"/>
        <n v="91003471"/>
        <n v="91003472"/>
        <n v="91003473"/>
        <n v="91003474"/>
        <n v="91003475"/>
        <n v="91003476"/>
        <n v="91003477"/>
        <n v="66622026"/>
        <n v="91003478"/>
        <n v="91003479"/>
        <n v="91003480"/>
        <n v="91003481"/>
        <n v="91003482"/>
        <n v="91003483"/>
        <n v="91003484"/>
        <n v="91003485"/>
        <n v="91003486"/>
        <n v="91003487"/>
        <n v="91003488"/>
        <n v="91003489"/>
        <n v="91003490"/>
        <n v="91003491"/>
        <n v="91003492"/>
        <n v="91003493"/>
        <n v="91003494"/>
        <n v="91003495"/>
        <n v="91003496"/>
        <n v="91003497"/>
        <n v="91003498"/>
        <n v="91003499"/>
        <n v="91003500"/>
        <n v="91003501"/>
        <n v="91003502"/>
        <n v="91003503"/>
        <n v="91003504"/>
        <n v="91003505"/>
        <n v="91003506"/>
        <n v="91003507"/>
        <n v="91003508"/>
        <n v="91003509"/>
        <n v="91003510"/>
        <n v="91003511"/>
        <n v="91003512"/>
        <n v="91003513"/>
        <n v="91003514"/>
        <n v="91003515"/>
        <n v="95780905"/>
        <n v="66622027"/>
        <n v="95780906"/>
        <n v="91003516"/>
        <n v="91003517"/>
        <n v="91003518"/>
        <n v="91003519"/>
        <n v="91003520"/>
        <n v="91003521"/>
        <n v="91003522"/>
        <n v="91003523"/>
        <n v="91003524"/>
        <n v="91003525"/>
        <n v="91003526"/>
        <n v="91003527"/>
        <n v="91003528"/>
        <n v="91003529"/>
        <n v="91003530"/>
        <n v="91003531"/>
        <n v="91003532"/>
        <n v="91003533"/>
        <n v="95780907"/>
        <n v="91003534"/>
        <n v="91003535"/>
        <n v="91003536"/>
        <n v="91003537"/>
        <n v="91003538"/>
        <n v="91003539"/>
        <n v="91003540"/>
        <n v="91003541"/>
        <n v="91003542"/>
        <n v="91003543"/>
        <n v="91003544"/>
        <n v="91003545"/>
        <n v="91003546"/>
        <n v="91003547"/>
        <n v="91003548"/>
        <n v="91003549"/>
        <n v="91003550"/>
        <n v="91003551"/>
        <n v="91003552"/>
        <n v="91003553"/>
        <n v="91003554"/>
        <n v="91003555"/>
        <n v="66622028"/>
        <n v="91003556"/>
        <n v="91003557"/>
        <n v="91003558"/>
        <n v="91003559"/>
        <n v="91003560"/>
        <n v="91003561"/>
        <m/>
        <n v="3045959" u="1"/>
        <n v="3045960" u="1"/>
        <n v="3045961" u="1"/>
        <n v="3045962" u="1"/>
        <n v="3045963" u="1"/>
        <n v="3045964" u="1"/>
        <n v="3045958" u="1"/>
        <n v="93655828" u="1"/>
        <n v="93919608" u="1"/>
        <n v="93919609" u="1"/>
        <n v="95363988" u="1"/>
        <n v="95363989" u="1"/>
        <n v="95363990" u="1"/>
        <n v="95363991" u="1"/>
        <n v="95363992" u="1"/>
        <n v="3045965" u="1"/>
        <n v="3045966" u="1"/>
        <n v="3045967" u="1"/>
        <n v="3045968" u="1"/>
        <n v="3045969" u="1"/>
        <n v="3045970" u="1"/>
        <n v="3045971" u="1"/>
        <n v="95363993" u="1"/>
        <n v="95363994" u="1"/>
        <n v="95363995" u="1"/>
        <n v="95363996" u="1"/>
        <n v="95363997" u="1"/>
        <n v="95363998" u="1"/>
        <n v="95363999" u="1"/>
        <n v="95364000" u="1"/>
        <n v="95364001" u="1"/>
        <n v="95364002" u="1"/>
        <n v="95364003" u="1"/>
        <n v="3045972" u="1"/>
        <n v="3045973" u="1"/>
        <n v="3045974" u="1"/>
        <n v="3045975" u="1"/>
        <n v="3045976" u="1"/>
        <n v="3045977" u="1"/>
        <n v="3045978" u="1"/>
        <n v="3045979" u="1"/>
        <n v="3045980" u="1"/>
        <n v="3045981" u="1"/>
        <n v="3045982" u="1"/>
        <n v="3045983" u="1"/>
        <n v="3045984" u="1"/>
        <n v="3045985" u="1"/>
        <n v="3045986" u="1"/>
        <n v="95364004" u="1"/>
        <n v="95364005" u="1"/>
        <n v="95364006" u="1"/>
        <n v="95364007" u="1"/>
        <n v="95364008" u="1"/>
        <n v="55259926" u="1"/>
        <n v="55259927" u="1"/>
        <n v="55259928" u="1"/>
        <n v="55259929" u="1"/>
        <n v="95364009" u="1"/>
        <n v="95364010" u="1"/>
        <n v="95364011" u="1"/>
        <n v="95364012" u="1"/>
        <n v="95364013" u="1"/>
        <n v="95364014" u="1"/>
        <n v="95364015" u="1"/>
        <n v="95364016" u="1"/>
        <n v="95364017" u="1"/>
        <n v="95364018" u="1"/>
        <n v="95364019" u="1"/>
        <n v="95364020" u="1"/>
        <n v="95364021" u="1"/>
        <n v="95364022" u="1"/>
        <n v="95364023" u="1"/>
        <n v="95364024" u="1"/>
        <n v="3045987" u="1"/>
        <n v="3045988" u="1"/>
        <n v="3045989" u="1"/>
        <n v="3045990" u="1"/>
        <n v="3045991" u="1"/>
        <n v="3045992" u="1"/>
        <n v="3045993" u="1"/>
        <n v="3045994" u="1"/>
        <n v="3045995" u="1"/>
        <n v="3045996" u="1"/>
        <n v="3045997" u="1"/>
        <n v="3045998" u="1"/>
        <n v="94462901" u="1"/>
        <n v="3045999" u="1"/>
        <n v="3046000" u="1"/>
        <n v="3046001" u="1"/>
        <n v="3046002" u="1"/>
        <n v="3046003" u="1"/>
        <n v="3046004" u="1"/>
        <n v="3046005" u="1"/>
        <n v="3046006" u="1"/>
        <n v="3046007" u="1"/>
        <n v="3046008" u="1"/>
        <n v="3046009" u="1"/>
        <n v="3046010" u="1"/>
        <n v="3046011" u="1"/>
        <n v="3046012" u="1"/>
        <n v="3046013" u="1"/>
        <n v="3046014" u="1"/>
        <n v="3046015" u="1"/>
        <n v="3046016" u="1"/>
        <n v="3046017" u="1"/>
        <n v="3046018" u="1"/>
        <n v="3046019" u="1"/>
        <n v="95364025" u="1"/>
        <n v="95364026" u="1"/>
        <n v="95364027" u="1"/>
        <n v="95364028" u="1"/>
        <n v="95364029" u="1"/>
        <n v="3046020" u="1"/>
        <n v="3046021" u="1"/>
        <n v="3046022" u="1"/>
        <n v="3046023" u="1"/>
        <n v="95364030" u="1"/>
        <n v="95364031" u="1"/>
        <n v="95364032" u="1"/>
        <n v="95364033" u="1"/>
        <n v="95364034" u="1"/>
        <n v="95364035" u="1"/>
        <n v="95364036" u="1"/>
        <n v="94462902" u="1"/>
        <n v="94462904" u="1"/>
        <n v="94462905" u="1"/>
        <n v="94462906" u="1"/>
        <n v="94462907" u="1"/>
        <n v="94462908" u="1"/>
        <n v="94462909" u="1"/>
        <n v="94462910" u="1"/>
        <n v="94462911" u="1"/>
        <n v="94462912" u="1"/>
        <n v="94462913" u="1"/>
        <n v="94462914" u="1"/>
        <n v="94462915" u="1"/>
        <n v="94462916" u="1"/>
        <n v="94462917" u="1"/>
        <n v="94462918" u="1"/>
        <n v="95364037" u="1"/>
        <n v="95364038" u="1"/>
        <n v="95364039" u="1"/>
        <n v="95364040" u="1"/>
        <n v="95364041" u="1"/>
        <n v="95364042" u="1"/>
        <n v="95364043" u="1"/>
        <n v="95364044" u="1"/>
        <n v="3046024" u="1"/>
        <n v="3046025" u="1"/>
        <n v="4462919" u="1"/>
        <n v="3046026" u="1"/>
        <n v="3046027" u="1"/>
        <n v="3046028" u="1"/>
        <n v="3046029" u="1"/>
        <n v="95364045" u="1"/>
        <n v="95364046" u="1"/>
        <n v="95364047" u="1"/>
        <n v="95364048" u="1"/>
        <n v="95364049" u="1"/>
        <n v="95364050" u="1"/>
        <n v="95364051" u="1"/>
        <n v="95364052" u="1"/>
        <n v="95364053" u="1"/>
        <n v="95364054" u="1"/>
        <n v="95364055" u="1"/>
        <n v="95364056" u="1"/>
        <n v="95364057" u="1"/>
        <n v="95364058" u="1"/>
        <n v="95364059" u="1"/>
        <n v="95364060" u="1"/>
        <n v="95364061" u="1"/>
        <n v="95364062" u="1"/>
        <n v="95364063" u="1"/>
        <n v="95364064" u="1"/>
        <n v="95364065" u="1"/>
        <n v="95364066" u="1"/>
        <n v="95364067" u="1"/>
        <n v="95364068" u="1"/>
        <n v="95364069" u="1"/>
        <n v="95364070" u="1"/>
        <n v="95364071" u="1"/>
        <n v="95364072" u="1"/>
        <n v="95364073" u="1"/>
        <n v="95364074" u="1"/>
        <n v="95364075" u="1"/>
        <n v="95364076" u="1"/>
        <n v="95364077" u="1"/>
        <n v="95364078" u="1"/>
        <n v="95364079" u="1"/>
        <n v="95364080" u="1"/>
        <n v="94462920" u="1"/>
        <n v="94462921" u="1"/>
        <n v="94462922" u="1"/>
        <n v="94462923" u="1"/>
        <n v="95364081" u="1"/>
        <n v="95364082" u="1"/>
        <n v="95364083" u="1"/>
        <n v="95364084" u="1"/>
        <n v="95364085" u="1"/>
        <n v="95364086" u="1"/>
        <n v="95364087" u="1"/>
        <n v="95364088" u="1"/>
        <n v="95364089" u="1"/>
        <n v="95364090" u="1"/>
        <n v="95364091" u="1"/>
        <n v="95364092" u="1"/>
        <n v="95364093" u="1"/>
        <n v="95364094" u="1"/>
        <n v="95364095" u="1"/>
        <n v="95364096" u="1"/>
        <n v="95364097" u="1"/>
        <n v="95364098" u="1"/>
        <n v="95364099" u="1"/>
        <n v="95364100" u="1"/>
        <n v="95364101" u="1"/>
        <n v="95364102" u="1"/>
        <n v="95364103" u="1"/>
        <n v="95364104" u="1"/>
        <n v="95364105" u="1"/>
        <n v="95364106" u="1"/>
        <n v="95364107" u="1"/>
        <n v="95364108" u="1"/>
        <n v="95364109" u="1"/>
        <n v="95364110" u="1"/>
        <n v="95364111" u="1"/>
        <n v="95364112" u="1"/>
        <n v="95364113" u="1"/>
        <n v="95364114" u="1"/>
        <n v="95364115" u="1"/>
        <n v="95364116" u="1"/>
        <n v="95364117" u="1"/>
        <n v="95364118" u="1"/>
        <n v="95364119" u="1"/>
        <n v="95364120" u="1"/>
        <n v="95364121" u="1"/>
        <n v="95364122" u="1"/>
        <n v="95364123" u="1"/>
        <n v="95364124" u="1"/>
        <n v="95364125" u="1"/>
        <n v="95364126" u="1"/>
        <n v="95364127" u="1"/>
        <n v="95364128" u="1"/>
        <n v="95364129" u="1"/>
        <n v="95364130" u="1"/>
        <n v="95364131" u="1"/>
        <n v="94462924" u="1"/>
        <n v="95364132" u="1"/>
        <n v="95364133" u="1"/>
        <n v="95364134" u="1"/>
        <n v="95364135" u="1"/>
        <n v="95364136" u="1"/>
        <n v="95364137" u="1"/>
        <n v="95364138" u="1"/>
        <n v="95364139" u="1"/>
        <n v="95364140" u="1"/>
        <n v="95364141" u="1"/>
        <n v="95364142" u="1"/>
        <n v="95364143" u="1"/>
        <n v="95364144" u="1"/>
        <n v="95364145" u="1"/>
        <n v="95364146" u="1"/>
        <n v="95364147" u="1"/>
        <n v="95364148" u="1"/>
        <n v="95364149" u="1"/>
        <n v="95364150" u="1"/>
        <n v="95364151" u="1"/>
        <n v="95364152" u="1"/>
        <n v="95364153" u="1"/>
        <n v="95364154" u="1"/>
        <n v="95364155" u="1"/>
        <n v="95364156" u="1"/>
        <n v="95364157" u="1"/>
        <n v="95364158" u="1"/>
        <n v="95364159" u="1"/>
        <n v="95364160" u="1"/>
        <n v="95364161" u="1"/>
        <n v="95364162" u="1"/>
        <n v="95364163" u="1"/>
        <n v="95364164" u="1"/>
        <n v="95364165" u="1"/>
        <n v="95364166" u="1"/>
        <n v="95364167" u="1"/>
        <n v="95364168" u="1"/>
        <n v="95364169" u="1"/>
        <n v="95364170" u="1"/>
        <n v="95364171" u="1"/>
        <n v="95364172" u="1"/>
        <n v="95364173" u="1"/>
        <n v="95364174" u="1"/>
        <n v="95364175" u="1"/>
        <n v="95364176" u="1"/>
        <n v="95364177" u="1"/>
        <n v="95364178" u="1"/>
        <n v="95364179" u="1"/>
        <n v="95364180" u="1"/>
        <n v="94462925" u="1"/>
        <n v="95364181" u="1"/>
        <n v="95364182" u="1"/>
        <n v="95364183" u="1"/>
        <n v="95364184" u="1"/>
        <n v="95364185" u="1"/>
        <n v="95364186" u="1"/>
        <n v="95364187" u="1"/>
        <n v="99267932" u="1"/>
        <n v="99267933" u="1"/>
        <n v="99267934" u="1"/>
        <n v="99267935" u="1"/>
        <n v="99267936" u="1"/>
        <n v="99267937" u="1"/>
        <n v="99267938" u="1"/>
        <n v="99267939" u="1"/>
        <n v="99267940" u="1"/>
        <n v="94462927" u="1"/>
        <n v="99267941" u="1"/>
        <n v="99267942" u="1"/>
        <n v="99267943" u="1"/>
        <n v="99267944" u="1"/>
        <n v="99267945" u="1"/>
        <n v="99267946" u="1"/>
        <n v="99267947" u="1"/>
        <n v="99267948" u="1"/>
        <n v="99267949" u="1"/>
        <n v="99267950" u="1"/>
        <n v="99267951" u="1"/>
        <n v="99267952" u="1"/>
        <n v="99267953" u="1"/>
        <n v="99267954" u="1"/>
        <n v="99267955" u="1"/>
        <n v="99267956" u="1"/>
        <n v="99267957" u="1"/>
        <n v="99267958" u="1"/>
        <n v="99267959" u="1"/>
        <n v="99267960" u="1"/>
        <n v="99267961" u="1"/>
        <n v="99267962" u="1"/>
        <n v="99267963" u="1"/>
        <n v="99267964" u="1"/>
        <n v="99267965" u="1"/>
        <n v="99267966" u="1"/>
        <n v="99267967" u="1"/>
        <n v="99267968" u="1"/>
        <n v="99267969" u="1"/>
        <n v="99267970" u="1"/>
        <n v="99267971" u="1"/>
        <n v="99267972" u="1"/>
        <n v="99267973" u="1"/>
        <n v="99267974" u="1"/>
        <n v="99267975" u="1"/>
        <n v="99267976" u="1"/>
        <n v="99267977" u="1"/>
        <n v="99267978" u="1"/>
        <n v="99267979" u="1"/>
        <n v="99267980" u="1"/>
        <n v="99267981" u="1"/>
        <n v="55259930" u="1"/>
        <n v="99267982" u="1"/>
        <n v="99267983" u="1"/>
        <n v="99267984" u="1"/>
        <n v="99267985" u="1"/>
        <n v="99267986" u="1"/>
        <n v="99267987" u="1"/>
        <n v="99267988" u="1"/>
        <n v="99267989" u="1"/>
        <n v="99267990" u="1"/>
        <n v="99267991" u="1"/>
        <n v="99267992" u="1"/>
        <n v="99267993" u="1"/>
        <n v="99267994" u="1"/>
        <n v="99267995" u="1"/>
        <n v="99267996" u="1"/>
        <n v="99267997" u="1"/>
        <n v="99267998" u="1"/>
        <n v="55259931" u="1"/>
        <n v="99267999" u="1"/>
        <n v="99268000" u="1"/>
        <n v="99268001" u="1"/>
        <n v="99268002" u="1"/>
        <n v="99268003" u="1"/>
        <n v="99268004" u="1"/>
        <n v="99268005" u="1"/>
        <n v="99268006" u="1"/>
        <n v="99268007" u="1"/>
        <n v="99268008" u="1"/>
        <n v="99268009" u="1"/>
        <n v="99268010" u="1"/>
        <n v="99268011" u="1"/>
        <n v="99268012" u="1"/>
        <n v="99268013" u="1"/>
        <n v="99268014" u="1"/>
        <n v="99268015" u="1"/>
        <n v="99268016" u="1"/>
        <n v="99268017" u="1"/>
        <n v="99268018" u="1"/>
        <n v="99268019" u="1"/>
        <n v="99268020" u="1"/>
        <n v="99268021" u="1"/>
        <n v="99268022" u="1"/>
        <n v="99268023" u="1"/>
        <n v="99268024" u="1"/>
        <n v="99268025" u="1"/>
        <n v="99268026" u="1"/>
        <n v="99268027" u="1"/>
        <n v="99268028" u="1"/>
        <n v="99268029" u="1"/>
        <n v="99268030" u="1"/>
        <n v="99268031" u="1"/>
        <n v="99268032" u="1"/>
        <n v="99268033" u="1"/>
        <n v="99268034" u="1"/>
        <n v="99268035" u="1"/>
        <n v="99268036" u="1"/>
        <n v="99268037" u="1"/>
        <n v="99268038" u="1"/>
        <n v="99268039" u="1"/>
        <n v="99268040" u="1"/>
        <n v="99268041" u="1"/>
        <n v="99268042" u="1"/>
        <n v="99268043" u="1"/>
        <n v="99268044" u="1"/>
        <n v="99268050" u="1"/>
        <n v="99268051" u="1"/>
        <n v="99268052" u="1"/>
        <n v="99268053" u="1"/>
        <n v="99268054" u="1"/>
        <n v="99268055" u="1"/>
        <n v="99268056" u="1"/>
        <n v="99268057" u="1"/>
        <n v="99268058" u="1"/>
        <n v="99268045" u="1"/>
        <n v="99268046" u="1"/>
        <n v="99268047" u="1"/>
        <n v="99268048" u="1"/>
        <n v="99268049" u="1"/>
        <n v="99268059" u="1"/>
        <n v="99268060" u="1"/>
        <n v="99268061" u="1"/>
        <n v="55259932" u="1"/>
        <n v="99268062" u="1"/>
        <n v="99268063" u="1"/>
        <n v="99268064" u="1"/>
        <n v="99268065" u="1"/>
        <n v="99268066" u="1"/>
        <n v="99268067" u="1"/>
        <n v="99268068" u="1"/>
        <n v="99268069" u="1"/>
        <n v="99268070" u="1"/>
        <n v="99268071" u="1"/>
        <n v="99268072" u="1"/>
        <n v="99268073" u="1"/>
        <n v="99268074" u="1"/>
        <n v="99268075" u="1"/>
        <n v="99268076" u="1"/>
        <n v="99268077" u="1"/>
        <n v="99268078" u="1"/>
        <n v="99268079" u="1"/>
        <n v="99268080" u="1"/>
        <n v="99268081" u="1"/>
        <n v="99268082" u="1"/>
        <n v="99268083" u="1"/>
        <n v="99268084" u="1"/>
        <n v="99268085" u="1"/>
        <n v="99268086" u="1"/>
        <n v="99268087" u="1"/>
        <n v="99268088" u="1"/>
        <n v="99268089" u="1"/>
        <n v="99268090" u="1"/>
        <n v="99268091" u="1"/>
        <n v="99268092" u="1"/>
        <n v="99268093" u="1"/>
        <n v="99268094" u="1"/>
        <n v="99268095" u="1"/>
        <n v="99268096" u="1"/>
        <n v="99268097" u="1"/>
        <n v="99268098" u="1"/>
        <n v="99268099" u="1"/>
        <n v="99268100" u="1"/>
        <n v="99268101" u="1"/>
        <n v="99268102" u="1"/>
        <n v="99268103" u="1"/>
        <n v="99268104" u="1"/>
        <n v="99268105" u="1"/>
        <n v="99268106" u="1"/>
        <n v="99268107" u="1"/>
        <n v="99268108" u="1"/>
        <n v="99268109" u="1"/>
        <n v="99268110" u="1"/>
        <n v="99268111" u="1"/>
        <n v="99268112" u="1"/>
        <n v="99268113" u="1"/>
        <n v="99268114" u="1"/>
        <n v="99268115" u="1"/>
        <n v="99268116" u="1"/>
        <n v="99268117" u="1"/>
        <n v="99268118" u="1"/>
        <n v="99268119" u="1"/>
        <n v="99268120" u="1"/>
        <n v="99268121" u="1"/>
        <n v="99268122" u="1"/>
        <n v="99268123" u="1"/>
        <n v="99268124" u="1"/>
        <n v="99268125" u="1"/>
        <n v="99268126" u="1"/>
        <n v="99268127" u="1"/>
        <n v="99268128" u="1"/>
        <n v="99268129" u="1"/>
        <n v="99268130" u="1"/>
        <n v="99268131" u="1"/>
        <n v="71643623" u="1"/>
        <n v="71643624" u="1"/>
        <n v="71643625" u="1"/>
        <n v="71643626" u="1"/>
        <n v="71643627" u="1"/>
        <n v="71643628" u="1"/>
        <n v="71643629" u="1"/>
        <n v="71643630" u="1"/>
        <n v="71643631" u="1"/>
        <n v="71643632" u="1"/>
        <n v="71643633" u="1"/>
        <n v="71643634" u="1"/>
        <n v="71643635" u="1"/>
        <n v="71643636" u="1"/>
        <n v="71643637" u="1"/>
        <n v="71643638" u="1"/>
        <n v="71643639" u="1"/>
        <n v="71643640" u="1"/>
        <n v="71643641" u="1"/>
        <n v="71643642" u="1"/>
        <n v="71643643" u="1"/>
        <n v="71643644" u="1"/>
        <n v="71643645" u="1"/>
        <n v="71643646" u="1"/>
        <n v="71643647" u="1"/>
        <n v="71643648" u="1"/>
        <n v="71643649" u="1"/>
        <n v="71643650" u="1"/>
        <n v="71643651" u="1"/>
        <n v="71643652" u="1"/>
        <n v="71643653" u="1"/>
        <n v="71643654" u="1"/>
        <n v="71643655" u="1"/>
        <n v="71643656" u="1"/>
        <n v="71643657" u="1"/>
        <n v="71643658" u="1"/>
        <n v="71643659" u="1"/>
        <n v="71643660" u="1"/>
        <n v="71643661" u="1"/>
        <n v="71643662" u="1"/>
        <n v="71643663" u="1"/>
        <n v="71643664" u="1"/>
        <n v="55259933" u="1"/>
        <n v="71643665" u="1"/>
        <n v="71643666" u="1"/>
        <n v="71643667" u="1"/>
        <n v="71643668" u="1"/>
        <n v="71643669" u="1"/>
        <n v="71643670" u="1"/>
        <n v="71643671" u="1"/>
        <n v="71643672" u="1"/>
        <n v="71643673" u="1"/>
        <n v="71643674" u="1"/>
        <n v="71643675" u="1"/>
        <n v="71643676" u="1"/>
        <n v="71643677" u="1"/>
        <n v="71643678" u="1"/>
        <n v="71643679" u="1"/>
        <n v="71643680" u="1"/>
        <n v="71643681" u="1"/>
        <n v="71643682" u="1"/>
        <n v="71643683" u="1"/>
        <n v="71643684" u="1"/>
        <n v="71643685" u="1"/>
        <n v="71643686" u="1"/>
        <n v="71643687" u="1"/>
        <n v="55259934" u="1"/>
        <n v="71643688" u="1"/>
        <n v="71643689" u="1"/>
        <n v="71643690" u="1"/>
        <n v="71643691" u="1"/>
        <n v="71643692" u="1"/>
        <n v="71643693" u="1"/>
        <n v="71643694" u="1"/>
        <n v="71643695" u="1"/>
        <n v="71643696" u="1"/>
        <n v="71643697" u="1"/>
        <n v="71643698" u="1"/>
        <n v="71643699" u="1"/>
        <n v="71643700" u="1"/>
        <n v="71643701" u="1"/>
        <n v="71643702" u="1"/>
        <n v="71643703" u="1"/>
        <n v="71643704" u="1"/>
        <n v="71643705" u="1"/>
        <n v="71643706" u="1"/>
        <n v="71643707" u="1"/>
        <n v="71643708" u="1"/>
        <n v="71643709" u="1"/>
        <n v="71643710" u="1"/>
        <n v="71643711" u="1"/>
        <n v="71643712" u="1"/>
        <n v="71643713" u="1"/>
        <n v="71643714" u="1"/>
        <n v="71643715" u="1"/>
        <n v="71643716" u="1"/>
        <n v="71643717" u="1"/>
        <n v="71643718" u="1"/>
        <n v="71643719" u="1"/>
        <n v="71643720" u="1"/>
        <n v="71643721" u="1"/>
        <n v="71643723" u="1"/>
        <n v="71643722" u="1"/>
        <n v="71643724" u="1"/>
        <n v="71643725" u="1"/>
        <n v="71643726" u="1"/>
        <n v="71643727" u="1"/>
        <n v="71643728" u="1"/>
        <n v="71643729" u="1"/>
        <n v="55259935" u="1"/>
        <n v="71643730" u="1"/>
        <n v="71643731" u="1"/>
        <n v="71643732" u="1"/>
        <n v="71643733" u="1"/>
        <n v="71643734" u="1"/>
        <n v="71643735" u="1"/>
        <n v="71643736" u="1"/>
        <n v="71643737" u="1"/>
        <n v="71643738" u="1"/>
        <n v="71643739" u="1"/>
        <n v="71643740" u="1"/>
        <n v="71643741" u="1"/>
        <n v="71643742" u="1"/>
        <n v="71643743" u="1"/>
        <n v="71643744" u="1"/>
        <n v="55259936" u="1"/>
        <n v="55259937" u="1"/>
        <n v="71643745" u="1"/>
        <n v="71643746" u="1"/>
        <n v="71643747" u="1"/>
        <n v="71643748" u="1"/>
        <n v="71643749" u="1"/>
        <n v="71643750" u="1"/>
        <n v="71643751" u="1"/>
        <n v="71643752" u="1"/>
        <n v="71643753" u="1"/>
        <n v="71643754" u="1"/>
        <n v="71643755" u="1"/>
        <n v="71643756" u="1"/>
        <n v="71643757" u="1"/>
        <n v="71643758" u="1"/>
        <n v="71643759" u="1"/>
        <n v="71643760" u="1"/>
        <n v="71643761" u="1"/>
        <n v="71643762" u="1"/>
        <n v="71643763" u="1"/>
        <n v="71643764" u="1"/>
        <n v="55259938" u="1"/>
        <n v="71643765" u="1"/>
        <n v="71643766" u="1"/>
        <n v="71643767" u="1"/>
        <n v="71643768" u="1"/>
        <n v="71643769" u="1"/>
        <n v="71643770" u="1"/>
        <n v="71643771" u="1"/>
        <n v="71643772" u="1"/>
        <n v="71643773" u="1"/>
        <n v="71643774" u="1"/>
        <n v="71643775" u="1"/>
        <n v="71643776" u="1"/>
        <n v="71643777" u="1"/>
        <n v="71643778" u="1"/>
        <n v="71643779" u="1"/>
        <n v="71643780" u="1"/>
        <n v="71643781" u="1"/>
        <n v="71643782" u="1"/>
        <n v="71643783" u="1"/>
        <n v="71643784" u="1"/>
        <n v="71643785" u="1"/>
        <n v="71643786" u="1"/>
        <n v="71643787" u="1"/>
        <n v="71643788" u="1"/>
        <n v="71643789" u="1"/>
        <n v="71643790" u="1"/>
        <n v="71643791" u="1"/>
        <n v="71643792" u="1"/>
        <n v="71643793" u="1"/>
        <n v="71643794" u="1"/>
        <n v="71643795" u="1"/>
        <n v="71643796" u="1"/>
        <n v="71643797" u="1"/>
        <n v="71643798" u="1"/>
        <n v="71643799" u="1"/>
        <n v="71643800" u="1"/>
        <n v="55259939" u="1"/>
        <n v="71643801" u="1"/>
        <n v="71643802" u="1"/>
        <n v="71643803" u="1"/>
        <n v="71643804" u="1"/>
        <n v="71643805" u="1"/>
        <n v="71643806" u="1"/>
        <n v="71643807" u="1"/>
        <n v="71643808" u="1"/>
        <n v="71643809" u="1"/>
        <n v="71643810" u="1"/>
        <n v="71643811" u="1"/>
        <n v="71643812" u="1"/>
        <n v="71643813" u="1"/>
        <n v="71643814" u="1"/>
        <n v="71643815" u="1"/>
        <n v="71643816" u="1"/>
        <n v="71643817" u="1"/>
        <n v="71643818" u="1"/>
        <n v="71643819" u="1"/>
        <n v="71643820" u="1"/>
        <n v="71643821" u="1"/>
        <n v="71643822" u="1"/>
        <n v="73815611" u="1"/>
        <n v="73815612" u="1"/>
        <n v="73815613" u="1"/>
        <n v="73815614" u="1"/>
        <n v="73815615" u="1"/>
        <n v="73815616" u="1"/>
        <n v="73815617" u="1"/>
        <n v="73815618" u="1"/>
        <n v="73815619" u="1"/>
        <n v="73815620" u="1"/>
        <n v="73815621" u="1"/>
        <n v="73815622" u="1"/>
        <n v="73815623" u="1"/>
        <n v="73815624" u="1"/>
        <n v="73815625" u="1"/>
        <n v="73815626" u="1"/>
        <n v="73815627" u="1"/>
        <n v="73815628" u="1"/>
        <n v="73815629" u="1"/>
        <n v="73815630" u="1"/>
        <n v="73815631" u="1"/>
        <n v="73815632" u="1"/>
        <n v="73815633" u="1"/>
        <n v="73815634" u="1"/>
        <n v="73815635" u="1"/>
        <n v="74835425" u="1"/>
        <n v="73815636" u="1"/>
        <n v="73815637" u="1"/>
        <n v="73815638" u="1"/>
        <n v="73815639" u="1"/>
        <n v="73815640" u="1"/>
        <n v="73815641" u="1"/>
        <n v="73815642" u="1"/>
        <n v="73815643" u="1"/>
        <n v="73815644" u="1"/>
        <n v="73815645" u="1"/>
        <n v="73815646" u="1"/>
        <n v="73815647" u="1"/>
        <n v="73815648" u="1"/>
        <n v="73815649" u="1"/>
        <n v="73815650" u="1"/>
        <n v="73815651" u="1"/>
        <n v="73815652" u="1"/>
        <n v="73815653" u="1"/>
        <n v="73815654" u="1"/>
        <n v="73815655" u="1"/>
        <n v="73815656" u="1"/>
        <n v="73815657" u="1"/>
        <n v="73815658" u="1"/>
        <n v="73815659" u="1"/>
        <n v="73815660" u="1"/>
        <n v="73815661" u="1"/>
        <n v="73815662" u="1"/>
        <n v="73815663" u="1"/>
        <n v="73815664" u="1"/>
        <n v="73815665" u="1"/>
        <n v="73815666" u="1"/>
        <n v="73815667" u="1"/>
        <n v="73815668" u="1"/>
        <n v="73815669" u="1"/>
        <n v="73815670" u="1"/>
        <n v="73815671" u="1"/>
        <n v="73815672" u="1"/>
        <n v="73815673" u="1"/>
        <n v="73815674" u="1"/>
        <n v="73815675" u="1"/>
        <n v="73815676" u="1"/>
        <n v="73815677" u="1"/>
        <n v="73815678" u="1"/>
        <n v="73815679" u="1"/>
        <n v="73815680" u="1"/>
        <n v="73815681" u="1"/>
        <n v="73815682" u="1"/>
        <n v="73815683" u="1"/>
        <n v="73815684" u="1"/>
        <n v="73815685" u="1"/>
        <n v="73815686" u="1"/>
        <n v="73815687" u="1"/>
        <n v="73815688" u="1"/>
        <n v="73815689" u="1"/>
        <n v="73815690" u="1"/>
        <n v="73815691" u="1"/>
        <n v="73815692" u="1"/>
        <n v="73815693" u="1"/>
        <n v="73815694" u="1"/>
        <n v="73815695" u="1"/>
        <n v="73815696" u="1"/>
        <n v="73815697" u="1"/>
        <n v="73815698" u="1"/>
        <n v="73815699" u="1"/>
        <n v="73815700" u="1"/>
        <n v="73815701" u="1"/>
        <n v="73815702" u="1"/>
        <n v="73815703" u="1"/>
        <n v="73815704" u="1"/>
        <n v="73815705" u="1"/>
        <n v="73815706" u="1"/>
        <n v="73815707" u="1"/>
        <n v="73815708" u="1"/>
        <n v="73815709" u="1"/>
        <n v="73815710" u="1"/>
        <n v="73815711" u="1"/>
        <n v="73815712" u="1"/>
        <n v="73815713" u="1"/>
        <n v="73815714" u="1"/>
        <n v="73815715" u="1"/>
        <n v="73815716" u="1"/>
        <n v="73815717" u="1"/>
        <n v="73815718" u="1"/>
        <n v="73815719" u="1"/>
        <n v="73815720" u="1"/>
        <n v="73815721" u="1"/>
        <n v="73815722" u="1"/>
        <n v="73815723" u="1"/>
        <n v="73815724" u="1"/>
        <n v="74835426" u="1"/>
        <n v="75259940" u="1"/>
        <n v="73815725" u="1"/>
        <n v="73815726" u="1"/>
        <n v="73815727" u="1"/>
        <n v="73815728" u="1"/>
        <n v="73815729" u="1"/>
        <n v="73815730" u="1"/>
        <n v="73815731" u="1"/>
        <n v="73815732" u="1"/>
        <n v="73815733" u="1"/>
        <n v="73815734" u="1"/>
        <n v="73815735" u="1"/>
        <n v="73815736" u="1"/>
        <n v="73815737" u="1"/>
        <n v="73815738" u="1"/>
        <n v="73815739" u="1"/>
        <n v="73815740" u="1"/>
        <n v="73815741" u="1"/>
        <n v="73815742" u="1"/>
        <n v="73815743" u="1"/>
        <n v="73815744" u="1"/>
        <n v="73815745" u="1"/>
        <n v="73815746" u="1"/>
        <n v="73815747" u="1"/>
        <n v="73815748" u="1"/>
        <n v="73815749" u="1"/>
        <n v="73815750" u="1"/>
        <n v="73815751" u="1"/>
        <n v="73815752" u="1"/>
        <n v="73815753" u="1"/>
        <n v="73815754" u="1"/>
        <n v="73815755" u="1"/>
        <n v="73815756" u="1"/>
        <n v="73815757" u="1"/>
        <n v="73815758" u="1"/>
        <n v="73815759" u="1"/>
        <n v="73815760" u="1"/>
        <n v="73815761" u="1"/>
        <n v="73815762" u="1"/>
        <n v="73815763" u="1"/>
        <n v="73815764" u="1"/>
        <n v="73815765" u="1"/>
        <n v="74835427" u="1"/>
        <n v="73815766" u="1"/>
        <n v="73815767" u="1"/>
        <n v="73815768" u="1"/>
        <n v="73815769" u="1"/>
        <n v="73815770" u="1"/>
        <n v="73815771" u="1"/>
        <n v="73815772" u="1"/>
        <n v="73815773" u="1"/>
        <n v="73815774" u="1"/>
        <n v="73815775" u="1"/>
        <n v="73815776" u="1"/>
        <n v="73815777" u="1"/>
        <n v="73815778" u="1"/>
        <n v="73815779" u="1"/>
        <n v="73815780" u="1"/>
        <n v="73815781" u="1"/>
        <n v="73815782" u="1"/>
        <n v="73815783" u="1"/>
        <n v="73815784" u="1"/>
        <n v="73815785" u="1"/>
        <n v="73815786" u="1"/>
        <n v="73815787" u="1"/>
        <n v="73815788" u="1"/>
        <n v="73815789" u="1"/>
        <n v="73815790" u="1"/>
        <n v="73815791" u="1"/>
        <n v="73815792" u="1"/>
        <n v="73815793" u="1"/>
        <n v="73815794" u="1"/>
        <n v="73815795" u="1"/>
        <n v="73815796" u="1"/>
        <n v="73815797" u="1"/>
        <n v="73815798" u="1"/>
        <n v="73815799" u="1"/>
        <n v="73815800" u="1"/>
        <n v="73815801" u="1"/>
        <n v="73815802" u="1"/>
        <n v="73815803" u="1"/>
        <n v="73815804" u="1"/>
        <n v="73815805" u="1"/>
        <n v="73815806" u="1"/>
        <n v="73815807" u="1"/>
        <n v="73815808" u="1"/>
        <n v="73815809" u="1"/>
        <n v="73815810" u="1"/>
        <n v="74071811" u="1"/>
        <n v="74071812" u="1"/>
        <n v="74071813" u="1"/>
        <n v="74071824" u="1"/>
        <n v="74071825" u="1"/>
        <n v="74071826" u="1"/>
        <n v="74071827" u="1"/>
        <n v="74071828" u="1"/>
        <n v="74071829" u="1"/>
        <n v="74071830" u="1"/>
        <n v="74071831" u="1"/>
        <n v="74071832" u="1"/>
        <n v="74071833" u="1"/>
        <n v="74071834" u="1"/>
        <n v="74071835" u="1"/>
        <n v="74071836" u="1"/>
        <n v="74071837" u="1"/>
        <n v="74071838" u="1"/>
        <n v="74071839" u="1"/>
        <n v="74071840" u="1"/>
        <n v="74071841" u="1"/>
        <n v="74835428" u="1"/>
        <n v="75259941" u="1"/>
        <n v="74071842" u="1"/>
        <n v="74071843" u="1"/>
        <n v="74071844" u="1"/>
        <n v="74071845" u="1"/>
        <n v="74071846" u="1"/>
        <n v="74071847" u="1"/>
        <n v="74071848" u="1"/>
        <n v="74071849" u="1"/>
        <n v="4071846" u="1"/>
        <n v="4071847" u="1"/>
        <n v="4071848" u="1"/>
        <n v="4071849" u="1"/>
        <n v="74071814" u="1"/>
        <n v="74071815" u="1"/>
        <n v="74071816" u="1"/>
        <n v="74071817" u="1"/>
        <n v="74071818" u="1"/>
        <n v="74071819" u="1"/>
        <n v="74071820" u="1"/>
        <n v="74071821" u="1"/>
        <n v="74071822" u="1"/>
        <n v="74071823" u="1"/>
        <n v="93419143" u="1"/>
        <n v="93419144" u="1"/>
        <n v="93419145" u="1"/>
        <n v="93419146" u="1"/>
        <n v="93419147" u="1"/>
        <n v="93419148" u="1"/>
        <n v="93419149" u="1"/>
        <n v="93419150" u="1"/>
        <n v="93419151" u="1"/>
        <n v="93419152" u="1"/>
        <n v="93419153" u="1"/>
        <n v="93419154" u="1"/>
        <n v="93419155" u="1"/>
        <n v="93419156" u="1"/>
        <n v="93419157" u="1"/>
        <n v="93419158" u="1"/>
        <n v="93419159" u="1"/>
        <n v="93419160" u="1"/>
        <n v="93419161" u="1"/>
        <n v="93419162" u="1"/>
        <n v="93419163" u="1"/>
        <n v="37746149" u="1"/>
        <n v="93419164" u="1"/>
        <n v="93419165" u="1"/>
        <n v="93419166" u="1"/>
        <n v="93419167" u="1"/>
        <n v="93419168" u="1"/>
        <n v="93419169" u="1"/>
        <n v="93419170" u="1"/>
        <n v="93419171" u="1"/>
        <n v="93419172" u="1"/>
        <n v="93419173" u="1"/>
        <n v="93419174" u="1"/>
        <n v="93419175" u="1"/>
        <n v="93419176" u="1"/>
        <n v="93419177" u="1"/>
        <n v="93419178" u="1"/>
        <n v="93419179" u="1"/>
        <n v="93419180" u="1"/>
        <n v="93419181" u="1"/>
        <n v="93419182" u="1"/>
        <n v="93419183" u="1"/>
        <n v="93419184" u="1"/>
        <n v="93419185" u="1"/>
        <n v="93419186" u="1"/>
        <n v="93419187" u="1"/>
        <n v="93419188" u="1"/>
        <n v="93419189" u="1"/>
        <n v="93419190" u="1"/>
        <n v="93419191" u="1"/>
        <n v="93419192" u="1"/>
        <n v="93419193" u="1"/>
        <n v="93419194" u="1"/>
        <n v="93419195" u="1"/>
        <n v="93419196" u="1"/>
        <n v="93419197" u="1"/>
        <n v="93419198" u="1"/>
        <n v="93419199" u="1"/>
        <n v="93419200" u="1"/>
        <n v="93419201" u="1"/>
        <n v="93419202" u="1"/>
        <n v="93419203" u="1"/>
        <n v="93419204" u="1"/>
        <n v="93419205" u="1"/>
        <n v="93419206" u="1"/>
        <n v="93419207" u="1"/>
        <n v="93419208" u="1"/>
        <n v="93419209" u="1"/>
        <n v="93419210" u="1"/>
        <n v="93419211" u="1"/>
        <n v="93419212" u="1"/>
        <n v="93419213" u="1"/>
        <n v="93419214" u="1"/>
        <n v="93419215" u="1"/>
        <n v="93419216" u="1"/>
        <n v="93419217" u="1"/>
        <n v="93419218" u="1"/>
        <n v="93419219" u="1"/>
        <n v="93419220" u="1"/>
        <n v="93419221" u="1"/>
        <n v="93419222" u="1"/>
        <n v="93419223" u="1"/>
        <n v="93419224" u="1"/>
        <n v="93419225" u="1"/>
        <n v="93419226" u="1"/>
        <n v="93419227" u="1"/>
        <n v="93419228" u="1"/>
        <n v="93419229" u="1"/>
        <n v="93419230" u="1"/>
        <n v="93419231" u="1"/>
        <n v="93419232" u="1"/>
        <n v="93419233" u="1"/>
        <n v="93419234" u="1"/>
        <n v="93419235" u="1"/>
        <n v="93419236" u="1"/>
        <n v="93419237" u="1"/>
        <n v="93419238" u="1"/>
        <n v="93419239" u="1"/>
        <n v="93419240" u="1"/>
        <n v="93419241" u="1"/>
        <n v="93419242" u="1"/>
        <n v="93419243" u="1"/>
        <n v="93419244" u="1"/>
        <n v="93419245" u="1"/>
        <n v="93419246" u="1"/>
        <n v="93419247" u="1"/>
        <n v="93419248" u="1"/>
        <n v="93419249" u="1"/>
        <n v="93419250" u="1"/>
        <n v="93419251" u="1"/>
        <n v="93419252" u="1"/>
        <n v="93419253" u="1"/>
        <n v="93419254" u="1"/>
        <n v="93419255" u="1"/>
        <n v="93419256" u="1"/>
        <n v="93419257" u="1"/>
        <n v="93419258" u="1"/>
        <n v="93419259" u="1"/>
        <n v="93419260" u="1"/>
        <n v="93419261" u="1"/>
        <n v="93419262" u="1"/>
        <n v="93419263" u="1"/>
        <n v="93419264" u="1"/>
        <n v="93419265" u="1"/>
        <n v="93419266" u="1"/>
        <n v="93419267" u="1"/>
        <n v="93419268" u="1"/>
        <n v="93419269" u="1"/>
        <n v="93419270" u="1"/>
        <n v="93419271" u="1"/>
        <n v="93419272" u="1"/>
        <n v="93419273" u="1"/>
        <n v="93419274" u="1"/>
        <n v="93419275" u="1"/>
        <n v="93419276" u="1"/>
        <n v="93419277" u="1"/>
        <n v="93419278" u="1"/>
        <n v="93419279" u="1"/>
        <n v="93419280" u="1"/>
        <n v="93419281" u="1"/>
        <n v="93419282" u="1"/>
        <n v="93419283" u="1"/>
        <n v="93419284" u="1"/>
        <n v="93419285" u="1"/>
        <n v="93419286" u="1"/>
        <n v="93419287" u="1"/>
        <n v="93419288" u="1"/>
        <n v="93419289" u="1"/>
        <n v="93419290" u="1"/>
        <n v="93419291" u="1"/>
        <n v="93419292" u="1"/>
        <n v="93419293" u="1"/>
        <n v="63592596" u="1"/>
        <n v="63592597" u="1"/>
        <n v="63592598" u="1"/>
        <n v="63592599" u="1"/>
        <n v="63592600" u="1"/>
        <n v="63592601" u="1"/>
        <n v="63592602" u="1"/>
        <n v="63592603" u="1"/>
        <n v="63592604" u="1"/>
        <n v="93419294" u="1"/>
        <n v="93419295" u="1"/>
        <n v="93419296" u="1"/>
        <n v="93419297" u="1"/>
        <n v="93419298" u="1"/>
        <n v="93419299" u="1"/>
        <n v="93419300" u="1"/>
        <n v="93419301" u="1"/>
        <n v="93419302" u="1"/>
        <n v="93419303" u="1"/>
        <n v="93419304" u="1"/>
        <n v="63592605" u="1"/>
        <n v="93419305" u="1"/>
        <n v="93419306" u="1"/>
        <n v="93419307" u="1"/>
        <n v="93419308" u="1"/>
        <n v="93419309" u="1"/>
        <n v="93419310" u="1"/>
        <n v="93419311" u="1"/>
        <n v="93419312" u="1"/>
        <n v="93419313" u="1"/>
        <n v="93419314" u="1"/>
        <n v="93419315" u="1"/>
        <n v="93419316" u="1"/>
        <n v="93419317" u="1"/>
        <n v="93419318" u="1"/>
        <n v="93419319" u="1"/>
        <n v="93419320" u="1"/>
        <n v="93419321" u="1"/>
        <n v="93419322" u="1"/>
        <n v="93419323" u="1"/>
        <n v="93419324" u="1"/>
        <n v="93419325" u="1"/>
        <n v="93419326" u="1"/>
        <n v="93419327" u="1"/>
        <n v="93419328" u="1"/>
        <n v="93419329" u="1"/>
        <n v="37746150" u="1"/>
        <n v="37746151" u="1"/>
        <n v="93419330" u="1"/>
        <n v="37746152" u="1"/>
        <n v="37746153" u="1"/>
        <n v="37746154" u="1"/>
        <n v="37746155" u="1"/>
        <n v="37746156" u="1"/>
        <n v="37746157" u="1"/>
        <n v="37746158" u="1"/>
        <n v="37746159" u="1"/>
        <n v="93419331" u="1"/>
        <n v="93419332" u="1"/>
        <n v="93419333" u="1"/>
        <n v="93419334" u="1"/>
        <n v="93419335" u="1"/>
        <n v="93419336" u="1"/>
        <n v="93419337" u="1"/>
        <n v="93419338" u="1"/>
        <n v="93419339" u="1"/>
        <n v="93419340" u="1"/>
        <n v="93419341" u="1"/>
        <n v="93419342" u="1"/>
        <n v="93419343" u="1"/>
        <n v="93419344" u="1"/>
        <n v="93419345" u="1"/>
        <n v="93419346" u="1"/>
        <n v="93419347" u="1"/>
        <n v="93419348" u="1"/>
        <n v="93419349" u="1"/>
        <n v="93419350" u="1"/>
        <n v="93419351" u="1"/>
        <n v="93419352" u="1"/>
        <n v="93419353" u="1"/>
        <n v="93419354" u="1"/>
        <n v="93419355" u="1"/>
        <n v="93419356" u="1"/>
        <n v="93419357" u="1"/>
        <n v="37746160" u="1"/>
        <n v="37746161" u="1"/>
        <n v="37746162" u="1"/>
        <n v="37746163" u="1"/>
        <n v="37746164" u="1"/>
        <n v="37746165" u="1"/>
        <n v="37746166" u="1"/>
        <n v="37746167" u="1"/>
        <n v="37746168" u="1"/>
        <n v="37746169" u="1"/>
        <n v="37746170" u="1"/>
        <n v="37746171" u="1"/>
        <n v="37746172" u="1"/>
        <n v="37746173" u="1"/>
        <n v="37746174" u="1"/>
        <n v="93419358" u="1"/>
        <n v="93419359" u="1"/>
        <n v="93419360" u="1"/>
        <n v="93419361" u="1"/>
        <n v="93419362" u="1"/>
        <n v="93419363" u="1"/>
        <n v="93419364" u="1"/>
        <n v="93419365" u="1"/>
        <n v="93419366" u="1"/>
        <n v="93419367" u="1"/>
        <n v="93419368" u="1"/>
        <n v="93419369" u="1"/>
        <n v="93419370" u="1"/>
        <n v="93419371" u="1"/>
        <n v="93419372" u="1"/>
        <n v="93419373" u="1"/>
        <n v="93419374" u="1"/>
        <n v="93419375" u="1"/>
        <n v="93419376" u="1"/>
        <n v="93419377" u="1"/>
        <n v="93419378" u="1"/>
        <n v="93419379" u="1"/>
        <n v="93419380" u="1"/>
        <n v="93419381" u="1"/>
        <n v="93419382" u="1"/>
        <n v="93419383" u="1"/>
        <n v="93419384" u="1"/>
        <n v="93419385" u="1"/>
        <n v="93419386" u="1"/>
        <n v="93419387" u="1"/>
        <n v="93419388" u="1"/>
        <n v="93419389" u="1"/>
        <n v="93419390" u="1"/>
        <n v="93419391" u="1"/>
        <n v="93419392" u="1"/>
        <n v="93419393" u="1"/>
        <n v="93419394" u="1"/>
        <n v="93419395" u="1"/>
        <n v="93419396" u="1"/>
        <n v="93419397" u="1"/>
        <n v="93419398" u="1"/>
        <n v="93419399" u="1"/>
        <n v="93419400" u="1"/>
        <n v="93419401" u="1"/>
        <n v="93419402" u="1"/>
        <n v="93419403" u="1"/>
        <n v="93419404" u="1"/>
        <n v="93419405" u="1"/>
        <n v="93419406" u="1"/>
        <n v="93419407" u="1"/>
        <n v="93419408" u="1"/>
        <n v="93419409" u="1"/>
        <n v="93419410" u="1"/>
        <n v="93419411" u="1"/>
        <n v="93419412" u="1"/>
        <n v="93419413" u="1"/>
        <n v="93419414" u="1"/>
        <n v="93419415" u="1"/>
        <n v="93419416" u="1"/>
        <n v="93419417" u="1"/>
        <n v="93419418" u="1"/>
        <n v="93419419" u="1"/>
        <n v="93419420" u="1"/>
        <n v="93419421" u="1"/>
        <n v="93419422" u="1"/>
        <n v="93419423" u="1"/>
        <n v="93419424" u="1"/>
        <n v="93419425" u="1"/>
        <n v="93419426" u="1"/>
        <n v="93419427" u="1"/>
        <n v="93419428" u="1"/>
        <n v="93419429" u="1"/>
        <n v="93419430" u="1"/>
        <n v="93419431" u="1"/>
        <n v="93419432" u="1"/>
        <n v="93419433" u="1"/>
        <n v="93419434" u="1"/>
        <n v="93419435" u="1"/>
        <n v="93419436" u="1"/>
        <n v="93419437" u="1"/>
        <n v="93419438" u="1"/>
        <n v="93419439" u="1"/>
        <n v="93419440" u="1"/>
        <n v="93419441" u="1"/>
        <n v="93419442" u="1"/>
        <n v="93419443" u="1"/>
        <n v="93419444" u="1"/>
        <n v="93419445" u="1"/>
        <n v="93419446" u="1"/>
        <n v="93419447" u="1"/>
        <n v="93419448" u="1"/>
        <n v="93419449" u="1"/>
        <n v="93419450" u="1"/>
        <n v="93419451" u="1"/>
        <n v="93419452" u="1"/>
        <n v="93419453" u="1"/>
        <n v="93419454" u="1"/>
        <n v="93419455" u="1"/>
        <n v="93419456" u="1"/>
        <n v="93419457" u="1"/>
        <n v="93419458" u="1"/>
        <n v="93419459" u="1"/>
        <n v="93419460" u="1"/>
        <n v="93419461" u="1"/>
        <n v="93419462" u="1"/>
        <n v="93419463" u="1"/>
        <n v="93419464" u="1"/>
        <n v="93419465" u="1"/>
        <n v="93419466" u="1"/>
        <n v="93419467" u="1"/>
        <n v="93419468" u="1"/>
        <n v="93419469" u="1"/>
        <n v="93419470" u="1"/>
        <n v="93419471" u="1"/>
        <n v="93419472" u="1"/>
        <n v="93419473" u="1"/>
        <n v="93419474" u="1"/>
        <n v="93419475" u="1"/>
        <n v="93419476" u="1"/>
        <n v="93419477" u="1"/>
        <n v="93419478" u="1"/>
        <n v="93419479" u="1"/>
        <n v="93419480" u="1"/>
        <n v="93419481" u="1"/>
        <n v="93419482" u="1"/>
        <n v="93419483" u="1"/>
        <n v="93419484" u="1"/>
        <n v="93419485" u="1"/>
        <n v="93419486" u="1"/>
        <n v="93419487" u="1"/>
        <n v="93419488" u="1"/>
        <n v="93419489" u="1"/>
        <n v="93419490" u="1"/>
        <n v="93419491" u="1"/>
        <n v="93419492" u="1"/>
        <n v="93419493" u="1"/>
        <n v="93419494" u="1"/>
        <n v="93419495" u="1"/>
        <n v="93419496" u="1"/>
        <n v="93419497" u="1"/>
        <n v="93419498" u="1"/>
        <n v="93419499" u="1"/>
        <n v="93419500" u="1"/>
        <n v="93419501" u="1"/>
        <n v="93419502" u="1"/>
        <n v="93419503" u="1"/>
        <n v="93419504" u="1"/>
        <n v="93419505" u="1"/>
        <n v="93419506" u="1"/>
        <n v="93419507" u="1"/>
        <n v="93419508" u="1"/>
        <n v="93419509" u="1"/>
        <n v="93419510" u="1"/>
        <n v="93419511" u="1"/>
        <n v="93419512" u="1"/>
        <n v="93419513" u="1"/>
        <n v="93419514" u="1"/>
        <n v="93419515" u="1"/>
        <n v="93419516" u="1"/>
        <n v="93419517" u="1"/>
        <n v="93419518" u="1"/>
        <n v="93419519" u="1"/>
        <n v="93419520" u="1"/>
        <n v="93419521" u="1"/>
        <n v="93419522" u="1"/>
        <n v="93419523" u="1"/>
        <n v="93419524" u="1"/>
        <n v="93419525" u="1"/>
        <n v="93419526" u="1"/>
        <n v="93419527" u="1"/>
        <n v="93419528" u="1"/>
        <n v="93419529" u="1"/>
        <n v="93419530" u="1"/>
        <n v="93419531" u="1"/>
        <n v="93419532" u="1"/>
        <n v="93419533" u="1"/>
        <n v="93419534" u="1"/>
        <n v="93419535" u="1"/>
        <n v="93419536" u="1"/>
        <n v="93419537" u="1"/>
        <n v="93419538" u="1"/>
        <n v="93419539" u="1"/>
        <n v="93419540" u="1"/>
        <n v="93419541" u="1"/>
        <n v="93419542" u="1"/>
        <n v="93419543" u="1"/>
        <n v="93419544" u="1"/>
        <n v="93419545" u="1"/>
        <n v="93419546" u="1"/>
        <n v="93419547" u="1"/>
        <n v="93419548" u="1"/>
        <n v="93419549" u="1"/>
        <n v="93419550" u="1"/>
        <n v="93419551" u="1"/>
        <n v="93419552" u="1"/>
        <n v="93419553" u="1"/>
        <n v="93419554" u="1"/>
        <n v="93419555" u="1"/>
        <n v="93419556" u="1"/>
        <n v="93419557" u="1"/>
        <n v="93419558" u="1"/>
        <n v="93419559" u="1"/>
        <n v="93419560" u="1"/>
        <n v="93419561" u="1"/>
        <n v="93419562" u="1"/>
        <n v="93419563" u="1"/>
        <n v="93419564" u="1"/>
        <n v="93419565" u="1"/>
        <n v="93419566" u="1"/>
        <n v="93419567" u="1"/>
        <n v="93419568" u="1"/>
        <n v="93419569" u="1"/>
        <n v="93419570" u="1"/>
        <n v="93419571" u="1"/>
        <n v="93419572" u="1"/>
        <n v="93419573" u="1"/>
        <n v="93419574" u="1"/>
        <n v="93419575" u="1"/>
        <n v="93419576" u="1"/>
        <n v="93419577" u="1"/>
        <n v="93419578" u="1"/>
        <n v="93419579" u="1"/>
        <n v="93419580" u="1"/>
        <n v="93419581" u="1"/>
        <n v="93419582" u="1"/>
        <n v="93419583" u="1"/>
        <n v="93419584" u="1"/>
        <n v="93419585" u="1"/>
        <n v="93419586" u="1"/>
        <n v="93419587" u="1"/>
        <n v="93419588" u="1"/>
        <n v="93419589" u="1"/>
        <n v="93419590" u="1"/>
        <n v="93419591" u="1"/>
        <n v="93419592" u="1"/>
        <n v="93419593" u="1"/>
        <n v="93419594" u="1"/>
        <n v="93419595" u="1"/>
        <n v="93419596" u="1"/>
        <n v="93419597" u="1"/>
        <n v="93419598" u="1"/>
        <n v="93419599" u="1"/>
        <n v="93419600" u="1"/>
        <n v="93419601" u="1"/>
        <n v="93419602" u="1"/>
        <n v="93419603" u="1"/>
        <n v="93419604" u="1"/>
        <n v="93419605" u="1"/>
        <n v="93419606" u="1"/>
        <n v="93419607" u="1"/>
        <n v="93419608" u="1"/>
        <n v="93419609" u="1"/>
        <n v="93419610" u="1"/>
        <n v="93419611" u="1"/>
        <n v="93419612" u="1"/>
        <n v="93419613" u="1"/>
        <n v="93419614" u="1"/>
        <n v="93419615" u="1"/>
        <n v="93419616" u="1"/>
        <n v="93419617" u="1"/>
        <n v="93419618" u="1"/>
        <n v="93419619" u="1"/>
        <n v="93419620" u="1"/>
        <n v="93419621" u="1"/>
        <n v="93419622" u="1"/>
        <n v="93419623" u="1"/>
        <n v="93419624" u="1"/>
        <n v="93419625" u="1"/>
        <n v="93419626" u="1"/>
        <n v="93419627" u="1"/>
        <n v="93419628" u="1"/>
        <n v="93419629" u="1"/>
        <n v="93419630" u="1"/>
        <n v="93419631" u="1"/>
        <n v="93419632" u="1"/>
        <n v="93419633" u="1"/>
        <n v="93419634" u="1"/>
        <n v="93419635" u="1"/>
        <n v="93419636" u="1"/>
        <n v="93419637" u="1"/>
        <n v="93419638" u="1"/>
        <n v="93419639" u="1"/>
        <n v="93419640" u="1"/>
        <n v="93419641" u="1"/>
        <n v="93419642" u="1"/>
        <n v="93419643" u="1"/>
        <n v="93419644" u="1"/>
        <n v="93419645" u="1"/>
        <n v="93419646" u="1"/>
        <n v="93419647" u="1"/>
        <n v="93419648" u="1"/>
        <n v="93419649" u="1"/>
        <n v="93419650" u="1"/>
        <n v="93419651" u="1"/>
        <n v="93419652" u="1"/>
        <n v="93419653" u="1"/>
        <n v="93419654" u="1"/>
        <n v="93419655" u="1"/>
        <n v="93419656" u="1"/>
        <n v="93419657" u="1"/>
        <n v="93419658" u="1"/>
        <n v="93419659" u="1"/>
        <n v="93419660" u="1"/>
        <n v="93419661" u="1"/>
        <n v="93419662" u="1"/>
        <n v="93419663" u="1"/>
        <n v="93419664" u="1"/>
        <n v="93419665" u="1"/>
        <n v="93419666" u="1"/>
        <n v="93419667" u="1"/>
        <n v="93419668" u="1"/>
        <n v="93419669" u="1"/>
        <n v="93419670" u="1"/>
        <n v="93419671" u="1"/>
        <n v="93419672" u="1"/>
        <n v="93419673" u="1"/>
        <n v="93419674" u="1"/>
        <n v="93419675" u="1"/>
        <n v="93419676" u="1"/>
        <n v="93419677" u="1"/>
        <n v="93419678" u="1"/>
        <n v="93419679" u="1"/>
        <n v="93419680" u="1"/>
        <n v="93419681" u="1"/>
        <n v="93419682" u="1"/>
        <n v="93419683" u="1"/>
        <n v="93419684" u="1"/>
        <n v="93419685" u="1"/>
        <n v="93419686" u="1"/>
        <n v="93419687" u="1"/>
        <n v="93419688" u="1"/>
        <n v="93419689" u="1"/>
        <n v="93419690" u="1"/>
        <n v="93419691" u="1"/>
        <n v="93419692" u="1"/>
        <n v="93419693" u="1"/>
        <n v="93419694" u="1"/>
        <n v="93419695" u="1"/>
        <n v="93419696" u="1"/>
        <n v="93419697" u="1"/>
        <n v="93419698" u="1"/>
        <n v="93419699" u="1"/>
        <n v="93419700" u="1"/>
        <n v="93419701" u="1"/>
        <n v="93419702" u="1"/>
        <n v="93419703" u="1"/>
        <n v="93419704" u="1"/>
        <n v="93419705" u="1"/>
        <n v="93419706" u="1"/>
        <n v="93419707" u="1"/>
        <n v="93419708" u="1"/>
        <n v="93419709" u="1"/>
        <n v="93419710" u="1"/>
        <n v="93419711" u="1"/>
        <n v="93419712" u="1"/>
        <n v="93419713" u="1"/>
        <n v="93419714" u="1"/>
        <n v="93419715" u="1"/>
        <n v="93419716" u="1"/>
        <n v="93419717" u="1"/>
        <n v="93419718" u="1"/>
        <n v="93419719" u="1"/>
        <n v="93419720" u="1"/>
        <n v="93419721" u="1"/>
        <n v="93419722" u="1"/>
        <n v="93419723" u="1"/>
        <n v="93419724" u="1"/>
        <n v="93419725" u="1"/>
        <n v="93419726" u="1"/>
        <n v="93419727" u="1"/>
        <n v="93419728" u="1"/>
        <n v="93419729" u="1"/>
        <n v="93419730" u="1"/>
        <n v="93419731" u="1"/>
        <n v="93419732" u="1"/>
        <n v="93419733" u="1"/>
        <n v="93419734" u="1"/>
        <n v="93419735" u="1"/>
        <n v="93419736" u="1"/>
        <n v="93419737" u="1"/>
        <n v="93419738" u="1"/>
        <n v="93419739" u="1"/>
        <n v="93419740" u="1"/>
        <n v="93419741" u="1"/>
        <n v="93419742" u="1"/>
        <n v="93419743" u="1"/>
        <n v="93419744" u="1"/>
        <n v="93419745" u="1"/>
        <n v="93419746" u="1"/>
        <n v="93419747" u="1"/>
        <n v="93419748" u="1"/>
        <n v="93419749" u="1"/>
        <n v="93419750" u="1"/>
        <n v="93419751" u="1"/>
        <n v="93419752" u="1"/>
        <n v="93419753" u="1"/>
        <n v="93419754" u="1"/>
        <n v="93419755" u="1"/>
        <n v="93419756" u="1"/>
        <n v="93419757" u="1"/>
        <n v="93419758" u="1"/>
        <n v="93419759" u="1"/>
        <n v="93419760" u="1"/>
        <n v="93419761" u="1"/>
        <n v="93419762" u="1"/>
        <n v="93419763" u="1"/>
        <n v="93419764" u="1"/>
        <n v="93419765" u="1"/>
        <n v="93419766" u="1"/>
        <n v="93419767" u="1"/>
        <n v="93419768" u="1"/>
        <n v="93419769" u="1"/>
        <n v="93419770" u="1"/>
        <n v="93419771" u="1"/>
        <n v="93419772" u="1"/>
        <n v="93419773" u="1"/>
        <n v="93419774" u="1"/>
        <n v="93419775" u="1"/>
        <n v="93419776" u="1"/>
        <n v="93419777" u="1"/>
        <n v="93419778" u="1"/>
        <n v="93419779" u="1"/>
        <n v="93419780" u="1"/>
        <n v="93419781" u="1"/>
        <n v="93419782" u="1"/>
        <n v="93419783" u="1"/>
        <n v="93419784" u="1"/>
        <n v="93419785" u="1"/>
        <n v="93419786" u="1"/>
        <n v="93419787" u="1"/>
        <n v="93419788" u="1"/>
        <n v="93419789" u="1"/>
        <n v="93419790" u="1"/>
        <n v="93419791" u="1"/>
        <n v="93419792" u="1"/>
        <n v="93419793" u="1"/>
        <n v="93419794" u="1"/>
        <n v="93419795" u="1"/>
        <n v="93419796" u="1"/>
        <n v="93419797" u="1"/>
        <n v="93419798" u="1"/>
        <n v="93419799" u="1"/>
        <n v="93419800" u="1"/>
        <n v="93419801" u="1"/>
        <n v="93419802" u="1"/>
        <n v="93419803" u="1"/>
        <n v="93419804" u="1"/>
        <n v="93419805" u="1"/>
        <n v="93419806" u="1"/>
        <n v="93419807" u="1"/>
        <n v="93419808" u="1"/>
        <n v="93419809" u="1"/>
        <n v="93419810" u="1"/>
        <n v="93419811" u="1"/>
        <n v="93419812" u="1"/>
        <n v="93419813" u="1"/>
        <n v="93419814" u="1"/>
        <n v="93419815" u="1"/>
        <n v="93419816" u="1"/>
        <n v="93419817" u="1"/>
        <n v="93419818" u="1"/>
        <n v="93419819" u="1"/>
        <n v="93419820" u="1"/>
        <n v="93419821" u="1"/>
        <n v="93419822" u="1"/>
        <n v="93419823" u="1"/>
        <n v="93419824" u="1"/>
        <n v="93419825" u="1"/>
        <n v="93419826" u="1"/>
        <n v="93419827" u="1"/>
        <n v="93419828" u="1"/>
        <n v="93419829" u="1"/>
        <n v="93419830" u="1"/>
        <n v="93419831" u="1"/>
        <n v="93419832" u="1"/>
        <n v="93419833" u="1"/>
        <n v="93419834" u="1"/>
        <n v="93419835" u="1"/>
        <n v="93419836" u="1"/>
        <n v="93419837" u="1"/>
        <n v="93419838" u="1"/>
        <n v="93419839" u="1"/>
        <n v="93419840" u="1"/>
        <n v="93419841" u="1"/>
        <n v="93419842" u="1"/>
        <n v="93419843" u="1"/>
        <n v="93419844" u="1"/>
        <n v="93419845" u="1"/>
        <n v="93419846" u="1"/>
        <n v="93419847" u="1"/>
        <n v="93419848" u="1"/>
        <n v="93419849" u="1"/>
        <n v="93419850" u="1"/>
        <n v="93654451" u="1"/>
        <n v="93654452" u="1"/>
        <n v="93654453" u="1"/>
        <n v="93654454" u="1"/>
        <n v="93654455" u="1"/>
        <n v="93654456" u="1"/>
        <n v="93654457" u="1"/>
        <n v="93654458" u="1"/>
        <n v="93654459" u="1"/>
        <n v="93654460" u="1"/>
        <n v="93654461" u="1"/>
        <n v="93654462" u="1"/>
        <n v="93654463" u="1"/>
        <n v="93654464" u="1"/>
        <n v="93654465" u="1"/>
        <n v="93654466" u="1"/>
        <n v="93654467" u="1"/>
        <n v="93654468" u="1"/>
        <n v="93654469" u="1"/>
        <n v="93654470" u="1"/>
        <n v="93654471" u="1"/>
        <n v="93654472" u="1"/>
        <n v="93654473" u="1"/>
        <n v="93654474" u="1"/>
        <n v="93654475" u="1"/>
        <n v="93654476" u="1"/>
        <n v="93654477" u="1"/>
        <n v="93654478" u="1"/>
        <n v="93654479" u="1"/>
        <n v="93654480" u="1"/>
        <n v="93654481" u="1"/>
        <n v="93654482" u="1"/>
        <n v="93654483" u="1"/>
        <n v="93654484" u="1"/>
        <n v="93654485" u="1"/>
        <n v="93654486" u="1"/>
        <n v="93654487" u="1"/>
        <n v="93654488" u="1"/>
        <n v="93654489" u="1"/>
        <n v="93654490" u="1"/>
        <n v="93654491" u="1"/>
        <n v="93654492" u="1"/>
        <n v="93654493" u="1"/>
        <n v="93654494" u="1"/>
        <n v="93654495" u="1"/>
        <n v="93654496" u="1"/>
        <n v="93654497" u="1"/>
        <n v="93654498" u="1"/>
        <n v="93654499" u="1"/>
        <n v="93654500" u="1"/>
        <n v="93654501" u="1"/>
        <n v="93654502" u="1"/>
        <n v="93654503" u="1"/>
        <n v="93654504" u="1"/>
        <n v="93654505" u="1"/>
        <n v="93654506" u="1"/>
        <n v="93654507" u="1"/>
        <n v="93654508" u="1"/>
        <n v="93654509" u="1"/>
        <n v="93654510" u="1"/>
        <n v="93654511" u="1"/>
        <n v="93654512" u="1"/>
        <n v="93654513" u="1"/>
        <n v="93654514" u="1"/>
        <n v="93654515" u="1"/>
        <n v="93654516" u="1"/>
        <n v="93654517" u="1"/>
        <n v="93654518" u="1"/>
        <n v="93654519" u="1"/>
        <n v="93654520" u="1"/>
        <n v="93654521" u="1"/>
        <n v="93654522" u="1"/>
        <n v="93654523" u="1"/>
        <n v="93654524" u="1"/>
        <n v="93654525" u="1"/>
        <n v="93654526" u="1"/>
        <n v="93654527" u="1"/>
        <n v="93654528" u="1"/>
        <n v="93654529" u="1"/>
        <n v="93654530" u="1"/>
        <n v="93654531" u="1"/>
        <n v="93654532" u="1"/>
        <n v="93654533" u="1"/>
        <n v="93654534" u="1"/>
        <n v="93654535" u="1"/>
        <n v="93654536" u="1"/>
        <n v="93654537" u="1"/>
        <n v="93654538" u="1"/>
        <n v="93654539" u="1"/>
        <n v="93654540" u="1"/>
        <n v="93654541" u="1"/>
        <n v="93654542" u="1"/>
        <n v="93654543" u="1"/>
        <n v="93654544" u="1"/>
        <n v="93654545" u="1"/>
        <n v="93654546" u="1"/>
        <n v="93654547" u="1"/>
        <n v="93654548" u="1"/>
        <n v="93654549" u="1"/>
        <n v="93654550" u="1"/>
        <n v="93654551" u="1"/>
        <n v="93654552" u="1"/>
        <n v="93654553" u="1"/>
        <n v="93654554" u="1"/>
        <n v="93654555" u="1"/>
        <n v="93654556" u="1"/>
        <n v="93654557" u="1"/>
        <n v="93654558" u="1"/>
        <n v="93654559" u="1"/>
        <n v="93654560" u="1"/>
        <n v="93654561" u="1"/>
        <n v="93654562" u="1"/>
        <n v="93654563" u="1"/>
        <n v="93654564" u="1"/>
        <n v="93654565" u="1"/>
        <n v="93654566" u="1"/>
        <n v="93654567" u="1"/>
        <n v="93654568" u="1"/>
        <n v="93654569" u="1"/>
        <n v="93654570" u="1"/>
        <n v="93654571" u="1"/>
        <n v="93654572" u="1"/>
        <n v="93654573" u="1"/>
        <n v="93654574" u="1"/>
        <n v="93654575" u="1"/>
        <n v="93654576" u="1"/>
        <n v="93654577" u="1"/>
        <n v="93654578" u="1"/>
        <n v="93654579" u="1"/>
        <n v="93654580" u="1"/>
        <n v="93654581" u="1"/>
        <n v="93654582" u="1"/>
        <n v="93654583" u="1"/>
        <n v="93654584" u="1"/>
        <n v="93654585" u="1"/>
        <n v="93654586" u="1"/>
        <n v="93654587" u="1"/>
        <n v="93654588" u="1"/>
        <n v="93654589" u="1"/>
        <n v="93654590" u="1"/>
        <n v="93654591" u="1"/>
        <n v="93654592" u="1"/>
        <n v="93654593" u="1"/>
        <n v="93654594" u="1"/>
        <n v="93654595" u="1"/>
        <n v="93654596" u="1"/>
        <n v="93654597" u="1"/>
        <n v="93654598" u="1"/>
        <n v="93654599" u="1"/>
        <n v="93654600" u="1"/>
        <n v="93654601" u="1"/>
        <n v="93654602" u="1"/>
        <n v="93654603" u="1"/>
        <n v="93654604" u="1"/>
        <n v="93654606" u="1"/>
        <n v="93654607" u="1"/>
        <n v="93654608" u="1"/>
        <n v="93654609" u="1"/>
        <n v="93654610" u="1"/>
        <n v="93654611" u="1"/>
        <n v="93654612" u="1"/>
        <n v="93654613" u="1"/>
        <n v="93654614" u="1"/>
        <n v="93654615" u="1"/>
        <n v="93654616" u="1"/>
        <n v="93654617" u="1"/>
        <n v="93654618" u="1"/>
        <n v="93654619" u="1"/>
        <n v="93654620" u="1"/>
        <n v="93654621" u="1"/>
        <n v="93654622" u="1"/>
        <n v="93654623" u="1"/>
        <n v="93654624" u="1"/>
        <n v="93654625" u="1"/>
        <n v="93654626" u="1"/>
        <n v="93654627" u="1"/>
        <n v="93654628" u="1"/>
        <n v="93654629" u="1"/>
        <n v="93654630" u="1"/>
        <n v="93654631" u="1"/>
        <n v="93654632" u="1"/>
        <n v="93654633" u="1"/>
        <n v="93654634" u="1"/>
        <n v="93654635" u="1"/>
        <n v="93654636" u="1"/>
        <n v="93654637" u="1"/>
        <n v="93654638" u="1"/>
        <n v="93654639" u="1"/>
        <n v="93654640" u="1"/>
        <n v="93654641" u="1"/>
        <n v="93654642" u="1"/>
        <n v="93654643" u="1"/>
        <n v="93654644" u="1"/>
        <n v="93654645" u="1"/>
        <n v="93654646" u="1"/>
        <n v="93654647" u="1"/>
        <n v="93654648" u="1"/>
        <n v="93654649" u="1"/>
        <n v="93654650" u="1"/>
        <n v="93654651" u="1"/>
        <n v="93654652" u="1"/>
        <n v="93654653" u="1"/>
        <n v="93654654" u="1"/>
        <n v="93654655" u="1"/>
        <n v="93654656" u="1"/>
        <n v="93654657" u="1"/>
        <n v="93654658" u="1"/>
        <n v="93654659" u="1"/>
        <n v="93654660" u="1"/>
        <n v="93654661" u="1"/>
        <n v="93654662" u="1"/>
        <n v="93654663" u="1"/>
        <n v="93654664" u="1"/>
        <n v="93654666" u="1"/>
        <n v="93654667" u="1"/>
        <n v="93654668" u="1"/>
        <n v="93654669" u="1"/>
        <n v="93654670" u="1"/>
        <n v="93654671" u="1"/>
        <n v="93654672" u="1"/>
        <n v="93654673" u="1"/>
        <n v="93654674" u="1"/>
        <n v="93654675" u="1"/>
        <n v="93654676" u="1"/>
        <n v="93654677" u="1"/>
        <n v="93654678" u="1"/>
        <n v="93654679" u="1"/>
        <n v="93654680" u="1"/>
        <n v="93654681" u="1"/>
        <n v="93654682" u="1"/>
        <n v="93654683" u="1"/>
        <n v="93654684" u="1"/>
        <n v="93654685" u="1"/>
        <n v="93654686" u="1"/>
        <n v="93654687" u="1"/>
        <n v="93654688" u="1"/>
        <n v="93654689" u="1"/>
        <n v="93654690" u="1"/>
        <n v="93654691" u="1"/>
        <n v="93654692" u="1"/>
        <n v="93654693" u="1"/>
        <n v="93654694" u="1"/>
        <n v="93654695" u="1"/>
        <n v="93654696" u="1"/>
        <n v="93654697" u="1"/>
        <n v="93654698" u="1"/>
        <n v="93654699" u="1"/>
        <n v="93654700" u="1"/>
        <n v="93654701" u="1"/>
        <n v="93654702" u="1"/>
        <n v="93654703" u="1"/>
        <n v="93654704" u="1"/>
        <n v="93654705" u="1"/>
        <n v="93654706" u="1"/>
        <n v="93654707" u="1"/>
        <n v="93654708" u="1"/>
        <n v="93654709" u="1"/>
        <n v="93654710" u="1"/>
        <n v="93654711" u="1"/>
        <n v="93654712" u="1"/>
        <n v="93654713" u="1"/>
        <n v="93654714" u="1"/>
        <n v="93654715" u="1"/>
        <n v="93654716" u="1"/>
        <n v="93654717" u="1"/>
        <n v="93654718" u="1"/>
        <n v="93654719" u="1"/>
        <n v="93654720" u="1"/>
        <n v="93654721" u="1"/>
        <n v="93654722" u="1"/>
        <n v="93654723" u="1"/>
        <n v="93654724" u="1"/>
        <n v="93654725" u="1"/>
        <n v="93654726" u="1"/>
        <n v="93654727" u="1"/>
        <n v="93654728" u="1"/>
        <n v="93654729" u="1"/>
        <n v="93654730" u="1"/>
        <n v="93654731" u="1"/>
        <n v="93654732" u="1"/>
        <n v="93654733" u="1"/>
        <n v="93654734" u="1"/>
        <n v="93654735" u="1"/>
        <n v="93654736" u="1"/>
        <n v="93654737" u="1"/>
        <n v="93654738" u="1"/>
        <n v="93654739" u="1"/>
        <n v="93654740" u="1"/>
        <n v="93654741" u="1"/>
        <n v="93654742" u="1"/>
        <n v="93654743" u="1"/>
        <n v="93654744" u="1"/>
        <n v="93654745" u="1"/>
        <n v="93654746" u="1"/>
        <n v="93654747" u="1"/>
        <n v="93654748" u="1"/>
        <n v="93654749" u="1"/>
        <n v="93654750" u="1"/>
        <n v="93654751" u="1"/>
        <n v="93654752" u="1"/>
        <n v="93654753" u="1"/>
        <n v="93654754" u="1"/>
        <n v="93654755" u="1"/>
        <n v="93654756" u="1"/>
        <n v="93654757" u="1"/>
        <n v="93654758" u="1"/>
        <n v="93654759" u="1"/>
        <n v="93654760" u="1"/>
        <n v="93654761" u="1"/>
        <n v="93654762" u="1"/>
        <n v="93654763" u="1"/>
        <n v="93654764" u="1"/>
        <n v="93654765" u="1"/>
        <n v="93654766" u="1"/>
        <n v="93654767" u="1"/>
        <n v="93654768" u="1"/>
        <n v="93654769" u="1"/>
        <n v="93654770" u="1"/>
        <n v="93654771" u="1"/>
        <n v="93654772" u="1"/>
        <n v="93654773" u="1"/>
        <n v="93654774" u="1"/>
        <n v="93654775" u="1"/>
        <n v="93654776" u="1"/>
        <n v="93654777" u="1"/>
        <n v="93654778" u="1"/>
        <n v="93654779" u="1"/>
        <n v="93654780" u="1"/>
        <n v="93654781" u="1"/>
        <n v="93654782" u="1"/>
        <n v="93654783" u="1"/>
        <n v="93654784" u="1"/>
        <n v="93654785" u="1"/>
        <n v="93654786" u="1"/>
        <n v="93654787" u="1"/>
        <n v="93654788" u="1"/>
        <n v="93654789" u="1"/>
        <n v="93654790" u="1"/>
        <n v="93654791" u="1"/>
        <n v="93654792" u="1"/>
        <n v="93654793" u="1"/>
        <n v="93654794" u="1"/>
        <n v="93654795" u="1"/>
        <n v="93654796" u="1"/>
        <n v="93654797" u="1"/>
        <n v="93654798" u="1"/>
        <n v="93654799" u="1"/>
        <n v="93654800" u="1"/>
        <n v="93654801" u="1"/>
        <n v="93654802" u="1"/>
        <n v="93654803" u="1"/>
        <n v="93654804" u="1"/>
        <n v="93654805" u="1"/>
        <n v="93654806" u="1"/>
        <n v="93654807" u="1"/>
        <n v="93654808" u="1"/>
        <n v="93654809" u="1"/>
        <n v="93654810" u="1"/>
        <n v="93654811" u="1"/>
        <n v="93654812" u="1"/>
        <n v="93654813" u="1"/>
        <n v="93654815" u="1"/>
        <n v="93654816" u="1"/>
        <n v="93654817" u="1"/>
        <n v="93654818" u="1"/>
        <n v="93654823" u="1"/>
        <n v="93654826" u="1"/>
        <n v="93654827" u="1"/>
        <n v="93654830" u="1"/>
        <n v="93654831" u="1"/>
        <n v="93654832" u="1"/>
        <n v="93654833" u="1"/>
        <n v="93654834" u="1"/>
        <n v="93654835" u="1"/>
        <n v="93654836" u="1"/>
        <n v="93654837" u="1"/>
        <n v="93654838" u="1"/>
        <n v="93654839" u="1"/>
        <n v="93654840" u="1"/>
        <n v="93654841" u="1"/>
        <n v="93654842" u="1"/>
        <n v="93654843" u="1"/>
        <n v="93654844" u="1"/>
        <n v="93654845" u="1"/>
        <n v="93654846" u="1"/>
        <n v="93654847" u="1"/>
        <n v="93654848" u="1"/>
        <n v="93654849" u="1"/>
        <n v="93654850" u="1"/>
        <n v="93654851" u="1"/>
        <n v="93654852" u="1"/>
        <n v="93654853" u="1"/>
        <n v="93654854" u="1"/>
        <n v="93654855" u="1"/>
        <n v="93654856" u="1"/>
        <n v="93654857" u="1"/>
        <n v="93654858" u="1"/>
        <n v="93654859" u="1"/>
        <n v="93654860" u="1"/>
        <n v="93654861" u="1"/>
        <n v="93654862" u="1"/>
        <n v="93654863" u="1"/>
        <n v="93654864" u="1"/>
        <n v="93654865" u="1"/>
        <n v="93654866" u="1"/>
        <n v="93654867" u="1"/>
        <n v="93654868" u="1"/>
        <n v="93654869" u="1"/>
        <n v="93654870" u="1"/>
        <n v="93654871" u="1"/>
        <n v="93654872" u="1"/>
        <n v="93654873" u="1"/>
        <n v="93654874" u="1"/>
        <n v="93654875" u="1"/>
        <n v="93654876" u="1"/>
        <n v="93654877" u="1"/>
        <n v="93654878" u="1"/>
        <n v="93654879" u="1"/>
        <n v="93654880" u="1"/>
        <n v="93654881" u="1"/>
        <n v="93654882" u="1"/>
        <n v="93654883" u="1"/>
        <n v="93654884" u="1"/>
        <n v="93654885" u="1"/>
        <n v="1" u="1"/>
        <n v="2" u="1"/>
        <n v="93654886" u="1"/>
        <n v="93654887" u="1"/>
        <n v="93654888" u="1"/>
        <n v="93654889" u="1"/>
        <n v="93654890" u="1"/>
        <n v="93654891" u="1"/>
        <n v="93654892" u="1"/>
        <n v="93654893" u="1"/>
        <n v="93654894" u="1"/>
        <n v="93654895" u="1"/>
        <n v="93654896" u="1"/>
        <n v="93654897" u="1"/>
        <n v="93654898" u="1"/>
        <n v="93654899" u="1"/>
        <n v="93654900" u="1"/>
        <n v="93654901" u="1"/>
        <n v="93654902" u="1"/>
        <n v="93654903" u="1"/>
        <n v="93654904" u="1"/>
        <n v="93654905" u="1"/>
        <n v="93654906" u="1"/>
        <n v="93654907" u="1"/>
        <n v="93654908" u="1"/>
        <n v="93654909" u="1"/>
        <n v="93654910" u="1"/>
        <n v="93654911" u="1"/>
        <n v="3" u="1"/>
        <n v="4" u="1"/>
        <n v="5" u="1"/>
        <n v="6" u="1"/>
        <n v="7" u="1"/>
        <n v="93654912" u="1"/>
        <n v="93654913" u="1"/>
        <n v="93654914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93654918" u="1"/>
        <n v="93654919" u="1"/>
        <n v="93654920" u="1"/>
        <n v="93654921" u="1"/>
        <n v="93654922" u="1"/>
        <n v="93654923" u="1"/>
        <n v="93654924" u="1"/>
        <n v="93654925" u="1"/>
        <n v="93654926" u="1"/>
        <n v="93654927" u="1"/>
        <n v="93654928" u="1"/>
        <n v="93654929" u="1"/>
        <n v="93654915" u="1"/>
        <n v="93654916" u="1"/>
        <n v="93654917" u="1"/>
        <n v="93654955" u="1"/>
        <n v="93654956" u="1"/>
        <n v="93654957" u="1"/>
        <n v="93654958" u="1"/>
        <n v="93654959" u="1"/>
        <n v="93654930" u="1"/>
        <n v="93654931" u="1"/>
        <n v="93654932" u="1"/>
        <n v="93654933" u="1"/>
        <n v="93654934" u="1"/>
        <n v="93654935" u="1"/>
        <n v="93654936" u="1"/>
        <n v="93654937" u="1"/>
        <n v="93654938" u="1"/>
        <n v="93654939" u="1"/>
        <n v="93654940" u="1"/>
        <n v="93654941" u="1"/>
        <n v="93654942" u="1"/>
        <n v="93654943" u="1"/>
        <n v="93654944" u="1"/>
        <n v="93654945" u="1"/>
        <n v="93654946" u="1"/>
        <n v="93654947" u="1"/>
        <n v="93654948" u="1"/>
        <n v="93654949" u="1"/>
        <n v="93654950" u="1"/>
        <n v="93654951" u="1"/>
        <n v="93654952" u="1"/>
        <n v="93654953" u="1"/>
        <n v="93654954" u="1"/>
        <n v="93654960" u="1"/>
        <n v="93654961" u="1"/>
        <n v="93654962" u="1"/>
        <n v="93654963" u="1"/>
        <n v="93654964" u="1"/>
        <n v="93654965" u="1"/>
        <n v="93654966" u="1"/>
        <n v="93654967" u="1"/>
        <n v="93654968" u="1"/>
        <n v="93654969" u="1"/>
        <n v="93654970" u="1"/>
        <n v="93654971" u="1"/>
        <n v="93654972" u="1"/>
        <n v="93654973" u="1"/>
        <n v="93654974" u="1"/>
        <n v="93654975" u="1"/>
        <n v="93654976" u="1"/>
        <n v="93654977" u="1"/>
        <n v="93654978" u="1"/>
        <n v="93654979" u="1"/>
        <n v="93654980" u="1"/>
        <n v="93654981" u="1"/>
        <n v="93654982" u="1"/>
        <n v="93654983" u="1"/>
        <n v="93654984" u="1"/>
        <n v="93654985" u="1"/>
        <n v="93654986" u="1"/>
        <n v="93654987" u="1"/>
        <n v="93654988" u="1"/>
        <n v="93654989" u="1"/>
        <n v="93654990" u="1"/>
        <n v="93654991" u="1"/>
        <n v="93654992" u="1"/>
        <n v="93654993" u="1"/>
        <n v="93654994" u="1"/>
        <n v="93654995" u="1"/>
        <n v="93654996" u="1"/>
        <n v="93654997" u="1"/>
        <n v="93654998" u="1"/>
        <n v="93654999" u="1"/>
        <n v="93655000" u="1"/>
        <n v="93655001" u="1"/>
        <n v="27" u="1"/>
        <n v="93655002" u="1"/>
        <n v="93655003" u="1"/>
        <n v="93655004" u="1"/>
        <n v="93655005" u="1"/>
        <n v="93655006" u="1"/>
        <n v="93655007" u="1"/>
        <n v="93655008" u="1"/>
        <n v="93655009" u="1"/>
        <n v="93655010" u="1"/>
        <n v="93655011" u="1"/>
        <n v="93655012" u="1"/>
        <n v="93655013" u="1"/>
        <n v="93655014" u="1"/>
        <n v="93655015" u="1"/>
        <n v="93655016" u="1"/>
        <n v="93655017" u="1"/>
        <n v="93655018" u="1"/>
        <n v="93655019" u="1"/>
        <n v="93655020" u="1"/>
        <n v="93655021" u="1"/>
        <n v="93655022" u="1"/>
        <n v="93655023" u="1"/>
        <n v="93655024" u="1"/>
        <n v="93655025" u="1"/>
        <n v="93655026" u="1"/>
        <n v="93655027" u="1"/>
        <n v="93655028" u="1"/>
        <n v="93655029" u="1"/>
        <n v="93655030" u="1"/>
        <n v="93655031" u="1"/>
        <n v="93655032" u="1"/>
        <n v="93655033" u="1"/>
        <n v="93655034" u="1"/>
        <n v="93655035" u="1"/>
        <n v="93655036" u="1"/>
        <n v="93655037" u="1"/>
        <n v="93655038" u="1"/>
        <n v="93655039" u="1"/>
        <n v="93655040" u="1"/>
        <n v="28" u="1"/>
        <n v="29" u="1"/>
        <n v="30" u="1"/>
        <n v="31" u="1"/>
        <n v="32" u="1"/>
        <n v="33" u="1"/>
        <n v="34" u="1"/>
        <n v="35" u="1"/>
        <n v="36" u="1"/>
        <n v="93655041" u="1"/>
        <n v="93655042" u="1"/>
        <n v="93655043" u="1"/>
        <n v="93655044" u="1"/>
        <n v="93655045" u="1"/>
        <n v="93655046" u="1"/>
        <n v="93655047" u="1"/>
        <n v="93655048" u="1"/>
        <n v="93655049" u="1"/>
        <n v="93655050" u="1"/>
        <n v="93655051" u="1"/>
        <n v="93655052" u="1"/>
        <n v="93655053" u="1"/>
        <n v="93655054" u="1"/>
        <n v="93655055" u="1"/>
        <n v="93655056" u="1"/>
        <n v="93655057" u="1"/>
        <n v="93655058" u="1"/>
        <n v="93655059" u="1"/>
        <n v="93655060" u="1"/>
        <n v="93655061" u="1"/>
        <n v="93655062" u="1"/>
        <n v="93655063" u="1"/>
        <n v="93655064" u="1"/>
        <n v="93655065" u="1"/>
        <n v="93655066" u="1"/>
        <n v="93655067" u="1"/>
        <n v="93655068" u="1"/>
        <n v="93655069" u="1"/>
        <n v="93655070" u="1"/>
        <n v="93655071" u="1"/>
        <n v="93655072" u="1"/>
        <n v="93655073" u="1"/>
        <n v="93655074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93655075" u="1"/>
        <n v="93655076" u="1"/>
        <n v="93655077" u="1"/>
        <n v="93655078" u="1"/>
        <n v="93655079" u="1"/>
        <n v="93655080" u="1"/>
        <n v="93655081" u="1"/>
        <n v="93655082" u="1"/>
        <n v="93655083" u="1"/>
        <n v="93655084" u="1"/>
        <n v="93655085" u="1"/>
        <n v="93655087" u="1"/>
        <n v="93655088" u="1"/>
        <n v="93655089" u="1"/>
        <n v="52" u="1"/>
        <n v="53" u="1"/>
        <n v="54" u="1"/>
        <n v="55" u="1"/>
        <n v="56" u="1"/>
        <n v="57" u="1"/>
        <n v="58" u="1"/>
        <n v="59" u="1"/>
        <n v="93655090" u="1"/>
        <n v="93655091" u="1"/>
        <n v="93655092" u="1"/>
        <n v="93655093" u="1"/>
        <n v="93655094" u="1"/>
        <n v="93655095" u="1"/>
        <n v="93655096" u="1"/>
        <n v="93655097" u="1"/>
        <n v="93655098" u="1"/>
        <n v="93655099" u="1"/>
        <n v="93655100" u="1"/>
        <n v="93655101" u="1"/>
        <n v="93655102" u="1"/>
        <n v="93655103" u="1"/>
        <n v="93655104" u="1"/>
        <n v="60" u="1"/>
        <n v="93655105" u="1"/>
        <n v="93655106" u="1"/>
        <n v="93655107" u="1"/>
        <n v="93655108" u="1"/>
        <n v="93655109" u="1"/>
        <n v="93655110" u="1"/>
        <n v="93655111" u="1"/>
        <n v="93655112" u="1"/>
        <n v="93655113" u="1"/>
        <n v="93655114" u="1"/>
        <n v="93655115" u="1"/>
        <n v="93655116" u="1"/>
        <n v="93655117" u="1"/>
        <n v="93655118" u="1"/>
        <n v="93655119" u="1"/>
        <n v="93655120" u="1"/>
        <n v="93655121" u="1"/>
        <n v="93655122" u="1"/>
        <n v="93655123" u="1"/>
        <n v="93655124" u="1"/>
        <n v="93655125" u="1"/>
        <n v="93655126" u="1"/>
        <n v="93655127" u="1"/>
        <n v="93655128" u="1"/>
        <n v="93655129" u="1"/>
        <n v="93655130" u="1"/>
        <n v="93655131" u="1"/>
        <n v="93655132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93655133" u="1"/>
        <n v="93655134" u="1"/>
        <n v="93655135" u="1"/>
        <n v="93655136" u="1"/>
        <n v="93655137" u="1"/>
        <n v="93655138" u="1"/>
        <n v="93655139" u="1"/>
        <n v="93655140" u="1"/>
        <n v="93655141" u="1"/>
        <n v="93655142" u="1"/>
        <n v="93655143" u="1"/>
        <n v="93655144" u="1"/>
        <n v="93655145" u="1"/>
        <n v="93655146" u="1"/>
        <n v="93655147" u="1"/>
        <n v="93655148" u="1"/>
        <n v="93655149" u="1"/>
        <n v="93655150" u="1"/>
        <n v="93655151" u="1"/>
        <n v="93655152" u="1"/>
        <n v="93655153" u="1"/>
        <n v="93655154" u="1"/>
        <n v="93655155" u="1"/>
        <n v="93655156" u="1"/>
        <n v="93655157" u="1"/>
        <n v="93655158" u="1"/>
        <n v="93655159" u="1"/>
        <n v="93655160" u="1"/>
        <n v="93655161" u="1"/>
        <n v="93655162" u="1"/>
        <n v="93655163" u="1"/>
        <n v="93655164" u="1"/>
        <n v="93655165" u="1"/>
        <n v="93655166" u="1"/>
        <n v="93655167" u="1"/>
        <n v="93655168" u="1"/>
        <n v="93655169" u="1"/>
        <n v="93655170" u="1"/>
        <n v="93655171" u="1"/>
        <n v="93655172" u="1"/>
        <n v="93655173" u="1"/>
        <n v="93655174" u="1"/>
        <n v="93655175" u="1"/>
        <n v="93655176" u="1"/>
        <n v="93655177" u="1"/>
        <n v="93655178" u="1"/>
        <n v="93655179" u="1"/>
        <n v="93655180" u="1"/>
        <n v="93655181" u="1"/>
        <n v="93655182" u="1"/>
        <n v="93655183" u="1"/>
        <n v="93655184" u="1"/>
        <n v="93655185" u="1"/>
        <n v="93655186" u="1"/>
        <n v="93655187" u="1"/>
        <n v="93655188" u="1"/>
        <n v="93655189" u="1"/>
        <n v="93655190" u="1"/>
        <n v="93655191" u="1"/>
        <n v="93655192" u="1"/>
        <n v="93655193" u="1"/>
        <n v="93655194" u="1"/>
        <n v="93655195" u="1"/>
        <n v="93655196" u="1"/>
        <n v="93655197" u="1"/>
        <n v="93655198" u="1"/>
        <n v="93655199" u="1"/>
        <n v="93655200" u="1"/>
        <n v="93655201" u="1"/>
        <n v="93655202" u="1"/>
        <n v="93655203" u="1"/>
        <n v="93655204" u="1"/>
        <n v="93655205" u="1"/>
        <n v="93655206" u="1"/>
        <n v="93655207" u="1"/>
        <n v="93655208" u="1"/>
        <n v="93655209" u="1"/>
        <n v="93655210" u="1"/>
        <n v="93655211" u="1"/>
        <n v="93655212" u="1"/>
        <n v="93655213" u="1"/>
        <n v="93655214" u="1"/>
        <n v="93655215" u="1"/>
        <n v="93655216" u="1"/>
        <n v="93655217" u="1"/>
        <n v="93655218" u="1"/>
        <n v="93655219" u="1"/>
        <n v="93655220" u="1"/>
        <n v="93655221" u="1"/>
        <n v="93655222" u="1"/>
        <n v="93655223" u="1"/>
        <n v="93655224" u="1"/>
        <n v="82" u="1"/>
        <n v="83" u="1"/>
        <n v="84" u="1"/>
        <n v="85" u="1"/>
        <n v="86" u="1"/>
        <n v="87" u="1"/>
        <n v="88" u="1"/>
        <n v="93655225" u="1"/>
        <n v="93655226" u="1"/>
        <n v="93655227" u="1"/>
        <n v="93655228" u="1"/>
        <n v="93655229" u="1"/>
        <n v="93655230" u="1"/>
        <n v="93655231" u="1"/>
        <n v="93655232" u="1"/>
        <n v="93655233" u="1"/>
        <n v="93655234" u="1"/>
        <n v="93655235" u="1"/>
        <n v="93655236" u="1"/>
        <n v="93655237" u="1"/>
        <n v="93655238" u="1"/>
        <n v="93655239" u="1"/>
        <n v="93655240" u="1"/>
        <n v="93655241" u="1"/>
        <n v="93655242" u="1"/>
        <n v="93655243" u="1"/>
        <n v="93655244" u="1"/>
        <n v="93655245" u="1"/>
        <n v="93655246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3655247" u="1"/>
        <n v="93655248" u="1"/>
        <n v="93655249" u="1"/>
        <n v="93655250" u="1"/>
        <n v="93655251" u="1"/>
        <n v="93655252" u="1"/>
        <n v="93655253" u="1"/>
        <n v="93655254" u="1"/>
        <n v="93655255" u="1"/>
        <n v="93655256" u="1"/>
        <n v="93655257" u="1"/>
        <n v="93655258" u="1"/>
        <n v="93655259" u="1"/>
        <n v="93655260" u="1"/>
        <n v="93655261" u="1"/>
        <n v="93655262" u="1"/>
        <n v="93655263" u="1"/>
        <n v="93655264" u="1"/>
        <n v="93655265" u="1"/>
        <n v="93655266" u="1"/>
        <n v="93655267" u="1"/>
        <n v="93655268" u="1"/>
        <n v="93655269" u="1"/>
        <n v="93655270" u="1"/>
        <n v="93655271" u="1"/>
        <n v="93655272" u="1"/>
        <n v="93655273" u="1"/>
        <n v="93655274" u="1"/>
        <n v="93655275" u="1"/>
        <n v="93655276" u="1"/>
        <n v="93655277" u="1"/>
        <n v="93655278" u="1"/>
        <n v="93655279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93655280" u="1"/>
        <n v="93655281" u="1"/>
        <n v="93655282" u="1"/>
        <n v="93655283" u="1"/>
        <n v="93655284" u="1"/>
        <n v="93655285" u="1"/>
        <n v="93655286" u="1"/>
        <n v="93655287" u="1"/>
        <n v="93655288" u="1"/>
        <n v="93655289" u="1"/>
        <n v="93655290" u="1"/>
        <n v="93655291" u="1"/>
        <n v="93655292" u="1"/>
        <n v="93655293" u="1"/>
        <n v="93655294" u="1"/>
        <n v="93655295" u="1"/>
        <n v="93655296" u="1"/>
        <n v="93655297" u="1"/>
        <n v="93655298" u="1"/>
        <n v="93655299" u="1"/>
        <n v="93655300" u="1"/>
        <n v="93655301" u="1"/>
        <n v="93655302" u="1"/>
        <n v="93655303" u="1"/>
        <n v="93655304" u="1"/>
        <n v="93655305" u="1"/>
        <n v="93655306" u="1"/>
        <n v="93655307" u="1"/>
        <n v="93655308" u="1"/>
        <n v="93655309" u="1"/>
        <n v="93655310" u="1"/>
        <n v="93655311" u="1"/>
        <n v="93655312" u="1"/>
        <n v="93655313" u="1"/>
        <n v="93655314" u="1"/>
        <n v="93655315" u="1"/>
        <n v="93655316" u="1"/>
        <n v="93655317" u="1"/>
        <n v="109" u="1"/>
        <n v="110" u="1"/>
        <n v="111" u="1"/>
        <n v="112" u="1"/>
        <n v="113" u="1"/>
        <n v="114" u="1"/>
        <n v="115" u="1"/>
        <n v="93655318" u="1"/>
        <n v="93655319" u="1"/>
        <n v="93655320" u="1"/>
        <n v="93655321" u="1"/>
        <n v="93655322" u="1"/>
        <n v="93655323" u="1"/>
        <n v="93655324" u="1"/>
        <n v="93655325" u="1"/>
        <n v="93655326" u="1"/>
        <n v="93655327" u="1"/>
        <n v="93655328" u="1"/>
        <n v="93655329" u="1"/>
        <n v="93655330" u="1"/>
        <n v="93655331" u="1"/>
        <n v="93655332" u="1"/>
        <n v="93655333" u="1"/>
        <n v="116" u="1"/>
        <n v="117" u="1"/>
        <n v="118" u="1"/>
        <n v="119" u="1"/>
        <n v="93655334" u="1"/>
        <n v="93655335" u="1"/>
        <n v="93655336" u="1"/>
        <n v="93655337" u="1"/>
        <n v="93655338" u="1"/>
        <n v="93655339" u="1"/>
        <n v="93655340" u="1"/>
        <n v="93655341" u="1"/>
        <n v="93655342" u="1"/>
        <n v="93655343" u="1"/>
        <n v="93655344" u="1"/>
        <n v="120" u="1"/>
        <n v="121" u="1"/>
        <n v="122" u="1"/>
        <n v="123" u="1"/>
        <n v="124" u="1"/>
        <n v="128" u="1"/>
        <n v="126" u="1"/>
        <n v="93655345" u="1"/>
        <n v="93655346" u="1"/>
        <n v="127" u="1"/>
        <n v="93655347" u="1"/>
        <n v="93655348" u="1"/>
        <n v="93655349" u="1"/>
        <n v="93655350" u="1"/>
        <n v="93655351" u="1"/>
        <n v="93655352" u="1"/>
        <n v="93655353" u="1"/>
        <n v="93655354" u="1"/>
        <n v="93655355" u="1"/>
        <n v="93655356" u="1"/>
        <n v="93655357" u="1"/>
        <n v="93655358" u="1"/>
        <n v="93655359" u="1"/>
        <n v="93655360" u="1"/>
        <n v="93655361" u="1"/>
        <n v="93655362" u="1"/>
        <n v="93655363" u="1"/>
        <n v="93655364" u="1"/>
        <n v="93655365" u="1"/>
        <n v="93655366" u="1"/>
        <n v="93655367" u="1"/>
        <n v="93655368" u="1"/>
        <n v="93655369" u="1"/>
        <n v="93655370" u="1"/>
        <n v="93655371" u="1"/>
        <n v="93655372" u="1"/>
        <n v="93655373" u="1"/>
        <n v="93655374" u="1"/>
        <n v="93655375" u="1"/>
        <n v="93655376" u="1"/>
        <n v="93655377" u="1"/>
        <n v="93655378" u="1"/>
        <n v="93655379" u="1"/>
        <n v="93655380" u="1"/>
        <n v="93655381" u="1"/>
        <n v="93655382" u="1"/>
        <n v="93655383" u="1"/>
        <n v="93655384" u="1"/>
        <n v="93655385" u="1"/>
        <n v="93655386" u="1"/>
        <n v="93655387" u="1"/>
        <n v="93655388" u="1"/>
        <n v="93655389" u="1"/>
        <n v="93655390" u="1"/>
        <n v="93655391" u="1"/>
        <n v="132" u="1"/>
        <n v="133" u="1"/>
        <n v="134" u="1"/>
        <n v="131" u="1"/>
        <n v="137" u="1"/>
        <n v="135" u="1"/>
        <n v="136" u="1"/>
        <n v="138" u="1"/>
        <n v="139" u="1"/>
        <n v="140" u="1"/>
        <n v="141" u="1"/>
        <n v="142" u="1"/>
        <n v="146" u="1"/>
        <n v="93655392" u="1"/>
        <n v="93655393" u="1"/>
        <n v="93655394" u="1"/>
        <n v="93655395" u="1"/>
        <n v="93655396" u="1"/>
        <n v="93655397" u="1"/>
        <n v="93655398" u="1"/>
        <n v="93655399" u="1"/>
        <n v="93655400" u="1"/>
        <n v="93655401" u="1"/>
        <n v="93655402" u="1"/>
        <n v="93655403" u="1"/>
        <n v="144" u="1"/>
        <n v="145" u="1"/>
        <n v="147" u="1"/>
        <n v="148" u="1"/>
        <n v="149" u="1"/>
        <n v="150" u="1"/>
        <n v="151" u="1"/>
        <n v="152" u="1"/>
        <n v="153" u="1"/>
        <n v="177" u="1"/>
        <n v="176" u="1"/>
        <n v="175" u="1"/>
        <n v="157" u="1"/>
        <n v="158" u="1"/>
        <n v="172" u="1"/>
        <n v="160" u="1"/>
        <n v="161" u="1"/>
        <n v="162" u="1"/>
        <n v="163" u="1"/>
        <n v="167" u="1"/>
        <n v="165" u="1"/>
        <n v="166" u="1"/>
        <n v="164" u="1"/>
        <n v="168" u="1"/>
        <n v="169" u="1"/>
        <n v="170" u="1"/>
        <n v="171" u="1"/>
        <n v="173" u="1"/>
        <n v="174" u="1"/>
        <n v="178" u="1"/>
        <n v="182" u="1"/>
        <n v="93655404" u="1"/>
        <n v="93655405" u="1"/>
        <n v="93655406" u="1"/>
        <n v="93655407" u="1"/>
        <n v="93655408" u="1"/>
        <n v="93655409" u="1"/>
        <n v="93655410" u="1"/>
        <n v="93655411" u="1"/>
        <n v="93655412" u="1"/>
        <n v="93655413" u="1"/>
        <n v="93655414" u="1"/>
        <n v="93655415" u="1"/>
        <n v="93655416" u="1"/>
        <n v="93655417" u="1"/>
        <n v="93655418" u="1"/>
        <n v="93655419" u="1"/>
        <n v="93655420" u="1"/>
        <n v="93655421" u="1"/>
        <n v="93655422" u="1"/>
        <n v="93655423" u="1"/>
        <n v="93655424" u="1"/>
        <n v="93655425" u="1"/>
        <n v="93655426" u="1"/>
        <n v="93655427" u="1"/>
        <n v="93655428" u="1"/>
        <n v="93655429" u="1"/>
        <n v="93655430" u="1"/>
        <n v="93655431" u="1"/>
        <n v="93655432" u="1"/>
        <n v="93655433" u="1"/>
        <n v="93655434" u="1"/>
        <n v="93655435" u="1"/>
        <n v="93655436" u="1"/>
        <n v="180" u="1"/>
        <n v="181" u="1"/>
        <n v="183" u="1"/>
        <n v="191" u="1"/>
        <n v="188" u="1"/>
        <n v="189" u="1"/>
        <n v="187" u="1"/>
        <n v="190" u="1"/>
        <n v="192" u="1"/>
        <n v="194" u="1"/>
        <n v="195" u="1"/>
        <n v="196" u="1"/>
        <n v="93655437" u="1"/>
        <n v="93655438" u="1"/>
        <n v="93655439" u="1"/>
        <n v="197" u="1"/>
        <n v="198" u="1"/>
        <n v="199" u="1"/>
        <n v="200" u="1"/>
        <n v="204" u="1"/>
        <n v="203" u="1"/>
        <n v="202" u="1"/>
        <n v="201" u="1"/>
        <n v="206" u="1"/>
        <n v="205" u="1"/>
        <n v="207" u="1"/>
        <n v="208" u="1"/>
        <n v="209" u="1"/>
        <n v="93655440" u="1"/>
        <n v="93655441" u="1"/>
        <n v="93655442" u="1"/>
        <n v="93655443" u="1"/>
        <n v="93655444" u="1"/>
        <n v="93655445" u="1"/>
        <n v="93655446" u="1"/>
        <n v="93655447" u="1"/>
        <n v="93966901" u="1"/>
        <n v="93966902" u="1"/>
        <n v="93966903" u="1"/>
        <n v="93966904" u="1"/>
        <n v="93966905" u="1"/>
        <n v="93966906" u="1"/>
        <n v="93966907" u="1"/>
        <n v="93966908" u="1"/>
        <n v="93966909" u="1"/>
        <n v="93966910" u="1"/>
        <n v="93966911" u="1"/>
        <n v="93966912" u="1"/>
        <n v="93966913" u="1"/>
        <n v="93966914" u="1"/>
        <n v="93966915" u="1"/>
        <n v="93966916" u="1"/>
        <n v="93966917" u="1"/>
        <n v="93966918" u="1"/>
        <n v="93966919" u="1"/>
        <n v="93966920" u="1"/>
        <n v="93966921" u="1"/>
        <n v="215" u="1"/>
        <n v="216" u="1"/>
        <n v="213" u="1"/>
        <n v="214" u="1"/>
        <n v="210" u="1"/>
        <n v="211" u="1"/>
        <n v="212" u="1"/>
        <n v="217" u="1"/>
        <n v="218" u="1"/>
        <n v="219" u="1"/>
        <n v="220" u="1"/>
        <n v="221" u="1"/>
        <n v="222" u="1"/>
        <n v="223" u="1"/>
        <n v="224" u="1"/>
        <n v="226" u="1"/>
        <n v="227" u="1"/>
        <n v="225" u="1"/>
        <n v="228" u="1"/>
        <n v="230" u="1"/>
        <n v="229" u="1"/>
        <n v="234" u="1"/>
        <n v="235" u="1"/>
        <n v="236" u="1"/>
        <n v="231" u="1"/>
        <n v="232" u="1"/>
        <n v="233" u="1"/>
        <n v="237" u="1"/>
        <n v="238" u="1"/>
        <n v="93966922" u="1"/>
        <n v="93966923" u="1"/>
        <n v="93966924" u="1"/>
        <n v="93966925" u="1"/>
        <n v="93966926" u="1"/>
        <n v="93966927" u="1"/>
        <n v="93966928" u="1"/>
        <n v="93966929" u="1"/>
        <n v="93966930" u="1"/>
        <n v="93966931" u="1"/>
        <n v="93966932" u="1"/>
        <n v="93966933" u="1"/>
        <n v="93966934" u="1"/>
        <n v="93966935" u="1"/>
        <n v="93966936" u="1"/>
        <n v="93966937" u="1"/>
        <n v="93966938" u="1"/>
        <n v="93966939" u="1"/>
        <n v="93966940" u="1"/>
        <n v="93966941" u="1"/>
        <n v="93655448" u="1"/>
        <n v="93655449" u="1"/>
        <n v="93966942" u="1"/>
        <n v="93966943" u="1"/>
        <n v="93966944" u="1"/>
        <n v="93966945" u="1"/>
        <n v="93966946" u="1"/>
        <n v="93966947" u="1"/>
        <n v="93966948" u="1"/>
        <n v="93966949" u="1"/>
        <n v="93966950" u="1"/>
        <n v="93966951" u="1"/>
        <n v="93966952" u="1"/>
        <n v="93966953" u="1"/>
        <n v="93655450" u="1"/>
        <n v="93966954" u="1"/>
        <n v="93966955" u="1"/>
        <n v="93966956" u="1"/>
        <n v="93966957" u="1"/>
        <n v="93966958" u="1"/>
        <n v="93966959" u="1"/>
        <n v="93966960" u="1"/>
        <n v="93966961" u="1"/>
        <n v="93966962" u="1"/>
        <n v="239" u="1"/>
        <n v="240" u="1"/>
        <n v="245" u="1"/>
        <n v="242" u="1"/>
        <n v="243" u="1"/>
        <n v="241" u="1"/>
        <n v="248" u="1"/>
        <n v="249" u="1"/>
        <n v="244" u="1"/>
        <n v="247" u="1"/>
        <n v="246" u="1"/>
        <n v="250" u="1"/>
        <n v="251" u="1"/>
        <n v="252" u="1"/>
        <n v="253" u="1"/>
        <n v="259" u="1"/>
        <n v="260" u="1"/>
        <n v="261" u="1"/>
        <n v="266" u="1"/>
        <n v="262" u="1"/>
        <n v="257" u="1"/>
        <n v="256" u="1"/>
        <n v="255" u="1"/>
        <n v="254" u="1"/>
        <n v="263" u="1"/>
        <n v="93966963" u="1"/>
        <n v="93966964" u="1"/>
        <n v="93966965" u="1"/>
        <n v="93966966" u="1"/>
        <n v="93966967" u="1"/>
        <n v="93966968" u="1"/>
        <n v="93966969" u="1"/>
        <n v="93966970" u="1"/>
        <n v="93966971" u="1"/>
        <n v="93966972" u="1"/>
        <n v="93966973" u="1"/>
        <n v="93966974" u="1"/>
        <n v="93966975" u="1"/>
        <n v="93966976" u="1"/>
        <n v="93966977" u="1"/>
        <n v="93966978" u="1"/>
        <n v="93966979" u="1"/>
        <n v="93966980" u="1"/>
        <n v="93966981" u="1"/>
        <n v="93966982" u="1"/>
        <n v="93966983" u="1"/>
        <n v="93966984" u="1"/>
        <n v="93966985" u="1"/>
        <n v="93966986" u="1"/>
        <n v="93966987" u="1"/>
        <n v="93966988" u="1"/>
        <n v="93966989" u="1"/>
        <n v="93966990" u="1"/>
        <n v="93966991" u="1"/>
        <n v="93966992" u="1"/>
        <n v="93966993" u="1"/>
        <n v="93966994" u="1"/>
        <n v="93966995" u="1"/>
        <n v="93966996" u="1"/>
        <n v="93966997" u="1"/>
        <n v="93966998" u="1"/>
        <n v="93966999" u="1"/>
        <n v="93967000" u="1"/>
        <n v="93967001" u="1"/>
        <n v="93967002" u="1"/>
        <n v="93967003" u="1"/>
        <n v="93967004" u="1"/>
        <n v="93967005" u="1"/>
        <n v="93967006" u="1"/>
        <n v="264" u="1"/>
        <n v="267" u="1"/>
        <n v="258" u="1"/>
        <n v="265" u="1"/>
        <n v="268" u="1"/>
        <n v="269" u="1"/>
        <n v="270" u="1"/>
        <n v="271" u="1"/>
        <n v="272" u="1"/>
        <n v="273" u="1"/>
        <n v="274" u="1"/>
        <n v="275" u="1"/>
        <n v="276" u="1"/>
        <n v="277" u="1"/>
        <n v="278" u="1"/>
        <n v="279" u="1"/>
        <n v="93967007" u="1"/>
        <n v="93967008" u="1"/>
        <n v="93967009" u="1"/>
        <n v="93967010" u="1"/>
        <n v="93967011" u="1"/>
        <n v="93967012" u="1"/>
        <n v="93967013" u="1"/>
        <n v="93967014" u="1"/>
        <n v="93967015" u="1"/>
        <n v="93967016" u="1"/>
        <n v="93967017" u="1"/>
        <n v="93967018" u="1"/>
        <n v="93967019" u="1"/>
        <n v="93967020" u="1"/>
        <n v="93967021" u="1"/>
        <n v="93967022" u="1"/>
        <n v="93967023" u="1"/>
        <n v="93967024" u="1"/>
        <n v="93967025" u="1"/>
        <n v="283" u="1"/>
        <n v="284" u="1"/>
        <n v="285" u="1"/>
        <n v="286" u="1"/>
        <n v="287" u="1"/>
        <n v="292" u="1"/>
        <n v="280" u="1"/>
        <n v="290" u="1"/>
        <n v="294" u="1"/>
        <n v="291" u="1"/>
        <n v="293" u="1"/>
        <n v="288" u="1"/>
        <n v="289" u="1"/>
        <n v="281" u="1"/>
        <n v="282" u="1"/>
        <n v="300" u="1"/>
        <n v="298" u="1"/>
        <n v="299" u="1"/>
        <n v="295" u="1"/>
        <n v="297" u="1"/>
        <n v="296" u="1"/>
        <n v="301" u="1"/>
        <n v="306" u="1"/>
        <n v="307" u="1"/>
        <n v="308" u="1"/>
        <n v="309" u="1"/>
        <n v="310" u="1"/>
        <n v="311" u="1"/>
        <n v="312" u="1"/>
        <n v="313" u="1"/>
        <n v="303" u="1"/>
        <n v="302" u="1"/>
        <n v="304" u="1"/>
        <n v="305" u="1"/>
        <n v="314" u="1"/>
        <n v="93967026" u="1"/>
        <n v="93967027" u="1"/>
        <n v="93967028" u="1"/>
        <n v="93967029" u="1"/>
        <n v="93967030" u="1"/>
        <n v="93967031" u="1"/>
        <n v="93967032" u="1"/>
        <n v="93967033" u="1"/>
        <n v="93967034" u="1"/>
        <n v="93967035" u="1"/>
        <n v="93967036" u="1"/>
        <n v="93967037" u="1"/>
        <n v="93967038" u="1"/>
        <n v="93967039" u="1"/>
        <n v="93967040" u="1"/>
        <n v="93967041" u="1"/>
        <n v="93967042" u="1"/>
        <n v="93967043" u="1"/>
        <n v="93967044" u="1"/>
        <n v="93967046" u="1"/>
        <n v="93967047" u="1"/>
        <n v="93967048" u="1"/>
        <n v="93967049" u="1"/>
        <n v="93967050" u="1"/>
        <n v="93967051" u="1"/>
        <n v="93967052" u="1"/>
        <n v="315" u="1"/>
        <n v="316" u="1"/>
        <n v="317" u="1"/>
        <n v="318" u="1"/>
        <n v="328" u="1"/>
        <n v="329" u="1"/>
        <n v="330" u="1"/>
        <n v="327" u="1"/>
        <n v="320" u="1"/>
        <n v="321" u="1"/>
        <n v="322" u="1"/>
        <n v="323" u="1"/>
        <n v="324" u="1"/>
        <n v="326" u="1"/>
        <n v="325" u="1"/>
        <n v="331" u="1"/>
        <n v="93967053" u="1"/>
        <n v="93967054" u="1"/>
        <n v="93967055" u="1"/>
        <n v="93967056" u="1"/>
        <n v="93967057" u="1"/>
        <n v="93967058" u="1"/>
        <n v="93967059" u="1"/>
        <n v="93967060" u="1"/>
        <n v="332" u="1"/>
        <n v="93967061" u="1"/>
        <n v="333" u="1"/>
        <n v="334" u="1"/>
        <n v="335" u="1"/>
        <n v="336" u="1"/>
        <n v="337" u="1"/>
        <n v="338" u="1"/>
        <n v="339" u="1"/>
        <n v="340" u="1"/>
        <n v="341" u="1"/>
        <n v="342" u="1"/>
        <n v="343" u="1"/>
        <n v="344" u="1"/>
        <n v="345" u="1"/>
        <n v="346" u="1"/>
        <n v="347" u="1"/>
        <n v="348" u="1"/>
        <n v="349" u="1"/>
        <n v="350" u="1"/>
        <n v="351" u="1"/>
        <n v="352" u="1"/>
        <n v="353" u="1"/>
        <n v="355" u="1"/>
        <n v="354" u="1"/>
        <n v="356" u="1"/>
        <n v="357" u="1"/>
        <n v="358" u="1"/>
        <n v="359" u="1"/>
        <n v="93967062" u="1"/>
        <n v="360" u="1"/>
        <n v="361" u="1"/>
        <n v="362" u="1"/>
        <n v="363" u="1"/>
        <n v="364" u="1"/>
        <n v="365" u="1"/>
        <n v="366" u="1"/>
        <n v="367" u="1"/>
        <n v="368" u="1"/>
        <n v="369" u="1"/>
        <n v="370" u="1"/>
        <n v="371" u="1"/>
        <n v="372" u="1"/>
        <n v="93967063" u="1"/>
        <n v="93967064" u="1"/>
        <n v="93967065" u="1"/>
        <n v="93967066" u="1"/>
        <n v="93967067" u="1"/>
        <n v="93967068" u="1"/>
        <n v="93967069" u="1"/>
        <n v="93967070" u="1"/>
        <n v="93967071" u="1"/>
        <n v="373" u="1"/>
        <n v="374" u="1"/>
        <n v="375" u="1"/>
        <n v="376" u="1"/>
        <n v="377" u="1"/>
        <n v="378" u="1"/>
        <n v="93967072" u="1"/>
        <n v="93967073" u="1"/>
        <n v="93967074" u="1"/>
        <n v="93967075" u="1"/>
        <n v="93967076" u="1"/>
        <n v="93967077" u="1"/>
        <n v="93967078" u="1"/>
        <n v="379" u="1"/>
        <n v="380" u="1"/>
        <n v="381" u="1"/>
        <n v="382" u="1"/>
        <n v="383" u="1"/>
        <n v="384" u="1"/>
        <n v="93967079" u="1"/>
        <n v="93967080" u="1"/>
        <n v="93967081" u="1"/>
        <n v="93967082" u="1"/>
        <n v="93967083" u="1"/>
        <n v="93967084" u="1"/>
        <n v="93967085" u="1"/>
        <n v="93967086" u="1"/>
        <n v="93967087" u="1"/>
        <n v="93967088" u="1"/>
        <n v="93967089" u="1"/>
        <n v="93967090" u="1"/>
        <n v="93967091" u="1"/>
        <n v="93967092" u="1"/>
        <n v="93967093" u="1"/>
        <n v="93967094" u="1"/>
        <n v="93967095" u="1"/>
        <n v="93967096" u="1"/>
        <n v="93967097" u="1"/>
        <n v="93967098" u="1"/>
        <n v="93967099" u="1"/>
        <n v="93967100" u="1"/>
        <n v="93967101" u="1"/>
        <n v="93967102" u="1"/>
        <n v="93967103" u="1"/>
        <n v="385" u="1"/>
        <n v="386" u="1"/>
        <n v="387" u="1"/>
        <n v="388" u="1"/>
        <n v="389" u="1"/>
        <n v="390" u="1"/>
        <n v="391" u="1"/>
        <n v="392" u="1"/>
        <n v="393" u="1"/>
        <n v="394" u="1"/>
        <n v="395" u="1"/>
        <n v="396" u="1"/>
        <n v="402" u="1"/>
        <n v="403" u="1"/>
        <n v="397" u="1"/>
        <n v="398" u="1"/>
        <n v="399" u="1"/>
        <n v="400" u="1"/>
        <n v="401" u="1"/>
        <n v="404" u="1"/>
        <n v="405" u="1"/>
        <n v="409" u="1"/>
        <n v="410" u="1"/>
        <n v="411" u="1"/>
        <n v="412" u="1"/>
        <n v="413" u="1"/>
        <n v="414" u="1"/>
        <n v="415" u="1"/>
        <n v="416" u="1"/>
        <n v="417" u="1"/>
        <n v="418" u="1"/>
        <n v="419" u="1"/>
        <n v="420" u="1"/>
        <n v="406" u="1"/>
        <n v="407" u="1"/>
        <n v="408" u="1"/>
        <n v="421" u="1"/>
        <n v="422" u="1"/>
        <n v="423" u="1"/>
        <n v="424" u="1"/>
        <n v="425" u="1"/>
        <n v="426" u="1"/>
        <n v="427" u="1"/>
        <n v="428" u="1"/>
        <n v="429" u="1"/>
        <n v="430" u="1"/>
        <n v="431" u="1"/>
        <n v="93967104" u="1"/>
        <n v="93967105" u="1"/>
        <n v="93967106" u="1"/>
        <n v="93967107" u="1"/>
        <n v="432" u="1"/>
        <n v="433" u="1"/>
        <n v="434" u="1"/>
        <n v="435" u="1"/>
        <n v="436" u="1"/>
        <n v="437" u="1"/>
        <n v="438" u="1"/>
        <n v="439" u="1"/>
        <n v="440" u="1"/>
        <n v="441" u="1"/>
        <n v="442" u="1"/>
        <n v="443" u="1"/>
        <n v="93967108" u="1"/>
        <n v="444" u="1"/>
        <n v="445" u="1"/>
        <n v="125012" u="1"/>
        <n v="125013" u="1"/>
        <n v="125014" u="1"/>
        <n v="93967109" u="1"/>
        <n v="446" u="1"/>
        <n v="447" u="1"/>
        <n v="448" u="1"/>
        <n v="449" u="1"/>
        <n v="450" u="1"/>
        <n v="451" u="1"/>
        <n v="452" u="1"/>
        <n v="453" u="1"/>
        <n v="125015" u="1"/>
        <n v="125016" u="1"/>
        <n v="125017" u="1"/>
        <n v="125018" u="1"/>
        <n v="125019" u="1"/>
        <n v="125020" u="1"/>
        <n v="125021" u="1"/>
        <n v="125022" u="1"/>
        <n v="93967110" u="1"/>
        <n v="93967111" u="1"/>
        <n v="93967112" u="1"/>
        <n v="93967113" u="1"/>
        <n v="93967114" u="1"/>
        <n v="93967115" u="1"/>
        <n v="93967116" u="1"/>
        <n v="93967117" u="1"/>
        <n v="93967118" u="1"/>
        <n v="93967119" u="1"/>
        <n v="93967120" u="1"/>
        <n v="93967121" u="1"/>
        <n v="125023" u="1"/>
        <n v="125024" u="1"/>
        <n v="125025" u="1"/>
        <n v="125026" u="1"/>
        <n v="125027" u="1"/>
        <n v="125028" u="1"/>
        <n v="125029" u="1"/>
        <n v="125030" u="1"/>
        <n v="125031" u="1"/>
        <n v="125032" u="1"/>
        <n v="125033" u="1"/>
        <n v="125034" u="1"/>
        <n v="125035" u="1"/>
        <n v="125036" u="1"/>
        <n v="125037" u="1"/>
        <n v="125038" u="1"/>
        <n v="125039" u="1"/>
        <n v="125040" u="1"/>
        <n v="125041" u="1"/>
        <n v="125042" u="1"/>
        <n v="125043" u="1"/>
        <n v="125044" u="1"/>
        <n v="125045" u="1"/>
        <n v="125046" u="1"/>
        <n v="125047" u="1"/>
        <n v="125048" u="1"/>
        <n v="125049" u="1"/>
        <n v="125050" u="1"/>
        <n v="125051" u="1"/>
        <n v="125052" u="1"/>
        <n v="125053" u="1"/>
        <n v="125054" u="1"/>
        <n v="125055" u="1"/>
        <n v="125056" u="1"/>
        <n v="125057" u="1"/>
        <n v="125058" u="1"/>
        <n v="125059" u="1"/>
        <n v="125060" u="1"/>
        <n v="125061" u="1"/>
        <n v="136647" u="1"/>
        <n v="136648" u="1"/>
        <n v="136649" u="1"/>
        <n v="136650" u="1"/>
        <n v="136651" u="1"/>
        <n v="136652" u="1"/>
        <n v="93967122" u="1"/>
        <n v="93967123" u="1"/>
        <n v="93967124" u="1"/>
        <n v="93967125" u="1"/>
        <n v="93967126" u="1"/>
        <n v="93967127" u="1"/>
        <n v="93967128" u="1"/>
        <n v="93967129" u="1"/>
        <n v="93967130" u="1"/>
        <n v="93967131" u="1"/>
        <n v="454" u="1"/>
        <n v="455" u="1"/>
        <n v="456" u="1"/>
        <n v="457" u="1"/>
        <n v="458" u="1"/>
        <n v="93967132" u="1"/>
        <n v="93967133" u="1"/>
        <n v="93967134" u="1"/>
        <n v="459" u="1"/>
        <n v="93967135" u="1"/>
        <n v="93967136" u="1"/>
        <n v="93967137" u="1"/>
        <n v="93967138" u="1"/>
        <n v="93967139" u="1"/>
        <n v="93967140" u="1"/>
        <n v="93967141" u="1"/>
        <n v="93967142" u="1"/>
        <n v="460" u="1"/>
        <n v="461" u="1"/>
        <n v="462" u="1"/>
        <n v="463" u="1"/>
        <n v="464" u="1"/>
        <n v="465" u="1"/>
        <n v="466" u="1"/>
        <n v="467" u="1"/>
        <n v="468" u="1"/>
        <n v="469" u="1"/>
        <n v="470" u="1"/>
        <n v="471" u="1"/>
        <n v="472" u="1"/>
        <n v="473" u="1"/>
        <n v="474" u="1"/>
        <n v="475" u="1"/>
        <n v="476" u="1"/>
        <n v="477" u="1"/>
        <n v="478" u="1"/>
        <n v="479" u="1"/>
        <n v="480" u="1"/>
        <n v="481" u="1"/>
        <n v="482" u="1"/>
        <n v="483" u="1"/>
        <n v="484" u="1"/>
        <n v="485" u="1"/>
        <n v="486" u="1"/>
        <n v="487" u="1"/>
        <n v="488" u="1"/>
        <n v="489" u="1"/>
        <n v="490" u="1"/>
        <n v="93967143" u="1"/>
        <n v="136653" u="1"/>
        <n v="136654" u="1"/>
        <n v="136655" u="1"/>
        <n v="136656" u="1"/>
        <n v="136657" u="1"/>
        <n v="93967144" u="1"/>
        <n v="93967145" u="1"/>
        <n v="93967146" u="1"/>
        <n v="93967147" u="1"/>
        <n v="93967148" u="1"/>
        <n v="93967149" u="1"/>
        <n v="93967150" u="1"/>
        <n v="491" u="1"/>
        <n v="492" u="1"/>
        <n v="493" u="1"/>
        <n v="494" u="1"/>
        <n v="495" u="1"/>
        <n v="496" u="1"/>
        <n v="497" u="1"/>
        <n v="498" u="1"/>
        <n v="499" u="1"/>
        <n v="500" u="1"/>
        <n v="501" u="1"/>
        <n v="502" u="1"/>
        <n v="503" u="1"/>
        <n v="504" u="1"/>
        <n v="505" u="1"/>
        <n v="506" u="1"/>
        <n v="507" u="1"/>
        <n v="508" u="1"/>
        <n v="509" u="1"/>
        <n v="510" u="1"/>
        <n v="511" u="1"/>
        <n v="512" u="1"/>
        <n v="513" u="1"/>
        <n v="514" u="1"/>
        <n v="515" u="1"/>
        <n v="516" u="1"/>
        <n v="517" u="1"/>
        <n v="518" u="1"/>
        <n v="519" u="1"/>
        <n v="520" u="1"/>
        <n v="521" u="1"/>
        <n v="522" u="1"/>
        <n v="523" u="1"/>
        <n v="524" u="1"/>
        <n v="525" u="1"/>
        <n v="93967151" u="1"/>
        <n v="93967152" u="1"/>
        <n v="93967153" u="1"/>
        <n v="93967154" u="1"/>
        <n v="93967155" u="1"/>
        <n v="93967156" u="1"/>
        <n v="93967157" u="1"/>
        <n v="93967158" u="1"/>
        <n v="93967159" u="1"/>
        <n v="93967160" u="1"/>
        <n v="526" u="1"/>
        <n v="527" u="1"/>
        <n v="528" u="1"/>
        <n v="529" u="1"/>
        <n v="530" u="1"/>
        <n v="531" u="1"/>
        <n v="532" u="1"/>
        <n v="533" u="1"/>
        <n v="534" u="1"/>
        <n v="535" u="1"/>
        <n v="536" u="1"/>
        <n v="537" u="1"/>
        <n v="93967161" u="1"/>
        <n v="93967162" u="1"/>
        <n v="93967163" u="1"/>
        <n v="93967164" u="1"/>
        <n v="538" u="1"/>
        <n v="539" u="1"/>
        <n v="540" u="1"/>
        <n v="541" u="1"/>
        <n v="542" u="1"/>
        <n v="543" u="1"/>
        <n v="544" u="1"/>
        <n v="136658" u="1"/>
        <n v="136659" u="1"/>
        <n v="136660" u="1"/>
        <n v="136661" u="1"/>
        <n v="136662" u="1"/>
        <n v="136663" u="1"/>
        <n v="136664" u="1"/>
        <n v="136665" u="1"/>
        <n v="136666" u="1"/>
        <n v="136667" u="1"/>
        <n v="136668" u="1"/>
        <n v="136669" u="1"/>
        <n v="136670" u="1"/>
        <n v="136671" u="1"/>
        <n v="136672" u="1"/>
        <n v="136673" u="1"/>
        <n v="545" u="1"/>
        <n v="546" u="1"/>
        <n v="547" u="1"/>
        <n v="548" u="1"/>
        <n v="549" u="1"/>
        <n v="136674" u="1"/>
        <n v="136675" u="1"/>
        <n v="136676" u="1"/>
        <n v="136677" u="1"/>
        <n v="136678" u="1"/>
        <n v="136679" u="1"/>
        <n v="136680" u="1"/>
        <n v="136681" u="1"/>
        <n v="136682" u="1"/>
        <n v="136683" u="1"/>
        <n v="136684" u="1"/>
        <n v="136685" u="1"/>
        <n v="136686" u="1"/>
        <n v="136687" u="1"/>
        <n v="136688" u="1"/>
        <n v="136689" u="1"/>
        <n v="136690" u="1"/>
        <n v="136691" u="1"/>
        <n v="136692" u="1"/>
        <n v="136693" u="1"/>
        <n v="136694" u="1"/>
        <n v="136695" u="1"/>
        <n v="136696" u="1"/>
        <n v="136697" u="1"/>
        <n v="136698" u="1"/>
        <n v="136699" u="1"/>
        <n v="136700" u="1"/>
        <n v="93967165" u="1"/>
        <n v="93967166" u="1"/>
        <n v="93967167" u="1"/>
        <n v="93967168" u="1"/>
        <n v="550" u="1"/>
        <n v="551" u="1"/>
        <n v="552" u="1"/>
        <n v="553" u="1"/>
        <n v="554" u="1"/>
        <n v="555" u="1"/>
        <n v="556" u="1"/>
        <n v="557" u="1"/>
        <n v="558" u="1"/>
        <n v="559" u="1"/>
        <n v="560" u="1"/>
        <n v="561" u="1"/>
        <n v="562" u="1"/>
        <n v="563" u="1"/>
        <n v="564" u="1"/>
        <n v="565" u="1"/>
        <n v="566" u="1"/>
        <n v="567" u="1"/>
        <n v="568" u="1"/>
        <n v="569" u="1"/>
        <n v="570" u="1"/>
        <n v="571" u="1"/>
        <n v="572" u="1"/>
        <n v="573" u="1"/>
        <n v="574" u="1"/>
        <n v="575" u="1"/>
        <n v="576" u="1"/>
        <n v="577" u="1"/>
        <n v="578" u="1"/>
        <n v="579" u="1"/>
        <n v="580" u="1"/>
        <n v="93967169" u="1"/>
        <n v="93967170" u="1"/>
        <n v="93967171" u="1"/>
        <n v="93967172" u="1"/>
        <n v="93967173" u="1"/>
        <n v="581" u="1"/>
        <n v="582" u="1"/>
        <n v="583" u="1"/>
        <n v="584" u="1"/>
        <n v="585" u="1"/>
        <n v="586" u="1"/>
        <n v="587" u="1"/>
        <n v="588" u="1"/>
        <n v="589" u="1"/>
        <n v="590" u="1"/>
        <n v="591" u="1"/>
        <n v="592" u="1"/>
        <n v="593" u="1"/>
        <n v="594" u="1"/>
        <n v="595" u="1"/>
        <n v="596" u="1"/>
        <n v="597" u="1"/>
        <n v="598" u="1"/>
        <n v="599" u="1"/>
        <n v="600" u="1"/>
        <n v="601" u="1"/>
        <n v="602" u="1"/>
        <n v="603" u="1"/>
        <n v="604" u="1"/>
        <n v="605" u="1"/>
        <n v="606" u="1"/>
        <n v="607" u="1"/>
        <n v="608" u="1"/>
        <n v="609" u="1"/>
        <n v="610" u="1"/>
        <n v="611" u="1"/>
        <n v="612" u="1"/>
        <n v="613" u="1"/>
        <n v="614" u="1"/>
        <n v="615" u="1"/>
        <n v="616" u="1"/>
        <n v="617" u="1"/>
        <n v="618" u="1"/>
        <n v="619" u="1"/>
        <n v="620" u="1"/>
        <n v="621" u="1"/>
        <n v="622" u="1"/>
        <n v="623" u="1"/>
        <n v="624" u="1"/>
        <n v="625" u="1"/>
        <n v="626" u="1"/>
        <n v="627" u="1"/>
        <n v="628" u="1"/>
        <n v="629" u="1"/>
        <n v="630" u="1"/>
        <n v="631" u="1"/>
        <n v="632" u="1"/>
        <n v="633" u="1"/>
        <n v="634" u="1"/>
        <n v="635" u="1"/>
        <n v="636" u="1"/>
        <n v="637" u="1"/>
        <n v="638" u="1"/>
        <n v="639" u="1"/>
        <n v="640" u="1"/>
        <n v="136701" u="1"/>
        <n v="136702" u="1"/>
        <n v="641" u="1"/>
        <n v="642" u="1"/>
        <n v="643" u="1"/>
        <n v="644" u="1"/>
        <n v="645" u="1"/>
        <n v="646" u="1"/>
        <n v="647" u="1"/>
        <n v="648" u="1"/>
        <n v="649" u="1"/>
        <n v="650" u="1"/>
        <n v="93967174" u="1"/>
        <n v="93967175" u="1"/>
        <n v="93967176" u="1"/>
        <n v="93967177" u="1"/>
        <n v="93967178" u="1"/>
        <n v="93967179" u="1"/>
        <n v="93967180" u="1"/>
        <n v="93967181" u="1"/>
        <n v="93967182" u="1"/>
        <n v="651" u="1"/>
        <n v="652" u="1"/>
        <n v="653" u="1"/>
        <n v="654" u="1"/>
        <n v="655" u="1"/>
        <n v="656" u="1"/>
        <n v="657" u="1"/>
        <n v="658" u="1"/>
        <n v="659" u="1"/>
        <n v="660" u="1"/>
        <n v="661" u="1"/>
        <n v="662" u="1"/>
        <n v="663" u="1"/>
        <n v="664" u="1"/>
        <n v="665" u="1"/>
        <n v="666" u="1"/>
        <n v="667" u="1"/>
        <n v="668" u="1"/>
        <n v="669" u="1"/>
        <n v="670" u="1"/>
        <n v="671" u="1"/>
        <n v="672" u="1"/>
        <n v="673" u="1"/>
        <n v="674" u="1"/>
        <n v="675" u="1"/>
        <n v="676" u="1"/>
        <n v="677" u="1"/>
        <n v="678" u="1"/>
        <n v="679" u="1"/>
        <n v="680" u="1"/>
        <n v="681" u="1"/>
        <n v="682" u="1"/>
        <n v="683" u="1"/>
        <n v="93967183" u="1"/>
        <n v="93967184" u="1"/>
        <n v="93967185" u="1"/>
        <n v="93967186" u="1"/>
        <n v="93967187" u="1"/>
        <n v="93967188" u="1"/>
        <n v="93967189" u="1"/>
        <n v="93967190" u="1"/>
        <n v="93967191" u="1"/>
        <n v="93967192" u="1"/>
        <n v="93967193" u="1"/>
        <n v="93967194" u="1"/>
        <n v="93967195" u="1"/>
        <n v="93967196" u="1"/>
        <n v="93967197" u="1"/>
        <n v="684" u="1"/>
        <n v="685" u="1"/>
        <n v="686" u="1"/>
        <n v="687" u="1"/>
        <n v="688" u="1"/>
        <n v="689" u="1"/>
        <n v="690" u="1"/>
        <n v="691" u="1"/>
        <n v="692" u="1"/>
        <n v="693" u="1"/>
        <n v="694" u="1"/>
        <n v="695" u="1"/>
        <n v="696" u="1"/>
        <n v="697" u="1"/>
        <n v="698" u="1"/>
        <n v="699" u="1"/>
        <n v="700" u="1"/>
        <n v="701" u="1"/>
        <n v="702" u="1"/>
        <n v="703" u="1"/>
        <n v="704" u="1"/>
        <n v="705" u="1"/>
        <n v="706" u="1"/>
        <n v="707" u="1"/>
        <n v="708" u="1"/>
        <n v="709" u="1"/>
        <n v="710" u="1"/>
        <n v="711" u="1"/>
        <n v="712" u="1"/>
        <n v="713" u="1"/>
        <n v="714" u="1"/>
        <n v="715" u="1"/>
        <n v="716" u="1"/>
        <n v="717" u="1"/>
        <n v="718" u="1"/>
        <n v="719" u="1"/>
        <n v="720" u="1"/>
        <n v="721" u="1"/>
        <n v="722" u="1"/>
        <n v="723" u="1"/>
        <n v="724" u="1"/>
        <n v="725" u="1"/>
        <n v="726" u="1"/>
        <n v="727" u="1"/>
        <n v="728" u="1"/>
        <n v="729" u="1"/>
        <n v="730" u="1"/>
        <n v="731" u="1"/>
        <n v="732" u="1"/>
        <n v="733" u="1"/>
        <n v="734" u="1"/>
        <n v="735" u="1"/>
        <n v="736" u="1"/>
        <n v="737" u="1"/>
        <n v="738" u="1"/>
        <n v="739" u="1"/>
        <n v="740" u="1"/>
        <n v="741" u="1"/>
        <n v="742" u="1"/>
        <n v="743" u="1"/>
        <n v="744" u="1"/>
        <n v="745" u="1"/>
        <n v="746" u="1"/>
        <n v="747" u="1"/>
        <n v="748" u="1"/>
        <n v="749" u="1"/>
        <n v="750" u="1"/>
        <n v="751" u="1"/>
        <n v="752" u="1"/>
        <n v="753" u="1"/>
        <n v="754" u="1"/>
        <n v="93967198" u="1"/>
        <n v="755" u="1"/>
        <n v="756" u="1"/>
        <n v="757" u="1"/>
        <n v="760" u="1"/>
        <n v="758" u="1"/>
        <n v="761" u="1"/>
        <n v="759" u="1"/>
        <n v="762" u="1"/>
        <n v="763" u="1"/>
        <n v="764" u="1"/>
        <n v="765" u="1"/>
        <n v="766" u="1"/>
        <n v="767" u="1"/>
        <n v="768" u="1"/>
        <n v="769" u="1"/>
        <n v="93967199" u="1"/>
        <n v="93967200" u="1"/>
        <n v="93967201" u="1"/>
        <n v="770" u="1"/>
        <n v="771" u="1"/>
        <n v="772" u="1"/>
        <n v="773" u="1"/>
        <n v="774" u="1"/>
        <n v="775" u="1"/>
        <n v="776" u="1"/>
        <n v="777" u="1"/>
        <n v="778" u="1"/>
        <n v="779" u="1"/>
        <n v="780" u="1"/>
        <n v="781" u="1"/>
        <n v="782" u="1"/>
        <n v="783" u="1"/>
        <n v="784" u="1"/>
        <n v="785" u="1"/>
        <n v="786" u="1"/>
        <n v="787" u="1"/>
        <n v="136703" u="1"/>
        <n v="136704" u="1"/>
        <n v="136705" u="1"/>
        <n v="136706" u="1"/>
        <n v="136707" u="1"/>
        <n v="136708" u="1"/>
        <n v="788" u="1"/>
        <n v="789" u="1"/>
        <n v="790" u="1"/>
        <n v="791" u="1"/>
        <n v="792" u="1"/>
        <n v="793" u="1"/>
        <n v="794" u="1"/>
        <n v="795" u="1"/>
        <n v="796" u="1"/>
        <n v="797" u="1"/>
        <n v="798" u="1"/>
        <n v="799" u="1"/>
        <n v="800" u="1"/>
        <n v="801" u="1"/>
        <n v="93967202" u="1"/>
        <n v="93967203" u="1"/>
        <n v="93967204" u="1"/>
        <n v="93967205" u="1"/>
        <n v="93967206" u="1"/>
        <n v="93967207" u="1"/>
        <n v="93967208" u="1"/>
        <n v="93967209" u="1"/>
        <n v="93967210" u="1"/>
        <n v="93967211" u="1"/>
        <n v="93967212" u="1"/>
        <n v="93967213" u="1"/>
        <n v="93967214" u="1"/>
        <n v="37746175" u="1"/>
        <n v="37746176" u="1"/>
        <n v="803" u="1"/>
        <n v="804" u="1"/>
        <n v="805" u="1"/>
        <n v="806" u="1"/>
        <n v="807" u="1"/>
        <n v="808" u="1"/>
        <n v="809" u="1"/>
        <n v="810" u="1"/>
        <n v="811" u="1"/>
        <n v="812" u="1"/>
        <n v="813" u="1"/>
        <n v="93967215" u="1"/>
        <n v="93967216" u="1"/>
        <n v="93967217" u="1"/>
        <n v="93967218" u="1"/>
        <n v="93967219" u="1"/>
        <n v="93967220" u="1"/>
        <n v="93967221" u="1"/>
        <n v="93967222" u="1"/>
        <n v="93967223" u="1"/>
        <n v="93967224" u="1"/>
        <n v="93967225" u="1"/>
        <n v="93967226" u="1"/>
        <n v="93967227" u="1"/>
        <n v="93967228" u="1"/>
        <n v="93967229" u="1"/>
        <n v="93967230" u="1"/>
        <n v="814" u="1"/>
        <n v="815" u="1"/>
        <n v="816" u="1"/>
        <n v="817" u="1"/>
        <n v="818" u="1"/>
        <n v="819" u="1"/>
        <n v="820" u="1"/>
        <n v="821" u="1"/>
        <n v="822" u="1"/>
        <n v="823" u="1"/>
        <n v="824" u="1"/>
        <n v="825" u="1"/>
        <n v="826" u="1"/>
        <n v="827" u="1"/>
        <n v="828" u="1"/>
        <n v="829" u="1"/>
        <n v="830" u="1"/>
        <n v="831" u="1"/>
        <n v="832" u="1"/>
        <n v="833" u="1"/>
        <n v="834" u="1"/>
        <n v="835" u="1"/>
        <n v="836" u="1"/>
        <n v="837" u="1"/>
        <n v="838" u="1"/>
        <n v="839" u="1"/>
        <n v="840" u="1"/>
        <n v="841" u="1"/>
        <n v="842" u="1"/>
        <n v="843" u="1"/>
        <n v="844" u="1"/>
        <n v="845" u="1"/>
        <n v="846" u="1"/>
        <n v="847" u="1"/>
        <n v="848" u="1"/>
        <n v="849" u="1"/>
        <n v="850" u="1"/>
        <n v="851" u="1"/>
        <n v="852" u="1"/>
        <n v="853" u="1"/>
        <n v="854" u="1"/>
        <n v="855" u="1"/>
        <n v="856" u="1"/>
        <n v="857" u="1"/>
        <n v="858" u="1"/>
        <n v="859" u="1"/>
        <n v="860" u="1"/>
        <n v="861" u="1"/>
        <n v="862" u="1"/>
        <n v="863" u="1"/>
        <n v="864" u="1"/>
        <n v="865" u="1"/>
        <n v="866" u="1"/>
        <n v="867" u="1"/>
        <n v="868" u="1"/>
        <n v="869" u="1"/>
        <n v="870" u="1"/>
        <n v="871" u="1"/>
        <n v="872" u="1"/>
        <n v="873" u="1"/>
        <n v="874" u="1"/>
        <n v="875" u="1"/>
        <n v="876" u="1"/>
        <n v="93967231" u="1"/>
        <n v="93967232" u="1"/>
        <n v="93967233" u="1"/>
        <n v="93967234" u="1"/>
        <n v="93967235" u="1"/>
        <n v="93967236" u="1"/>
        <n v="37746177" u="1"/>
        <n v="37746178" u="1"/>
        <n v="93967237" u="1"/>
        <n v="877" u="1"/>
        <n v="878" u="1"/>
        <n v="879" u="1"/>
        <n v="880" u="1"/>
        <n v="881" u="1"/>
        <n v="882" u="1"/>
        <n v="883" u="1"/>
        <n v="884" u="1"/>
        <n v="885" u="1"/>
        <n v="886" u="1"/>
        <n v="887" u="1"/>
        <n v="888" u="1"/>
        <n v="889" u="1"/>
        <n v="890" u="1"/>
        <n v="891" u="1"/>
        <n v="892" u="1"/>
        <n v="893" u="1"/>
        <n v="894" u="1"/>
        <n v="895" u="1"/>
        <n v="896" u="1"/>
        <n v="93967238" u="1"/>
        <n v="93967239" u="1"/>
        <n v="93967240" u="1"/>
        <n v="906" u="1"/>
        <n v="907" u="1"/>
        <n v="908" u="1"/>
        <n v="909" u="1"/>
        <n v="910" u="1"/>
        <n v="911" u="1"/>
        <n v="912" u="1"/>
        <n v="913" u="1"/>
        <n v="914" u="1"/>
        <n v="915" u="1"/>
        <n v="916" u="1"/>
        <n v="897" u="1"/>
        <n v="898" u="1"/>
        <n v="899" u="1"/>
        <n v="900" u="1"/>
        <n v="901" u="1"/>
        <n v="902" u="1"/>
        <n v="903" u="1"/>
        <n v="904" u="1"/>
        <n v="905" u="1"/>
        <n v="917" u="1"/>
        <n v="918" u="1"/>
        <n v="919" u="1"/>
        <n v="920" u="1"/>
        <n v="921" u="1"/>
        <n v="922" u="1"/>
        <n v="923" u="1"/>
        <n v="924" u="1"/>
        <n v="925" u="1"/>
        <n v="926" u="1"/>
        <n v="927" u="1"/>
        <n v="928" u="1"/>
        <n v="929" u="1"/>
        <n v="930" u="1"/>
        <n v="931" u="1"/>
        <n v="932" u="1"/>
        <n v="933" u="1"/>
        <n v="934" u="1"/>
        <n v="935" u="1"/>
        <n v="936" u="1"/>
        <n v="937" u="1"/>
        <n v="938" u="1"/>
        <n v="939" u="1"/>
        <n v="940" u="1"/>
        <n v="93967241" u="1"/>
        <n v="93967242" u="1"/>
        <n v="93967243" u="1"/>
        <n v="93967244" u="1"/>
        <n v="93967245" u="1"/>
        <n v="93967246" u="1"/>
        <n v="93967247" u="1"/>
        <n v="93967248" u="1"/>
        <n v="93967249" u="1"/>
        <n v="93967250" u="1"/>
        <n v="93967251" u="1"/>
        <n v="93967252" u="1"/>
        <n v="93967253" u="1"/>
        <n v="93967254" u="1"/>
        <n v="93967255" u="1"/>
        <n v="93967256" u="1"/>
        <n v="93967257" u="1"/>
        <n v="941" u="1"/>
        <n v="942" u="1"/>
        <n v="943" u="1"/>
        <n v="944" u="1"/>
        <n v="945" u="1"/>
        <n v="946" u="1"/>
        <n v="947" u="1"/>
        <n v="948" u="1"/>
        <n v="949" u="1"/>
        <n v="950" u="1"/>
        <n v="951" u="1"/>
        <n v="952" u="1"/>
        <n v="953" u="1"/>
        <n v="954" u="1"/>
        <n v="955" u="1"/>
        <n v="956" u="1"/>
        <n v="957" u="1"/>
        <n v="958" u="1"/>
        <n v="959" u="1"/>
        <n v="960" u="1"/>
        <n v="961" u="1"/>
        <n v="962" u="1"/>
        <n v="963" u="1"/>
        <n v="964" u="1"/>
        <n v="965" u="1"/>
        <n v="966" u="1"/>
        <n v="1012" u="1"/>
        <n v="967" u="1"/>
        <n v="968" u="1"/>
        <n v="969" u="1"/>
        <n v="970" u="1"/>
        <n v="971" u="1"/>
        <n v="972" u="1"/>
        <n v="973" u="1"/>
        <n v="974" u="1"/>
        <n v="975" u="1"/>
        <n v="976" u="1"/>
        <n v="977" u="1"/>
        <n v="978" u="1"/>
        <n v="979" u="1"/>
        <n v="980" u="1"/>
        <n v="981" u="1"/>
        <n v="982" u="1"/>
        <n v="983" u="1"/>
        <n v="984" u="1"/>
        <n v="985" u="1"/>
        <n v="986" u="1"/>
        <n v="987" u="1"/>
        <n v="988" u="1"/>
        <n v="989" u="1"/>
        <n v="990" u="1"/>
        <n v="991" u="1"/>
        <n v="992" u="1"/>
        <n v="993" u="1"/>
        <n v="994" u="1"/>
        <n v="995" u="1"/>
        <n v="996" u="1"/>
        <n v="997" u="1"/>
        <n v="998" u="1"/>
        <n v="999" u="1"/>
        <n v="1000" u="1"/>
        <n v="1001" u="1"/>
        <n v="1002" u="1"/>
        <n v="1003" u="1"/>
        <n v="1004" u="1"/>
        <n v="1005" u="1"/>
        <n v="1006" u="1"/>
        <n v="1007" u="1"/>
        <n v="1008" u="1"/>
        <n v="1009" u="1"/>
        <n v="1010" u="1"/>
        <n v="1011" u="1"/>
        <n v="37746179" u="1"/>
        <n v="136709" u="1"/>
        <n v="136710" u="1"/>
        <n v="93967258" u="1"/>
        <n v="1013" u="1"/>
        <n v="1014" u="1"/>
        <n v="1015" u="1"/>
        <n v="1016" u="1"/>
        <n v="93967259" u="1"/>
        <n v="93967260" u="1"/>
        <n v="93967261" u="1"/>
        <n v="93967262" u="1"/>
        <n v="93967263" u="1"/>
        <n v="37746180" u="1"/>
        <n v="93967264" u="1"/>
        <n v="93967265" u="1"/>
        <n v="93967266" u="1"/>
        <n v="93967267" u="1"/>
        <n v="93967268" u="1"/>
        <n v="93967269" u="1"/>
        <n v="93967270" u="1"/>
        <n v="93967271" u="1"/>
        <n v="93967272" u="1"/>
        <n v="93967273" u="1"/>
        <n v="93967274" u="1"/>
        <n v="93967275" u="1"/>
        <n v="93967276" u="1"/>
        <n v="93967277" u="1"/>
        <n v="93967278" u="1"/>
        <n v="93967279" u="1"/>
        <n v="93967280" u="1"/>
        <n v="93967281" u="1"/>
        <n v="93967282" u="1"/>
        <n v="93967283" u="1"/>
        <n v="1017" u="1"/>
        <n v="1018" u="1"/>
        <n v="1019" u="1"/>
        <n v="1020" u="1"/>
        <n v="1021" u="1"/>
        <n v="1022" u="1"/>
        <n v="1023" u="1"/>
        <n v="1024" u="1"/>
        <n v="1025" u="1"/>
        <n v="1026" u="1"/>
        <n v="1027" u="1"/>
        <n v="1028" u="1"/>
        <n v="1029" u="1"/>
        <n v="1030" u="1"/>
        <n v="93967284" u="1"/>
        <n v="93967285" u="1"/>
        <n v="1037" u="1"/>
        <n v="1038" u="1"/>
        <n v="1039" u="1"/>
        <n v="1040" u="1"/>
        <n v="1041" u="1"/>
        <n v="1042" u="1"/>
        <n v="1031" u="1"/>
        <n v="1032" u="1"/>
        <n v="1033" u="1"/>
        <n v="1034" u="1"/>
        <n v="1035" u="1"/>
        <n v="1036" u="1"/>
        <n v="1043" u="1"/>
        <n v="1044" u="1"/>
        <n v="1045" u="1"/>
        <n v="1046" u="1"/>
        <n v="1047" u="1"/>
        <n v="1048" u="1"/>
        <n v="1049" u="1"/>
        <n v="1050" u="1"/>
        <n v="1051" u="1"/>
        <n v="1052" u="1"/>
        <n v="1053" u="1"/>
        <n v="1054" u="1"/>
        <n v="1055" u="1"/>
        <n v="1056" u="1"/>
        <n v="1057" u="1"/>
        <n v="93967286" u="1"/>
        <n v="93967287" u="1"/>
        <n v="93967288" u="1"/>
        <n v="93967289" u="1"/>
        <n v="93967290" u="1"/>
        <n v="93967291" u="1"/>
        <n v="93967292" u="1"/>
        <n v="93967293" u="1"/>
        <n v="93967294" u="1"/>
        <n v="93967295" u="1"/>
        <n v="93967296" u="1"/>
        <n v="93967297" u="1"/>
        <n v="93967298" u="1"/>
        <n v="93967299" u="1"/>
        <n v="93967300" u="1"/>
        <n v="93967301" u="1"/>
        <n v="93967302" u="1"/>
        <n v="93967303" u="1"/>
        <n v="93967304" u="1"/>
        <n v="93967305" u="1"/>
        <n v="1058" u="1"/>
        <n v="1059" u="1"/>
        <n v="1060" u="1"/>
        <n v="1061" u="1"/>
        <n v="1062" u="1"/>
        <n v="1063" u="1"/>
        <n v="1064" u="1"/>
        <n v="1065" u="1"/>
        <n v="1066" u="1"/>
        <n v="1067" u="1"/>
        <n v="1068" u="1"/>
        <n v="1069" u="1"/>
        <n v="1070" u="1"/>
        <n v="1071" u="1"/>
        <n v="1072" u="1"/>
        <n v="1073" u="1"/>
        <n v="1074" u="1"/>
        <n v="1075" u="1"/>
        <n v="1076" u="1"/>
        <n v="1077" u="1"/>
        <n v="1078" u="1"/>
        <n v="1079" u="1"/>
        <n v="1080" u="1"/>
        <n v="1081" u="1"/>
        <n v="1082" u="1"/>
        <n v="1083" u="1"/>
        <n v="1084" u="1"/>
        <n v="1085" u="1"/>
        <n v="1086" u="1"/>
        <n v="1087" u="1"/>
        <n v="1088" u="1"/>
        <n v="1089" u="1"/>
        <n v="1090" u="1"/>
        <n v="1091" u="1"/>
        <n v="1092" u="1"/>
        <n v="1093" u="1"/>
        <n v="1094" u="1"/>
        <n v="1095" u="1"/>
        <n v="1096" u="1"/>
        <n v="93967306" u="1"/>
        <n v="1097" u="1"/>
        <n v="93967307" u="1"/>
        <n v="93967308" u="1"/>
        <n v="93967309" u="1"/>
        <n v="1098" u="1"/>
        <n v="1099" u="1"/>
        <n v="1100" u="1"/>
        <n v="1101" u="1"/>
        <n v="1102" u="1"/>
        <n v="1103" u="1"/>
        <n v="1104" u="1"/>
        <n v="1105" u="1"/>
        <n v="1106" u="1"/>
        <n v="1107" u="1"/>
        <n v="1108" u="1"/>
        <n v="1109" u="1"/>
        <n v="1110" u="1"/>
        <n v="1111" u="1"/>
        <n v="1114" u="1"/>
        <n v="1115" u="1"/>
        <n v="1112" u="1"/>
        <n v="1113" u="1"/>
        <n v="93967310" u="1"/>
        <n v="93967311" u="1"/>
        <n v="93967312" u="1"/>
        <n v="93967313" u="1"/>
        <n v="93967314" u="1"/>
        <n v="93967315" u="1"/>
        <n v="1116" u="1"/>
        <n v="1117" u="1"/>
        <n v="1118" u="1"/>
        <n v="1119" u="1"/>
        <n v="1120" u="1"/>
        <n v="1121" u="1"/>
        <n v="1122" u="1"/>
        <n v="1123" u="1"/>
        <n v="1124" u="1"/>
        <n v="1125" u="1"/>
        <n v="1126" u="1"/>
        <n v="1127" u="1"/>
        <n v="1128" u="1"/>
        <n v="1129" u="1"/>
        <n v="1130" u="1"/>
        <n v="1131" u="1"/>
        <n v="1132" u="1"/>
        <n v="1133" u="1"/>
        <n v="1134" u="1"/>
        <n v="1135" u="1"/>
        <n v="93967316" u="1"/>
        <n v="93967317" u="1"/>
        <n v="93967318" u="1"/>
        <n v="93967319" u="1"/>
        <n v="93967320" u="1"/>
        <n v="93967321" u="1"/>
        <n v="93967322" u="1"/>
        <n v="93967323" u="1"/>
        <n v="93967324" u="1"/>
        <n v="93967325" u="1"/>
        <n v="93967326" u="1"/>
        <n v="93967327" u="1"/>
        <n v="1136" u="1"/>
        <n v="1137" u="1"/>
        <n v="1138" u="1"/>
        <n v="1139" u="1"/>
        <n v="1140" u="1"/>
        <n v="1141" u="1"/>
        <n v="1142" u="1"/>
        <n v="1143" u="1"/>
        <n v="1144" u="1"/>
        <n v="1145" u="1"/>
        <n v="1146" u="1"/>
        <n v="1147" u="1"/>
        <n v="1148" u="1"/>
        <n v="1149" u="1"/>
        <n v="1150" u="1"/>
        <n v="1151" u="1"/>
        <n v="1152" u="1"/>
        <n v="1153" u="1"/>
        <n v="1154" u="1"/>
        <n v="1155" u="1"/>
        <n v="1156" u="1"/>
        <n v="1157" u="1"/>
        <n v="93967328" u="1"/>
        <n v="93967329" u="1"/>
        <n v="93967330" u="1"/>
        <n v="93967331" u="1"/>
        <n v="93967332" u="1"/>
        <n v="93967333" u="1"/>
        <n v="93967334" u="1"/>
        <n v="93967335" u="1"/>
        <n v="93967336" u="1"/>
        <n v="93967337" u="1"/>
        <n v="93967338" u="1"/>
        <n v="93967339" u="1"/>
        <n v="93967340" u="1"/>
        <n v="93967341" u="1"/>
        <n v="93967342" u="1"/>
        <n v="93967343" u="1"/>
        <n v="93967344" u="1"/>
        <n v="93967345" u="1"/>
        <n v="93967346" u="1"/>
        <n v="93967347" u="1"/>
        <n v="93967348" u="1"/>
        <n v="136711" u="1"/>
        <n v="136712" u="1"/>
        <n v="136713" u="1"/>
        <n v="136714" u="1"/>
        <n v="136715" u="1"/>
        <n v="136716" u="1"/>
        <n v="136717" u="1"/>
        <n v="136718" u="1"/>
        <n v="136719" u="1"/>
        <n v="136720" u="1"/>
        <n v="136721" u="1"/>
        <n v="136722" u="1"/>
        <n v="136723" u="1"/>
        <n v="136724" u="1"/>
        <n v="136725" u="1"/>
        <n v="136726" u="1"/>
        <n v="136727" u="1"/>
        <n v="136728" u="1"/>
        <n v="136729" u="1"/>
        <n v="136730" u="1"/>
        <n v="136731" u="1"/>
        <n v="136732" u="1"/>
        <n v="136733" u="1"/>
        <n v="136734" u="1"/>
        <n v="136735" u="1"/>
        <n v="136736" u="1"/>
        <n v="136737" u="1"/>
        <n v="136738" u="1"/>
        <n v="136739" u="1"/>
        <n v="136740" u="1"/>
        <n v="136741" u="1"/>
        <n v="136742" u="1"/>
        <n v="136743" u="1"/>
        <n v="93967349" u="1"/>
        <n v="136744" u="1"/>
        <n v="93967350" u="1"/>
        <n v="93967351" u="1"/>
        <n v="93967352" u="1"/>
        <n v="1158" u="1"/>
        <n v="93967353" u="1"/>
        <n v="37746181" u="1"/>
        <n v="317749" u="1"/>
        <n v="317750" u="1"/>
        <n v="317751" u="1"/>
        <n v="317752" u="1"/>
        <n v="317753" u="1"/>
        <n v="317754" u="1"/>
        <n v="317755" u="1"/>
        <n v="317756" u="1"/>
        <n v="317757" u="1"/>
        <n v="317758" u="1"/>
        <n v="317759" u="1"/>
        <n v="317760" u="1"/>
        <n v="317761" u="1"/>
        <n v="136745" u="1"/>
        <n v="136746" u="1"/>
        <n v="317762" u="1"/>
        <n v="317763" u="1"/>
        <n v="317764" u="1"/>
        <n v="317765" u="1"/>
        <n v="317766" u="1"/>
        <n v="317767" u="1"/>
        <n v="317768" u="1"/>
        <n v="317769" u="1"/>
        <n v="317770" u="1"/>
        <n v="317771" u="1"/>
        <n v="317772" u="1"/>
        <n v="317773" u="1"/>
        <n v="93967355" u="1"/>
        <n v="93967356" u="1"/>
        <n v="93967357" u="1"/>
        <n v="93967358" u="1"/>
        <n v="93967359" u="1"/>
        <n v="93967360" u="1"/>
        <n v="93967361" u="1"/>
        <n v="93967362" u="1"/>
        <n v="93967363" u="1"/>
        <n v="93967364" u="1"/>
        <n v="93967365" u="1"/>
        <n v="93967366" u="1"/>
        <n v="93967367" u="1"/>
        <n v="93967368" u="1"/>
        <n v="93967369" u="1"/>
        <n v="93967370" u="1"/>
        <n v="317781" u="1"/>
        <n v="317782" u="1"/>
        <n v="317783" u="1"/>
        <n v="317784" u="1"/>
        <n v="317785" u="1"/>
        <n v="317786" u="1"/>
        <n v="317787" u="1"/>
        <n v="317788" u="1"/>
        <n v="317789" u="1"/>
        <n v="317790" u="1"/>
        <n v="317791" u="1"/>
        <n v="317792" u="1"/>
        <n v="317793" u="1"/>
        <n v="317794" u="1"/>
        <n v="317795" u="1"/>
        <n v="317796" u="1"/>
        <n v="317797" u="1"/>
        <n v="317798" u="1"/>
        <n v="317799" u="1"/>
        <n v="317800" u="1"/>
        <n v="317801" u="1"/>
        <n v="317802" u="1"/>
        <n v="317803" u="1"/>
        <n v="317804" u="1"/>
        <n v="317805" u="1"/>
        <n v="317806" u="1"/>
        <n v="317807" u="1"/>
        <n v="317808" u="1"/>
        <n v="317809" u="1"/>
        <n v="317810" u="1"/>
        <n v="317811" u="1"/>
        <n v="317812" u="1"/>
        <n v="317813" u="1"/>
        <n v="317814" u="1"/>
        <n v="317815" u="1"/>
        <n v="317816" u="1"/>
        <n v="317817" u="1"/>
        <n v="317818" u="1"/>
        <n v="317819" u="1"/>
        <n v="317820" u="1"/>
        <n v="317821" u="1"/>
        <n v="317822" u="1"/>
        <n v="317823" u="1"/>
        <n v="317824" u="1"/>
        <n v="317825" u="1"/>
        <n v="317826" u="1"/>
        <n v="317827" u="1"/>
        <n v="93967371" u="1"/>
        <n v="317828" u="1"/>
        <n v="317829" u="1"/>
        <n v="317830" u="1"/>
        <n v="317831" u="1"/>
        <n v="93967372" u="1"/>
        <n v="317832" u="1"/>
        <n v="317833" u="1"/>
        <n v="93967373" u="1"/>
        <n v="317835" u="1"/>
        <n v="317837" u="1"/>
        <n v="317838" u="1"/>
        <n v="93967374" u="1"/>
        <n v="358072" u="1"/>
        <n v="358073" u="1"/>
        <n v="358074" u="1"/>
        <n v="358075" u="1"/>
        <n v="358076" u="1"/>
        <n v="358077" u="1"/>
        <n v="358078" u="1"/>
        <n v="358079" u="1"/>
        <n v="358080" u="1"/>
        <n v="358081" u="1"/>
        <n v="358082" u="1"/>
        <n v="358083" u="1"/>
        <n v="358084" u="1"/>
        <n v="358085" u="1"/>
        <n v="358086" u="1"/>
        <n v="358087" u="1"/>
        <n v="358088" u="1"/>
        <n v="358089" u="1"/>
        <n v="358090" u="1"/>
        <n v="358091" u="1"/>
        <n v="358092" u="1"/>
        <n v="358093" u="1"/>
        <n v="358094" u="1"/>
        <n v="358095" u="1"/>
        <n v="358096" u="1"/>
        <n v="358097" u="1"/>
        <n v="358071" u="1"/>
        <n v="93967375" u="1"/>
        <n v="358098" u="1"/>
        <n v="358099" u="1"/>
        <n v="358100" u="1"/>
        <n v="358101" u="1"/>
        <n v="358102" u="1"/>
        <n v="358103" u="1"/>
        <n v="358104" u="1"/>
        <n v="358105" u="1"/>
        <n v="358106" u="1"/>
        <n v="93967376" u="1"/>
        <n v="358107" u="1"/>
        <n v="358108" u="1"/>
        <n v="358109" u="1"/>
        <n v="358110" u="1"/>
        <n v="358111" u="1"/>
        <n v="358112" u="1"/>
        <n v="358113" u="1"/>
        <n v="358114" u="1"/>
        <n v="358115" u="1"/>
        <n v="358116" u="1"/>
        <n v="358117" u="1"/>
        <n v="358118" u="1"/>
        <n v="358119" u="1"/>
        <n v="358120" u="1"/>
        <n v="358121" u="1"/>
        <n v="358122" u="1"/>
        <n v="358123" u="1"/>
        <n v="358124" u="1"/>
        <n v="358125" u="1"/>
        <n v="358126" u="1"/>
        <n v="358127" u="1"/>
        <n v="358128" u="1"/>
        <n v="358129" u="1"/>
        <n v="358130" u="1"/>
        <n v="358131" u="1"/>
        <n v="358132" u="1"/>
        <n v="358133" u="1"/>
        <n v="358134" u="1"/>
        <n v="358135" u="1"/>
        <n v="358136" u="1"/>
        <n v="358137" u="1"/>
        <n v="358138" u="1"/>
        <n v="93967377" u="1"/>
        <n v="93967378" u="1"/>
        <n v="93967379" u="1"/>
        <n v="93967380" u="1"/>
        <n v="93967381" u="1"/>
        <n v="93967382" u="1"/>
        <n v="93967383" u="1"/>
        <n v="93967384" u="1"/>
        <n v="93967385" u="1"/>
        <n v="93967386" u="1"/>
        <n v="93967387" u="1"/>
        <n v="93967388" u="1"/>
        <n v="93967389" u="1"/>
        <n v="93967390" u="1"/>
        <n v="93967391" u="1"/>
        <n v="93967392" u="1"/>
        <n v="358139" u="1"/>
        <n v="358140" u="1"/>
        <n v="358141" u="1"/>
        <n v="358142" u="1"/>
        <n v="358143" u="1"/>
        <n v="358144" u="1"/>
        <n v="358145" u="1"/>
        <n v="358146" u="1"/>
        <n v="358147" u="1"/>
        <n v="358148" u="1"/>
        <n v="358149" u="1"/>
        <n v="358150" u="1"/>
        <n v="358151" u="1"/>
        <n v="358152" u="1"/>
        <n v="358153" u="1"/>
        <n v="358154" u="1"/>
        <n v="376822" u="1"/>
        <n v="376823" u="1"/>
        <n v="376824" u="1"/>
        <n v="376825" u="1"/>
        <n v="376826" u="1"/>
        <n v="376827" u="1"/>
        <n v="376828" u="1"/>
        <n v="376829" u="1"/>
        <n v="1159" u="1"/>
        <n v="1160" u="1"/>
        <n v="1161" u="1"/>
        <n v="1162" u="1"/>
        <n v="1163" u="1"/>
        <n v="1164" u="1"/>
        <n v="1165" u="1"/>
        <n v="1166" u="1"/>
        <n v="376830" u="1"/>
        <n v="376831" u="1"/>
        <n v="376832" u="1"/>
        <n v="1167" u="1"/>
        <n v="93967393" u="1"/>
        <n v="376833" u="1"/>
        <n v="376834" u="1"/>
        <n v="376835" u="1"/>
        <n v="376836" u="1"/>
        <n v="376837" u="1"/>
        <n v="376838" u="1"/>
        <n v="376839" u="1"/>
        <n v="376840" u="1"/>
        <n v="376841" u="1"/>
        <n v="376842" u="1"/>
        <n v="376843" u="1"/>
        <n v="376844" u="1"/>
        <n v="376845" u="1"/>
        <n v="376846" u="1"/>
        <n v="376847" u="1"/>
        <n v="376848" u="1"/>
        <n v="376849" u="1"/>
        <n v="376850" u="1"/>
        <n v="376851" u="1"/>
        <n v="376852" u="1"/>
        <n v="376853" u="1"/>
        <n v="376854" u="1"/>
        <n v="376855" u="1"/>
        <n v="376856" u="1"/>
        <n v="376857" u="1"/>
        <n v="93967394" u="1"/>
        <n v="376858" u="1"/>
        <n v="376859" u="1"/>
        <n v="376860" u="1"/>
        <n v="376861" u="1"/>
        <n v="376862" u="1"/>
        <n v="358063" u="1"/>
        <n v="376864" u="1"/>
        <n v="376865" u="1"/>
        <n v="376866" u="1"/>
        <n v="93967395" u="1"/>
        <n v="93967396" u="1"/>
        <n v="376867" u="1"/>
        <n v="376868" u="1"/>
        <n v="376869" u="1"/>
        <n v="376870" u="1"/>
        <n v="376871" u="1"/>
        <n v="93967398" u="1"/>
        <n v="376872" u="1"/>
        <n v="376873" u="1"/>
        <n v="376874" u="1"/>
        <n v="376875" u="1"/>
        <n v="376876" u="1"/>
        <n v="376877" u="1"/>
        <n v="376878" u="1"/>
        <n v="376879" u="1"/>
        <n v="376880" u="1"/>
        <n v="376881" u="1"/>
        <n v="376882" u="1"/>
        <n v="376883" u="1"/>
        <n v="376884" u="1"/>
        <n v="376885" u="1"/>
        <n v="376886" u="1"/>
        <n v="376887" u="1"/>
        <n v="376888" u="1"/>
        <n v="376889" u="1"/>
        <n v="376890" u="1"/>
        <n v="376891" u="1"/>
        <n v="376892" u="1"/>
        <n v="376893" u="1"/>
        <n v="376894" u="1"/>
        <n v="376895" u="1"/>
        <n v="376896" u="1"/>
        <n v="376897" u="1"/>
        <n v="376898" u="1"/>
        <n v="376899" u="1"/>
        <n v="376900" u="1"/>
        <n v="376901" u="1"/>
        <n v="376902" u="1"/>
        <n v="376903" u="1"/>
        <n v="376904" u="1"/>
        <n v="376905" u="1"/>
        <n v="376906" u="1"/>
        <n v="376907" u="1"/>
        <n v="376908" u="1"/>
        <n v="376909" u="1"/>
        <n v="376910" u="1"/>
        <n v="376911" u="1"/>
        <n v="376912" u="1"/>
        <n v="376913" u="1"/>
        <n v="376914" u="1"/>
        <n v="376915" u="1"/>
        <n v="376916" u="1"/>
        <n v="376917" u="1"/>
        <n v="93967399" u="1"/>
        <n v="93967400" u="1"/>
        <n v="93967401" u="1"/>
        <n v="93967402" u="1"/>
        <n v="93967403" u="1"/>
        <n v="93967404" u="1"/>
        <n v="93967405" u="1"/>
        <n v="93967406" u="1"/>
        <n v="93967407" u="1"/>
        <n v="93967408" u="1"/>
        <n v="93967409" u="1"/>
        <n v="93967410" u="1"/>
        <n v="376918" u="1"/>
        <n v="93967411" u="1"/>
        <n v="93967412" u="1"/>
        <n v="93967413" u="1"/>
        <n v="93967414" u="1"/>
        <n v="93967415" u="1"/>
        <n v="376919" u="1"/>
        <n v="376920" u="1"/>
        <n v="376921" u="1"/>
        <n v="420330" u="1"/>
        <n v="420331" u="1"/>
        <n v="93967416" u="1"/>
        <n v="420332" u="1"/>
        <n v="420333" u="1"/>
        <n v="420334" u="1"/>
        <n v="93967417" u="1"/>
        <n v="93967418" u="1"/>
        <n v="93967419" u="1"/>
        <n v="93967420" u="1"/>
        <n v="93967421" u="1"/>
        <n v="93967422" u="1"/>
        <n v="93967423" u="1"/>
        <n v="93967424" u="1"/>
        <n v="93967425" u="1"/>
        <n v="93967426" u="1"/>
        <n v="420335" u="1"/>
        <n v="420336" u="1"/>
        <n v="420337" u="1"/>
        <n v="420338" u="1"/>
        <n v="420339" u="1"/>
        <n v="420340" u="1"/>
        <n v="420341" u="1"/>
        <n v="420342" u="1"/>
        <n v="420343" u="1"/>
        <n v="420344" u="1"/>
        <n v="420345" u="1"/>
        <n v="420346" u="1"/>
        <n v="420347" u="1"/>
        <n v="420348" u="1"/>
        <n v="420349" u="1"/>
        <n v="5042054" u="1"/>
        <n v="5042055" u="1"/>
        <n v="5042056" u="1"/>
        <n v="5042057" u="1"/>
        <n v="5042058" u="1"/>
        <n v="5042059" u="1"/>
        <n v="5042060" u="1"/>
        <n v="5042061" u="1"/>
        <n v="5042062" u="1"/>
        <n v="5042063" u="1"/>
        <n v="420350" u="1"/>
        <n v="420351" u="1"/>
        <n v="420352" u="1"/>
        <n v="420353" u="1"/>
        <n v="420354" u="1"/>
        <n v="420355" u="1"/>
        <n v="420356" u="1"/>
        <n v="420357" u="1"/>
        <n v="420358" u="1"/>
        <n v="420359" u="1"/>
        <n v="93967427" u="1"/>
        <n v="93967428" u="1"/>
        <n v="420360" u="1"/>
        <n v="420361" u="1"/>
        <n v="420362" u="1"/>
        <n v="93967429" u="1"/>
        <n v="93967430" u="1"/>
        <n v="93967431" u="1"/>
        <n v="93967432" u="1"/>
        <n v="93967433" u="1"/>
        <n v="420363" u="1"/>
        <n v="420364" u="1"/>
        <n v="420365" u="1"/>
        <n v="420366" u="1"/>
        <n v="420367" u="1"/>
        <n v="420368" u="1"/>
        <n v="420369" u="1"/>
        <n v="93967434" u="1"/>
        <n v="93967435" u="1"/>
        <n v="93967436" u="1"/>
        <n v="420370" u="1"/>
        <n v="420371" u="1"/>
        <n v="420372" u="1"/>
        <n v="420373" u="1"/>
        <n v="420374" u="1"/>
        <n v="420375" u="1"/>
        <n v="420376" u="1"/>
        <n v="420377" u="1"/>
        <n v="420378" u="1"/>
        <n v="93967437" u="1"/>
        <n v="420379" u="1"/>
        <n v="420380" u="1"/>
        <n v="420381" u="1"/>
        <n v="420382" u="1"/>
        <n v="420383" u="1"/>
        <n v="420384" u="1"/>
        <n v="420385" u="1"/>
        <n v="420386" u="1"/>
        <n v="420387" u="1"/>
        <n v="420388" u="1"/>
        <n v="420389" u="1"/>
        <n v="420390" u="1"/>
        <n v="420391" u="1"/>
        <n v="420392" u="1"/>
        <n v="420393" u="1"/>
        <n v="420394" u="1"/>
        <n v="420395" u="1"/>
        <n v="420396" u="1"/>
        <n v="420397" u="1"/>
        <n v="420398" u="1"/>
        <n v="93967438" u="1"/>
        <n v="93967439" u="1"/>
        <n v="93967440" u="1"/>
        <n v="93967441" u="1"/>
        <n v="93967442" u="1"/>
        <n v="93967443" u="1"/>
        <n v="93967444" u="1"/>
        <n v="93967445" u="1"/>
        <n v="93967446" u="1"/>
        <n v="93967447" u="1"/>
        <n v="93967448" u="1"/>
        <n v="93967449" u="1"/>
        <n v="93967450" u="1"/>
        <n v="420399" u="1"/>
        <n v="420400" u="1"/>
        <n v="420401" u="1"/>
        <n v="420402" u="1"/>
        <n v="420403" u="1"/>
        <n v="420404" u="1"/>
        <n v="420405" u="1"/>
        <n v="420406" u="1"/>
        <n v="420407" u="1"/>
        <n v="420408" u="1"/>
        <n v="420409" u="1"/>
        <n v="420410" u="1"/>
        <n v="420411" u="1"/>
        <n v="420412" u="1"/>
        <n v="420413" u="1"/>
        <n v="420414" u="1"/>
        <n v="420415" u="1"/>
        <n v="420416" u="1"/>
        <n v="420417" u="1"/>
        <n v="420418" u="1"/>
        <n v="420419" u="1"/>
        <n v="420420" u="1"/>
        <n v="420421" u="1"/>
        <n v="420422" u="1"/>
        <n v="420423" u="1"/>
        <n v="420424" u="1"/>
        <n v="420425" u="1"/>
        <n v="420426" u="1"/>
        <n v="420427" u="1"/>
        <n v="420428" u="1"/>
        <n v="420429" u="1"/>
        <n v="93967451" u="1"/>
        <n v="93967452" u="1"/>
        <n v="93967453" u="1"/>
        <n v="93967454" u="1"/>
        <n v="93967455" u="1"/>
        <n v="93967456" u="1"/>
        <n v="93967457" u="1"/>
        <n v="93967458" u="1"/>
        <n v="93967459" u="1"/>
        <n v="451368" u="1"/>
        <n v="93967460" u="1"/>
        <n v="93967461" u="1"/>
        <n v="93967462" u="1"/>
        <n v="451369" u="1"/>
        <n v="451370" u="1"/>
        <n v="451371" u="1"/>
        <n v="93967466" u="1"/>
        <n v="93967467" u="1"/>
        <n v="93967468" u="1"/>
        <n v="93967469" u="1"/>
        <n v="93967470" u="1"/>
        <n v="93967471" u="1"/>
        <n v="451372" u="1"/>
        <n v="451373" u="1"/>
        <n v="451374" u="1"/>
        <n v="451375" u="1"/>
        <n v="451376" u="1"/>
        <n v="451377" u="1"/>
        <n v="451378" u="1"/>
        <n v="451379" u="1"/>
        <n v="451380" u="1"/>
        <n v="451381" u="1"/>
        <n v="451382" u="1"/>
        <n v="451383" u="1"/>
        <n v="451384" u="1"/>
        <n v="451385" u="1"/>
        <n v="451386" u="1"/>
        <n v="451387" u="1"/>
        <n v="451388" u="1"/>
        <n v="451389" u="1"/>
        <n v="451390" u="1"/>
        <n v="451391" u="1"/>
        <n v="93967472" u="1"/>
        <n v="93967473" u="1"/>
        <n v="93967474" u="1"/>
        <n v="93967475" u="1"/>
        <n v="93967476" u="1"/>
        <n v="93967480" u="1"/>
        <n v="93967481" u="1"/>
        <n v="93967482" u="1"/>
        <n v="451392" u="1"/>
        <n v="451393" u="1"/>
        <n v="451394" u="1"/>
        <n v="451395" u="1"/>
        <n v="451396" u="1"/>
        <n v="451397" u="1"/>
        <n v="451398" u="1"/>
        <n v="93967483" u="1"/>
        <n v="93967484" u="1"/>
        <n v="5042064" u="1"/>
        <n v="5042065" u="1"/>
        <n v="5042066" u="1"/>
        <n v="451399" u="1"/>
        <n v="451400" u="1"/>
        <n v="451401" u="1"/>
        <n v="451402" u="1"/>
        <n v="451403" u="1"/>
        <n v="451404" u="1"/>
        <n v="451405" u="1"/>
        <n v="451406" u="1"/>
        <n v="451407" u="1"/>
        <n v="451408" u="1"/>
        <n v="451409" u="1"/>
        <n v="451410" u="1"/>
        <n v="451411" u="1"/>
        <n v="451412" u="1"/>
        <n v="451413" u="1"/>
        <n v="451414" u="1"/>
        <n v="451415" u="1"/>
        <n v="451416" u="1"/>
        <n v="93967485" u="1"/>
        <n v="93967486" u="1"/>
        <n v="93967487" u="1"/>
        <n v="93967488" u="1"/>
        <n v="93967489" u="1"/>
        <n v="93967490" u="1"/>
        <n v="93967491" u="1"/>
        <n v="93967492" u="1"/>
        <n v="93967493" u="1"/>
        <n v="93967494" u="1"/>
        <n v="93967495" u="1"/>
        <n v="93967496" u="1"/>
        <n v="451417" u="1"/>
        <n v="451418" u="1"/>
        <n v="451419" u="1"/>
        <n v="451420" u="1"/>
        <n v="451421" u="1"/>
        <n v="451422" u="1"/>
        <n v="451423" u="1"/>
        <n v="451424" u="1"/>
        <n v="451425" u="1"/>
        <n v="451426" u="1"/>
        <n v="451427" u="1"/>
        <n v="451428" u="1"/>
        <n v="451429" u="1"/>
        <n v="451430" u="1"/>
        <n v="451431" u="1"/>
        <n v="451432" u="1"/>
        <n v="451433" u="1"/>
        <n v="451434" u="1"/>
        <n v="451435" u="1"/>
        <n v="451436" u="1"/>
        <n v="451437" u="1"/>
        <n v="451438" u="1"/>
        <n v="451439" u="1"/>
        <n v="451440" u="1"/>
        <n v="451441" u="1"/>
        <n v="93967497" u="1"/>
        <n v="93967498" u="1"/>
        <n v="451442" u="1"/>
        <n v="451443" u="1"/>
        <n v="451444" u="1"/>
        <n v="451445" u="1"/>
        <n v="451446" u="1"/>
        <n v="451447" u="1"/>
        <n v="451448" u="1"/>
        <n v="451449" u="1"/>
        <n v="451450" u="1"/>
        <n v="451451" u="1"/>
        <n v="451452" u="1"/>
        <n v="451453" u="1"/>
        <n v="451454" u="1"/>
        <n v="451455" u="1"/>
        <n v="451456" u="1"/>
        <n v="451457" u="1"/>
        <n v="451458" u="1"/>
        <n v="451459" u="1"/>
        <n v="451460" u="1"/>
        <n v="451461" u="1"/>
        <n v="451462" u="1"/>
        <n v="451463" u="1"/>
        <n v="451464" u="1"/>
        <n v="451465" u="1"/>
        <n v="451466" u="1"/>
        <n v="451467" u="1"/>
        <n v="479592" u="1"/>
        <n v="479593" u="1"/>
        <n v="479594" u="1"/>
        <n v="479595" u="1"/>
        <n v="93967499" u="1"/>
        <n v="93967500" u="1"/>
        <n v="93967501" u="1"/>
        <n v="93967502" u="1"/>
        <n v="93967503" u="1"/>
        <n v="479596" u="1"/>
        <n v="479597" u="1"/>
        <n v="479598" u="1"/>
        <n v="479599" u="1"/>
        <n v="479600" u="1"/>
        <n v="479601" u="1"/>
        <n v="479602" u="1"/>
        <n v="479603" u="1"/>
        <n v="479604" u="1"/>
        <n v="479605" u="1"/>
        <n v="93967504" u="1"/>
        <n v="93967505" u="1"/>
        <n v="93967506" u="1"/>
        <n v="93967507" u="1"/>
        <n v="93967508" u="1"/>
        <n v="93967509" u="1"/>
        <n v="93967510" u="1"/>
        <n v="93967511" u="1"/>
        <n v="93967512" u="1"/>
        <n v="479606" u="1"/>
        <n v="479607" u="1"/>
        <n v="479608" u="1"/>
        <n v="479609" u="1"/>
        <n v="479610" u="1"/>
        <n v="479611" u="1"/>
        <n v="479612" u="1"/>
        <n v="479613" u="1"/>
        <n v="479614" u="1"/>
        <n v="479615" u="1"/>
        <n v="479616" u="1"/>
        <n v="479617" u="1"/>
        <n v="479618" u="1"/>
        <n v="479619" u="1"/>
        <n v="479620" u="1"/>
        <n v="479621" u="1"/>
        <n v="479622" u="1"/>
        <n v="479623" u="1"/>
        <n v="479624" u="1"/>
        <n v="479625" u="1"/>
        <n v="479626" u="1"/>
        <n v="479627" u="1"/>
        <n v="479628" u="1"/>
        <n v="479629" u="1"/>
        <n v="479630" u="1"/>
        <n v="479631" u="1"/>
        <n v="479632" u="1"/>
        <n v="479633" u="1"/>
        <n v="93967513" u="1"/>
        <n v="93967514" u="1"/>
        <n v="93967515" u="1"/>
        <n v="93967516" u="1"/>
        <n v="93967517" u="1"/>
        <n v="93967518" u="1"/>
        <n v="93967519" u="1"/>
        <n v="93967520" u="1"/>
        <n v="93967521" u="1"/>
        <n v="93967522" u="1"/>
        <n v="93967523" u="1"/>
        <n v="93967524" u="1"/>
        <n v="93967525" u="1"/>
        <n v="93967526" u="1"/>
        <n v="93967527" u="1"/>
        <n v="93967528" u="1"/>
        <n v="93967529" u="1"/>
        <n v="93967530" u="1"/>
        <n v="93967531" u="1"/>
        <n v="93967532" u="1"/>
        <n v="93967533" u="1"/>
        <n v="479634" u="1"/>
        <n v="479635" u="1"/>
        <n v="479636" u="1"/>
        <n v="93967534" u="1"/>
        <n v="479637" u="1"/>
        <n v="479638" u="1"/>
        <n v="479639" u="1"/>
        <n v="479640" u="1"/>
        <n v="479641" u="1"/>
        <n v="479642" u="1"/>
        <n v="479643" u="1"/>
        <n v="479644" u="1"/>
        <n v="479645" u="1"/>
        <n v="479646" u="1"/>
        <n v="479647" u="1"/>
        <n v="479648" u="1"/>
        <n v="479649" u="1"/>
        <n v="479650" u="1"/>
        <n v="479651" u="1"/>
        <n v="479652" u="1"/>
        <n v="479653" u="1"/>
        <n v="479654" u="1"/>
        <n v="479655" u="1"/>
        <n v="479656" u="1"/>
        <n v="479657" u="1"/>
        <n v="479658" u="1"/>
        <n v="479659" u="1"/>
        <n v="479660" u="1"/>
        <n v="479661" u="1"/>
        <n v="93967535" u="1"/>
        <n v="479669" u="1"/>
        <n v="479670" u="1"/>
        <n v="479671" u="1"/>
        <n v="479662" u="1"/>
        <n v="479663" u="1"/>
        <n v="479664" u="1"/>
        <n v="479665" u="1"/>
        <n v="479666" u="1"/>
        <n v="479667" u="1"/>
        <n v="479668" u="1"/>
        <n v="93967536" u="1"/>
        <n v="93967537" u="1"/>
        <n v="93967538" u="1"/>
        <n v="93967539" u="1"/>
        <n v="93967540" u="1"/>
        <n v="93967541" u="1"/>
        <n v="479672" u="1"/>
        <n v="479673" u="1"/>
        <n v="479674" u="1"/>
        <n v="479675" u="1"/>
        <n v="479676" u="1"/>
        <n v="479677" u="1"/>
        <n v="479678" u="1"/>
        <n v="479679" u="1"/>
        <n v="479680" u="1"/>
        <n v="479681" u="1"/>
        <n v="479682" u="1"/>
        <n v="479683" u="1"/>
        <n v="93967542" u="1"/>
        <n v="93967543" u="1"/>
        <n v="93967544" u="1"/>
        <n v="93967545" u="1"/>
        <n v="93967546" u="1"/>
        <n v="93967547" u="1"/>
        <n v="93967548" u="1"/>
        <n v="93967549" u="1"/>
        <n v="93967550" u="1"/>
        <n v="93967551" u="1"/>
        <n v="93967552" u="1"/>
        <n v="93967553" u="1"/>
        <n v="479684" u="1"/>
        <n v="479685" u="1"/>
        <n v="479686" u="1"/>
        <n v="479687" u="1"/>
        <n v="479688" u="1"/>
        <n v="479689" u="1"/>
        <n v="479690" u="1"/>
        <n v="479691" u="1"/>
        <n v="479692" u="1"/>
        <n v="479693" u="1"/>
        <n v="479694" u="1"/>
        <n v="479695" u="1"/>
        <n v="479696" u="1"/>
        <n v="93967554" u="1"/>
        <n v="93967555" u="1"/>
        <n v="93967556" u="1"/>
        <n v="93967557" u="1"/>
        <n v="93967558" u="1"/>
        <n v="93967559" u="1"/>
        <n v="93967560" u="1"/>
        <n v="93967561" u="1"/>
        <n v="93967562" u="1"/>
        <n v="93967563" u="1"/>
        <n v="93967564" u="1"/>
        <n v="93967565" u="1"/>
        <n v="479697" u="1"/>
        <n v="479698" u="1"/>
        <n v="479699" u="1"/>
        <n v="479700" u="1"/>
        <n v="479701" u="1"/>
        <n v="479702" u="1"/>
        <n v="479703" u="1"/>
        <n v="479704" u="1"/>
        <n v="479705" u="1"/>
        <n v="479706" u="1"/>
        <n v="93967566" u="1"/>
        <n v="93967567" u="1"/>
        <n v="93967568" u="1"/>
        <n v="93967569" u="1"/>
        <n v="93967570" u="1"/>
        <n v="93967571" u="1"/>
        <n v="93967572" u="1"/>
        <n v="93967573" u="1"/>
        <n v="479707" u="1"/>
        <n v="479708" u="1"/>
        <n v="479709" u="1"/>
        <n v="479710" u="1"/>
        <n v="479711" u="1"/>
        <n v="479712" u="1"/>
        <n v="479713" u="1"/>
        <n v="479714" u="1"/>
        <n v="479715" u="1"/>
        <n v="479716" u="1"/>
        <n v="479717" u="1"/>
        <n v="479718" u="1"/>
        <n v="479719" u="1"/>
        <n v="479720" u="1"/>
        <n v="93967574" u="1"/>
        <n v="93967575" u="1"/>
        <n v="93967576" u="1"/>
        <n v="93967577" u="1"/>
        <n v="479721" u="1"/>
        <n v="479722" u="1"/>
        <n v="479723" u="1"/>
        <n v="479724" u="1"/>
        <n v="479725" u="1"/>
        <n v="479726" u="1"/>
        <n v="479727" u="1"/>
        <n v="479728" u="1"/>
        <n v="479729" u="1"/>
        <n v="479730" u="1"/>
        <n v="479731" u="1"/>
        <n v="479732" u="1"/>
        <n v="479733" u="1"/>
        <n v="479734" u="1"/>
        <n v="479735" u="1"/>
        <n v="93967578" u="1"/>
        <n v="479736" u="1"/>
        <n v="479737" u="1"/>
        <n v="479738" u="1"/>
        <n v="479739" u="1"/>
        <n v="479740" u="1"/>
        <n v="479741" u="1"/>
        <n v="93967579" u="1"/>
        <n v="93967580" u="1"/>
        <n v="93967581" u="1"/>
        <n v="93967582" u="1"/>
        <n v="93967583" u="1"/>
        <n v="93967584" u="1"/>
        <n v="93967585" u="1"/>
        <n v="544546" u="1"/>
        <n v="544547" u="1"/>
        <n v="544548" u="1"/>
        <n v="544549" u="1"/>
        <n v="544550" u="1"/>
        <n v="544551" u="1"/>
        <n v="544552" u="1"/>
        <n v="544553" u="1"/>
        <n v="544554" u="1"/>
        <n v="544555" u="1"/>
        <n v="544556" u="1"/>
        <n v="544557" u="1"/>
        <n v="544558" u="1"/>
        <n v="544559" u="1"/>
        <n v="544560" u="1"/>
        <n v="544561" u="1"/>
        <n v="544562" u="1"/>
        <n v="544563" u="1"/>
        <n v="544564" u="1"/>
        <n v="544565" u="1"/>
        <n v="544566" u="1"/>
        <n v="544567" u="1"/>
        <n v="544568" u="1"/>
        <n v="544569" u="1"/>
        <n v="544570" u="1"/>
        <n v="544571" u="1"/>
        <n v="544572" u="1"/>
        <n v="544573" u="1"/>
        <n v="544574" u="1"/>
        <n v="544575" u="1"/>
        <n v="544576" u="1"/>
        <n v="544577" u="1"/>
        <n v="544578" u="1"/>
        <n v="544579" u="1"/>
        <n v="544580" u="1"/>
        <n v="544581" u="1"/>
        <n v="93967586" u="1"/>
        <n v="93967587" u="1"/>
        <n v="93967588" u="1"/>
        <n v="93967589" u="1"/>
        <n v="93967590" u="1"/>
        <n v="93967591" u="1"/>
        <n v="93967592" u="1"/>
        <n v="93967593" u="1"/>
        <n v="93967594" u="1"/>
        <n v="93967595" u="1"/>
        <n v="93967596" u="1"/>
        <n v="544582" u="1"/>
        <n v="544583" u="1"/>
        <n v="544584" u="1"/>
        <n v="544585" u="1"/>
        <n v="544586" u="1"/>
        <n v="544587" u="1"/>
        <n v="544588" u="1"/>
        <n v="544589" u="1"/>
        <n v="544590" u="1"/>
        <n v="93967597" u="1"/>
        <n v="93967598" u="1"/>
        <n v="93967599" u="1"/>
        <n v="93967600" u="1"/>
        <n v="93967601" u="1"/>
        <n v="93967602" u="1"/>
        <n v="93967603" u="1"/>
        <n v="93967604" u="1"/>
        <n v="544591" u="1"/>
        <n v="544592" u="1"/>
        <n v="544593" u="1"/>
        <n v="544594" u="1"/>
        <n v="544595" u="1"/>
        <n v="544596" u="1"/>
        <n v="544597" u="1"/>
        <n v="544598" u="1"/>
        <n v="544599" u="1"/>
        <n v="544600" u="1"/>
        <n v="544601" u="1"/>
        <n v="544602" u="1"/>
        <n v="544603" u="1"/>
        <n v="544604" u="1"/>
        <n v="544605" u="1"/>
        <n v="544606" u="1"/>
        <n v="544607" u="1"/>
        <n v="544608" u="1"/>
        <n v="544609" u="1"/>
        <n v="544610" u="1"/>
        <n v="544611" u="1"/>
        <n v="544612" u="1"/>
        <n v="544613" u="1"/>
        <n v="544614" u="1"/>
        <n v="544615" u="1"/>
        <n v="544616" u="1"/>
        <n v="544617" u="1"/>
        <n v="544618" u="1"/>
        <n v="544619" u="1"/>
        <n v="544620" u="1"/>
        <n v="544621" u="1"/>
        <n v="544622" u="1"/>
        <n v="544623" u="1"/>
        <n v="544624" u="1"/>
        <n v="544625" u="1"/>
        <n v="544626" u="1"/>
        <n v="544627" u="1"/>
        <n v="544628" u="1"/>
        <n v="544629" u="1"/>
        <n v="544630" u="1"/>
        <n v="544631" u="1"/>
        <n v="544632" u="1"/>
        <n v="544633" u="1"/>
        <n v="93967605" u="1"/>
        <n v="93967606" u="1"/>
        <n v="93967607" u="1"/>
        <n v="93967608" u="1"/>
        <n v="93967609" u="1"/>
        <n v="93967610" u="1"/>
        <n v="93967611" u="1"/>
        <n v="93967612" u="1"/>
        <n v="93967613" u="1"/>
        <n v="93967614" u="1"/>
        <n v="93967615" u="1"/>
        <n v="93967616" u="1"/>
        <n v="93967617" u="1"/>
        <n v="93967618" u="1"/>
        <n v="544634" u="1"/>
        <n v="544635" u="1"/>
        <n v="544636" u="1"/>
        <n v="544637" u="1"/>
        <n v="544638" u="1"/>
        <n v="544639" u="1"/>
        <n v="544640" u="1"/>
        <n v="544641" u="1"/>
        <n v="544642" u="1"/>
        <n v="544643" u="1"/>
        <n v="544644" u="1"/>
        <n v="544645" u="1"/>
        <n v="544646" u="1"/>
        <n v="93967619" u="1"/>
        <n v="93967620" u="1"/>
        <n v="544647" u="1"/>
        <n v="544648" u="1"/>
        <n v="544649" u="1"/>
        <n v="544650" u="1"/>
        <n v="544651" u="1"/>
        <n v="544652" u="1"/>
        <n v="93967621" u="1"/>
        <n v="544653" u="1"/>
        <n v="544654" u="1"/>
        <n v="544655" u="1"/>
        <n v="544656" u="1"/>
        <n v="544657" u="1"/>
        <n v="544658" u="1"/>
        <n v="544659" u="1"/>
        <n v="544660" u="1"/>
        <n v="544661" u="1"/>
        <n v="544662" u="1"/>
        <n v="544663" u="1"/>
        <n v="544664" u="1"/>
        <n v="544665" u="1"/>
        <n v="544666" u="1"/>
        <n v="544667" u="1"/>
        <n v="544668" u="1"/>
        <n v="544669" u="1"/>
        <n v="544670" u="1"/>
        <n v="93967622" u="1"/>
        <n v="93967623" u="1"/>
        <n v="93967624" u="1"/>
        <n v="93967625" u="1"/>
        <n v="93967626" u="1"/>
        <n v="93967627" u="1"/>
        <n v="93967628" u="1"/>
        <n v="544671" u="1"/>
        <n v="544672" u="1"/>
        <n v="544673" u="1"/>
        <n v="544674" u="1"/>
        <n v="544675" u="1"/>
        <n v="93967629" u="1"/>
        <n v="93967630" u="1"/>
        <n v="93967631" u="1"/>
        <n v="93967632" u="1"/>
        <n v="93967633" u="1"/>
        <n v="93967634" u="1"/>
        <n v="93967635" u="1"/>
        <n v="544676" u="1"/>
        <n v="544677" u="1"/>
        <n v="544678" u="1"/>
        <n v="544679" u="1"/>
        <n v="544680" u="1"/>
        <n v="544681" u="1"/>
        <n v="93967636" u="1"/>
        <n v="544682" u="1"/>
        <n v="544683" u="1"/>
        <n v="544684" u="1"/>
        <n v="544685" u="1"/>
        <n v="544686" u="1"/>
        <n v="544687" u="1"/>
        <n v="544688" u="1"/>
        <n v="544689" u="1"/>
        <n v="544690" u="1"/>
        <n v="544691" u="1"/>
        <n v="544692" u="1"/>
        <n v="544693" u="1"/>
        <n v="544694" u="1"/>
        <n v="544695" u="1"/>
        <n v="544696" u="1"/>
        <n v="544697" u="1"/>
        <n v="544698" u="1"/>
        <n v="544699" u="1"/>
        <n v="544700" u="1"/>
        <n v="544701" u="1"/>
        <n v="544702" u="1"/>
        <n v="93967637" u="1"/>
        <n v="544703" u="1"/>
        <n v="544704" u="1"/>
        <n v="544705" u="1"/>
        <n v="544706" u="1"/>
        <n v="544707" u="1"/>
        <n v="544708" u="1"/>
        <n v="544709" u="1"/>
        <n v="544710" u="1"/>
        <n v="544711" u="1"/>
        <n v="544712" u="1"/>
        <n v="544713" u="1"/>
        <n v="544714" u="1"/>
        <n v="544715" u="1"/>
        <n v="544716" u="1"/>
        <n v="544717" u="1"/>
        <n v="544718" u="1"/>
        <n v="544719" u="1"/>
        <n v="544720" u="1"/>
        <n v="544721" u="1"/>
        <n v="544722" u="1"/>
        <n v="544723" u="1"/>
        <n v="544724" u="1"/>
        <n v="544725" u="1"/>
        <n v="544726" u="1"/>
      </sharedItems>
    </cacheField>
    <cacheField name="importe" numFmtId="0">
      <sharedItems containsString="0" containsBlank="1" containsNumber="1" minValue="0" maxValue="458463870"/>
    </cacheField>
    <cacheField name="Fe.valor" numFmtId="14">
      <sharedItems containsNonDate="0" containsDate="1" containsString="0" containsBlank="1" minDate="2025-01-02T00:00:00" maxDate="2026-11-06T00:00:00" count="303">
        <d v="2025-01-02T00:00:00"/>
        <d v="2025-01-06T00:00:00"/>
        <d v="2025-01-07T00:00:00"/>
        <d v="2025-01-13T00:00:00"/>
        <d v="2025-01-14T00:00:00"/>
        <d v="2025-01-10T00:00:00"/>
        <d v="2025-01-09T00:00:00"/>
        <d v="2025-01-15T00:00:00"/>
        <d v="2025-01-16T00:00:00"/>
        <d v="2025-01-17T00:00:00"/>
        <d v="2025-01-23T00:00:00"/>
        <d v="2025-01-24T00:00:00"/>
        <d v="2025-01-21T00:00:00"/>
        <d v="2025-01-27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4T00:00:00"/>
        <d v="2025-02-12T00:00:00"/>
        <d v="2025-02-13T00:00:00"/>
        <d v="2025-02-19T00:00:00"/>
        <d v="2025-02-20T00:00:00"/>
        <d v="2025-02-25T00:00:00"/>
        <d v="2025-03-05T00:00:00"/>
        <d v="2025-03-06T00:00:00"/>
        <d v="2025-03-10T00:00:00"/>
        <d v="2025-03-11T00:00:00"/>
        <d v="2025-03-13T00:00:00"/>
        <d v="2025-03-14T00:00:00"/>
        <d v="2025-03-19T00:00:00"/>
        <d v="2025-03-24T00:00:00"/>
        <d v="2025-03-20T00:00:00"/>
        <d v="2025-03-25T00:00:00"/>
        <d v="2025-03-26T00:00:00"/>
        <d v="2025-03-18T00:00:00"/>
        <d v="2025-03-21T00:00:00"/>
        <d v="2025-03-27T00:00:00"/>
        <d v="2025-03-28T00:00:00"/>
        <d v="2025-04-03T00:00:00"/>
        <d v="2025-04-04T00:00:00"/>
        <d v="2025-04-07T00:00:00"/>
        <d v="2025-04-10T00:00:00"/>
        <d v="2025-04-11T00:00:00"/>
        <d v="2025-04-14T00:00:00"/>
        <d v="2025-04-16T00:00:00"/>
        <d v="2025-04-21T00:00:00"/>
        <d v="2025-04-23T00:00:00"/>
        <d v="2025-04-28T00:00:00"/>
        <d v="2025-04-29T00:00:00"/>
        <d v="2025-04-30T00:00:00"/>
        <d v="2025-05-05T00:00:00"/>
        <d v="2025-05-10T00:00:00"/>
        <d v="2025-05-07T00:00:00"/>
        <d v="2025-05-08T00:00:00"/>
        <d v="2025-05-09T00:00:00"/>
        <d v="2025-05-12T00:00:00"/>
        <d v="2025-05-14T00:00:00"/>
        <d v="2025-05-16T00:00:00"/>
        <d v="2025-05-15T00:00:00"/>
        <d v="2025-05-19T00:00:00"/>
        <d v="2025-05-20T00:00:00"/>
        <d v="2025-05-22T00:00:00"/>
        <d v="2025-05-23T00:00:00"/>
        <d v="2025-05-21T00:00:00"/>
        <d v="2025-05-26T00:00:00"/>
        <d v="2025-05-29T00:00:00"/>
        <d v="2025-05-30T00:00:00"/>
        <d v="2025-06-20T00:00:00"/>
        <d v="2025-06-02T00:00:00"/>
        <d v="2025-06-05T00:00:00"/>
        <d v="2025-06-06T00:00:00"/>
        <d v="2025-06-04T00:00:00"/>
        <d v="2025-06-03T00:00:00"/>
        <d v="2025-06-11T00:00:00"/>
        <d v="2025-06-12T00:00:00"/>
        <d v="2025-06-13T00:00:00"/>
        <d v="2025-06-17T00:00:00"/>
        <d v="2025-06-19T00:00:00"/>
        <d v="2025-06-23T00:00:00"/>
        <d v="2025-06-18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8T00:00:00"/>
        <d v="2025-07-11T00:00:00"/>
        <d v="2025-07-14T00:00:00"/>
        <d v="2025-07-15T00:00:00"/>
        <d v="2025-07-17T00:00:00"/>
        <d v="2025-07-18T00:00:00"/>
        <d v="2025-07-21T00:00:00"/>
        <d v="2025-07-24T00:00:00"/>
        <d v="2025-07-25T00:00:00"/>
        <d v="2025-07-23T00:00:00"/>
        <d v="2025-07-28T00:00:00"/>
        <d v="2025-07-29T00:00:00"/>
        <d v="2025-07-30T00:00:00"/>
        <d v="2025-07-31T00:00:00"/>
        <d v="2025-08-01T00:00:00"/>
        <d v="2025-08-04T00:00:00"/>
        <d v="2025-08-06T00:00:00"/>
        <d v="2025-08-18T00:00:00"/>
        <d v="2025-09-15T00:00:00"/>
        <d v="2025-08-07T00:00:00"/>
        <d v="2025-08-08T00:00:00"/>
        <d v="2025-08-11T00:00:00"/>
        <d v="2025-08-14T00:00:00"/>
        <d v="2025-08-19T00:00:00"/>
        <d v="2025-08-20T00:00:00"/>
        <d v="2025-08-22T00:00:00"/>
        <d v="2025-08-25T00:00:00"/>
        <d v="2025-08-29T00:00:00"/>
        <d v="2025-09-05T00:00:00"/>
        <d v="2025-09-18T00:00:00"/>
        <d v="2025-10-03T00:00:00"/>
        <d v="2025-09-01T00:00:00"/>
        <d v="2025-08-26T00:00:00"/>
        <d v="2025-09-03T00:00:00"/>
        <d v="2025-10-20T00:00:00"/>
        <d v="2025-11-17T00:00:00"/>
        <d v="2025-12-17T00:00:00"/>
        <d v="2025-09-02T00:00:00"/>
        <d v="2025-09-08T00:00:00"/>
        <d v="2025-09-12T00:00:00"/>
        <d v="2025-09-11T00:00:00"/>
        <d v="2025-09-19T00:00:00"/>
        <d v="2025-09-17T00:00:00"/>
        <d v="2025-09-23T00:00:00"/>
        <d v="2025-09-25T00:00:00"/>
        <d v="2025-09-26T00:00:00"/>
        <d v="2025-09-30T00:00:00"/>
        <d v="2025-09-29T00:00:00"/>
        <d v="2025-10-27T00:00:00"/>
        <d v="2025-11-25T00:00:00"/>
        <d v="2025-10-15T00:00:00"/>
        <d v="2025-10-01T00:00:00"/>
        <d v="2025-10-02T00:00:00"/>
        <d v="2025-10-06T00:00:00"/>
        <d v="2025-10-08T00:00:00"/>
        <d v="2025-10-09T00:00:00"/>
        <d v="2025-10-13T00:00:00"/>
        <d v="2025-10-14T00:00:00"/>
        <d v="2025-10-17T00:00:00"/>
        <d v="2025-10-16T00:00:00"/>
        <d v="2025-11-07T00:00:00"/>
        <d v="2025-12-05T00:00:00"/>
        <d v="2025-10-22T00:00:00"/>
        <d v="2025-10-23T00:00:00"/>
        <d v="2025-10-24T00:00:00"/>
        <d v="2025-10-30T00:00:00"/>
        <d v="2025-10-29T00:00:00"/>
        <d v="2025-10-31T00:00:00"/>
        <d v="2025-12-23T00:00:00"/>
        <d v="2026-01-23T00:00:00"/>
        <d v="2025-11-10T00:00:00"/>
        <d v="2025-11-13T00:00:00"/>
        <d v="2025-11-14T00:00:00"/>
        <d v="2025-11-20T00:00:00"/>
        <d v="2025-11-28T00:00:00"/>
        <d v="2025-12-12T00:00:00"/>
        <d v="2025-11-26T00:00:00"/>
        <d v="2026-01-19T00:00:00"/>
        <d v="2026-02-19T00:00:00"/>
        <d v="2025-12-09T00:00:00"/>
        <d v="2025-12-10T00:00:00"/>
        <d v="2025-12-11T00:00:00"/>
        <d v="2025-12-27T00:00:00"/>
        <d v="2026-01-26T00:00:00"/>
        <d v="2026-02-25T00:00:00"/>
        <d v="2025-12-15T00:00:00"/>
        <d v="2025-12-18T00:00:00"/>
        <d v="2025-12-19T00:00:00"/>
        <d v="2026-01-04T00:00:00"/>
        <d v="2025-12-16T00:00:00"/>
        <d v="2025-12-22T00:00:00"/>
        <d v="2025-12-26T00:00:00"/>
        <d v="2025-12-30T00:00:00"/>
        <d v="2026-01-02T00:00:00"/>
        <d v="2026-01-09T00:00:00"/>
        <d v="2026-01-13T00:00:00"/>
        <d v="2026-01-15T00:00:00"/>
        <d v="2026-01-16T00:00:00"/>
        <d v="2026-01-14T00:00:00"/>
        <d v="2026-01-22T00:00:00"/>
        <d v="2026-01-20T00:00:00"/>
        <d v="2026-01-27T00:00:00"/>
        <d v="2026-01-28T00:00:00"/>
        <d v="2026-01-29T00:00:00"/>
        <d v="2026-01-30T00:00:00"/>
        <d v="2026-02-05T00:00:00"/>
        <d v="2026-02-06T00:00:00"/>
        <d v="2026-03-27T00:00:00"/>
        <d v="2026-04-26T00:00:00"/>
        <d v="2026-05-26T00:00:00"/>
        <d v="2026-06-25T00:00:00"/>
        <d v="2026-07-25T00:00:00"/>
        <d v="2026-08-24T00:00:00"/>
        <d v="2026-09-23T00:00:00"/>
        <d v="2026-10-23T00:00:00"/>
        <d v="2026-02-09T00:00:00"/>
        <d v="2026-02-04T00:00:00"/>
        <d v="2026-02-13T00:00:00"/>
        <d v="2026-02-18T00:00:00"/>
        <d v="2026-02-27T00:00:00"/>
        <d v="2026-02-20T00:00:00"/>
        <d v="2026-02-23T00:00:00"/>
        <d v="2026-02-26T00:00:00"/>
        <d v="2026-03-04T00:00:00"/>
        <d v="2026-03-05T00:00:00"/>
        <d v="2026-03-06T00:00:00"/>
        <d v="2026-03-09T00:00:00"/>
        <d v="2026-03-13T00:00:00"/>
        <d v="2026-03-16T00:00:00"/>
        <d v="2026-03-18T00:00:00"/>
        <d v="2026-03-19T00:00:00"/>
        <d v="2026-03-20T00:00:00"/>
        <d v="2026-03-25T00:00:00"/>
        <d v="2026-03-30T00:00:00"/>
        <d v="2026-04-10T00:00:00"/>
        <d v="2026-04-13T00:00:00"/>
        <d v="2026-04-15T00:00:00"/>
        <d v="2026-04-16T00:00:00"/>
        <d v="2026-04-17T00:00:00"/>
        <d v="2026-04-20T00:00:00"/>
        <d v="2026-04-21T00:00:00"/>
        <d v="2026-04-22T00:00:00"/>
        <d v="2026-05-22T00:00:00"/>
        <d v="2026-06-22T00:00:00"/>
        <d v="2026-04-23T00:00:00"/>
        <d v="2026-04-24T00:00:00"/>
        <d v="2026-04-27T00:00:00"/>
        <d v="2026-04-28T00:00:00"/>
        <d v="2026-04-30T00:00:00"/>
        <d v="2026-05-04T00:00:00"/>
        <d v="2026-05-07T00:00:00"/>
        <d v="2026-05-08T00:00:00"/>
        <d v="2026-05-06T00:00:00"/>
        <d v="2026-06-03T00:00:00"/>
        <d v="2026-05-15T00:00:00"/>
        <d v="2026-05-13T00:00:00"/>
        <d v="2026-05-14T00:00:00"/>
        <d v="2026-05-18T00:00:00"/>
        <d v="2026-05-19T00:00:00"/>
        <d v="2026-05-20T00:00:00"/>
        <d v="2026-05-21T00:00:00"/>
        <d v="2026-05-28T00:00:00"/>
        <d v="2026-05-29T00:00:00"/>
        <d v="2026-06-09T00:00:00"/>
        <d v="2026-06-16T00:00:00"/>
        <d v="2026-06-04T00:00:00"/>
        <d v="2026-06-05T00:00:00"/>
        <d v="2026-07-01T00:00:00"/>
        <d v="2026-08-03T00:00:00"/>
        <d v="2026-06-08T00:00:00"/>
        <d v="2026-07-04T00:00:00"/>
        <d v="2026-06-11T00:00:00"/>
        <d v="2026-06-12T00:00:00"/>
        <d v="2026-07-08T00:00:00"/>
        <d v="2026-08-07T00:00:00"/>
        <d v="2026-07-06T00:00:00"/>
        <d v="2026-07-07T00:00:00"/>
        <d v="2026-06-19T00:00:00"/>
        <d v="2026-07-17T00:00:00"/>
        <d v="2026-08-17T00:00:00"/>
        <d v="2026-08-05T00:00:00"/>
        <d v="2026-09-07T00:00:00"/>
        <d v="2026-10-05T00:00:00"/>
        <d v="2026-11-05T00:00:00"/>
        <d v="2026-06-26T00:00:00"/>
        <d v="2026-07-22T00:00:00"/>
        <d v="2026-07-02T00:00:00"/>
        <d v="2026-07-03T00:00:00"/>
        <d v="2026-07-13T00:00:00"/>
        <d v="2026-07-16T00:00:00"/>
        <d v="2026-07-15T00:00:00"/>
        <d v="2026-07-20T00:00:00"/>
        <d v="2026-07-23T00:00:00"/>
        <d v="2026-09-10T00:00:00"/>
        <d v="2026-10-09T00:00:00"/>
        <d v="2026-07-24T00:00:00"/>
        <d v="2026-07-30T00:00:00"/>
        <d v="2026-07-31T00:00:00"/>
        <d v="2026-08-10T00:00:00"/>
        <d v="2026-08-13T00:00:00"/>
        <d v="2026-08-14T00:00:00"/>
        <d v="2026-09-04T00:00:00"/>
        <d v="2026-08-25T00:00:00"/>
        <d v="2026-08-26T00:00:00"/>
        <d v="2026-08-20T00:00:00"/>
        <d v="2026-08-28T00:00:00"/>
        <d v="2026-09-01T00:00:00"/>
        <d v="2026-09-02T00:00:00"/>
        <d v="2026-09-03T00:00:00"/>
        <m/>
      </sharedItems>
    </cacheField>
    <cacheField name="Banco" numFmtId="0">
      <sharedItems containsBlank="1" containsMixedTypes="1" containsNumber="1" containsInteger="1" minValue="902318" maxValue="902328" count="15">
        <s v="MACRO"/>
        <s v="HSBC"/>
        <s v="GALICIA"/>
        <m/>
        <n v="902318" u="1"/>
        <n v="902319" u="1"/>
        <n v="902320" u="1"/>
        <n v="902321" u="1"/>
        <n v="902322" u="1"/>
        <n v="902323" u="1"/>
        <n v="902324" u="1"/>
        <n v="902325" u="1"/>
        <n v="902326" u="1"/>
        <n v="902327" u="1"/>
        <n v="902328" u="1"/>
      </sharedItems>
    </cacheField>
    <cacheField name="pagado" numFmtId="0">
      <sharedItems containsBlank="1"/>
    </cacheField>
    <cacheField name="estado" numFmtId="0">
      <sharedItems containsBlank="1"/>
    </cacheField>
    <cacheField name="estado dos" numFmtId="0">
      <sharedItems containsBlank="1"/>
    </cacheField>
    <cacheField name="estado tres" numFmtId="0">
      <sharedItems containsBlank="1"/>
    </cacheField>
    <cacheField name="en cartera" numFmtId="0">
      <sharedItems containsBlank="1" count="3">
        <s v="no clearing"/>
        <s v="clear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cia Maribel Diaz" refreshedDate="46272.353492245369" createdVersion="6" refreshedVersion="8" minRefreshableVersion="3" recordCount="2462" xr:uid="{00000000-000A-0000-FFFF-FFFF21000000}">
  <cacheSource type="worksheet">
    <worksheetSource ref="A1:K1048576" sheet="sap nuevo"/>
  </cacheSource>
  <cacheFields count="11">
    <cacheField name="Nº doc." numFmtId="0">
      <sharedItems containsString="0" containsBlank="1" containsNumber="1" containsInteger="1" minValue="3000000030" maxValue="3000007599"/>
    </cacheField>
    <cacheField name="Fecha doc." numFmtId="0">
      <sharedItems containsNonDate="0" containsDate="1" containsString="0" containsBlank="1" minDate="2025-01-02T00:00:00" maxDate="2026-09-03T00:00:00"/>
    </cacheField>
    <cacheField name="       Importe en ML" numFmtId="0">
      <sharedItems containsString="0" containsBlank="1" containsNumber="1" minValue="0" maxValue="458463870"/>
    </cacheField>
    <cacheField name="Usuario" numFmtId="0">
      <sharedItems containsBlank="1"/>
    </cacheField>
    <cacheField name="numero de cheque" numFmtId="0">
      <sharedItems containsString="0" containsBlank="1" containsNumber="1" containsInteger="1" minValue="1" maxValue="99268131" count="8000">
        <n v="91002228"/>
        <n v="91002229"/>
        <n v="91002230"/>
        <n v="91002231"/>
        <n v="91002232"/>
        <n v="2927344"/>
        <n v="2927345"/>
        <n v="2927346"/>
        <n v="91002234"/>
        <n v="91002235"/>
        <n v="91002233"/>
        <n v="94326781"/>
        <n v="94326782"/>
        <n v="94326783"/>
        <n v="94326784"/>
        <n v="94326785"/>
        <n v="94326786"/>
        <n v="94326787"/>
        <n v="2927347"/>
        <n v="2927348"/>
        <n v="2927351"/>
        <n v="2927352"/>
        <n v="2927349"/>
        <n v="2927350"/>
        <n v="2927353"/>
        <n v="2927354"/>
        <n v="94326788"/>
        <n v="94326789"/>
        <n v="94326790"/>
        <n v="94326791"/>
        <n v="94326792"/>
        <n v="94326793"/>
        <n v="2927358"/>
        <n v="2927359"/>
        <n v="94326794"/>
        <n v="2927355"/>
        <n v="2927356"/>
        <n v="2927357"/>
        <n v="2927360"/>
        <n v="2927361"/>
        <n v="2927362"/>
        <n v="2927363"/>
        <n v="2927364"/>
        <n v="2927365"/>
        <n v="2927366"/>
        <n v="94326795"/>
        <n v="94326796"/>
        <n v="94326797"/>
        <n v="91002236"/>
        <n v="91002237"/>
        <n v="91002238"/>
        <n v="91002239"/>
        <n v="91002240"/>
        <n v="91002241"/>
        <n v="91002242"/>
        <n v="91002243"/>
        <n v="91002244"/>
        <n v="94326798"/>
        <n v="94326799"/>
        <n v="2927367"/>
        <n v="94326800"/>
        <n v="91002247"/>
        <n v="91002248"/>
        <n v="91002250"/>
        <n v="91002251"/>
        <n v="91002254"/>
        <n v="91002255"/>
        <n v="91002245"/>
        <n v="91002246"/>
        <n v="91002249"/>
        <n v="91002252"/>
        <n v="91002253"/>
        <n v="91002256"/>
        <n v="2927368"/>
        <n v="2927369"/>
        <n v="2927370"/>
        <n v="2927371"/>
        <n v="94326808"/>
        <n v="2927372"/>
        <n v="2927373"/>
        <n v="2927374"/>
        <n v="2927375"/>
        <n v="2927376"/>
        <n v="2927377"/>
        <n v="2927378"/>
        <n v="2927379"/>
        <n v="2927380"/>
        <n v="2927381"/>
        <n v="94326801"/>
        <n v="94326802"/>
        <n v="94326803"/>
        <n v="94326804"/>
        <n v="94326805"/>
        <n v="94326806"/>
        <n v="94326807"/>
        <n v="2927382"/>
        <n v="2927383"/>
        <n v="2927384"/>
        <n v="2927388"/>
        <n v="2927389"/>
        <n v="2927385"/>
        <n v="2927386"/>
        <n v="2927387"/>
        <n v="2927390"/>
        <n v="2927391"/>
        <n v="2927392"/>
        <n v="2927393"/>
        <n v="2927394"/>
        <n v="94326809"/>
        <n v="94326810"/>
        <n v="2927400"/>
        <n v="2927401"/>
        <n v="2927395"/>
        <n v="2927396"/>
        <n v="2927397"/>
        <n v="2927398"/>
        <n v="2927399"/>
        <n v="91002262"/>
        <n v="91002263"/>
        <n v="91002257"/>
        <n v="91002258"/>
        <n v="91002259"/>
        <n v="91002260"/>
        <n v="91002261"/>
        <n v="91002264"/>
        <n v="91002265"/>
        <n v="91002266"/>
        <n v="91002267"/>
        <n v="91002268"/>
        <n v="91002269"/>
        <n v="91002270"/>
        <n v="2927403"/>
        <n v="2927404"/>
        <n v="2927402"/>
        <n v="91002274"/>
        <n v="91002275"/>
        <n v="91002271"/>
        <n v="91002272"/>
        <n v="91002273"/>
        <n v="91002276"/>
        <n v="91002277"/>
        <n v="91002278"/>
        <n v="91002279"/>
        <n v="91002280"/>
        <n v="91002281"/>
        <n v="91002282"/>
        <n v="91002283"/>
        <n v="91002284"/>
        <n v="91002286"/>
        <n v="91002287"/>
        <n v="91002288"/>
        <n v="91002289"/>
        <n v="91002285"/>
        <n v="91002290"/>
        <n v="91002291"/>
        <n v="91002292"/>
        <n v="94326811"/>
        <n v="94326812"/>
        <n v="94326813"/>
        <n v="91002294"/>
        <n v="91002295"/>
        <n v="91002296"/>
        <n v="91002297"/>
        <n v="91002298"/>
        <n v="91002299"/>
        <n v="91002308"/>
        <n v="91002309"/>
        <n v="91002293"/>
        <n v="91002300"/>
        <n v="91002301"/>
        <n v="91002302"/>
        <n v="91002303"/>
        <n v="91002304"/>
        <n v="91002305"/>
        <n v="91002306"/>
        <n v="91002307"/>
        <n v="91002310"/>
        <n v="91002311"/>
        <n v="91002312"/>
        <n v="91002313"/>
        <n v="94326814"/>
        <n v="91002314"/>
        <n v="91002315"/>
        <n v="91002316"/>
        <n v="91002317"/>
        <n v="91002318"/>
        <n v="91002319"/>
        <n v="91002320"/>
        <n v="91002321"/>
        <n v="91002322"/>
        <n v="91002323"/>
        <n v="91002324"/>
        <n v="94326815"/>
        <n v="91002327"/>
        <n v="91002328"/>
        <n v="91002329"/>
        <n v="91002330"/>
        <n v="91002332"/>
        <n v="91002333"/>
        <n v="91002334"/>
        <n v="91002335"/>
        <n v="91002339"/>
        <n v="91002340"/>
        <n v="91002345"/>
        <n v="91002346"/>
        <n v="91002347"/>
        <n v="91002348"/>
        <n v="91002325"/>
        <n v="91002326"/>
        <n v="91002331"/>
        <n v="91002336"/>
        <n v="91002337"/>
        <n v="91002338"/>
        <n v="91002341"/>
        <n v="91002342"/>
        <n v="91002343"/>
        <n v="91002344"/>
        <n v="91002349"/>
        <n v="94326816"/>
        <n v="94326817"/>
        <n v="94326818"/>
        <n v="94326819"/>
        <n v="94326820"/>
        <n v="94326821"/>
        <n v="94326822"/>
        <n v="94326823"/>
        <n v="94326824"/>
        <n v="91002350"/>
        <n v="91002351"/>
        <n v="91002353"/>
        <n v="91002354"/>
        <n v="91002355"/>
        <n v="91002356"/>
        <n v="91002358"/>
        <n v="91002359"/>
        <n v="91002360"/>
        <n v="91002361"/>
        <n v="91002362"/>
        <n v="91002363"/>
        <n v="91002364"/>
        <n v="91002365"/>
        <n v="91002368"/>
        <n v="91002369"/>
        <n v="91002370"/>
        <n v="91002371"/>
        <n v="91002352"/>
        <n v="91002357"/>
        <n v="91002366"/>
        <n v="91002367"/>
        <n v="94326825"/>
        <n v="94326826"/>
        <n v="91002372"/>
        <n v="91002374"/>
        <n v="91002373"/>
        <n v="2927405"/>
        <n v="94326827"/>
        <n v="91002381"/>
        <n v="91002382"/>
        <n v="91002375"/>
        <n v="91002376"/>
        <n v="91002377"/>
        <n v="91002378"/>
        <n v="91002379"/>
        <n v="91002380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94326828"/>
        <n v="1198"/>
        <n v="1199"/>
        <n v="1200"/>
        <n v="1201"/>
        <n v="1202"/>
        <n v="1203"/>
        <n v="1204"/>
        <n v="94326829"/>
        <n v="91002396"/>
        <n v="91002397"/>
        <n v="91002399"/>
        <n v="91002400"/>
        <n v="91002383"/>
        <n v="91002384"/>
        <n v="91002385"/>
        <n v="91002386"/>
        <n v="91002387"/>
        <n v="91002388"/>
        <n v="91002389"/>
        <n v="91002390"/>
        <n v="91002391"/>
        <n v="91002392"/>
        <n v="91002393"/>
        <n v="91002394"/>
        <n v="91002395"/>
        <n v="91002398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91002401"/>
        <n v="94326830"/>
        <n v="94326831"/>
        <n v="94326832"/>
        <n v="94326833"/>
        <n v="94326834"/>
        <n v="94326835"/>
        <n v="94326836"/>
        <n v="94326837"/>
        <n v="94326838"/>
        <n v="1217"/>
        <n v="1218"/>
        <n v="1219"/>
        <n v="1220"/>
        <n v="1221"/>
        <n v="1222"/>
        <n v="1223"/>
        <n v="1224"/>
        <n v="1234"/>
        <n v="1235"/>
        <n v="1237"/>
        <n v="1238"/>
        <n v="1225"/>
        <n v="1226"/>
        <n v="1227"/>
        <n v="1228"/>
        <n v="1229"/>
        <n v="1230"/>
        <n v="1231"/>
        <n v="1232"/>
        <n v="1233"/>
        <n v="1236"/>
        <n v="1244"/>
        <n v="1245"/>
        <n v="1248"/>
        <n v="1249"/>
        <n v="1250"/>
        <n v="1251"/>
        <n v="1252"/>
        <n v="1239"/>
        <n v="1240"/>
        <n v="1241"/>
        <n v="1242"/>
        <n v="1243"/>
        <n v="1246"/>
        <n v="1247"/>
        <n v="1253"/>
        <n v="1254"/>
        <n v="1255"/>
        <n v="1256"/>
        <n v="94326839"/>
        <n v="94326840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94326841"/>
        <n v="94326842"/>
        <n v="94326843"/>
        <n v="94326844"/>
        <n v="94326845"/>
        <n v="94326846"/>
        <n v="94326847"/>
        <n v="94326848"/>
        <n v="1314"/>
        <n v="1315"/>
        <n v="1302"/>
        <n v="1303"/>
        <n v="1305"/>
        <n v="1306"/>
        <n v="1309"/>
        <n v="1310"/>
        <n v="1304"/>
        <n v="1307"/>
        <n v="1308"/>
        <n v="1311"/>
        <n v="1312"/>
        <n v="1313"/>
        <n v="1317"/>
        <n v="1318"/>
        <n v="1319"/>
        <n v="1324"/>
        <n v="1325"/>
        <n v="1316"/>
        <n v="1320"/>
        <n v="1321"/>
        <n v="1322"/>
        <n v="1323"/>
        <n v="1326"/>
        <n v="94326849"/>
        <n v="94326850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4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9432685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91002402"/>
        <n v="91002403"/>
        <n v="91002404"/>
        <n v="91002405"/>
        <n v="91002406"/>
        <n v="91002407"/>
        <n v="91002408"/>
        <n v="91002409"/>
        <n v="91002410"/>
        <n v="91002411"/>
        <n v="91002412"/>
        <n v="91002413"/>
        <n v="91002414"/>
        <n v="91002415"/>
        <n v="91002416"/>
        <n v="91002417"/>
        <n v="91002418"/>
        <n v="91002419"/>
        <n v="91002420"/>
        <n v="91002421"/>
        <n v="91002422"/>
        <n v="91002423"/>
        <n v="91002424"/>
        <n v="94326853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40272950"/>
        <n v="40272951"/>
        <n v="40272952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40272954"/>
        <n v="40272955"/>
        <n v="40272956"/>
        <n v="40272957"/>
        <n v="40272958"/>
        <n v="40272959"/>
        <n v="40272960"/>
        <n v="40272961"/>
        <n v="40272962"/>
        <n v="40272953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40272963"/>
        <n v="40272964"/>
        <n v="40272965"/>
        <n v="40272966"/>
        <n v="40272967"/>
        <n v="40272968"/>
        <n v="91002425"/>
        <n v="91002426"/>
        <n v="91002427"/>
        <n v="91002428"/>
        <n v="91002429"/>
        <n v="91002430"/>
        <n v="91002431"/>
        <n v="91002432"/>
        <n v="91002433"/>
        <n v="91002434"/>
        <n v="91002435"/>
        <n v="91002436"/>
        <n v="91002437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51"/>
        <n v="1652"/>
        <n v="1653"/>
        <n v="1654"/>
        <n v="1647"/>
        <n v="1648"/>
        <n v="1649"/>
        <n v="1650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6"/>
        <n v="1737"/>
        <n v="1738"/>
        <n v="1739"/>
        <n v="1740"/>
        <n v="1741"/>
        <n v="1742"/>
        <n v="1743"/>
        <n v="1744"/>
        <n v="1745"/>
        <n v="1753"/>
        <n v="1754"/>
        <n v="1755"/>
        <n v="1756"/>
        <n v="1758"/>
        <n v="1759"/>
        <n v="1764"/>
        <n v="1765"/>
        <n v="1766"/>
        <n v="1767"/>
        <n v="1735"/>
        <n v="1746"/>
        <n v="1747"/>
        <n v="1748"/>
        <n v="1749"/>
        <n v="1750"/>
        <n v="1751"/>
        <n v="1752"/>
        <n v="1757"/>
        <n v="1760"/>
        <n v="1761"/>
        <n v="1762"/>
        <n v="1763"/>
        <n v="40272970"/>
        <n v="91002438"/>
        <n v="91002439"/>
        <n v="91002440"/>
        <n v="91002441"/>
        <n v="91002442"/>
        <n v="91002443"/>
        <n v="91002444"/>
        <n v="91002445"/>
        <n v="91002446"/>
        <n v="91002447"/>
        <n v="91002448"/>
        <n v="91002449"/>
        <n v="1769"/>
        <n v="1768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40272971"/>
        <n v="40272972"/>
        <n v="40272973"/>
        <n v="40272974"/>
        <n v="40272975"/>
        <n v="40272976"/>
        <n v="40272977"/>
        <n v="40272978"/>
        <n v="40272979"/>
        <n v="91002450"/>
        <n v="91002451"/>
        <n v="91002452"/>
        <n v="91002454"/>
        <n v="91002455"/>
        <n v="91002456"/>
        <n v="91002457"/>
        <n v="91002458"/>
        <n v="91002459"/>
        <n v="91002468"/>
        <n v="91002469"/>
        <n v="91002470"/>
        <n v="91002471"/>
        <n v="91002473"/>
        <n v="91002474"/>
        <n v="91002453"/>
        <n v="91002460"/>
        <n v="91002461"/>
        <n v="91002462"/>
        <n v="91002463"/>
        <n v="91002464"/>
        <n v="91002465"/>
        <n v="91002466"/>
        <n v="91002467"/>
        <n v="91002472"/>
        <n v="91002475"/>
        <n v="91002476"/>
        <n v="91002477"/>
        <n v="91002478"/>
        <n v="91002479"/>
        <n v="91002480"/>
        <n v="91002481"/>
        <n v="91002482"/>
        <n v="91002483"/>
        <n v="91002484"/>
        <n v="91002485"/>
        <n v="91002486"/>
        <n v="91002487"/>
        <n v="91002488"/>
        <n v="91002489"/>
        <n v="91002490"/>
        <n v="91002491"/>
        <n v="91002492"/>
        <n v="91002493"/>
        <n v="91002494"/>
        <n v="91002495"/>
        <n v="91002496"/>
        <n v="91002497"/>
        <n v="91002498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40272981"/>
        <n v="40272982"/>
        <n v="40272983"/>
        <n v="91002499"/>
        <n v="91002500"/>
        <n v="91002501"/>
        <n v="91002502"/>
        <n v="91002503"/>
        <n v="91002504"/>
        <n v="91002505"/>
        <n v="91002506"/>
        <n v="91002507"/>
        <n v="91002508"/>
        <n v="91002509"/>
        <n v="91002510"/>
        <n v="91002511"/>
        <n v="91002512"/>
        <n v="91002513"/>
        <n v="91002514"/>
        <n v="91002515"/>
        <n v="91002516"/>
        <n v="91002517"/>
        <n v="40272984"/>
        <n v="40272987"/>
        <n v="40272988"/>
        <n v="91002518"/>
        <n v="91002519"/>
        <n v="91002520"/>
        <n v="91002521"/>
        <n v="91002522"/>
        <n v="91002523"/>
        <n v="91002524"/>
        <n v="91002525"/>
        <n v="91002526"/>
        <n v="91002527"/>
        <n v="91002528"/>
        <n v="91002529"/>
        <n v="91002530"/>
        <n v="91002531"/>
        <n v="91002532"/>
        <n v="91002533"/>
        <n v="91002534"/>
        <n v="91002535"/>
        <n v="91002536"/>
        <n v="91002537"/>
        <n v="91002538"/>
        <n v="91002539"/>
        <n v="91002540"/>
        <n v="91002541"/>
        <n v="91002542"/>
        <n v="91002543"/>
        <n v="91002544"/>
        <n v="91002545"/>
        <n v="91002546"/>
        <n v="91002547"/>
        <n v="91002548"/>
        <n v="91002549"/>
        <n v="91002550"/>
        <n v="91002551"/>
        <n v="91002552"/>
        <n v="91002553"/>
        <n v="91002554"/>
        <n v="91002555"/>
        <n v="91002556"/>
        <n v="91002557"/>
        <n v="91002558"/>
        <n v="91002559"/>
        <n v="91002560"/>
        <n v="91002561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40272990"/>
        <n v="40272991"/>
        <n v="91002562"/>
        <n v="91002563"/>
        <n v="91002564"/>
        <n v="91002565"/>
        <n v="91002566"/>
        <n v="91002567"/>
        <n v="91002568"/>
        <n v="91002569"/>
        <n v="40272992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40272993"/>
        <n v="91002570"/>
        <n v="91002571"/>
        <n v="91002572"/>
        <n v="91002573"/>
        <n v="91002574"/>
        <n v="91002575"/>
        <n v="91002576"/>
        <n v="91002577"/>
        <n v="91002578"/>
        <n v="91002579"/>
        <n v="91002580"/>
        <n v="40272994"/>
        <n v="40272995"/>
        <n v="91002581"/>
        <n v="91002582"/>
        <n v="91002583"/>
        <n v="91002584"/>
        <n v="91002585"/>
        <n v="91002586"/>
        <n v="91002587"/>
        <n v="91002588"/>
        <n v="91002589"/>
        <n v="1934"/>
        <n v="1935"/>
        <n v="1936"/>
        <n v="1937"/>
        <n v="1938"/>
        <n v="1939"/>
        <n v="1940"/>
        <n v="1941"/>
        <n v="91002590"/>
        <n v="91002591"/>
        <n v="91002592"/>
        <n v="91002593"/>
        <n v="91002594"/>
        <n v="91002595"/>
        <n v="91002596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40272996"/>
        <n v="40272997"/>
        <n v="91002597"/>
        <n v="91002598"/>
        <n v="91002599"/>
        <n v="91002600"/>
        <n v="91002601"/>
        <n v="91002602"/>
        <n v="91002603"/>
        <n v="91002604"/>
        <n v="91002605"/>
        <n v="91002606"/>
        <n v="91002607"/>
        <n v="91002608"/>
        <n v="91002609"/>
        <n v="91002610"/>
        <n v="91002611"/>
        <n v="91002612"/>
        <n v="91002613"/>
        <n v="91002614"/>
        <n v="91002615"/>
        <n v="91002616"/>
        <n v="1957"/>
        <n v="40272998"/>
        <n v="40272999"/>
        <n v="40273000"/>
        <n v="40273001"/>
        <n v="40273002"/>
        <n v="91002617"/>
        <n v="91002618"/>
        <n v="91002619"/>
        <n v="91002620"/>
        <n v="91002621"/>
        <n v="91002622"/>
        <n v="91002623"/>
        <n v="91002624"/>
        <n v="91002625"/>
        <n v="91002626"/>
        <n v="91002627"/>
        <n v="91002628"/>
        <n v="91002629"/>
        <n v="91002630"/>
        <n v="91002631"/>
        <n v="91002632"/>
        <n v="91002633"/>
        <n v="91002634"/>
        <n v="91002635"/>
        <n v="91002636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91002639"/>
        <n v="91002640"/>
        <n v="91002637"/>
        <n v="91002638"/>
        <n v="91002641"/>
        <n v="91002642"/>
        <n v="91002643"/>
        <n v="91002644"/>
        <n v="91002645"/>
        <n v="91002646"/>
        <n v="91002647"/>
        <n v="91002648"/>
        <n v="91002649"/>
        <n v="91002650"/>
        <n v="1976"/>
        <n v="91002651"/>
        <n v="91002652"/>
        <n v="91002653"/>
        <n v="91002654"/>
        <n v="91002655"/>
        <n v="91002656"/>
        <n v="91002657"/>
        <n v="91002658"/>
        <n v="91002659"/>
        <n v="91002660"/>
        <n v="91002661"/>
        <n v="91002662"/>
        <n v="91002663"/>
        <n v="91002664"/>
        <n v="91002665"/>
        <n v="91002666"/>
        <n v="40273003"/>
        <n v="1977"/>
        <n v="1978"/>
        <n v="1979"/>
        <n v="1980"/>
        <n v="91002667"/>
        <n v="91002668"/>
        <n v="91002669"/>
        <n v="91002670"/>
        <n v="91002671"/>
        <n v="91002672"/>
        <n v="91002673"/>
        <n v="91002674"/>
        <n v="91002675"/>
        <n v="91002676"/>
        <n v="91002677"/>
        <n v="91002678"/>
        <n v="91002679"/>
        <n v="91002680"/>
        <n v="91002681"/>
        <n v="91002682"/>
        <n v="91002683"/>
        <n v="91002684"/>
        <n v="91002685"/>
        <n v="91002686"/>
        <n v="91002687"/>
        <n v="91002688"/>
        <n v="91002689"/>
        <n v="91002690"/>
        <n v="91002691"/>
        <n v="91002692"/>
        <n v="91002693"/>
        <n v="91002694"/>
        <n v="91002695"/>
        <n v="91002696"/>
        <n v="91002697"/>
        <n v="91002698"/>
        <n v="91002699"/>
        <n v="91002700"/>
        <n v="40273004"/>
        <n v="1981"/>
        <n v="1982"/>
        <n v="1983"/>
        <n v="1984"/>
        <n v="1985"/>
        <n v="1986"/>
        <n v="1987"/>
        <n v="40273005"/>
        <n v="40273006"/>
        <n v="40273007"/>
        <n v="91002701"/>
        <n v="91002702"/>
        <n v="91002703"/>
        <n v="91002704"/>
        <n v="91002705"/>
        <n v="91002706"/>
        <n v="9100270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91002708"/>
        <n v="91002709"/>
        <n v="91002710"/>
        <n v="91002711"/>
        <n v="91002712"/>
        <n v="91002713"/>
        <n v="91002714"/>
        <n v="91002715"/>
        <n v="91002716"/>
        <n v="91002717"/>
        <n v="91002718"/>
        <n v="91002719"/>
        <n v="91002720"/>
        <n v="91002721"/>
        <n v="91002722"/>
        <n v="91002723"/>
        <n v="91002724"/>
        <n v="91002725"/>
        <n v="91002726"/>
        <n v="91002727"/>
        <n v="91002728"/>
        <n v="91002729"/>
        <n v="91002730"/>
        <n v="91002731"/>
        <n v="91002732"/>
        <n v="40273008"/>
        <n v="40273009"/>
        <n v="40273010"/>
        <n v="40273011"/>
        <n v="40273012"/>
        <n v="40273013"/>
        <n v="40273014"/>
        <n v="40273015"/>
        <n v="91002733"/>
        <n v="91002734"/>
        <n v="91002735"/>
        <n v="91002736"/>
        <n v="91002737"/>
        <n v="91002738"/>
        <n v="91002739"/>
        <n v="91002740"/>
        <n v="91002741"/>
        <n v="91002742"/>
        <n v="91002743"/>
        <n v="91002744"/>
        <n v="91002745"/>
        <n v="91002746"/>
        <n v="91002747"/>
        <n v="91002748"/>
        <n v="91002749"/>
        <n v="91002750"/>
        <n v="91002751"/>
        <n v="91002752"/>
        <n v="2021"/>
        <n v="2022"/>
        <n v="2023"/>
        <n v="2024"/>
        <n v="2013"/>
        <n v="2014"/>
        <n v="2015"/>
        <n v="2016"/>
        <n v="2017"/>
        <n v="2018"/>
        <n v="2019"/>
        <n v="2020"/>
        <n v="2025"/>
        <n v="2026"/>
        <n v="2027"/>
        <n v="2028"/>
        <n v="2029"/>
        <n v="2030"/>
        <n v="40273016"/>
        <n v="40273017"/>
        <n v="91002753"/>
        <n v="91002754"/>
        <n v="91002755"/>
        <n v="91002756"/>
        <n v="91002757"/>
        <n v="91002758"/>
        <n v="91002759"/>
        <n v="91002760"/>
        <n v="91002761"/>
        <n v="91002762"/>
        <n v="91002763"/>
        <n v="91002764"/>
        <n v="91002765"/>
        <n v="91002766"/>
        <n v="91002767"/>
        <n v="91002768"/>
        <n v="91002769"/>
        <n v="2031"/>
        <n v="2032"/>
        <n v="2033"/>
        <n v="2034"/>
        <n v="2035"/>
        <n v="2036"/>
        <n v="2037"/>
        <n v="2038"/>
        <n v="2039"/>
        <n v="2040"/>
        <n v="2041"/>
        <n v="91002770"/>
        <n v="91002771"/>
        <n v="91002772"/>
        <n v="91002773"/>
        <n v="91002774"/>
        <n v="91002775"/>
        <n v="91002776"/>
        <n v="91002777"/>
        <n v="91002778"/>
        <n v="91002779"/>
        <n v="91002780"/>
        <n v="91002784"/>
        <n v="91002785"/>
        <n v="91002786"/>
        <n v="91002787"/>
        <n v="91002788"/>
        <n v="91002789"/>
        <n v="91002781"/>
        <n v="91002782"/>
        <n v="91002783"/>
        <n v="91002790"/>
        <n v="91002791"/>
        <n v="91002792"/>
        <n v="91002793"/>
        <n v="91002794"/>
        <n v="91002795"/>
        <n v="91002796"/>
        <n v="91002797"/>
        <n v="91002798"/>
        <n v="91002799"/>
        <n v="91002810"/>
        <n v="91002811"/>
        <n v="91002812"/>
        <n v="91002813"/>
        <n v="91002814"/>
        <n v="91002815"/>
        <n v="40273018"/>
        <n v="91002800"/>
        <n v="91002801"/>
        <n v="91002802"/>
        <n v="91002803"/>
        <n v="91002804"/>
        <n v="91002805"/>
        <n v="91002806"/>
        <n v="91002807"/>
        <n v="91002808"/>
        <n v="91002809"/>
        <n v="91002822"/>
        <n v="91002823"/>
        <n v="91002824"/>
        <n v="91002817"/>
        <n v="91002818"/>
        <n v="91002816"/>
        <n v="91002819"/>
        <n v="91002820"/>
        <n v="91002821"/>
        <n v="40273019"/>
        <n v="91002825"/>
        <n v="91002826"/>
        <n v="91002827"/>
        <n v="91002828"/>
        <n v="91002829"/>
        <n v="91002830"/>
        <n v="91002831"/>
        <n v="91002832"/>
        <n v="91002833"/>
        <n v="91002834"/>
        <n v="91002835"/>
        <n v="91002836"/>
        <n v="91002837"/>
        <n v="91002838"/>
        <n v="91002839"/>
        <n v="91002840"/>
        <n v="91002841"/>
        <n v="91002842"/>
        <n v="91002843"/>
        <n v="91002850"/>
        <n v="91002851"/>
        <n v="91002852"/>
        <n v="91002853"/>
        <n v="91002854"/>
        <n v="91002855"/>
        <n v="91002856"/>
        <n v="91002857"/>
        <n v="91002858"/>
        <n v="91002859"/>
        <n v="91002844"/>
        <n v="91002845"/>
        <n v="91002846"/>
        <n v="91002847"/>
        <n v="91002848"/>
        <n v="91002849"/>
        <n v="40273020"/>
        <n v="91002862"/>
        <n v="91002863"/>
        <n v="91002865"/>
        <n v="91002866"/>
        <n v="91002867"/>
        <n v="91002868"/>
        <n v="91002869"/>
        <n v="91002870"/>
        <n v="91002871"/>
        <n v="91002872"/>
        <n v="91002873"/>
        <n v="91002874"/>
        <n v="91002875"/>
        <n v="91002876"/>
        <n v="91002860"/>
        <n v="91002861"/>
        <n v="91002864"/>
        <n v="91002877"/>
        <n v="91002878"/>
        <n v="91002879"/>
        <n v="91002880"/>
        <n v="91002881"/>
        <n v="91002882"/>
        <n v="91002883"/>
        <n v="91002884"/>
        <n v="91002885"/>
        <n v="91002886"/>
        <n v="91002887"/>
        <n v="91002888"/>
        <n v="91002889"/>
        <n v="91002890"/>
        <n v="91002891"/>
        <n v="91002892"/>
        <n v="91002893"/>
        <n v="91002894"/>
        <n v="91002895"/>
        <n v="91002896"/>
        <n v="91002897"/>
        <n v="91002898"/>
        <n v="91002899"/>
        <n v="91002900"/>
        <n v="91002901"/>
        <n v="91002902"/>
        <n v="91002903"/>
        <n v="2042"/>
        <n v="91002904"/>
        <n v="91002905"/>
        <n v="91002906"/>
        <n v="91002907"/>
        <n v="91002908"/>
        <n v="91002909"/>
        <n v="91002910"/>
        <n v="91002911"/>
        <n v="91002912"/>
        <n v="91002913"/>
        <n v="91002916"/>
        <n v="91002917"/>
        <n v="91002919"/>
        <n v="91002920"/>
        <n v="91002914"/>
        <n v="91002915"/>
        <n v="91002918"/>
        <n v="91002921"/>
        <n v="91002922"/>
        <n v="91002923"/>
        <n v="91002924"/>
        <n v="91002925"/>
        <n v="91002926"/>
        <n v="40273021"/>
        <n v="40273022"/>
        <n v="40273023"/>
        <n v="40273024"/>
        <n v="40273025"/>
        <n v="91002927"/>
        <n v="91002928"/>
        <n v="91002929"/>
        <n v="91002930"/>
        <n v="91002931"/>
        <n v="91002932"/>
        <n v="91002933"/>
        <n v="91002934"/>
        <n v="91002935"/>
        <n v="91002936"/>
        <n v="91002937"/>
        <n v="91002938"/>
        <n v="91002939"/>
        <n v="91002940"/>
        <n v="91002941"/>
        <n v="91002942"/>
        <n v="91002943"/>
        <n v="91002944"/>
        <n v="91002945"/>
        <n v="91002946"/>
        <n v="2043"/>
        <n v="91002947"/>
        <n v="91002948"/>
        <n v="91002949"/>
        <n v="91002950"/>
        <n v="91002951"/>
        <n v="91002952"/>
        <n v="91002953"/>
        <n v="91002958"/>
        <n v="91002959"/>
        <n v="91002954"/>
        <n v="91002955"/>
        <n v="91002956"/>
        <n v="91002957"/>
        <n v="91002960"/>
        <n v="91002961"/>
        <n v="91002962"/>
        <n v="91002963"/>
        <n v="91002964"/>
        <n v="91002965"/>
        <n v="91002966"/>
        <n v="91002967"/>
        <n v="91002968"/>
        <n v="91002969"/>
        <n v="91002970"/>
        <n v="2044"/>
        <n v="91002971"/>
        <n v="61301826"/>
        <n v="91002972"/>
        <n v="91002973"/>
        <n v="91002974"/>
        <n v="91002975"/>
        <n v="91002976"/>
        <n v="91002977"/>
        <n v="91002978"/>
        <n v="91002979"/>
        <n v="91002980"/>
        <n v="91002981"/>
        <n v="91002982"/>
        <n v="91002983"/>
        <n v="91002984"/>
        <n v="91002985"/>
        <n v="91002986"/>
        <n v="61301827"/>
        <n v="61301828"/>
        <n v="91002987"/>
        <n v="91002988"/>
        <n v="91002989"/>
        <n v="91002990"/>
        <n v="91002991"/>
        <n v="91002992"/>
        <n v="91002993"/>
        <n v="91002994"/>
        <n v="91002995"/>
        <n v="91002996"/>
        <n v="91002997"/>
        <n v="91002998"/>
        <n v="91002999"/>
        <n v="91003000"/>
        <n v="91003001"/>
        <n v="91003002"/>
        <n v="91003003"/>
        <n v="91003004"/>
        <n v="91003005"/>
        <n v="91003006"/>
        <n v="91003007"/>
        <n v="91003008"/>
        <n v="91003009"/>
        <n v="91003010"/>
        <n v="91003011"/>
        <n v="91003012"/>
        <n v="91003013"/>
        <n v="91003014"/>
        <n v="91003015"/>
        <n v="91003016"/>
        <n v="91003017"/>
        <n v="91003018"/>
        <n v="91003019"/>
        <n v="91003020"/>
        <n v="91003021"/>
        <n v="91003022"/>
        <n v="91003023"/>
        <n v="91003024"/>
        <n v="91003025"/>
        <n v="91003026"/>
        <n v="91003027"/>
        <n v="91003028"/>
        <n v="91003029"/>
        <n v="91003030"/>
        <n v="91003031"/>
        <n v="91003032"/>
        <n v="91003033"/>
        <n v="91003034"/>
        <n v="91003035"/>
        <n v="95780900"/>
        <n v="91003036"/>
        <n v="61301829"/>
        <n v="91003037"/>
        <n v="91003038"/>
        <n v="91003039"/>
        <n v="61301830"/>
        <n v="61301831"/>
        <n v="61301832"/>
        <n v="61301833"/>
        <n v="61301834"/>
        <n v="91003040"/>
        <n v="91003041"/>
        <n v="91003042"/>
        <n v="91003043"/>
        <n v="91003044"/>
        <n v="91003045"/>
        <n v="91003046"/>
        <n v="91003047"/>
        <n v="91003049"/>
        <n v="91003050"/>
        <n v="91003051"/>
        <n v="91003052"/>
        <n v="91003053"/>
        <n v="91003054"/>
        <n v="91003055"/>
        <n v="91003048"/>
        <n v="61301835"/>
        <n v="91003056"/>
        <n v="91003057"/>
        <n v="61301836"/>
        <n v="91003058"/>
        <n v="91003059"/>
        <n v="91003060"/>
        <n v="91003061"/>
        <n v="91003062"/>
        <n v="91003063"/>
        <n v="91003064"/>
        <n v="91003065"/>
        <n v="91003066"/>
        <n v="91003067"/>
        <n v="91003068"/>
        <n v="91003069"/>
        <n v="91003070"/>
        <n v="91003071"/>
        <n v="91003072"/>
        <n v="91003073"/>
        <n v="91003074"/>
        <n v="91003075"/>
        <n v="91003076"/>
        <n v="91003077"/>
        <n v="91003078"/>
        <n v="91003079"/>
        <n v="61301837"/>
        <n v="95780901"/>
        <n v="61301838"/>
        <n v="61301839"/>
        <n v="91003080"/>
        <n v="91003081"/>
        <n v="91003082"/>
        <n v="91003083"/>
        <n v="91003084"/>
        <n v="91003085"/>
        <n v="91003086"/>
        <n v="91003087"/>
        <n v="91003088"/>
        <n v="91003089"/>
        <n v="91003090"/>
        <n v="91003091"/>
        <n v="91003092"/>
        <n v="91003093"/>
        <n v="91003094"/>
        <n v="91003095"/>
        <n v="91003096"/>
        <n v="91003116"/>
        <n v="91003117"/>
        <n v="91003127"/>
        <n v="91003128"/>
        <n v="91003097"/>
        <n v="91003098"/>
        <n v="91003099"/>
        <n v="91003100"/>
        <n v="91003101"/>
        <n v="91003102"/>
        <n v="91003103"/>
        <n v="91003104"/>
        <n v="91003105"/>
        <n v="91003106"/>
        <n v="91003107"/>
        <n v="91003108"/>
        <n v="91003109"/>
        <n v="91003110"/>
        <n v="91003111"/>
        <n v="91003112"/>
        <n v="91003113"/>
        <n v="91003114"/>
        <n v="91003115"/>
        <n v="91003118"/>
        <n v="91003119"/>
        <n v="91003120"/>
        <n v="91003121"/>
        <n v="91003122"/>
        <n v="91003123"/>
        <n v="91003124"/>
        <n v="91003125"/>
        <n v="91003126"/>
        <n v="61301840"/>
        <n v="61301841"/>
        <n v="95780902"/>
        <n v="91003129"/>
        <n v="91003130"/>
        <n v="91003131"/>
        <n v="91003132"/>
        <n v="91003133"/>
        <n v="91003134"/>
        <n v="91003135"/>
        <n v="91003136"/>
        <n v="91003137"/>
        <n v="91003138"/>
        <n v="91003139"/>
        <n v="91003140"/>
        <n v="91003149"/>
        <n v="91003150"/>
        <n v="91003141"/>
        <n v="91003142"/>
        <n v="91003143"/>
        <n v="91003144"/>
        <n v="91003145"/>
        <n v="91003146"/>
        <n v="91003147"/>
        <n v="91003148"/>
        <n v="61301842"/>
        <n v="61301843"/>
        <n v="91003153"/>
        <n v="91003154"/>
        <n v="91003155"/>
        <n v="91003156"/>
        <n v="91003157"/>
        <n v="91003158"/>
        <n v="91003159"/>
        <n v="91003160"/>
        <n v="91003161"/>
        <n v="91003162"/>
        <n v="91003163"/>
        <n v="91003164"/>
        <n v="91003165"/>
        <n v="91003166"/>
        <n v="91003167"/>
        <n v="91003168"/>
        <n v="91003169"/>
        <n v="91003170"/>
        <n v="91003171"/>
        <n v="91003172"/>
        <n v="91003173"/>
        <n v="91003174"/>
        <n v="91003175"/>
        <n v="91003176"/>
        <n v="91003177"/>
        <n v="91003178"/>
        <n v="91003179"/>
        <n v="91003180"/>
        <n v="91003151"/>
        <n v="91003152"/>
        <n v="61301844"/>
        <n v="91003181"/>
        <n v="91003182"/>
        <n v="91003183"/>
        <n v="91003184"/>
        <n v="91003185"/>
        <n v="91003186"/>
        <n v="91003191"/>
        <n v="91003192"/>
        <n v="91003187"/>
        <n v="91003188"/>
        <n v="91003189"/>
        <n v="91003190"/>
        <n v="91003193"/>
        <n v="91003194"/>
        <n v="91003195"/>
        <n v="91003196"/>
        <n v="91003197"/>
        <n v="91003198"/>
        <n v="91003199"/>
        <n v="91003200"/>
        <n v="91003201"/>
        <n v="91003202"/>
        <n v="91003203"/>
        <n v="91003204"/>
        <n v="91003205"/>
        <n v="61301845"/>
        <n v="61301846"/>
        <n v="61301847"/>
        <n v="61301848"/>
        <n v="61301849"/>
        <n v="61301850"/>
        <n v="91003206"/>
        <n v="91003207"/>
        <n v="91003208"/>
        <n v="91003209"/>
        <n v="91003210"/>
        <n v="91003211"/>
        <n v="91003212"/>
        <n v="91003213"/>
        <n v="91003214"/>
        <n v="91003215"/>
        <n v="91003216"/>
        <n v="91003217"/>
        <n v="91003218"/>
        <n v="91003219"/>
        <n v="91003220"/>
        <n v="91003224"/>
        <n v="91003225"/>
        <n v="91003221"/>
        <n v="91003222"/>
        <n v="91003223"/>
        <n v="91003226"/>
        <n v="91003227"/>
        <n v="91003228"/>
        <n v="91003229"/>
        <n v="91003230"/>
        <n v="91003231"/>
        <n v="91003232"/>
        <n v="91003233"/>
        <n v="91003234"/>
        <n v="61301851"/>
        <n v="61301852"/>
        <n v="61301853"/>
        <n v="91003235"/>
        <n v="91003236"/>
        <n v="91003240"/>
        <n v="91003241"/>
        <n v="91003242"/>
        <n v="95780903"/>
        <n v="91003237"/>
        <n v="91003238"/>
        <n v="91003239"/>
        <n v="91003243"/>
        <n v="91003244"/>
        <n v="91003245"/>
        <n v="91003246"/>
        <n v="91003247"/>
        <n v="91003248"/>
        <n v="91003249"/>
        <n v="91003250"/>
        <n v="91003251"/>
        <n v="91003252"/>
        <n v="91003253"/>
        <n v="91003254"/>
        <n v="91003255"/>
        <n v="91003256"/>
        <n v="91003257"/>
        <n v="91003258"/>
        <n v="91003259"/>
        <n v="91003260"/>
        <n v="91003261"/>
        <n v="61301854"/>
        <n v="91003262"/>
        <n v="91003263"/>
        <n v="91003264"/>
        <n v="91003265"/>
        <n v="91003267"/>
        <n v="91003268"/>
        <n v="91003269"/>
        <n v="91003270"/>
        <n v="91003271"/>
        <n v="91003272"/>
        <n v="91003273"/>
        <n v="91003266"/>
        <n v="91003274"/>
        <n v="91003275"/>
        <n v="61301855"/>
        <n v="61301856"/>
        <n v="91003276"/>
        <n v="91003277"/>
        <n v="91003278"/>
        <n v="91003279"/>
        <n v="91003280"/>
        <n v="91003281"/>
        <n v="91003282"/>
        <n v="91003283"/>
        <n v="61301857"/>
        <n v="91003284"/>
        <n v="91003285"/>
        <n v="91003286"/>
        <n v="91003287"/>
        <n v="91003288"/>
        <n v="91003289"/>
        <n v="91003290"/>
        <n v="91003291"/>
        <n v="91003292"/>
        <n v="91003293"/>
        <n v="91003294"/>
        <n v="91003295"/>
        <n v="91003296"/>
        <n v="91003297"/>
        <n v="91003298"/>
        <n v="91003305"/>
        <n v="91003306"/>
        <n v="91003299"/>
        <n v="91003300"/>
        <n v="91003301"/>
        <n v="91003302"/>
        <n v="91003303"/>
        <n v="91003304"/>
        <n v="61301858"/>
        <n v="91003307"/>
        <n v="91003308"/>
        <n v="91003309"/>
        <n v="91003310"/>
        <n v="91003311"/>
        <n v="91003312"/>
        <n v="91003313"/>
        <n v="91003314"/>
        <n v="91003315"/>
        <n v="91003316"/>
        <n v="91003317"/>
        <n v="91003318"/>
        <n v="91003319"/>
        <n v="91003320"/>
        <n v="91003321"/>
        <n v="91003322"/>
        <n v="91003323"/>
        <n v="61301859"/>
        <n v="91003328"/>
        <n v="91003329"/>
        <n v="91003330"/>
        <n v="91003324"/>
        <n v="91003325"/>
        <n v="91003326"/>
        <n v="91003327"/>
        <n v="91003331"/>
        <n v="91003332"/>
        <n v="91003333"/>
        <n v="91003334"/>
        <n v="91003335"/>
        <n v="91003336"/>
        <n v="91003337"/>
        <n v="91003338"/>
        <n v="91003339"/>
        <n v="91003340"/>
        <n v="61301860"/>
        <n v="61301861"/>
        <n v="91003342"/>
        <n v="91003343"/>
        <n v="91003341"/>
        <n v="91003344"/>
        <n v="91003345"/>
        <n v="91003346"/>
        <n v="91003347"/>
        <n v="91003348"/>
        <n v="91003349"/>
        <n v="91003350"/>
        <n v="91003351"/>
        <n v="91003352"/>
        <n v="91003353"/>
        <n v="91003354"/>
        <n v="91003355"/>
        <n v="91003356"/>
        <n v="91003357"/>
        <n v="61301862"/>
        <n v="61301863"/>
        <n v="61301864"/>
        <n v="91003358"/>
        <n v="91003359"/>
        <n v="91003360"/>
        <n v="91003361"/>
        <n v="91003362"/>
        <n v="91003363"/>
        <n v="91003364"/>
        <n v="91003365"/>
        <n v="91003366"/>
        <n v="91003367"/>
        <n v="91003368"/>
        <n v="91003369"/>
        <n v="91003370"/>
        <n v="91003371"/>
        <n v="91003372"/>
        <n v="91003373"/>
        <n v="91003374"/>
        <n v="91003375"/>
        <n v="91003376"/>
        <n v="91003377"/>
        <n v="91003378"/>
        <n v="91003379"/>
        <n v="91003380"/>
        <n v="95780904"/>
        <n v="61301865"/>
        <n v="91003381"/>
        <n v="91003382"/>
        <n v="91003383"/>
        <n v="91003384"/>
        <n v="91003385"/>
        <n v="91003386"/>
        <n v="91003387"/>
        <n v="91003388"/>
        <n v="91003389"/>
        <n v="91003390"/>
        <n v="91003391"/>
        <n v="91003392"/>
        <n v="91003393"/>
        <n v="91003394"/>
        <n v="91003395"/>
        <n v="91003396"/>
        <n v="91003397"/>
        <n v="91003398"/>
        <n v="91003399"/>
        <n v="91003400"/>
        <n v="91003401"/>
        <n v="91003402"/>
        <n v="91003403"/>
        <n v="91003404"/>
        <n v="91003405"/>
        <n v="91003406"/>
        <n v="61301866"/>
        <n v="91003407"/>
        <n v="91003408"/>
        <n v="91003409"/>
        <n v="91003410"/>
        <n v="91003411"/>
        <n v="91003412"/>
        <n v="91003413"/>
        <n v="91003414"/>
        <n v="91003415"/>
        <n v="91003416"/>
        <n v="91003417"/>
        <n v="91003418"/>
        <n v="91003419"/>
        <n v="91003420"/>
        <n v="61301867"/>
        <n v="91003421"/>
        <n v="91003422"/>
        <n v="91003423"/>
        <n v="91003424"/>
        <n v="91003425"/>
        <n v="91003426"/>
        <n v="91003427"/>
        <n v="91003428"/>
        <n v="91003429"/>
        <n v="91003430"/>
        <n v="91003437"/>
        <n v="91003438"/>
        <n v="91003461"/>
        <n v="91003462"/>
        <n v="61301870"/>
        <n v="61301871"/>
        <n v="61301872"/>
        <n v="61301873"/>
        <n v="61301874"/>
        <n v="61301875"/>
        <n v="91003431"/>
        <n v="91003432"/>
        <n v="91003433"/>
        <n v="91003434"/>
        <n v="91003435"/>
        <n v="91003436"/>
        <n v="91003439"/>
        <n v="91003440"/>
        <n v="91003441"/>
        <n v="91003442"/>
        <n v="91003443"/>
        <n v="91003444"/>
        <n v="91003445"/>
        <n v="91003446"/>
        <n v="91003447"/>
        <n v="91003448"/>
        <n v="91003449"/>
        <n v="91003450"/>
        <n v="91003451"/>
        <n v="91003452"/>
        <n v="91003453"/>
        <n v="91003454"/>
        <n v="91003455"/>
        <n v="91003456"/>
        <n v="91003457"/>
        <n v="91003458"/>
        <n v="91003459"/>
        <n v="91003460"/>
        <n v="91003463"/>
        <n v="61301868"/>
        <n v="61301869"/>
        <n v="91003464"/>
        <n v="91003465"/>
        <n v="91003466"/>
        <n v="91003467"/>
        <n v="91003468"/>
        <n v="91003469"/>
        <n v="91003470"/>
        <n v="91003471"/>
        <n v="91003472"/>
        <n v="91003473"/>
        <n v="91003474"/>
        <n v="91003475"/>
        <n v="91003476"/>
        <n v="91003477"/>
        <n v="66622026"/>
        <n v="91003478"/>
        <n v="91003479"/>
        <n v="91003480"/>
        <n v="91003481"/>
        <n v="91003482"/>
        <n v="91003483"/>
        <n v="91003484"/>
        <n v="91003485"/>
        <n v="91003486"/>
        <n v="91003487"/>
        <n v="91003488"/>
        <n v="91003489"/>
        <n v="91003490"/>
        <n v="91003491"/>
        <n v="91003492"/>
        <n v="91003493"/>
        <n v="91003494"/>
        <n v="91003495"/>
        <n v="91003496"/>
        <n v="91003497"/>
        <n v="91003498"/>
        <n v="91003499"/>
        <n v="91003500"/>
        <n v="91003501"/>
        <n v="91003502"/>
        <n v="91003503"/>
        <n v="91003504"/>
        <n v="91003505"/>
        <n v="91003506"/>
        <n v="91003507"/>
        <n v="91003508"/>
        <n v="91003509"/>
        <n v="91003510"/>
        <n v="91003511"/>
        <n v="91003512"/>
        <n v="91003513"/>
        <n v="91003514"/>
        <n v="91003515"/>
        <n v="95780905"/>
        <n v="66622027"/>
        <n v="95780906"/>
        <n v="91003516"/>
        <n v="91003517"/>
        <n v="91003518"/>
        <n v="91003519"/>
        <n v="91003520"/>
        <n v="91003521"/>
        <n v="91003522"/>
        <n v="91003523"/>
        <n v="91003524"/>
        <n v="91003525"/>
        <n v="91003526"/>
        <n v="91003527"/>
        <n v="91003528"/>
        <n v="91003529"/>
        <n v="91003530"/>
        <n v="91003531"/>
        <n v="91003532"/>
        <n v="91003533"/>
        <n v="95780907"/>
        <n v="91003534"/>
        <n v="91003535"/>
        <n v="91003536"/>
        <n v="91003537"/>
        <n v="91003538"/>
        <n v="91003539"/>
        <n v="91003540"/>
        <n v="91003541"/>
        <n v="91003542"/>
        <n v="91003543"/>
        <n v="91003544"/>
        <n v="91003545"/>
        <n v="91003546"/>
        <n v="91003547"/>
        <n v="91003548"/>
        <n v="91003549"/>
        <n v="91003550"/>
        <n v="91003551"/>
        <n v="91003552"/>
        <n v="91003553"/>
        <n v="91003554"/>
        <n v="91003555"/>
        <n v="66622028"/>
        <n v="91003556"/>
        <n v="91003557"/>
        <n v="91003558"/>
        <n v="91003559"/>
        <n v="91003560"/>
        <n v="91003561"/>
        <m/>
        <n v="3045959" u="1"/>
        <n v="3045960" u="1"/>
        <n v="3045961" u="1"/>
        <n v="3045962" u="1"/>
        <n v="3045963" u="1"/>
        <n v="3045964" u="1"/>
        <n v="3045958" u="1"/>
        <n v="93655828" u="1"/>
        <n v="93919608" u="1"/>
        <n v="93919609" u="1"/>
        <n v="95363988" u="1"/>
        <n v="95363989" u="1"/>
        <n v="95363990" u="1"/>
        <n v="95363991" u="1"/>
        <n v="95363992" u="1"/>
        <n v="3045965" u="1"/>
        <n v="3045966" u="1"/>
        <n v="3045967" u="1"/>
        <n v="3045968" u="1"/>
        <n v="3045969" u="1"/>
        <n v="3045970" u="1"/>
        <n v="3045971" u="1"/>
        <n v="95363993" u="1"/>
        <n v="95363994" u="1"/>
        <n v="95363995" u="1"/>
        <n v="95363996" u="1"/>
        <n v="95363997" u="1"/>
        <n v="95363998" u="1"/>
        <n v="95363999" u="1"/>
        <n v="95364000" u="1"/>
        <n v="95364001" u="1"/>
        <n v="95364002" u="1"/>
        <n v="95364003" u="1"/>
        <n v="3045972" u="1"/>
        <n v="3045973" u="1"/>
        <n v="3045974" u="1"/>
        <n v="3045975" u="1"/>
        <n v="3045976" u="1"/>
        <n v="3045977" u="1"/>
        <n v="3045978" u="1"/>
        <n v="3045979" u="1"/>
        <n v="3045980" u="1"/>
        <n v="3045981" u="1"/>
        <n v="3045982" u="1"/>
        <n v="3045983" u="1"/>
        <n v="3045984" u="1"/>
        <n v="3045985" u="1"/>
        <n v="3045986" u="1"/>
        <n v="95364004" u="1"/>
        <n v="95364005" u="1"/>
        <n v="95364006" u="1"/>
        <n v="95364007" u="1"/>
        <n v="95364008" u="1"/>
        <n v="55259926" u="1"/>
        <n v="55259927" u="1"/>
        <n v="55259928" u="1"/>
        <n v="55259929" u="1"/>
        <n v="95364009" u="1"/>
        <n v="95364010" u="1"/>
        <n v="95364011" u="1"/>
        <n v="95364012" u="1"/>
        <n v="95364013" u="1"/>
        <n v="95364014" u="1"/>
        <n v="95364015" u="1"/>
        <n v="95364016" u="1"/>
        <n v="95364017" u="1"/>
        <n v="95364018" u="1"/>
        <n v="95364019" u="1"/>
        <n v="95364020" u="1"/>
        <n v="95364021" u="1"/>
        <n v="95364022" u="1"/>
        <n v="95364023" u="1"/>
        <n v="95364024" u="1"/>
        <n v="3045987" u="1"/>
        <n v="3045988" u="1"/>
        <n v="3045989" u="1"/>
        <n v="3045990" u="1"/>
        <n v="3045991" u="1"/>
        <n v="3045992" u="1"/>
        <n v="3045993" u="1"/>
        <n v="3045994" u="1"/>
        <n v="3045995" u="1"/>
        <n v="3045996" u="1"/>
        <n v="3045997" u="1"/>
        <n v="3045998" u="1"/>
        <n v="94462901" u="1"/>
        <n v="3045999" u="1"/>
        <n v="3046000" u="1"/>
        <n v="3046001" u="1"/>
        <n v="3046002" u="1"/>
        <n v="3046003" u="1"/>
        <n v="3046004" u="1"/>
        <n v="3046005" u="1"/>
        <n v="3046006" u="1"/>
        <n v="3046007" u="1"/>
        <n v="3046008" u="1"/>
        <n v="3046009" u="1"/>
        <n v="3046010" u="1"/>
        <n v="3046011" u="1"/>
        <n v="3046012" u="1"/>
        <n v="3046013" u="1"/>
        <n v="3046014" u="1"/>
        <n v="3046015" u="1"/>
        <n v="3046016" u="1"/>
        <n v="3046017" u="1"/>
        <n v="3046018" u="1"/>
        <n v="3046019" u="1"/>
        <n v="95364025" u="1"/>
        <n v="95364026" u="1"/>
        <n v="95364027" u="1"/>
        <n v="95364028" u="1"/>
        <n v="95364029" u="1"/>
        <n v="3046020" u="1"/>
        <n v="3046021" u="1"/>
        <n v="3046022" u="1"/>
        <n v="3046023" u="1"/>
        <n v="95364030" u="1"/>
        <n v="95364031" u="1"/>
        <n v="95364032" u="1"/>
        <n v="95364033" u="1"/>
        <n v="95364034" u="1"/>
        <n v="95364035" u="1"/>
        <n v="95364036" u="1"/>
        <n v="94462902" u="1"/>
        <n v="94462904" u="1"/>
        <n v="94462905" u="1"/>
        <n v="94462906" u="1"/>
        <n v="94462907" u="1"/>
        <n v="94462908" u="1"/>
        <n v="94462909" u="1"/>
        <n v="94462910" u="1"/>
        <n v="94462911" u="1"/>
        <n v="94462912" u="1"/>
        <n v="94462913" u="1"/>
        <n v="94462914" u="1"/>
        <n v="94462915" u="1"/>
        <n v="94462916" u="1"/>
        <n v="94462917" u="1"/>
        <n v="94462918" u="1"/>
        <n v="95364037" u="1"/>
        <n v="95364038" u="1"/>
        <n v="95364039" u="1"/>
        <n v="95364040" u="1"/>
        <n v="95364041" u="1"/>
        <n v="95364042" u="1"/>
        <n v="95364043" u="1"/>
        <n v="95364044" u="1"/>
        <n v="3046024" u="1"/>
        <n v="3046025" u="1"/>
        <n v="4462919" u="1"/>
        <n v="3046026" u="1"/>
        <n v="3046027" u="1"/>
        <n v="3046028" u="1"/>
        <n v="3046029" u="1"/>
        <n v="95364045" u="1"/>
        <n v="95364046" u="1"/>
        <n v="95364047" u="1"/>
        <n v="95364048" u="1"/>
        <n v="95364049" u="1"/>
        <n v="95364050" u="1"/>
        <n v="95364051" u="1"/>
        <n v="95364052" u="1"/>
        <n v="95364053" u="1"/>
        <n v="95364054" u="1"/>
        <n v="95364055" u="1"/>
        <n v="95364056" u="1"/>
        <n v="95364057" u="1"/>
        <n v="95364058" u="1"/>
        <n v="95364059" u="1"/>
        <n v="95364060" u="1"/>
        <n v="95364061" u="1"/>
        <n v="95364062" u="1"/>
        <n v="95364063" u="1"/>
        <n v="95364064" u="1"/>
        <n v="95364065" u="1"/>
        <n v="95364066" u="1"/>
        <n v="95364067" u="1"/>
        <n v="95364068" u="1"/>
        <n v="95364069" u="1"/>
        <n v="95364070" u="1"/>
        <n v="95364071" u="1"/>
        <n v="95364072" u="1"/>
        <n v="95364073" u="1"/>
        <n v="95364074" u="1"/>
        <n v="95364075" u="1"/>
        <n v="95364076" u="1"/>
        <n v="95364077" u="1"/>
        <n v="95364078" u="1"/>
        <n v="95364079" u="1"/>
        <n v="95364080" u="1"/>
        <n v="94462920" u="1"/>
        <n v="94462921" u="1"/>
        <n v="94462922" u="1"/>
        <n v="94462923" u="1"/>
        <n v="95364081" u="1"/>
        <n v="95364082" u="1"/>
        <n v="95364083" u="1"/>
        <n v="95364084" u="1"/>
        <n v="95364085" u="1"/>
        <n v="95364086" u="1"/>
        <n v="95364087" u="1"/>
        <n v="95364088" u="1"/>
        <n v="95364089" u="1"/>
        <n v="95364090" u="1"/>
        <n v="95364091" u="1"/>
        <n v="95364092" u="1"/>
        <n v="95364093" u="1"/>
        <n v="95364094" u="1"/>
        <n v="95364095" u="1"/>
        <n v="95364096" u="1"/>
        <n v="95364097" u="1"/>
        <n v="95364098" u="1"/>
        <n v="95364099" u="1"/>
        <n v="95364100" u="1"/>
        <n v="95364101" u="1"/>
        <n v="95364102" u="1"/>
        <n v="95364103" u="1"/>
        <n v="95364104" u="1"/>
        <n v="95364105" u="1"/>
        <n v="95364106" u="1"/>
        <n v="95364107" u="1"/>
        <n v="95364108" u="1"/>
        <n v="95364109" u="1"/>
        <n v="95364110" u="1"/>
        <n v="95364111" u="1"/>
        <n v="95364112" u="1"/>
        <n v="95364113" u="1"/>
        <n v="95364114" u="1"/>
        <n v="95364115" u="1"/>
        <n v="95364116" u="1"/>
        <n v="95364117" u="1"/>
        <n v="95364118" u="1"/>
        <n v="95364119" u="1"/>
        <n v="95364120" u="1"/>
        <n v="95364121" u="1"/>
        <n v="95364122" u="1"/>
        <n v="95364123" u="1"/>
        <n v="95364124" u="1"/>
        <n v="95364125" u="1"/>
        <n v="95364126" u="1"/>
        <n v="95364127" u="1"/>
        <n v="95364128" u="1"/>
        <n v="95364129" u="1"/>
        <n v="95364130" u="1"/>
        <n v="95364131" u="1"/>
        <n v="94462924" u="1"/>
        <n v="95364132" u="1"/>
        <n v="95364133" u="1"/>
        <n v="95364134" u="1"/>
        <n v="95364135" u="1"/>
        <n v="95364136" u="1"/>
        <n v="95364137" u="1"/>
        <n v="95364138" u="1"/>
        <n v="95364139" u="1"/>
        <n v="95364140" u="1"/>
        <n v="95364141" u="1"/>
        <n v="95364142" u="1"/>
        <n v="95364143" u="1"/>
        <n v="95364144" u="1"/>
        <n v="95364145" u="1"/>
        <n v="95364146" u="1"/>
        <n v="95364147" u="1"/>
        <n v="95364148" u="1"/>
        <n v="95364149" u="1"/>
        <n v="95364150" u="1"/>
        <n v="95364151" u="1"/>
        <n v="95364152" u="1"/>
        <n v="95364153" u="1"/>
        <n v="95364154" u="1"/>
        <n v="95364155" u="1"/>
        <n v="95364156" u="1"/>
        <n v="95364157" u="1"/>
        <n v="95364158" u="1"/>
        <n v="95364159" u="1"/>
        <n v="95364160" u="1"/>
        <n v="95364161" u="1"/>
        <n v="95364162" u="1"/>
        <n v="95364163" u="1"/>
        <n v="95364164" u="1"/>
        <n v="95364165" u="1"/>
        <n v="95364166" u="1"/>
        <n v="95364167" u="1"/>
        <n v="95364168" u="1"/>
        <n v="95364169" u="1"/>
        <n v="95364170" u="1"/>
        <n v="95364171" u="1"/>
        <n v="95364172" u="1"/>
        <n v="95364173" u="1"/>
        <n v="95364174" u="1"/>
        <n v="95364175" u="1"/>
        <n v="95364176" u="1"/>
        <n v="95364177" u="1"/>
        <n v="95364178" u="1"/>
        <n v="95364179" u="1"/>
        <n v="95364180" u="1"/>
        <n v="94462925" u="1"/>
        <n v="95364181" u="1"/>
        <n v="95364182" u="1"/>
        <n v="95364183" u="1"/>
        <n v="95364184" u="1"/>
        <n v="95364185" u="1"/>
        <n v="95364186" u="1"/>
        <n v="95364187" u="1"/>
        <n v="99267932" u="1"/>
        <n v="99267933" u="1"/>
        <n v="99267934" u="1"/>
        <n v="99267935" u="1"/>
        <n v="99267936" u="1"/>
        <n v="99267937" u="1"/>
        <n v="99267938" u="1"/>
        <n v="99267939" u="1"/>
        <n v="99267940" u="1"/>
        <n v="94462927" u="1"/>
        <n v="99267941" u="1"/>
        <n v="99267942" u="1"/>
        <n v="99267943" u="1"/>
        <n v="99267944" u="1"/>
        <n v="99267945" u="1"/>
        <n v="99267946" u="1"/>
        <n v="99267947" u="1"/>
        <n v="99267948" u="1"/>
        <n v="99267949" u="1"/>
        <n v="99267950" u="1"/>
        <n v="99267951" u="1"/>
        <n v="99267952" u="1"/>
        <n v="99267953" u="1"/>
        <n v="99267954" u="1"/>
        <n v="99267955" u="1"/>
        <n v="99267956" u="1"/>
        <n v="99267957" u="1"/>
        <n v="99267958" u="1"/>
        <n v="99267959" u="1"/>
        <n v="99267960" u="1"/>
        <n v="99267961" u="1"/>
        <n v="99267962" u="1"/>
        <n v="99267963" u="1"/>
        <n v="99267964" u="1"/>
        <n v="99267965" u="1"/>
        <n v="99267966" u="1"/>
        <n v="99267967" u="1"/>
        <n v="99267968" u="1"/>
        <n v="99267969" u="1"/>
        <n v="99267970" u="1"/>
        <n v="99267971" u="1"/>
        <n v="99267972" u="1"/>
        <n v="99267973" u="1"/>
        <n v="99267974" u="1"/>
        <n v="99267975" u="1"/>
        <n v="99267976" u="1"/>
        <n v="99267977" u="1"/>
        <n v="99267978" u="1"/>
        <n v="99267979" u="1"/>
        <n v="99267980" u="1"/>
        <n v="99267981" u="1"/>
        <n v="55259930" u="1"/>
        <n v="99267982" u="1"/>
        <n v="99267983" u="1"/>
        <n v="99267984" u="1"/>
        <n v="99267985" u="1"/>
        <n v="99267986" u="1"/>
        <n v="99267987" u="1"/>
        <n v="99267988" u="1"/>
        <n v="99267989" u="1"/>
        <n v="99267990" u="1"/>
        <n v="99267991" u="1"/>
        <n v="99267992" u="1"/>
        <n v="99267993" u="1"/>
        <n v="99267994" u="1"/>
        <n v="99267995" u="1"/>
        <n v="99267996" u="1"/>
        <n v="99267997" u="1"/>
        <n v="99267998" u="1"/>
        <n v="55259931" u="1"/>
        <n v="99267999" u="1"/>
        <n v="99268000" u="1"/>
        <n v="99268001" u="1"/>
        <n v="99268002" u="1"/>
        <n v="99268003" u="1"/>
        <n v="99268004" u="1"/>
        <n v="99268005" u="1"/>
        <n v="99268006" u="1"/>
        <n v="99268007" u="1"/>
        <n v="99268008" u="1"/>
        <n v="99268009" u="1"/>
        <n v="99268010" u="1"/>
        <n v="99268011" u="1"/>
        <n v="99268012" u="1"/>
        <n v="99268013" u="1"/>
        <n v="99268014" u="1"/>
        <n v="99268015" u="1"/>
        <n v="99268016" u="1"/>
        <n v="99268017" u="1"/>
        <n v="99268018" u="1"/>
        <n v="99268019" u="1"/>
        <n v="99268020" u="1"/>
        <n v="99268021" u="1"/>
        <n v="99268022" u="1"/>
        <n v="99268023" u="1"/>
        <n v="99268024" u="1"/>
        <n v="99268025" u="1"/>
        <n v="99268026" u="1"/>
        <n v="99268027" u="1"/>
        <n v="99268028" u="1"/>
        <n v="99268029" u="1"/>
        <n v="99268030" u="1"/>
        <n v="99268031" u="1"/>
        <n v="99268032" u="1"/>
        <n v="99268033" u="1"/>
        <n v="99268034" u="1"/>
        <n v="99268035" u="1"/>
        <n v="99268036" u="1"/>
        <n v="99268037" u="1"/>
        <n v="99268038" u="1"/>
        <n v="99268039" u="1"/>
        <n v="99268040" u="1"/>
        <n v="99268041" u="1"/>
        <n v="99268042" u="1"/>
        <n v="99268043" u="1"/>
        <n v="99268044" u="1"/>
        <n v="99268050" u="1"/>
        <n v="99268051" u="1"/>
        <n v="99268052" u="1"/>
        <n v="99268053" u="1"/>
        <n v="99268054" u="1"/>
        <n v="99268055" u="1"/>
        <n v="99268056" u="1"/>
        <n v="99268057" u="1"/>
        <n v="99268058" u="1"/>
        <n v="99268045" u="1"/>
        <n v="99268046" u="1"/>
        <n v="99268047" u="1"/>
        <n v="99268048" u="1"/>
        <n v="99268049" u="1"/>
        <n v="99268059" u="1"/>
        <n v="99268060" u="1"/>
        <n v="99268061" u="1"/>
        <n v="55259932" u="1"/>
        <n v="99268062" u="1"/>
        <n v="99268063" u="1"/>
        <n v="99268064" u="1"/>
        <n v="99268065" u="1"/>
        <n v="99268066" u="1"/>
        <n v="99268067" u="1"/>
        <n v="99268068" u="1"/>
        <n v="99268069" u="1"/>
        <n v="99268070" u="1"/>
        <n v="99268071" u="1"/>
        <n v="99268072" u="1"/>
        <n v="99268073" u="1"/>
        <n v="99268074" u="1"/>
        <n v="99268075" u="1"/>
        <n v="99268076" u="1"/>
        <n v="99268077" u="1"/>
        <n v="99268078" u="1"/>
        <n v="99268079" u="1"/>
        <n v="99268080" u="1"/>
        <n v="99268081" u="1"/>
        <n v="99268082" u="1"/>
        <n v="99268083" u="1"/>
        <n v="99268084" u="1"/>
        <n v="99268085" u="1"/>
        <n v="99268086" u="1"/>
        <n v="99268087" u="1"/>
        <n v="99268088" u="1"/>
        <n v="99268089" u="1"/>
        <n v="99268090" u="1"/>
        <n v="99268091" u="1"/>
        <n v="99268092" u="1"/>
        <n v="99268093" u="1"/>
        <n v="99268094" u="1"/>
        <n v="99268095" u="1"/>
        <n v="99268096" u="1"/>
        <n v="99268097" u="1"/>
        <n v="99268098" u="1"/>
        <n v="99268099" u="1"/>
        <n v="99268100" u="1"/>
        <n v="99268101" u="1"/>
        <n v="99268102" u="1"/>
        <n v="99268103" u="1"/>
        <n v="99268104" u="1"/>
        <n v="99268105" u="1"/>
        <n v="99268106" u="1"/>
        <n v="99268107" u="1"/>
        <n v="99268108" u="1"/>
        <n v="99268109" u="1"/>
        <n v="99268110" u="1"/>
        <n v="99268111" u="1"/>
        <n v="99268112" u="1"/>
        <n v="99268113" u="1"/>
        <n v="99268114" u="1"/>
        <n v="99268115" u="1"/>
        <n v="99268116" u="1"/>
        <n v="99268117" u="1"/>
        <n v="99268118" u="1"/>
        <n v="99268119" u="1"/>
        <n v="99268120" u="1"/>
        <n v="99268121" u="1"/>
        <n v="99268122" u="1"/>
        <n v="99268123" u="1"/>
        <n v="99268124" u="1"/>
        <n v="99268125" u="1"/>
        <n v="99268126" u="1"/>
        <n v="99268127" u="1"/>
        <n v="99268128" u="1"/>
        <n v="99268129" u="1"/>
        <n v="99268130" u="1"/>
        <n v="99268131" u="1"/>
        <n v="71643623" u="1"/>
        <n v="71643624" u="1"/>
        <n v="71643625" u="1"/>
        <n v="71643626" u="1"/>
        <n v="71643627" u="1"/>
        <n v="71643628" u="1"/>
        <n v="71643629" u="1"/>
        <n v="71643630" u="1"/>
        <n v="71643631" u="1"/>
        <n v="71643632" u="1"/>
        <n v="71643633" u="1"/>
        <n v="71643634" u="1"/>
        <n v="71643635" u="1"/>
        <n v="71643636" u="1"/>
        <n v="71643637" u="1"/>
        <n v="71643638" u="1"/>
        <n v="71643639" u="1"/>
        <n v="71643640" u="1"/>
        <n v="71643641" u="1"/>
        <n v="71643642" u="1"/>
        <n v="71643643" u="1"/>
        <n v="71643644" u="1"/>
        <n v="71643645" u="1"/>
        <n v="71643646" u="1"/>
        <n v="71643647" u="1"/>
        <n v="71643648" u="1"/>
        <n v="71643649" u="1"/>
        <n v="71643650" u="1"/>
        <n v="71643651" u="1"/>
        <n v="71643652" u="1"/>
        <n v="71643653" u="1"/>
        <n v="71643654" u="1"/>
        <n v="71643655" u="1"/>
        <n v="71643656" u="1"/>
        <n v="71643657" u="1"/>
        <n v="71643658" u="1"/>
        <n v="71643659" u="1"/>
        <n v="71643660" u="1"/>
        <n v="71643661" u="1"/>
        <n v="71643662" u="1"/>
        <n v="71643663" u="1"/>
        <n v="71643664" u="1"/>
        <n v="55259933" u="1"/>
        <n v="71643665" u="1"/>
        <n v="71643666" u="1"/>
        <n v="71643667" u="1"/>
        <n v="71643668" u="1"/>
        <n v="71643669" u="1"/>
        <n v="71643670" u="1"/>
        <n v="71643671" u="1"/>
        <n v="71643672" u="1"/>
        <n v="71643673" u="1"/>
        <n v="71643674" u="1"/>
        <n v="71643675" u="1"/>
        <n v="71643676" u="1"/>
        <n v="71643677" u="1"/>
        <n v="71643678" u="1"/>
        <n v="71643679" u="1"/>
        <n v="71643680" u="1"/>
        <n v="71643681" u="1"/>
        <n v="71643682" u="1"/>
        <n v="71643683" u="1"/>
        <n v="71643684" u="1"/>
        <n v="71643685" u="1"/>
        <n v="71643686" u="1"/>
        <n v="71643687" u="1"/>
        <n v="55259934" u="1"/>
        <n v="71643688" u="1"/>
        <n v="71643689" u="1"/>
        <n v="71643690" u="1"/>
        <n v="71643691" u="1"/>
        <n v="71643692" u="1"/>
        <n v="71643693" u="1"/>
        <n v="71643694" u="1"/>
        <n v="71643695" u="1"/>
        <n v="71643696" u="1"/>
        <n v="71643697" u="1"/>
        <n v="71643698" u="1"/>
        <n v="71643699" u="1"/>
        <n v="71643700" u="1"/>
        <n v="71643701" u="1"/>
        <n v="71643702" u="1"/>
        <n v="71643703" u="1"/>
        <n v="71643704" u="1"/>
        <n v="71643705" u="1"/>
        <n v="71643706" u="1"/>
        <n v="71643707" u="1"/>
        <n v="71643708" u="1"/>
        <n v="71643709" u="1"/>
        <n v="71643710" u="1"/>
        <n v="71643711" u="1"/>
        <n v="71643712" u="1"/>
        <n v="71643713" u="1"/>
        <n v="71643714" u="1"/>
        <n v="71643715" u="1"/>
        <n v="71643716" u="1"/>
        <n v="71643717" u="1"/>
        <n v="71643718" u="1"/>
        <n v="71643719" u="1"/>
        <n v="71643720" u="1"/>
        <n v="71643721" u="1"/>
        <n v="71643723" u="1"/>
        <n v="71643722" u="1"/>
        <n v="71643724" u="1"/>
        <n v="71643725" u="1"/>
        <n v="71643726" u="1"/>
        <n v="71643727" u="1"/>
        <n v="71643728" u="1"/>
        <n v="71643729" u="1"/>
        <n v="55259935" u="1"/>
        <n v="71643730" u="1"/>
        <n v="71643731" u="1"/>
        <n v="71643732" u="1"/>
        <n v="71643733" u="1"/>
        <n v="71643734" u="1"/>
        <n v="71643735" u="1"/>
        <n v="71643736" u="1"/>
        <n v="71643737" u="1"/>
        <n v="71643738" u="1"/>
        <n v="71643739" u="1"/>
        <n v="71643740" u="1"/>
        <n v="71643741" u="1"/>
        <n v="71643742" u="1"/>
        <n v="71643743" u="1"/>
        <n v="71643744" u="1"/>
        <n v="55259936" u="1"/>
        <n v="55259937" u="1"/>
        <n v="71643745" u="1"/>
        <n v="71643746" u="1"/>
        <n v="71643747" u="1"/>
        <n v="71643748" u="1"/>
        <n v="71643749" u="1"/>
        <n v="71643750" u="1"/>
        <n v="71643751" u="1"/>
        <n v="71643752" u="1"/>
        <n v="71643753" u="1"/>
        <n v="71643754" u="1"/>
        <n v="71643755" u="1"/>
        <n v="71643756" u="1"/>
        <n v="71643757" u="1"/>
        <n v="71643758" u="1"/>
        <n v="71643759" u="1"/>
        <n v="71643760" u="1"/>
        <n v="71643761" u="1"/>
        <n v="71643762" u="1"/>
        <n v="71643763" u="1"/>
        <n v="71643764" u="1"/>
        <n v="55259938" u="1"/>
        <n v="71643765" u="1"/>
        <n v="71643766" u="1"/>
        <n v="71643767" u="1"/>
        <n v="71643768" u="1"/>
        <n v="71643769" u="1"/>
        <n v="71643770" u="1"/>
        <n v="71643771" u="1"/>
        <n v="71643772" u="1"/>
        <n v="71643773" u="1"/>
        <n v="71643774" u="1"/>
        <n v="71643775" u="1"/>
        <n v="71643776" u="1"/>
        <n v="71643777" u="1"/>
        <n v="71643778" u="1"/>
        <n v="71643779" u="1"/>
        <n v="71643780" u="1"/>
        <n v="71643781" u="1"/>
        <n v="71643782" u="1"/>
        <n v="71643783" u="1"/>
        <n v="71643784" u="1"/>
        <n v="71643785" u="1"/>
        <n v="71643786" u="1"/>
        <n v="71643787" u="1"/>
        <n v="71643788" u="1"/>
        <n v="71643789" u="1"/>
        <n v="71643790" u="1"/>
        <n v="71643791" u="1"/>
        <n v="71643792" u="1"/>
        <n v="71643793" u="1"/>
        <n v="71643794" u="1"/>
        <n v="71643795" u="1"/>
        <n v="71643796" u="1"/>
        <n v="71643797" u="1"/>
        <n v="71643798" u="1"/>
        <n v="71643799" u="1"/>
        <n v="71643800" u="1"/>
        <n v="55259939" u="1"/>
        <n v="71643801" u="1"/>
        <n v="71643802" u="1"/>
        <n v="71643803" u="1"/>
        <n v="71643804" u="1"/>
        <n v="71643805" u="1"/>
        <n v="71643806" u="1"/>
        <n v="71643807" u="1"/>
        <n v="71643808" u="1"/>
        <n v="71643809" u="1"/>
        <n v="71643810" u="1"/>
        <n v="71643811" u="1"/>
        <n v="71643812" u="1"/>
        <n v="71643813" u="1"/>
        <n v="71643814" u="1"/>
        <n v="71643815" u="1"/>
        <n v="71643816" u="1"/>
        <n v="71643817" u="1"/>
        <n v="71643818" u="1"/>
        <n v="71643819" u="1"/>
        <n v="71643820" u="1"/>
        <n v="71643821" u="1"/>
        <n v="71643822" u="1"/>
        <n v="73815611" u="1"/>
        <n v="73815612" u="1"/>
        <n v="73815613" u="1"/>
        <n v="73815614" u="1"/>
        <n v="73815615" u="1"/>
        <n v="73815616" u="1"/>
        <n v="73815617" u="1"/>
        <n v="73815618" u="1"/>
        <n v="73815619" u="1"/>
        <n v="73815620" u="1"/>
        <n v="73815621" u="1"/>
        <n v="73815622" u="1"/>
        <n v="73815623" u="1"/>
        <n v="73815624" u="1"/>
        <n v="73815625" u="1"/>
        <n v="73815626" u="1"/>
        <n v="73815627" u="1"/>
        <n v="73815628" u="1"/>
        <n v="73815629" u="1"/>
        <n v="73815630" u="1"/>
        <n v="73815631" u="1"/>
        <n v="73815632" u="1"/>
        <n v="73815633" u="1"/>
        <n v="73815634" u="1"/>
        <n v="73815635" u="1"/>
        <n v="74835425" u="1"/>
        <n v="73815636" u="1"/>
        <n v="73815637" u="1"/>
        <n v="73815638" u="1"/>
        <n v="73815639" u="1"/>
        <n v="73815640" u="1"/>
        <n v="73815641" u="1"/>
        <n v="73815642" u="1"/>
        <n v="73815643" u="1"/>
        <n v="73815644" u="1"/>
        <n v="73815645" u="1"/>
        <n v="73815646" u="1"/>
        <n v="73815647" u="1"/>
        <n v="73815648" u="1"/>
        <n v="73815649" u="1"/>
        <n v="73815650" u="1"/>
        <n v="73815651" u="1"/>
        <n v="73815652" u="1"/>
        <n v="73815653" u="1"/>
        <n v="73815654" u="1"/>
        <n v="73815655" u="1"/>
        <n v="73815656" u="1"/>
        <n v="73815657" u="1"/>
        <n v="73815658" u="1"/>
        <n v="73815659" u="1"/>
        <n v="73815660" u="1"/>
        <n v="73815661" u="1"/>
        <n v="73815662" u="1"/>
        <n v="73815663" u="1"/>
        <n v="73815664" u="1"/>
        <n v="73815665" u="1"/>
        <n v="73815666" u="1"/>
        <n v="73815667" u="1"/>
        <n v="73815668" u="1"/>
        <n v="73815669" u="1"/>
        <n v="73815670" u="1"/>
        <n v="73815671" u="1"/>
        <n v="73815672" u="1"/>
        <n v="73815673" u="1"/>
        <n v="73815674" u="1"/>
        <n v="73815675" u="1"/>
        <n v="73815676" u="1"/>
        <n v="73815677" u="1"/>
        <n v="73815678" u="1"/>
        <n v="73815679" u="1"/>
        <n v="73815680" u="1"/>
        <n v="73815681" u="1"/>
        <n v="73815682" u="1"/>
        <n v="73815683" u="1"/>
        <n v="73815684" u="1"/>
        <n v="73815685" u="1"/>
        <n v="73815686" u="1"/>
        <n v="73815687" u="1"/>
        <n v="73815688" u="1"/>
        <n v="73815689" u="1"/>
        <n v="73815690" u="1"/>
        <n v="73815691" u="1"/>
        <n v="73815692" u="1"/>
        <n v="73815693" u="1"/>
        <n v="73815694" u="1"/>
        <n v="73815695" u="1"/>
        <n v="73815696" u="1"/>
        <n v="73815697" u="1"/>
        <n v="73815698" u="1"/>
        <n v="73815699" u="1"/>
        <n v="73815700" u="1"/>
        <n v="73815701" u="1"/>
        <n v="73815702" u="1"/>
        <n v="73815703" u="1"/>
        <n v="73815704" u="1"/>
        <n v="73815705" u="1"/>
        <n v="73815706" u="1"/>
        <n v="73815707" u="1"/>
        <n v="73815708" u="1"/>
        <n v="73815709" u="1"/>
        <n v="73815710" u="1"/>
        <n v="73815711" u="1"/>
        <n v="73815712" u="1"/>
        <n v="73815713" u="1"/>
        <n v="73815714" u="1"/>
        <n v="73815715" u="1"/>
        <n v="73815716" u="1"/>
        <n v="73815717" u="1"/>
        <n v="73815718" u="1"/>
        <n v="73815719" u="1"/>
        <n v="73815720" u="1"/>
        <n v="73815721" u="1"/>
        <n v="73815722" u="1"/>
        <n v="73815723" u="1"/>
        <n v="73815724" u="1"/>
        <n v="74835426" u="1"/>
        <n v="75259940" u="1"/>
        <n v="73815725" u="1"/>
        <n v="73815726" u="1"/>
        <n v="73815727" u="1"/>
        <n v="73815728" u="1"/>
        <n v="73815729" u="1"/>
        <n v="73815730" u="1"/>
        <n v="73815731" u="1"/>
        <n v="73815732" u="1"/>
        <n v="73815733" u="1"/>
        <n v="73815734" u="1"/>
        <n v="73815735" u="1"/>
        <n v="73815736" u="1"/>
        <n v="73815737" u="1"/>
        <n v="73815738" u="1"/>
        <n v="73815739" u="1"/>
        <n v="73815740" u="1"/>
        <n v="73815741" u="1"/>
        <n v="73815742" u="1"/>
        <n v="73815743" u="1"/>
        <n v="73815744" u="1"/>
        <n v="73815745" u="1"/>
        <n v="73815746" u="1"/>
        <n v="73815747" u="1"/>
        <n v="73815748" u="1"/>
        <n v="73815749" u="1"/>
        <n v="73815750" u="1"/>
        <n v="73815751" u="1"/>
        <n v="73815752" u="1"/>
        <n v="73815753" u="1"/>
        <n v="73815754" u="1"/>
        <n v="73815755" u="1"/>
        <n v="73815756" u="1"/>
        <n v="73815757" u="1"/>
        <n v="73815758" u="1"/>
        <n v="73815759" u="1"/>
        <n v="73815760" u="1"/>
        <n v="73815761" u="1"/>
        <n v="73815762" u="1"/>
        <n v="73815763" u="1"/>
        <n v="73815764" u="1"/>
        <n v="73815765" u="1"/>
        <n v="74835427" u="1"/>
        <n v="73815766" u="1"/>
        <n v="73815767" u="1"/>
        <n v="73815768" u="1"/>
        <n v="73815769" u="1"/>
        <n v="73815770" u="1"/>
        <n v="73815771" u="1"/>
        <n v="73815772" u="1"/>
        <n v="73815773" u="1"/>
        <n v="73815774" u="1"/>
        <n v="73815775" u="1"/>
        <n v="73815776" u="1"/>
        <n v="73815777" u="1"/>
        <n v="73815778" u="1"/>
        <n v="73815779" u="1"/>
        <n v="73815780" u="1"/>
        <n v="73815781" u="1"/>
        <n v="73815782" u="1"/>
        <n v="73815783" u="1"/>
        <n v="73815784" u="1"/>
        <n v="73815785" u="1"/>
        <n v="73815786" u="1"/>
        <n v="73815787" u="1"/>
        <n v="73815788" u="1"/>
        <n v="73815789" u="1"/>
        <n v="73815790" u="1"/>
        <n v="73815791" u="1"/>
        <n v="73815792" u="1"/>
        <n v="73815793" u="1"/>
        <n v="73815794" u="1"/>
        <n v="73815795" u="1"/>
        <n v="73815796" u="1"/>
        <n v="73815797" u="1"/>
        <n v="73815798" u="1"/>
        <n v="73815799" u="1"/>
        <n v="73815800" u="1"/>
        <n v="73815801" u="1"/>
        <n v="73815802" u="1"/>
        <n v="73815803" u="1"/>
        <n v="73815804" u="1"/>
        <n v="73815805" u="1"/>
        <n v="73815806" u="1"/>
        <n v="73815807" u="1"/>
        <n v="73815808" u="1"/>
        <n v="73815809" u="1"/>
        <n v="73815810" u="1"/>
        <n v="74071811" u="1"/>
        <n v="74071812" u="1"/>
        <n v="74071813" u="1"/>
        <n v="74071824" u="1"/>
        <n v="74071825" u="1"/>
        <n v="74071826" u="1"/>
        <n v="74071827" u="1"/>
        <n v="74071828" u="1"/>
        <n v="74071829" u="1"/>
        <n v="74071830" u="1"/>
        <n v="74071831" u="1"/>
        <n v="74071832" u="1"/>
        <n v="74071833" u="1"/>
        <n v="74071834" u="1"/>
        <n v="74071835" u="1"/>
        <n v="74071836" u="1"/>
        <n v="74071837" u="1"/>
        <n v="74071838" u="1"/>
        <n v="74071839" u="1"/>
        <n v="74071840" u="1"/>
        <n v="74071841" u="1"/>
        <n v="74835428" u="1"/>
        <n v="75259941" u="1"/>
        <n v="74071842" u="1"/>
        <n v="74071843" u="1"/>
        <n v="74071844" u="1"/>
        <n v="74071845" u="1"/>
        <n v="74071846" u="1"/>
        <n v="74071847" u="1"/>
        <n v="74071848" u="1"/>
        <n v="74071849" u="1"/>
        <n v="4071846" u="1"/>
        <n v="4071847" u="1"/>
        <n v="4071848" u="1"/>
        <n v="4071849" u="1"/>
        <n v="74071814" u="1"/>
        <n v="74071815" u="1"/>
        <n v="74071816" u="1"/>
        <n v="74071817" u="1"/>
        <n v="74071818" u="1"/>
        <n v="74071819" u="1"/>
        <n v="74071820" u="1"/>
        <n v="74071821" u="1"/>
        <n v="74071822" u="1"/>
        <n v="74071823" u="1"/>
        <n v="93419143" u="1"/>
        <n v="93419144" u="1"/>
        <n v="93419145" u="1"/>
        <n v="93419146" u="1"/>
        <n v="93419147" u="1"/>
        <n v="93419148" u="1"/>
        <n v="93419149" u="1"/>
        <n v="93419150" u="1"/>
        <n v="93419151" u="1"/>
        <n v="93419152" u="1"/>
        <n v="93419153" u="1"/>
        <n v="93419154" u="1"/>
        <n v="93419155" u="1"/>
        <n v="93419156" u="1"/>
        <n v="93419157" u="1"/>
        <n v="93419158" u="1"/>
        <n v="93419159" u="1"/>
        <n v="93419160" u="1"/>
        <n v="93419161" u="1"/>
        <n v="93419162" u="1"/>
        <n v="93419163" u="1"/>
        <n v="37746149" u="1"/>
        <n v="93419164" u="1"/>
        <n v="93419165" u="1"/>
        <n v="93419166" u="1"/>
        <n v="93419167" u="1"/>
        <n v="93419168" u="1"/>
        <n v="93419169" u="1"/>
        <n v="93419170" u="1"/>
        <n v="93419171" u="1"/>
        <n v="93419172" u="1"/>
        <n v="93419173" u="1"/>
        <n v="93419174" u="1"/>
        <n v="93419175" u="1"/>
        <n v="93419176" u="1"/>
        <n v="93419177" u="1"/>
        <n v="93419178" u="1"/>
        <n v="93419179" u="1"/>
        <n v="93419180" u="1"/>
        <n v="93419181" u="1"/>
        <n v="93419182" u="1"/>
        <n v="93419183" u="1"/>
        <n v="93419184" u="1"/>
        <n v="93419185" u="1"/>
        <n v="93419186" u="1"/>
        <n v="93419187" u="1"/>
        <n v="93419188" u="1"/>
        <n v="93419189" u="1"/>
        <n v="93419190" u="1"/>
        <n v="93419191" u="1"/>
        <n v="93419192" u="1"/>
        <n v="93419193" u="1"/>
        <n v="93419194" u="1"/>
        <n v="93419195" u="1"/>
        <n v="93419196" u="1"/>
        <n v="93419197" u="1"/>
        <n v="93419198" u="1"/>
        <n v="93419199" u="1"/>
        <n v="93419200" u="1"/>
        <n v="93419201" u="1"/>
        <n v="93419202" u="1"/>
        <n v="93419203" u="1"/>
        <n v="93419204" u="1"/>
        <n v="93419205" u="1"/>
        <n v="93419206" u="1"/>
        <n v="93419207" u="1"/>
        <n v="93419208" u="1"/>
        <n v="93419209" u="1"/>
        <n v="93419210" u="1"/>
        <n v="93419211" u="1"/>
        <n v="93419212" u="1"/>
        <n v="93419213" u="1"/>
        <n v="93419214" u="1"/>
        <n v="93419215" u="1"/>
        <n v="93419216" u="1"/>
        <n v="93419217" u="1"/>
        <n v="93419218" u="1"/>
        <n v="93419219" u="1"/>
        <n v="93419220" u="1"/>
        <n v="93419221" u="1"/>
        <n v="93419222" u="1"/>
        <n v="93419223" u="1"/>
        <n v="93419224" u="1"/>
        <n v="93419225" u="1"/>
        <n v="93419226" u="1"/>
        <n v="93419227" u="1"/>
        <n v="93419228" u="1"/>
        <n v="93419229" u="1"/>
        <n v="93419230" u="1"/>
        <n v="93419231" u="1"/>
        <n v="93419232" u="1"/>
        <n v="93419233" u="1"/>
        <n v="93419234" u="1"/>
        <n v="93419235" u="1"/>
        <n v="93419236" u="1"/>
        <n v="93419237" u="1"/>
        <n v="93419238" u="1"/>
        <n v="93419239" u="1"/>
        <n v="93419240" u="1"/>
        <n v="93419241" u="1"/>
        <n v="93419242" u="1"/>
        <n v="93419243" u="1"/>
        <n v="93419244" u="1"/>
        <n v="93419245" u="1"/>
        <n v="93419246" u="1"/>
        <n v="93419247" u="1"/>
        <n v="93419248" u="1"/>
        <n v="93419249" u="1"/>
        <n v="93419250" u="1"/>
        <n v="93419251" u="1"/>
        <n v="93419252" u="1"/>
        <n v="93419253" u="1"/>
        <n v="93419254" u="1"/>
        <n v="93419255" u="1"/>
        <n v="93419256" u="1"/>
        <n v="93419257" u="1"/>
        <n v="93419258" u="1"/>
        <n v="93419259" u="1"/>
        <n v="93419260" u="1"/>
        <n v="93419261" u="1"/>
        <n v="93419262" u="1"/>
        <n v="93419263" u="1"/>
        <n v="93419264" u="1"/>
        <n v="93419265" u="1"/>
        <n v="93419266" u="1"/>
        <n v="93419267" u="1"/>
        <n v="93419268" u="1"/>
        <n v="93419269" u="1"/>
        <n v="93419270" u="1"/>
        <n v="93419271" u="1"/>
        <n v="93419272" u="1"/>
        <n v="93419273" u="1"/>
        <n v="93419274" u="1"/>
        <n v="93419275" u="1"/>
        <n v="93419276" u="1"/>
        <n v="93419277" u="1"/>
        <n v="93419278" u="1"/>
        <n v="93419279" u="1"/>
        <n v="93419280" u="1"/>
        <n v="93419281" u="1"/>
        <n v="93419282" u="1"/>
        <n v="93419283" u="1"/>
        <n v="93419284" u="1"/>
        <n v="93419285" u="1"/>
        <n v="93419286" u="1"/>
        <n v="93419287" u="1"/>
        <n v="93419288" u="1"/>
        <n v="93419289" u="1"/>
        <n v="93419290" u="1"/>
        <n v="93419291" u="1"/>
        <n v="93419292" u="1"/>
        <n v="93419293" u="1"/>
        <n v="63592596" u="1"/>
        <n v="63592597" u="1"/>
        <n v="63592598" u="1"/>
        <n v="63592599" u="1"/>
        <n v="63592600" u="1"/>
        <n v="63592601" u="1"/>
        <n v="63592602" u="1"/>
        <n v="63592603" u="1"/>
        <n v="63592604" u="1"/>
        <n v="93419294" u="1"/>
        <n v="93419295" u="1"/>
        <n v="93419296" u="1"/>
        <n v="93419297" u="1"/>
        <n v="93419298" u="1"/>
        <n v="93419299" u="1"/>
        <n v="93419300" u="1"/>
        <n v="93419301" u="1"/>
        <n v="93419302" u="1"/>
        <n v="93419303" u="1"/>
        <n v="93419304" u="1"/>
        <n v="63592605" u="1"/>
        <n v="93419305" u="1"/>
        <n v="93419306" u="1"/>
        <n v="93419307" u="1"/>
        <n v="93419308" u="1"/>
        <n v="93419309" u="1"/>
        <n v="93419310" u="1"/>
        <n v="93419311" u="1"/>
        <n v="93419312" u="1"/>
        <n v="93419313" u="1"/>
        <n v="93419314" u="1"/>
        <n v="93419315" u="1"/>
        <n v="93419316" u="1"/>
        <n v="93419317" u="1"/>
        <n v="93419318" u="1"/>
        <n v="93419319" u="1"/>
        <n v="93419320" u="1"/>
        <n v="93419321" u="1"/>
        <n v="93419322" u="1"/>
        <n v="93419323" u="1"/>
        <n v="93419324" u="1"/>
        <n v="93419325" u="1"/>
        <n v="93419326" u="1"/>
        <n v="93419327" u="1"/>
        <n v="93419328" u="1"/>
        <n v="93419329" u="1"/>
        <n v="37746150" u="1"/>
        <n v="37746151" u="1"/>
        <n v="93419330" u="1"/>
        <n v="37746152" u="1"/>
        <n v="37746153" u="1"/>
        <n v="37746154" u="1"/>
        <n v="37746155" u="1"/>
        <n v="37746156" u="1"/>
        <n v="37746157" u="1"/>
        <n v="37746158" u="1"/>
        <n v="37746159" u="1"/>
        <n v="93419331" u="1"/>
        <n v="93419332" u="1"/>
        <n v="93419333" u="1"/>
        <n v="93419334" u="1"/>
        <n v="93419335" u="1"/>
        <n v="93419336" u="1"/>
        <n v="93419337" u="1"/>
        <n v="93419338" u="1"/>
        <n v="93419339" u="1"/>
        <n v="93419340" u="1"/>
        <n v="93419341" u="1"/>
        <n v="93419342" u="1"/>
        <n v="93419343" u="1"/>
        <n v="93419344" u="1"/>
        <n v="93419345" u="1"/>
        <n v="93419346" u="1"/>
        <n v="93419347" u="1"/>
        <n v="93419348" u="1"/>
        <n v="93419349" u="1"/>
        <n v="93419350" u="1"/>
        <n v="93419351" u="1"/>
        <n v="93419352" u="1"/>
        <n v="93419353" u="1"/>
        <n v="93419354" u="1"/>
        <n v="93419355" u="1"/>
        <n v="93419356" u="1"/>
        <n v="93419357" u="1"/>
        <n v="37746160" u="1"/>
        <n v="37746161" u="1"/>
        <n v="37746162" u="1"/>
        <n v="37746163" u="1"/>
        <n v="37746164" u="1"/>
        <n v="37746165" u="1"/>
        <n v="37746166" u="1"/>
        <n v="37746167" u="1"/>
        <n v="37746168" u="1"/>
        <n v="37746169" u="1"/>
        <n v="37746170" u="1"/>
        <n v="37746171" u="1"/>
        <n v="37746172" u="1"/>
        <n v="37746173" u="1"/>
        <n v="37746174" u="1"/>
        <n v="93419358" u="1"/>
        <n v="93419359" u="1"/>
        <n v="93419360" u="1"/>
        <n v="93419361" u="1"/>
        <n v="93419362" u="1"/>
        <n v="93419363" u="1"/>
        <n v="93419364" u="1"/>
        <n v="93419365" u="1"/>
        <n v="93419366" u="1"/>
        <n v="93419367" u="1"/>
        <n v="93419368" u="1"/>
        <n v="93419369" u="1"/>
        <n v="93419370" u="1"/>
        <n v="93419371" u="1"/>
        <n v="93419372" u="1"/>
        <n v="93419373" u="1"/>
        <n v="93419374" u="1"/>
        <n v="93419375" u="1"/>
        <n v="93419376" u="1"/>
        <n v="93419377" u="1"/>
        <n v="93419378" u="1"/>
        <n v="93419379" u="1"/>
        <n v="93419380" u="1"/>
        <n v="93419381" u="1"/>
        <n v="93419382" u="1"/>
        <n v="93419383" u="1"/>
        <n v="93419384" u="1"/>
        <n v="93419385" u="1"/>
        <n v="93419386" u="1"/>
        <n v="93419387" u="1"/>
        <n v="93419388" u="1"/>
        <n v="93419389" u="1"/>
        <n v="93419390" u="1"/>
        <n v="93419391" u="1"/>
        <n v="93419392" u="1"/>
        <n v="93419393" u="1"/>
        <n v="93419394" u="1"/>
        <n v="93419395" u="1"/>
        <n v="93419396" u="1"/>
        <n v="93419397" u="1"/>
        <n v="93419398" u="1"/>
        <n v="93419399" u="1"/>
        <n v="93419400" u="1"/>
        <n v="93419401" u="1"/>
        <n v="93419402" u="1"/>
        <n v="93419403" u="1"/>
        <n v="93419404" u="1"/>
        <n v="93419405" u="1"/>
        <n v="93419406" u="1"/>
        <n v="93419407" u="1"/>
        <n v="93419408" u="1"/>
        <n v="93419409" u="1"/>
        <n v="93419410" u="1"/>
        <n v="93419411" u="1"/>
        <n v="93419412" u="1"/>
        <n v="93419413" u="1"/>
        <n v="93419414" u="1"/>
        <n v="93419415" u="1"/>
        <n v="93419416" u="1"/>
        <n v="93419417" u="1"/>
        <n v="93419418" u="1"/>
        <n v="93419419" u="1"/>
        <n v="93419420" u="1"/>
        <n v="93419421" u="1"/>
        <n v="93419422" u="1"/>
        <n v="93419423" u="1"/>
        <n v="93419424" u="1"/>
        <n v="93419425" u="1"/>
        <n v="93419426" u="1"/>
        <n v="93419427" u="1"/>
        <n v="93419428" u="1"/>
        <n v="93419429" u="1"/>
        <n v="93419430" u="1"/>
        <n v="93419431" u="1"/>
        <n v="93419432" u="1"/>
        <n v="93419433" u="1"/>
        <n v="93419434" u="1"/>
        <n v="93419435" u="1"/>
        <n v="93419436" u="1"/>
        <n v="93419437" u="1"/>
        <n v="93419438" u="1"/>
        <n v="93419439" u="1"/>
        <n v="93419440" u="1"/>
        <n v="93419441" u="1"/>
        <n v="93419442" u="1"/>
        <n v="93419443" u="1"/>
        <n v="93419444" u="1"/>
        <n v="93419445" u="1"/>
        <n v="93419446" u="1"/>
        <n v="93419447" u="1"/>
        <n v="93419448" u="1"/>
        <n v="93419449" u="1"/>
        <n v="93419450" u="1"/>
        <n v="93419451" u="1"/>
        <n v="93419452" u="1"/>
        <n v="93419453" u="1"/>
        <n v="93419454" u="1"/>
        <n v="93419455" u="1"/>
        <n v="93419456" u="1"/>
        <n v="93419457" u="1"/>
        <n v="93419458" u="1"/>
        <n v="93419459" u="1"/>
        <n v="93419460" u="1"/>
        <n v="93419461" u="1"/>
        <n v="93419462" u="1"/>
        <n v="93419463" u="1"/>
        <n v="93419464" u="1"/>
        <n v="93419465" u="1"/>
        <n v="93419466" u="1"/>
        <n v="93419467" u="1"/>
        <n v="93419468" u="1"/>
        <n v="93419469" u="1"/>
        <n v="93419470" u="1"/>
        <n v="93419471" u="1"/>
        <n v="93419472" u="1"/>
        <n v="93419473" u="1"/>
        <n v="93419474" u="1"/>
        <n v="93419475" u="1"/>
        <n v="93419476" u="1"/>
        <n v="93419477" u="1"/>
        <n v="93419478" u="1"/>
        <n v="93419479" u="1"/>
        <n v="93419480" u="1"/>
        <n v="93419481" u="1"/>
        <n v="93419482" u="1"/>
        <n v="93419483" u="1"/>
        <n v="93419484" u="1"/>
        <n v="93419485" u="1"/>
        <n v="93419486" u="1"/>
        <n v="93419487" u="1"/>
        <n v="93419488" u="1"/>
        <n v="93419489" u="1"/>
        <n v="93419490" u="1"/>
        <n v="93419491" u="1"/>
        <n v="93419492" u="1"/>
        <n v="93419493" u="1"/>
        <n v="93419494" u="1"/>
        <n v="93419495" u="1"/>
        <n v="93419496" u="1"/>
        <n v="93419497" u="1"/>
        <n v="93419498" u="1"/>
        <n v="93419499" u="1"/>
        <n v="93419500" u="1"/>
        <n v="93419501" u="1"/>
        <n v="93419502" u="1"/>
        <n v="93419503" u="1"/>
        <n v="93419504" u="1"/>
        <n v="93419505" u="1"/>
        <n v="93419506" u="1"/>
        <n v="93419507" u="1"/>
        <n v="93419508" u="1"/>
        <n v="93419509" u="1"/>
        <n v="93419510" u="1"/>
        <n v="93419511" u="1"/>
        <n v="93419512" u="1"/>
        <n v="93419513" u="1"/>
        <n v="93419514" u="1"/>
        <n v="93419515" u="1"/>
        <n v="93419516" u="1"/>
        <n v="93419517" u="1"/>
        <n v="93419518" u="1"/>
        <n v="93419519" u="1"/>
        <n v="93419520" u="1"/>
        <n v="93419521" u="1"/>
        <n v="93419522" u="1"/>
        <n v="93419523" u="1"/>
        <n v="93419524" u="1"/>
        <n v="93419525" u="1"/>
        <n v="93419526" u="1"/>
        <n v="93419527" u="1"/>
        <n v="93419528" u="1"/>
        <n v="93419529" u="1"/>
        <n v="93419530" u="1"/>
        <n v="93419531" u="1"/>
        <n v="93419532" u="1"/>
        <n v="93419533" u="1"/>
        <n v="93419534" u="1"/>
        <n v="93419535" u="1"/>
        <n v="93419536" u="1"/>
        <n v="93419537" u="1"/>
        <n v="93419538" u="1"/>
        <n v="93419539" u="1"/>
        <n v="93419540" u="1"/>
        <n v="93419541" u="1"/>
        <n v="93419542" u="1"/>
        <n v="93419543" u="1"/>
        <n v="93419544" u="1"/>
        <n v="93419545" u="1"/>
        <n v="93419546" u="1"/>
        <n v="93419547" u="1"/>
        <n v="93419548" u="1"/>
        <n v="93419549" u="1"/>
        <n v="93419550" u="1"/>
        <n v="93419551" u="1"/>
        <n v="93419552" u="1"/>
        <n v="93419553" u="1"/>
        <n v="93419554" u="1"/>
        <n v="93419555" u="1"/>
        <n v="93419556" u="1"/>
        <n v="93419557" u="1"/>
        <n v="93419558" u="1"/>
        <n v="93419559" u="1"/>
        <n v="93419560" u="1"/>
        <n v="93419561" u="1"/>
        <n v="93419562" u="1"/>
        <n v="93419563" u="1"/>
        <n v="93419564" u="1"/>
        <n v="93419565" u="1"/>
        <n v="93419566" u="1"/>
        <n v="93419567" u="1"/>
        <n v="93419568" u="1"/>
        <n v="93419569" u="1"/>
        <n v="93419570" u="1"/>
        <n v="93419571" u="1"/>
        <n v="93419572" u="1"/>
        <n v="93419573" u="1"/>
        <n v="93419574" u="1"/>
        <n v="93419575" u="1"/>
        <n v="93419576" u="1"/>
        <n v="93419577" u="1"/>
        <n v="93419578" u="1"/>
        <n v="93419579" u="1"/>
        <n v="93419580" u="1"/>
        <n v="93419581" u="1"/>
        <n v="93419582" u="1"/>
        <n v="93419583" u="1"/>
        <n v="93419584" u="1"/>
        <n v="93419585" u="1"/>
        <n v="93419586" u="1"/>
        <n v="93419587" u="1"/>
        <n v="93419588" u="1"/>
        <n v="93419589" u="1"/>
        <n v="93419590" u="1"/>
        <n v="93419591" u="1"/>
        <n v="93419592" u="1"/>
        <n v="93419593" u="1"/>
        <n v="93419594" u="1"/>
        <n v="93419595" u="1"/>
        <n v="93419596" u="1"/>
        <n v="93419597" u="1"/>
        <n v="93419598" u="1"/>
        <n v="93419599" u="1"/>
        <n v="93419600" u="1"/>
        <n v="93419601" u="1"/>
        <n v="93419602" u="1"/>
        <n v="93419603" u="1"/>
        <n v="93419604" u="1"/>
        <n v="93419605" u="1"/>
        <n v="93419606" u="1"/>
        <n v="93419607" u="1"/>
        <n v="93419608" u="1"/>
        <n v="93419609" u="1"/>
        <n v="93419610" u="1"/>
        <n v="93419611" u="1"/>
        <n v="93419612" u="1"/>
        <n v="93419613" u="1"/>
        <n v="93419614" u="1"/>
        <n v="93419615" u="1"/>
        <n v="93419616" u="1"/>
        <n v="93419617" u="1"/>
        <n v="93419618" u="1"/>
        <n v="93419619" u="1"/>
        <n v="93419620" u="1"/>
        <n v="93419621" u="1"/>
        <n v="93419622" u="1"/>
        <n v="93419623" u="1"/>
        <n v="93419624" u="1"/>
        <n v="93419625" u="1"/>
        <n v="93419626" u="1"/>
        <n v="93419627" u="1"/>
        <n v="93419628" u="1"/>
        <n v="93419629" u="1"/>
        <n v="93419630" u="1"/>
        <n v="93419631" u="1"/>
        <n v="93419632" u="1"/>
        <n v="93419633" u="1"/>
        <n v="93419634" u="1"/>
        <n v="93419635" u="1"/>
        <n v="93419636" u="1"/>
        <n v="93419637" u="1"/>
        <n v="93419638" u="1"/>
        <n v="93419639" u="1"/>
        <n v="93419640" u="1"/>
        <n v="93419641" u="1"/>
        <n v="93419642" u="1"/>
        <n v="93419643" u="1"/>
        <n v="93419644" u="1"/>
        <n v="93419645" u="1"/>
        <n v="93419646" u="1"/>
        <n v="93419647" u="1"/>
        <n v="93419648" u="1"/>
        <n v="93419649" u="1"/>
        <n v="93419650" u="1"/>
        <n v="93419651" u="1"/>
        <n v="93419652" u="1"/>
        <n v="93419653" u="1"/>
        <n v="93419654" u="1"/>
        <n v="93419655" u="1"/>
        <n v="93419656" u="1"/>
        <n v="93419657" u="1"/>
        <n v="93419658" u="1"/>
        <n v="93419659" u="1"/>
        <n v="93419660" u="1"/>
        <n v="93419661" u="1"/>
        <n v="93419662" u="1"/>
        <n v="93419663" u="1"/>
        <n v="93419664" u="1"/>
        <n v="93419665" u="1"/>
        <n v="93419666" u="1"/>
        <n v="93419667" u="1"/>
        <n v="93419668" u="1"/>
        <n v="93419669" u="1"/>
        <n v="93419670" u="1"/>
        <n v="93419671" u="1"/>
        <n v="93419672" u="1"/>
        <n v="93419673" u="1"/>
        <n v="93419674" u="1"/>
        <n v="93419675" u="1"/>
        <n v="93419676" u="1"/>
        <n v="93419677" u="1"/>
        <n v="93419678" u="1"/>
        <n v="93419679" u="1"/>
        <n v="93419680" u="1"/>
        <n v="93419681" u="1"/>
        <n v="93419682" u="1"/>
        <n v="93419683" u="1"/>
        <n v="93419684" u="1"/>
        <n v="93419685" u="1"/>
        <n v="93419686" u="1"/>
        <n v="93419687" u="1"/>
        <n v="93419688" u="1"/>
        <n v="93419689" u="1"/>
        <n v="93419690" u="1"/>
        <n v="93419691" u="1"/>
        <n v="93419692" u="1"/>
        <n v="93419693" u="1"/>
        <n v="93419694" u="1"/>
        <n v="93419695" u="1"/>
        <n v="93419696" u="1"/>
        <n v="93419697" u="1"/>
        <n v="93419698" u="1"/>
        <n v="93419699" u="1"/>
        <n v="93419700" u="1"/>
        <n v="93419701" u="1"/>
        <n v="93419702" u="1"/>
        <n v="93419703" u="1"/>
        <n v="93419704" u="1"/>
        <n v="93419705" u="1"/>
        <n v="93419706" u="1"/>
        <n v="93419707" u="1"/>
        <n v="93419708" u="1"/>
        <n v="93419709" u="1"/>
        <n v="93419710" u="1"/>
        <n v="93419711" u="1"/>
        <n v="93419712" u="1"/>
        <n v="93419713" u="1"/>
        <n v="93419714" u="1"/>
        <n v="93419715" u="1"/>
        <n v="93419716" u="1"/>
        <n v="93419717" u="1"/>
        <n v="93419718" u="1"/>
        <n v="93419719" u="1"/>
        <n v="93419720" u="1"/>
        <n v="93419721" u="1"/>
        <n v="93419722" u="1"/>
        <n v="93419723" u="1"/>
        <n v="93419724" u="1"/>
        <n v="93419725" u="1"/>
        <n v="93419726" u="1"/>
        <n v="93419727" u="1"/>
        <n v="93419728" u="1"/>
        <n v="93419729" u="1"/>
        <n v="93419730" u="1"/>
        <n v="93419731" u="1"/>
        <n v="93419732" u="1"/>
        <n v="93419733" u="1"/>
        <n v="93419734" u="1"/>
        <n v="93419735" u="1"/>
        <n v="93419736" u="1"/>
        <n v="93419737" u="1"/>
        <n v="93419738" u="1"/>
        <n v="93419739" u="1"/>
        <n v="93419740" u="1"/>
        <n v="93419741" u="1"/>
        <n v="93419742" u="1"/>
        <n v="93419743" u="1"/>
        <n v="93419744" u="1"/>
        <n v="93419745" u="1"/>
        <n v="93419746" u="1"/>
        <n v="93419747" u="1"/>
        <n v="93419748" u="1"/>
        <n v="93419749" u="1"/>
        <n v="93419750" u="1"/>
        <n v="93419751" u="1"/>
        <n v="93419752" u="1"/>
        <n v="93419753" u="1"/>
        <n v="93419754" u="1"/>
        <n v="93419755" u="1"/>
        <n v="93419756" u="1"/>
        <n v="93419757" u="1"/>
        <n v="93419758" u="1"/>
        <n v="93419759" u="1"/>
        <n v="93419760" u="1"/>
        <n v="93419761" u="1"/>
        <n v="93419762" u="1"/>
        <n v="93419763" u="1"/>
        <n v="93419764" u="1"/>
        <n v="93419765" u="1"/>
        <n v="93419766" u="1"/>
        <n v="93419767" u="1"/>
        <n v="93419768" u="1"/>
        <n v="93419769" u="1"/>
        <n v="93419770" u="1"/>
        <n v="93419771" u="1"/>
        <n v="93419772" u="1"/>
        <n v="93419773" u="1"/>
        <n v="93419774" u="1"/>
        <n v="93419775" u="1"/>
        <n v="93419776" u="1"/>
        <n v="93419777" u="1"/>
        <n v="93419778" u="1"/>
        <n v="93419779" u="1"/>
        <n v="93419780" u="1"/>
        <n v="93419781" u="1"/>
        <n v="93419782" u="1"/>
        <n v="93419783" u="1"/>
        <n v="93419784" u="1"/>
        <n v="93419785" u="1"/>
        <n v="93419786" u="1"/>
        <n v="93419787" u="1"/>
        <n v="93419788" u="1"/>
        <n v="93419789" u="1"/>
        <n v="93419790" u="1"/>
        <n v="93419791" u="1"/>
        <n v="93419792" u="1"/>
        <n v="93419793" u="1"/>
        <n v="93419794" u="1"/>
        <n v="93419795" u="1"/>
        <n v="93419796" u="1"/>
        <n v="93419797" u="1"/>
        <n v="93419798" u="1"/>
        <n v="93419799" u="1"/>
        <n v="93419800" u="1"/>
        <n v="93419801" u="1"/>
        <n v="93419802" u="1"/>
        <n v="93419803" u="1"/>
        <n v="93419804" u="1"/>
        <n v="93419805" u="1"/>
        <n v="93419806" u="1"/>
        <n v="93419807" u="1"/>
        <n v="93419808" u="1"/>
        <n v="93419809" u="1"/>
        <n v="93419810" u="1"/>
        <n v="93419811" u="1"/>
        <n v="93419812" u="1"/>
        <n v="93419813" u="1"/>
        <n v="93419814" u="1"/>
        <n v="93419815" u="1"/>
        <n v="93419816" u="1"/>
        <n v="93419817" u="1"/>
        <n v="93419818" u="1"/>
        <n v="93419819" u="1"/>
        <n v="93419820" u="1"/>
        <n v="93419821" u="1"/>
        <n v="93419822" u="1"/>
        <n v="93419823" u="1"/>
        <n v="93419824" u="1"/>
        <n v="93419825" u="1"/>
        <n v="93419826" u="1"/>
        <n v="93419827" u="1"/>
        <n v="93419828" u="1"/>
        <n v="93419829" u="1"/>
        <n v="93419830" u="1"/>
        <n v="93419831" u="1"/>
        <n v="93419832" u="1"/>
        <n v="93419833" u="1"/>
        <n v="93419834" u="1"/>
        <n v="93419835" u="1"/>
        <n v="93419836" u="1"/>
        <n v="93419837" u="1"/>
        <n v="93419838" u="1"/>
        <n v="93419839" u="1"/>
        <n v="93419840" u="1"/>
        <n v="93419841" u="1"/>
        <n v="93419842" u="1"/>
        <n v="93419843" u="1"/>
        <n v="93419844" u="1"/>
        <n v="93419845" u="1"/>
        <n v="93419846" u="1"/>
        <n v="93419847" u="1"/>
        <n v="93419848" u="1"/>
        <n v="93419849" u="1"/>
        <n v="93419850" u="1"/>
        <n v="93654451" u="1"/>
        <n v="93654452" u="1"/>
        <n v="93654453" u="1"/>
        <n v="93654454" u="1"/>
        <n v="93654455" u="1"/>
        <n v="93654456" u="1"/>
        <n v="93654457" u="1"/>
        <n v="93654458" u="1"/>
        <n v="93654459" u="1"/>
        <n v="93654460" u="1"/>
        <n v="93654461" u="1"/>
        <n v="93654462" u="1"/>
        <n v="93654463" u="1"/>
        <n v="93654464" u="1"/>
        <n v="93654465" u="1"/>
        <n v="93654466" u="1"/>
        <n v="93654467" u="1"/>
        <n v="93654468" u="1"/>
        <n v="93654469" u="1"/>
        <n v="93654470" u="1"/>
        <n v="93654471" u="1"/>
        <n v="93654472" u="1"/>
        <n v="93654473" u="1"/>
        <n v="93654474" u="1"/>
        <n v="93654475" u="1"/>
        <n v="93654476" u="1"/>
        <n v="93654477" u="1"/>
        <n v="93654478" u="1"/>
        <n v="93654479" u="1"/>
        <n v="93654480" u="1"/>
        <n v="93654481" u="1"/>
        <n v="93654482" u="1"/>
        <n v="93654483" u="1"/>
        <n v="93654484" u="1"/>
        <n v="93654485" u="1"/>
        <n v="93654486" u="1"/>
        <n v="93654487" u="1"/>
        <n v="93654488" u="1"/>
        <n v="93654489" u="1"/>
        <n v="93654490" u="1"/>
        <n v="93654491" u="1"/>
        <n v="93654492" u="1"/>
        <n v="93654493" u="1"/>
        <n v="93654494" u="1"/>
        <n v="93654495" u="1"/>
        <n v="93654496" u="1"/>
        <n v="93654497" u="1"/>
        <n v="93654498" u="1"/>
        <n v="93654499" u="1"/>
        <n v="93654500" u="1"/>
        <n v="93654501" u="1"/>
        <n v="93654502" u="1"/>
        <n v="93654503" u="1"/>
        <n v="93654504" u="1"/>
        <n v="93654505" u="1"/>
        <n v="93654506" u="1"/>
        <n v="93654507" u="1"/>
        <n v="93654508" u="1"/>
        <n v="93654509" u="1"/>
        <n v="93654510" u="1"/>
        <n v="93654511" u="1"/>
        <n v="93654512" u="1"/>
        <n v="93654513" u="1"/>
        <n v="93654514" u="1"/>
        <n v="93654515" u="1"/>
        <n v="93654516" u="1"/>
        <n v="93654517" u="1"/>
        <n v="93654518" u="1"/>
        <n v="93654519" u="1"/>
        <n v="93654520" u="1"/>
        <n v="93654521" u="1"/>
        <n v="93654522" u="1"/>
        <n v="93654523" u="1"/>
        <n v="93654524" u="1"/>
        <n v="93654525" u="1"/>
        <n v="93654526" u="1"/>
        <n v="93654527" u="1"/>
        <n v="93654528" u="1"/>
        <n v="93654529" u="1"/>
        <n v="93654530" u="1"/>
        <n v="93654531" u="1"/>
        <n v="93654532" u="1"/>
        <n v="93654533" u="1"/>
        <n v="93654534" u="1"/>
        <n v="93654535" u="1"/>
        <n v="93654536" u="1"/>
        <n v="93654537" u="1"/>
        <n v="93654538" u="1"/>
        <n v="93654539" u="1"/>
        <n v="93654540" u="1"/>
        <n v="93654541" u="1"/>
        <n v="93654542" u="1"/>
        <n v="93654543" u="1"/>
        <n v="93654544" u="1"/>
        <n v="93654545" u="1"/>
        <n v="93654546" u="1"/>
        <n v="93654547" u="1"/>
        <n v="93654548" u="1"/>
        <n v="93654549" u="1"/>
        <n v="93654550" u="1"/>
        <n v="93654551" u="1"/>
        <n v="93654552" u="1"/>
        <n v="93654553" u="1"/>
        <n v="93654554" u="1"/>
        <n v="93654555" u="1"/>
        <n v="93654556" u="1"/>
        <n v="93654557" u="1"/>
        <n v="93654558" u="1"/>
        <n v="93654559" u="1"/>
        <n v="93654560" u="1"/>
        <n v="93654561" u="1"/>
        <n v="93654562" u="1"/>
        <n v="93654563" u="1"/>
        <n v="93654564" u="1"/>
        <n v="93654565" u="1"/>
        <n v="93654566" u="1"/>
        <n v="93654567" u="1"/>
        <n v="93654568" u="1"/>
        <n v="93654569" u="1"/>
        <n v="93654570" u="1"/>
        <n v="93654571" u="1"/>
        <n v="93654572" u="1"/>
        <n v="93654573" u="1"/>
        <n v="93654574" u="1"/>
        <n v="93654575" u="1"/>
        <n v="93654576" u="1"/>
        <n v="93654577" u="1"/>
        <n v="93654578" u="1"/>
        <n v="93654579" u="1"/>
        <n v="93654580" u="1"/>
        <n v="93654581" u="1"/>
        <n v="93654582" u="1"/>
        <n v="93654583" u="1"/>
        <n v="93654584" u="1"/>
        <n v="93654585" u="1"/>
        <n v="93654586" u="1"/>
        <n v="93654587" u="1"/>
        <n v="93654588" u="1"/>
        <n v="93654589" u="1"/>
        <n v="93654590" u="1"/>
        <n v="93654591" u="1"/>
        <n v="93654592" u="1"/>
        <n v="93654593" u="1"/>
        <n v="93654594" u="1"/>
        <n v="93654595" u="1"/>
        <n v="93654596" u="1"/>
        <n v="93654597" u="1"/>
        <n v="93654598" u="1"/>
        <n v="93654599" u="1"/>
        <n v="93654600" u="1"/>
        <n v="93654601" u="1"/>
        <n v="93654602" u="1"/>
        <n v="93654603" u="1"/>
        <n v="93654604" u="1"/>
        <n v="93654606" u="1"/>
        <n v="93654607" u="1"/>
        <n v="93654608" u="1"/>
        <n v="93654609" u="1"/>
        <n v="93654610" u="1"/>
        <n v="93654611" u="1"/>
        <n v="93654612" u="1"/>
        <n v="93654613" u="1"/>
        <n v="93654614" u="1"/>
        <n v="93654615" u="1"/>
        <n v="93654616" u="1"/>
        <n v="93654617" u="1"/>
        <n v="93654618" u="1"/>
        <n v="93654619" u="1"/>
        <n v="93654620" u="1"/>
        <n v="93654621" u="1"/>
        <n v="93654622" u="1"/>
        <n v="93654623" u="1"/>
        <n v="93654624" u="1"/>
        <n v="93654625" u="1"/>
        <n v="93654626" u="1"/>
        <n v="93654627" u="1"/>
        <n v="93654628" u="1"/>
        <n v="93654629" u="1"/>
        <n v="93654630" u="1"/>
        <n v="93654631" u="1"/>
        <n v="93654632" u="1"/>
        <n v="93654633" u="1"/>
        <n v="93654634" u="1"/>
        <n v="93654635" u="1"/>
        <n v="93654636" u="1"/>
        <n v="93654637" u="1"/>
        <n v="93654638" u="1"/>
        <n v="93654639" u="1"/>
        <n v="93654640" u="1"/>
        <n v="93654641" u="1"/>
        <n v="93654642" u="1"/>
        <n v="93654643" u="1"/>
        <n v="93654644" u="1"/>
        <n v="93654645" u="1"/>
        <n v="93654646" u="1"/>
        <n v="93654647" u="1"/>
        <n v="93654648" u="1"/>
        <n v="93654649" u="1"/>
        <n v="93654650" u="1"/>
        <n v="93654651" u="1"/>
        <n v="93654652" u="1"/>
        <n v="93654653" u="1"/>
        <n v="93654654" u="1"/>
        <n v="93654655" u="1"/>
        <n v="93654656" u="1"/>
        <n v="93654657" u="1"/>
        <n v="93654658" u="1"/>
        <n v="93654659" u="1"/>
        <n v="93654660" u="1"/>
        <n v="93654661" u="1"/>
        <n v="93654662" u="1"/>
        <n v="93654663" u="1"/>
        <n v="93654664" u="1"/>
        <n v="93654666" u="1"/>
        <n v="93654667" u="1"/>
        <n v="93654668" u="1"/>
        <n v="93654669" u="1"/>
        <n v="93654670" u="1"/>
        <n v="93654671" u="1"/>
        <n v="93654672" u="1"/>
        <n v="93654673" u="1"/>
        <n v="93654674" u="1"/>
        <n v="93654675" u="1"/>
        <n v="93654676" u="1"/>
        <n v="93654677" u="1"/>
        <n v="93654678" u="1"/>
        <n v="93654679" u="1"/>
        <n v="93654680" u="1"/>
        <n v="93654681" u="1"/>
        <n v="93654682" u="1"/>
        <n v="93654683" u="1"/>
        <n v="93654684" u="1"/>
        <n v="93654685" u="1"/>
        <n v="93654686" u="1"/>
        <n v="93654687" u="1"/>
        <n v="93654688" u="1"/>
        <n v="93654689" u="1"/>
        <n v="93654690" u="1"/>
        <n v="93654691" u="1"/>
        <n v="93654692" u="1"/>
        <n v="93654693" u="1"/>
        <n v="93654694" u="1"/>
        <n v="93654695" u="1"/>
        <n v="93654696" u="1"/>
        <n v="93654697" u="1"/>
        <n v="93654698" u="1"/>
        <n v="93654699" u="1"/>
        <n v="93654700" u="1"/>
        <n v="93654701" u="1"/>
        <n v="93654702" u="1"/>
        <n v="93654703" u="1"/>
        <n v="93654704" u="1"/>
        <n v="93654705" u="1"/>
        <n v="93654706" u="1"/>
        <n v="93654707" u="1"/>
        <n v="93654708" u="1"/>
        <n v="93654709" u="1"/>
        <n v="93654710" u="1"/>
        <n v="93654711" u="1"/>
        <n v="93654712" u="1"/>
        <n v="93654713" u="1"/>
        <n v="93654714" u="1"/>
        <n v="93654715" u="1"/>
        <n v="93654716" u="1"/>
        <n v="93654717" u="1"/>
        <n v="93654718" u="1"/>
        <n v="93654719" u="1"/>
        <n v="93654720" u="1"/>
        <n v="93654721" u="1"/>
        <n v="93654722" u="1"/>
        <n v="93654723" u="1"/>
        <n v="93654724" u="1"/>
        <n v="93654725" u="1"/>
        <n v="93654726" u="1"/>
        <n v="93654727" u="1"/>
        <n v="93654728" u="1"/>
        <n v="93654729" u="1"/>
        <n v="93654730" u="1"/>
        <n v="93654731" u="1"/>
        <n v="93654732" u="1"/>
        <n v="93654733" u="1"/>
        <n v="93654734" u="1"/>
        <n v="93654735" u="1"/>
        <n v="93654736" u="1"/>
        <n v="93654737" u="1"/>
        <n v="93654738" u="1"/>
        <n v="93654739" u="1"/>
        <n v="93654740" u="1"/>
        <n v="93654741" u="1"/>
        <n v="93654742" u="1"/>
        <n v="93654743" u="1"/>
        <n v="93654744" u="1"/>
        <n v="93654745" u="1"/>
        <n v="93654746" u="1"/>
        <n v="93654747" u="1"/>
        <n v="93654748" u="1"/>
        <n v="93654749" u="1"/>
        <n v="93654750" u="1"/>
        <n v="93654751" u="1"/>
        <n v="93654752" u="1"/>
        <n v="93654753" u="1"/>
        <n v="93654754" u="1"/>
        <n v="93654755" u="1"/>
        <n v="93654756" u="1"/>
        <n v="93654757" u="1"/>
        <n v="93654758" u="1"/>
        <n v="93654759" u="1"/>
        <n v="93654760" u="1"/>
        <n v="93654761" u="1"/>
        <n v="93654762" u="1"/>
        <n v="93654763" u="1"/>
        <n v="93654764" u="1"/>
        <n v="93654765" u="1"/>
        <n v="93654766" u="1"/>
        <n v="93654767" u="1"/>
        <n v="93654768" u="1"/>
        <n v="93654769" u="1"/>
        <n v="93654770" u="1"/>
        <n v="93654771" u="1"/>
        <n v="93654772" u="1"/>
        <n v="93654773" u="1"/>
        <n v="93654774" u="1"/>
        <n v="93654775" u="1"/>
        <n v="93654776" u="1"/>
        <n v="93654777" u="1"/>
        <n v="93654778" u="1"/>
        <n v="93654779" u="1"/>
        <n v="93654780" u="1"/>
        <n v="93654781" u="1"/>
        <n v="93654782" u="1"/>
        <n v="93654783" u="1"/>
        <n v="93654784" u="1"/>
        <n v="93654785" u="1"/>
        <n v="93654786" u="1"/>
        <n v="93654787" u="1"/>
        <n v="93654788" u="1"/>
        <n v="93654789" u="1"/>
        <n v="93654790" u="1"/>
        <n v="93654791" u="1"/>
        <n v="93654792" u="1"/>
        <n v="93654793" u="1"/>
        <n v="93654794" u="1"/>
        <n v="93654795" u="1"/>
        <n v="93654796" u="1"/>
        <n v="93654797" u="1"/>
        <n v="93654798" u="1"/>
        <n v="93654799" u="1"/>
        <n v="93654800" u="1"/>
        <n v="93654801" u="1"/>
        <n v="93654802" u="1"/>
        <n v="93654803" u="1"/>
        <n v="93654804" u="1"/>
        <n v="93654805" u="1"/>
        <n v="93654806" u="1"/>
        <n v="93654807" u="1"/>
        <n v="93654808" u="1"/>
        <n v="93654809" u="1"/>
        <n v="93654810" u="1"/>
        <n v="93654811" u="1"/>
        <n v="93654812" u="1"/>
        <n v="93654813" u="1"/>
        <n v="93654815" u="1"/>
        <n v="93654816" u="1"/>
        <n v="93654817" u="1"/>
        <n v="93654818" u="1"/>
        <n v="93654823" u="1"/>
        <n v="93654826" u="1"/>
        <n v="93654827" u="1"/>
        <n v="93654830" u="1"/>
        <n v="93654831" u="1"/>
        <n v="93654832" u="1"/>
        <n v="93654833" u="1"/>
        <n v="93654834" u="1"/>
        <n v="93654835" u="1"/>
        <n v="93654836" u="1"/>
        <n v="93654837" u="1"/>
        <n v="93654838" u="1"/>
        <n v="93654839" u="1"/>
        <n v="93654840" u="1"/>
        <n v="93654841" u="1"/>
        <n v="93654842" u="1"/>
        <n v="93654843" u="1"/>
        <n v="93654844" u="1"/>
        <n v="93654845" u="1"/>
        <n v="93654846" u="1"/>
        <n v="93654847" u="1"/>
        <n v="93654848" u="1"/>
        <n v="93654849" u="1"/>
        <n v="93654850" u="1"/>
        <n v="93654851" u="1"/>
        <n v="93654852" u="1"/>
        <n v="93654853" u="1"/>
        <n v="93654854" u="1"/>
        <n v="93654855" u="1"/>
        <n v="93654856" u="1"/>
        <n v="93654857" u="1"/>
        <n v="93654858" u="1"/>
        <n v="93654859" u="1"/>
        <n v="93654860" u="1"/>
        <n v="93654861" u="1"/>
        <n v="93654862" u="1"/>
        <n v="93654863" u="1"/>
        <n v="93654864" u="1"/>
        <n v="93654865" u="1"/>
        <n v="93654866" u="1"/>
        <n v="93654867" u="1"/>
        <n v="93654868" u="1"/>
        <n v="93654869" u="1"/>
        <n v="93654870" u="1"/>
        <n v="93654871" u="1"/>
        <n v="93654872" u="1"/>
        <n v="93654873" u="1"/>
        <n v="93654874" u="1"/>
        <n v="93654875" u="1"/>
        <n v="93654876" u="1"/>
        <n v="93654877" u="1"/>
        <n v="93654878" u="1"/>
        <n v="93654879" u="1"/>
        <n v="93654880" u="1"/>
        <n v="93654881" u="1"/>
        <n v="93654882" u="1"/>
        <n v="93654883" u="1"/>
        <n v="93654884" u="1"/>
        <n v="93654885" u="1"/>
        <n v="1" u="1"/>
        <n v="2" u="1"/>
        <n v="93654886" u="1"/>
        <n v="93654887" u="1"/>
        <n v="93654888" u="1"/>
        <n v="93654889" u="1"/>
        <n v="93654890" u="1"/>
        <n v="93654891" u="1"/>
        <n v="93654892" u="1"/>
        <n v="93654893" u="1"/>
        <n v="93654894" u="1"/>
        <n v="93654895" u="1"/>
        <n v="93654896" u="1"/>
        <n v="93654897" u="1"/>
        <n v="93654898" u="1"/>
        <n v="93654899" u="1"/>
        <n v="93654900" u="1"/>
        <n v="93654901" u="1"/>
        <n v="93654902" u="1"/>
        <n v="93654903" u="1"/>
        <n v="93654904" u="1"/>
        <n v="93654905" u="1"/>
        <n v="93654906" u="1"/>
        <n v="93654907" u="1"/>
        <n v="93654908" u="1"/>
        <n v="93654909" u="1"/>
        <n v="93654910" u="1"/>
        <n v="93654911" u="1"/>
        <n v="3" u="1"/>
        <n v="4" u="1"/>
        <n v="5" u="1"/>
        <n v="6" u="1"/>
        <n v="7" u="1"/>
        <n v="93654912" u="1"/>
        <n v="93654913" u="1"/>
        <n v="93654914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93654918" u="1"/>
        <n v="93654919" u="1"/>
        <n v="93654920" u="1"/>
        <n v="93654921" u="1"/>
        <n v="93654922" u="1"/>
        <n v="93654923" u="1"/>
        <n v="93654924" u="1"/>
        <n v="93654925" u="1"/>
        <n v="93654926" u="1"/>
        <n v="93654927" u="1"/>
        <n v="93654928" u="1"/>
        <n v="93654929" u="1"/>
        <n v="93654915" u="1"/>
        <n v="93654916" u="1"/>
        <n v="93654917" u="1"/>
        <n v="93654955" u="1"/>
        <n v="93654956" u="1"/>
        <n v="93654957" u="1"/>
        <n v="93654958" u="1"/>
        <n v="93654959" u="1"/>
        <n v="93654930" u="1"/>
        <n v="93654931" u="1"/>
        <n v="93654932" u="1"/>
        <n v="93654933" u="1"/>
        <n v="93654934" u="1"/>
        <n v="93654935" u="1"/>
        <n v="93654936" u="1"/>
        <n v="93654937" u="1"/>
        <n v="93654938" u="1"/>
        <n v="93654939" u="1"/>
        <n v="93654940" u="1"/>
        <n v="93654941" u="1"/>
        <n v="93654942" u="1"/>
        <n v="93654943" u="1"/>
        <n v="93654944" u="1"/>
        <n v="93654945" u="1"/>
        <n v="93654946" u="1"/>
        <n v="93654947" u="1"/>
        <n v="93654948" u="1"/>
        <n v="93654949" u="1"/>
        <n v="93654950" u="1"/>
        <n v="93654951" u="1"/>
        <n v="93654952" u="1"/>
        <n v="93654953" u="1"/>
        <n v="93654954" u="1"/>
        <n v="93654960" u="1"/>
        <n v="93654961" u="1"/>
        <n v="93654962" u="1"/>
        <n v="93654963" u="1"/>
        <n v="93654964" u="1"/>
        <n v="93654965" u="1"/>
        <n v="93654966" u="1"/>
        <n v="93654967" u="1"/>
        <n v="93654968" u="1"/>
        <n v="93654969" u="1"/>
        <n v="93654970" u="1"/>
        <n v="93654971" u="1"/>
        <n v="93654972" u="1"/>
        <n v="93654973" u="1"/>
        <n v="93654974" u="1"/>
        <n v="93654975" u="1"/>
        <n v="93654976" u="1"/>
        <n v="93654977" u="1"/>
        <n v="93654978" u="1"/>
        <n v="93654979" u="1"/>
        <n v="93654980" u="1"/>
        <n v="93654981" u="1"/>
        <n v="93654982" u="1"/>
        <n v="93654983" u="1"/>
        <n v="93654984" u="1"/>
        <n v="93654985" u="1"/>
        <n v="93654986" u="1"/>
        <n v="93654987" u="1"/>
        <n v="93654988" u="1"/>
        <n v="93654989" u="1"/>
        <n v="93654990" u="1"/>
        <n v="93654991" u="1"/>
        <n v="93654992" u="1"/>
        <n v="93654993" u="1"/>
        <n v="93654994" u="1"/>
        <n v="93654995" u="1"/>
        <n v="93654996" u="1"/>
        <n v="93654997" u="1"/>
        <n v="93654998" u="1"/>
        <n v="93654999" u="1"/>
        <n v="93655000" u="1"/>
        <n v="93655001" u="1"/>
        <n v="27" u="1"/>
        <n v="93655002" u="1"/>
        <n v="93655003" u="1"/>
        <n v="93655004" u="1"/>
        <n v="93655005" u="1"/>
        <n v="93655006" u="1"/>
        <n v="93655007" u="1"/>
        <n v="93655008" u="1"/>
        <n v="93655009" u="1"/>
        <n v="93655010" u="1"/>
        <n v="93655011" u="1"/>
        <n v="93655012" u="1"/>
        <n v="93655013" u="1"/>
        <n v="93655014" u="1"/>
        <n v="93655015" u="1"/>
        <n v="93655016" u="1"/>
        <n v="93655017" u="1"/>
        <n v="93655018" u="1"/>
        <n v="93655019" u="1"/>
        <n v="93655020" u="1"/>
        <n v="93655021" u="1"/>
        <n v="93655022" u="1"/>
        <n v="93655023" u="1"/>
        <n v="93655024" u="1"/>
        <n v="93655025" u="1"/>
        <n v="93655026" u="1"/>
        <n v="93655027" u="1"/>
        <n v="93655028" u="1"/>
        <n v="93655029" u="1"/>
        <n v="93655030" u="1"/>
        <n v="93655031" u="1"/>
        <n v="93655032" u="1"/>
        <n v="93655033" u="1"/>
        <n v="93655034" u="1"/>
        <n v="93655035" u="1"/>
        <n v="93655036" u="1"/>
        <n v="93655037" u="1"/>
        <n v="93655038" u="1"/>
        <n v="93655039" u="1"/>
        <n v="93655040" u="1"/>
        <n v="28" u="1"/>
        <n v="29" u="1"/>
        <n v="30" u="1"/>
        <n v="31" u="1"/>
        <n v="32" u="1"/>
        <n v="33" u="1"/>
        <n v="34" u="1"/>
        <n v="35" u="1"/>
        <n v="36" u="1"/>
        <n v="93655041" u="1"/>
        <n v="93655042" u="1"/>
        <n v="93655043" u="1"/>
        <n v="93655044" u="1"/>
        <n v="93655045" u="1"/>
        <n v="93655046" u="1"/>
        <n v="93655047" u="1"/>
        <n v="93655048" u="1"/>
        <n v="93655049" u="1"/>
        <n v="93655050" u="1"/>
        <n v="93655051" u="1"/>
        <n v="93655052" u="1"/>
        <n v="93655053" u="1"/>
        <n v="93655054" u="1"/>
        <n v="93655055" u="1"/>
        <n v="93655056" u="1"/>
        <n v="93655057" u="1"/>
        <n v="93655058" u="1"/>
        <n v="93655059" u="1"/>
        <n v="93655060" u="1"/>
        <n v="93655061" u="1"/>
        <n v="93655062" u="1"/>
        <n v="93655063" u="1"/>
        <n v="93655064" u="1"/>
        <n v="93655065" u="1"/>
        <n v="93655066" u="1"/>
        <n v="93655067" u="1"/>
        <n v="93655068" u="1"/>
        <n v="93655069" u="1"/>
        <n v="93655070" u="1"/>
        <n v="93655071" u="1"/>
        <n v="93655072" u="1"/>
        <n v="93655073" u="1"/>
        <n v="93655074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93655075" u="1"/>
        <n v="93655076" u="1"/>
        <n v="93655077" u="1"/>
        <n v="93655078" u="1"/>
        <n v="93655079" u="1"/>
        <n v="93655080" u="1"/>
        <n v="93655081" u="1"/>
        <n v="93655082" u="1"/>
        <n v="93655083" u="1"/>
        <n v="93655084" u="1"/>
        <n v="93655085" u="1"/>
        <n v="93655087" u="1"/>
        <n v="93655088" u="1"/>
        <n v="93655089" u="1"/>
        <n v="52" u="1"/>
        <n v="53" u="1"/>
        <n v="54" u="1"/>
        <n v="55" u="1"/>
        <n v="56" u="1"/>
        <n v="57" u="1"/>
        <n v="58" u="1"/>
        <n v="59" u="1"/>
        <n v="93655090" u="1"/>
        <n v="93655091" u="1"/>
        <n v="93655092" u="1"/>
        <n v="93655093" u="1"/>
        <n v="93655094" u="1"/>
        <n v="93655095" u="1"/>
        <n v="93655096" u="1"/>
        <n v="93655097" u="1"/>
        <n v="93655098" u="1"/>
        <n v="93655099" u="1"/>
        <n v="93655100" u="1"/>
        <n v="93655101" u="1"/>
        <n v="93655102" u="1"/>
        <n v="93655103" u="1"/>
        <n v="93655104" u="1"/>
        <n v="60" u="1"/>
        <n v="93655105" u="1"/>
        <n v="93655106" u="1"/>
        <n v="93655107" u="1"/>
        <n v="93655108" u="1"/>
        <n v="93655109" u="1"/>
        <n v="93655110" u="1"/>
        <n v="93655111" u="1"/>
        <n v="93655112" u="1"/>
        <n v="93655113" u="1"/>
        <n v="93655114" u="1"/>
        <n v="93655115" u="1"/>
        <n v="93655116" u="1"/>
        <n v="93655117" u="1"/>
        <n v="93655118" u="1"/>
        <n v="93655119" u="1"/>
        <n v="93655120" u="1"/>
        <n v="93655121" u="1"/>
        <n v="93655122" u="1"/>
        <n v="93655123" u="1"/>
        <n v="93655124" u="1"/>
        <n v="93655125" u="1"/>
        <n v="93655126" u="1"/>
        <n v="93655127" u="1"/>
        <n v="93655128" u="1"/>
        <n v="93655129" u="1"/>
        <n v="93655130" u="1"/>
        <n v="93655131" u="1"/>
        <n v="93655132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93655133" u="1"/>
        <n v="93655134" u="1"/>
        <n v="93655135" u="1"/>
        <n v="93655136" u="1"/>
        <n v="93655137" u="1"/>
        <n v="93655138" u="1"/>
        <n v="93655139" u="1"/>
        <n v="93655140" u="1"/>
        <n v="93655141" u="1"/>
        <n v="93655142" u="1"/>
        <n v="93655143" u="1"/>
        <n v="93655144" u="1"/>
        <n v="93655145" u="1"/>
        <n v="93655146" u="1"/>
        <n v="93655147" u="1"/>
        <n v="93655148" u="1"/>
        <n v="93655149" u="1"/>
        <n v="93655150" u="1"/>
        <n v="93655151" u="1"/>
        <n v="93655152" u="1"/>
        <n v="93655153" u="1"/>
        <n v="93655154" u="1"/>
        <n v="93655155" u="1"/>
        <n v="93655156" u="1"/>
        <n v="93655157" u="1"/>
        <n v="93655158" u="1"/>
        <n v="93655159" u="1"/>
        <n v="93655160" u="1"/>
        <n v="93655161" u="1"/>
        <n v="93655162" u="1"/>
        <n v="93655163" u="1"/>
        <n v="93655164" u="1"/>
        <n v="93655165" u="1"/>
        <n v="93655166" u="1"/>
        <n v="93655167" u="1"/>
        <n v="93655168" u="1"/>
        <n v="93655169" u="1"/>
        <n v="93655170" u="1"/>
        <n v="93655171" u="1"/>
        <n v="93655172" u="1"/>
        <n v="93655173" u="1"/>
        <n v="93655174" u="1"/>
        <n v="93655175" u="1"/>
        <n v="93655176" u="1"/>
        <n v="93655177" u="1"/>
        <n v="93655178" u="1"/>
        <n v="93655179" u="1"/>
        <n v="93655180" u="1"/>
        <n v="93655181" u="1"/>
        <n v="93655182" u="1"/>
        <n v="93655183" u="1"/>
        <n v="93655184" u="1"/>
        <n v="93655185" u="1"/>
        <n v="93655186" u="1"/>
        <n v="93655187" u="1"/>
        <n v="93655188" u="1"/>
        <n v="93655189" u="1"/>
        <n v="93655190" u="1"/>
        <n v="93655191" u="1"/>
        <n v="93655192" u="1"/>
        <n v="93655193" u="1"/>
        <n v="93655194" u="1"/>
        <n v="93655195" u="1"/>
        <n v="93655196" u="1"/>
        <n v="93655197" u="1"/>
        <n v="93655198" u="1"/>
        <n v="93655199" u="1"/>
        <n v="93655200" u="1"/>
        <n v="93655201" u="1"/>
        <n v="93655202" u="1"/>
        <n v="93655203" u="1"/>
        <n v="93655204" u="1"/>
        <n v="93655205" u="1"/>
        <n v="93655206" u="1"/>
        <n v="93655207" u="1"/>
        <n v="93655208" u="1"/>
        <n v="93655209" u="1"/>
        <n v="93655210" u="1"/>
        <n v="93655211" u="1"/>
        <n v="93655212" u="1"/>
        <n v="93655213" u="1"/>
        <n v="93655214" u="1"/>
        <n v="93655215" u="1"/>
        <n v="93655216" u="1"/>
        <n v="93655217" u="1"/>
        <n v="93655218" u="1"/>
        <n v="93655219" u="1"/>
        <n v="93655220" u="1"/>
        <n v="93655221" u="1"/>
        <n v="93655222" u="1"/>
        <n v="93655223" u="1"/>
        <n v="93655224" u="1"/>
        <n v="82" u="1"/>
        <n v="83" u="1"/>
        <n v="84" u="1"/>
        <n v="85" u="1"/>
        <n v="86" u="1"/>
        <n v="87" u="1"/>
        <n v="88" u="1"/>
        <n v="93655225" u="1"/>
        <n v="93655226" u="1"/>
        <n v="93655227" u="1"/>
        <n v="93655228" u="1"/>
        <n v="93655229" u="1"/>
        <n v="93655230" u="1"/>
        <n v="93655231" u="1"/>
        <n v="93655232" u="1"/>
        <n v="93655233" u="1"/>
        <n v="93655234" u="1"/>
        <n v="93655235" u="1"/>
        <n v="93655236" u="1"/>
        <n v="93655237" u="1"/>
        <n v="93655238" u="1"/>
        <n v="93655239" u="1"/>
        <n v="93655240" u="1"/>
        <n v="93655241" u="1"/>
        <n v="93655242" u="1"/>
        <n v="93655243" u="1"/>
        <n v="93655244" u="1"/>
        <n v="93655245" u="1"/>
        <n v="93655246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3655247" u="1"/>
        <n v="93655248" u="1"/>
        <n v="93655249" u="1"/>
        <n v="93655250" u="1"/>
        <n v="93655251" u="1"/>
        <n v="93655252" u="1"/>
        <n v="93655253" u="1"/>
        <n v="93655254" u="1"/>
        <n v="93655255" u="1"/>
        <n v="93655256" u="1"/>
        <n v="93655257" u="1"/>
        <n v="93655258" u="1"/>
        <n v="93655259" u="1"/>
        <n v="93655260" u="1"/>
        <n v="93655261" u="1"/>
        <n v="93655262" u="1"/>
        <n v="93655263" u="1"/>
        <n v="93655264" u="1"/>
        <n v="93655265" u="1"/>
        <n v="93655266" u="1"/>
        <n v="93655267" u="1"/>
        <n v="93655268" u="1"/>
        <n v="93655269" u="1"/>
        <n v="93655270" u="1"/>
        <n v="93655271" u="1"/>
        <n v="93655272" u="1"/>
        <n v="93655273" u="1"/>
        <n v="93655274" u="1"/>
        <n v="93655275" u="1"/>
        <n v="93655276" u="1"/>
        <n v="93655277" u="1"/>
        <n v="93655278" u="1"/>
        <n v="93655279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93655280" u="1"/>
        <n v="93655281" u="1"/>
        <n v="93655282" u="1"/>
        <n v="93655283" u="1"/>
        <n v="93655284" u="1"/>
        <n v="93655285" u="1"/>
        <n v="93655286" u="1"/>
        <n v="93655287" u="1"/>
        <n v="93655288" u="1"/>
        <n v="93655289" u="1"/>
        <n v="93655290" u="1"/>
        <n v="93655291" u="1"/>
        <n v="93655292" u="1"/>
        <n v="93655293" u="1"/>
        <n v="93655294" u="1"/>
        <n v="93655295" u="1"/>
        <n v="93655296" u="1"/>
        <n v="93655297" u="1"/>
        <n v="93655298" u="1"/>
        <n v="93655299" u="1"/>
        <n v="93655300" u="1"/>
        <n v="93655301" u="1"/>
        <n v="93655302" u="1"/>
        <n v="93655303" u="1"/>
        <n v="93655304" u="1"/>
        <n v="93655305" u="1"/>
        <n v="93655306" u="1"/>
        <n v="93655307" u="1"/>
        <n v="93655308" u="1"/>
        <n v="93655309" u="1"/>
        <n v="93655310" u="1"/>
        <n v="93655311" u="1"/>
        <n v="93655312" u="1"/>
        <n v="93655313" u="1"/>
        <n v="93655314" u="1"/>
        <n v="93655315" u="1"/>
        <n v="93655316" u="1"/>
        <n v="93655317" u="1"/>
        <n v="109" u="1"/>
        <n v="110" u="1"/>
        <n v="111" u="1"/>
        <n v="112" u="1"/>
        <n v="113" u="1"/>
        <n v="114" u="1"/>
        <n v="115" u="1"/>
        <n v="93655318" u="1"/>
        <n v="93655319" u="1"/>
        <n v="93655320" u="1"/>
        <n v="93655321" u="1"/>
        <n v="93655322" u="1"/>
        <n v="93655323" u="1"/>
        <n v="93655324" u="1"/>
        <n v="93655325" u="1"/>
        <n v="93655326" u="1"/>
        <n v="93655327" u="1"/>
        <n v="93655328" u="1"/>
        <n v="93655329" u="1"/>
        <n v="93655330" u="1"/>
        <n v="93655331" u="1"/>
        <n v="93655332" u="1"/>
        <n v="93655333" u="1"/>
        <n v="116" u="1"/>
        <n v="117" u="1"/>
        <n v="118" u="1"/>
        <n v="119" u="1"/>
        <n v="93655334" u="1"/>
        <n v="93655335" u="1"/>
        <n v="93655336" u="1"/>
        <n v="93655337" u="1"/>
        <n v="93655338" u="1"/>
        <n v="93655339" u="1"/>
        <n v="93655340" u="1"/>
        <n v="93655341" u="1"/>
        <n v="93655342" u="1"/>
        <n v="93655343" u="1"/>
        <n v="93655344" u="1"/>
        <n v="120" u="1"/>
        <n v="121" u="1"/>
        <n v="122" u="1"/>
        <n v="123" u="1"/>
        <n v="124" u="1"/>
        <n v="128" u="1"/>
        <n v="126" u="1"/>
        <n v="93655345" u="1"/>
        <n v="93655346" u="1"/>
        <n v="127" u="1"/>
        <n v="93655347" u="1"/>
        <n v="93655348" u="1"/>
        <n v="93655349" u="1"/>
        <n v="93655350" u="1"/>
        <n v="93655351" u="1"/>
        <n v="93655352" u="1"/>
        <n v="93655353" u="1"/>
        <n v="93655354" u="1"/>
        <n v="93655355" u="1"/>
        <n v="93655356" u="1"/>
        <n v="93655357" u="1"/>
        <n v="93655358" u="1"/>
        <n v="93655359" u="1"/>
        <n v="93655360" u="1"/>
        <n v="93655361" u="1"/>
        <n v="93655362" u="1"/>
        <n v="93655363" u="1"/>
        <n v="93655364" u="1"/>
        <n v="93655365" u="1"/>
        <n v="93655366" u="1"/>
        <n v="93655367" u="1"/>
        <n v="93655368" u="1"/>
        <n v="93655369" u="1"/>
        <n v="93655370" u="1"/>
        <n v="93655371" u="1"/>
        <n v="93655372" u="1"/>
        <n v="93655373" u="1"/>
        <n v="93655374" u="1"/>
        <n v="93655375" u="1"/>
        <n v="93655376" u="1"/>
        <n v="93655377" u="1"/>
        <n v="93655378" u="1"/>
        <n v="93655379" u="1"/>
        <n v="93655380" u="1"/>
        <n v="93655381" u="1"/>
        <n v="93655382" u="1"/>
        <n v="93655383" u="1"/>
        <n v="93655384" u="1"/>
        <n v="93655385" u="1"/>
        <n v="93655386" u="1"/>
        <n v="93655387" u="1"/>
        <n v="93655388" u="1"/>
        <n v="93655389" u="1"/>
        <n v="93655390" u="1"/>
        <n v="93655391" u="1"/>
        <n v="132" u="1"/>
        <n v="133" u="1"/>
        <n v="134" u="1"/>
        <n v="131" u="1"/>
        <n v="137" u="1"/>
        <n v="135" u="1"/>
        <n v="136" u="1"/>
        <n v="138" u="1"/>
        <n v="139" u="1"/>
        <n v="140" u="1"/>
        <n v="141" u="1"/>
        <n v="142" u="1"/>
        <n v="146" u="1"/>
        <n v="93655392" u="1"/>
        <n v="93655393" u="1"/>
        <n v="93655394" u="1"/>
        <n v="93655395" u="1"/>
        <n v="93655396" u="1"/>
        <n v="93655397" u="1"/>
        <n v="93655398" u="1"/>
        <n v="93655399" u="1"/>
        <n v="93655400" u="1"/>
        <n v="93655401" u="1"/>
        <n v="93655402" u="1"/>
        <n v="93655403" u="1"/>
        <n v="144" u="1"/>
        <n v="145" u="1"/>
        <n v="147" u="1"/>
        <n v="148" u="1"/>
        <n v="149" u="1"/>
        <n v="150" u="1"/>
        <n v="151" u="1"/>
        <n v="152" u="1"/>
        <n v="153" u="1"/>
        <n v="177" u="1"/>
        <n v="176" u="1"/>
        <n v="175" u="1"/>
        <n v="157" u="1"/>
        <n v="158" u="1"/>
        <n v="172" u="1"/>
        <n v="160" u="1"/>
        <n v="161" u="1"/>
        <n v="162" u="1"/>
        <n v="163" u="1"/>
        <n v="167" u="1"/>
        <n v="165" u="1"/>
        <n v="166" u="1"/>
        <n v="164" u="1"/>
        <n v="168" u="1"/>
        <n v="169" u="1"/>
        <n v="170" u="1"/>
        <n v="171" u="1"/>
        <n v="173" u="1"/>
        <n v="174" u="1"/>
        <n v="178" u="1"/>
        <n v="182" u="1"/>
        <n v="93655404" u="1"/>
        <n v="93655405" u="1"/>
        <n v="93655406" u="1"/>
        <n v="93655407" u="1"/>
        <n v="93655408" u="1"/>
        <n v="93655409" u="1"/>
        <n v="93655410" u="1"/>
        <n v="93655411" u="1"/>
        <n v="93655412" u="1"/>
        <n v="93655413" u="1"/>
        <n v="93655414" u="1"/>
        <n v="93655415" u="1"/>
        <n v="93655416" u="1"/>
        <n v="93655417" u="1"/>
        <n v="93655418" u="1"/>
        <n v="93655419" u="1"/>
        <n v="93655420" u="1"/>
        <n v="93655421" u="1"/>
        <n v="93655422" u="1"/>
        <n v="93655423" u="1"/>
        <n v="93655424" u="1"/>
        <n v="93655425" u="1"/>
        <n v="93655426" u="1"/>
        <n v="93655427" u="1"/>
        <n v="93655428" u="1"/>
        <n v="93655429" u="1"/>
        <n v="93655430" u="1"/>
        <n v="93655431" u="1"/>
        <n v="93655432" u="1"/>
        <n v="93655433" u="1"/>
        <n v="93655434" u="1"/>
        <n v="93655435" u="1"/>
        <n v="93655436" u="1"/>
        <n v="180" u="1"/>
        <n v="181" u="1"/>
        <n v="183" u="1"/>
        <n v="191" u="1"/>
        <n v="188" u="1"/>
        <n v="189" u="1"/>
        <n v="187" u="1"/>
        <n v="190" u="1"/>
        <n v="192" u="1"/>
        <n v="194" u="1"/>
        <n v="195" u="1"/>
        <n v="196" u="1"/>
        <n v="93655437" u="1"/>
        <n v="93655438" u="1"/>
        <n v="93655439" u="1"/>
        <n v="197" u="1"/>
        <n v="198" u="1"/>
        <n v="199" u="1"/>
        <n v="200" u="1"/>
        <n v="204" u="1"/>
        <n v="203" u="1"/>
        <n v="202" u="1"/>
        <n v="201" u="1"/>
        <n v="206" u="1"/>
        <n v="205" u="1"/>
        <n v="207" u="1"/>
        <n v="208" u="1"/>
        <n v="209" u="1"/>
        <n v="93655440" u="1"/>
        <n v="93655441" u="1"/>
        <n v="93655442" u="1"/>
        <n v="93655443" u="1"/>
        <n v="93655444" u="1"/>
        <n v="93655445" u="1"/>
        <n v="93655446" u="1"/>
        <n v="93655447" u="1"/>
        <n v="93966901" u="1"/>
        <n v="93966902" u="1"/>
        <n v="93966903" u="1"/>
        <n v="93966904" u="1"/>
        <n v="93966905" u="1"/>
        <n v="93966906" u="1"/>
        <n v="93966907" u="1"/>
        <n v="93966908" u="1"/>
        <n v="93966909" u="1"/>
        <n v="93966910" u="1"/>
        <n v="93966911" u="1"/>
        <n v="93966912" u="1"/>
        <n v="93966913" u="1"/>
        <n v="93966914" u="1"/>
        <n v="93966915" u="1"/>
        <n v="93966916" u="1"/>
        <n v="93966917" u="1"/>
        <n v="93966918" u="1"/>
        <n v="93966919" u="1"/>
        <n v="93966920" u="1"/>
        <n v="93966921" u="1"/>
        <n v="215" u="1"/>
        <n v="216" u="1"/>
        <n v="213" u="1"/>
        <n v="214" u="1"/>
        <n v="210" u="1"/>
        <n v="211" u="1"/>
        <n v="212" u="1"/>
        <n v="217" u="1"/>
        <n v="218" u="1"/>
        <n v="219" u="1"/>
        <n v="220" u="1"/>
        <n v="221" u="1"/>
        <n v="222" u="1"/>
        <n v="223" u="1"/>
        <n v="224" u="1"/>
        <n v="226" u="1"/>
        <n v="227" u="1"/>
        <n v="225" u="1"/>
        <n v="228" u="1"/>
        <n v="230" u="1"/>
        <n v="229" u="1"/>
        <n v="234" u="1"/>
        <n v="235" u="1"/>
        <n v="236" u="1"/>
        <n v="231" u="1"/>
        <n v="232" u="1"/>
        <n v="233" u="1"/>
        <n v="237" u="1"/>
        <n v="238" u="1"/>
        <n v="93966922" u="1"/>
        <n v="93966923" u="1"/>
        <n v="93966924" u="1"/>
        <n v="93966925" u="1"/>
        <n v="93966926" u="1"/>
        <n v="93966927" u="1"/>
        <n v="93966928" u="1"/>
        <n v="93966929" u="1"/>
        <n v="93966930" u="1"/>
        <n v="93966931" u="1"/>
        <n v="93966932" u="1"/>
        <n v="93966933" u="1"/>
        <n v="93966934" u="1"/>
        <n v="93966935" u="1"/>
        <n v="93966936" u="1"/>
        <n v="93966937" u="1"/>
        <n v="93966938" u="1"/>
        <n v="93966939" u="1"/>
        <n v="93966940" u="1"/>
        <n v="93966941" u="1"/>
        <n v="93655448" u="1"/>
        <n v="93655449" u="1"/>
        <n v="93966942" u="1"/>
        <n v="93966943" u="1"/>
        <n v="93966944" u="1"/>
        <n v="93966945" u="1"/>
        <n v="93966946" u="1"/>
        <n v="93966947" u="1"/>
        <n v="93966948" u="1"/>
        <n v="93966949" u="1"/>
        <n v="93966950" u="1"/>
        <n v="93966951" u="1"/>
        <n v="93966952" u="1"/>
        <n v="93966953" u="1"/>
        <n v="93655450" u="1"/>
        <n v="93966954" u="1"/>
        <n v="93966955" u="1"/>
        <n v="93966956" u="1"/>
        <n v="93966957" u="1"/>
        <n v="93966958" u="1"/>
        <n v="93966959" u="1"/>
        <n v="93966960" u="1"/>
        <n v="93966961" u="1"/>
        <n v="93966962" u="1"/>
        <n v="239" u="1"/>
        <n v="240" u="1"/>
        <n v="245" u="1"/>
        <n v="242" u="1"/>
        <n v="243" u="1"/>
        <n v="241" u="1"/>
        <n v="248" u="1"/>
        <n v="249" u="1"/>
        <n v="244" u="1"/>
        <n v="247" u="1"/>
        <n v="246" u="1"/>
        <n v="250" u="1"/>
        <n v="251" u="1"/>
        <n v="252" u="1"/>
        <n v="253" u="1"/>
        <n v="259" u="1"/>
        <n v="260" u="1"/>
        <n v="261" u="1"/>
        <n v="266" u="1"/>
        <n v="262" u="1"/>
        <n v="257" u="1"/>
        <n v="256" u="1"/>
        <n v="255" u="1"/>
        <n v="254" u="1"/>
        <n v="263" u="1"/>
        <n v="93966963" u="1"/>
        <n v="93966964" u="1"/>
        <n v="93966965" u="1"/>
        <n v="93966966" u="1"/>
        <n v="93966967" u="1"/>
        <n v="93966968" u="1"/>
        <n v="93966969" u="1"/>
        <n v="93966970" u="1"/>
        <n v="93966971" u="1"/>
        <n v="93966972" u="1"/>
        <n v="93966973" u="1"/>
        <n v="93966974" u="1"/>
        <n v="93966975" u="1"/>
        <n v="93966976" u="1"/>
        <n v="93966977" u="1"/>
        <n v="93966978" u="1"/>
        <n v="93966979" u="1"/>
        <n v="93966980" u="1"/>
        <n v="93966981" u="1"/>
        <n v="93966982" u="1"/>
        <n v="93966983" u="1"/>
        <n v="93966984" u="1"/>
        <n v="93966985" u="1"/>
        <n v="93966986" u="1"/>
        <n v="93966987" u="1"/>
        <n v="93966988" u="1"/>
        <n v="93966989" u="1"/>
        <n v="93966990" u="1"/>
        <n v="93966991" u="1"/>
        <n v="93966992" u="1"/>
        <n v="93966993" u="1"/>
        <n v="93966994" u="1"/>
        <n v="93966995" u="1"/>
        <n v="93966996" u="1"/>
        <n v="93966997" u="1"/>
        <n v="93966998" u="1"/>
        <n v="93966999" u="1"/>
        <n v="93967000" u="1"/>
        <n v="93967001" u="1"/>
        <n v="93967002" u="1"/>
        <n v="93967003" u="1"/>
        <n v="93967004" u="1"/>
        <n v="93967005" u="1"/>
        <n v="93967006" u="1"/>
        <n v="264" u="1"/>
        <n v="267" u="1"/>
        <n v="258" u="1"/>
        <n v="265" u="1"/>
        <n v="268" u="1"/>
        <n v="269" u="1"/>
        <n v="270" u="1"/>
        <n v="271" u="1"/>
        <n v="272" u="1"/>
        <n v="273" u="1"/>
        <n v="274" u="1"/>
        <n v="275" u="1"/>
        <n v="276" u="1"/>
        <n v="277" u="1"/>
        <n v="278" u="1"/>
        <n v="279" u="1"/>
        <n v="93967007" u="1"/>
        <n v="93967008" u="1"/>
        <n v="93967009" u="1"/>
        <n v="93967010" u="1"/>
        <n v="93967011" u="1"/>
        <n v="93967012" u="1"/>
        <n v="93967013" u="1"/>
        <n v="93967014" u="1"/>
        <n v="93967015" u="1"/>
        <n v="93967016" u="1"/>
        <n v="93967017" u="1"/>
        <n v="93967018" u="1"/>
        <n v="93967019" u="1"/>
        <n v="93967020" u="1"/>
        <n v="93967021" u="1"/>
        <n v="93967022" u="1"/>
        <n v="93967023" u="1"/>
        <n v="93967024" u="1"/>
        <n v="93967025" u="1"/>
        <n v="283" u="1"/>
        <n v="284" u="1"/>
        <n v="285" u="1"/>
        <n v="286" u="1"/>
        <n v="287" u="1"/>
        <n v="292" u="1"/>
        <n v="280" u="1"/>
        <n v="290" u="1"/>
        <n v="294" u="1"/>
        <n v="291" u="1"/>
        <n v="293" u="1"/>
        <n v="288" u="1"/>
        <n v="289" u="1"/>
        <n v="281" u="1"/>
        <n v="282" u="1"/>
        <n v="300" u="1"/>
        <n v="298" u="1"/>
        <n v="299" u="1"/>
        <n v="295" u="1"/>
        <n v="297" u="1"/>
        <n v="296" u="1"/>
        <n v="301" u="1"/>
        <n v="306" u="1"/>
        <n v="307" u="1"/>
        <n v="308" u="1"/>
        <n v="309" u="1"/>
        <n v="310" u="1"/>
        <n v="311" u="1"/>
        <n v="312" u="1"/>
        <n v="313" u="1"/>
        <n v="303" u="1"/>
        <n v="302" u="1"/>
        <n v="304" u="1"/>
        <n v="305" u="1"/>
        <n v="314" u="1"/>
        <n v="93967026" u="1"/>
        <n v="93967027" u="1"/>
        <n v="93967028" u="1"/>
        <n v="93967029" u="1"/>
        <n v="93967030" u="1"/>
        <n v="93967031" u="1"/>
        <n v="93967032" u="1"/>
        <n v="93967033" u="1"/>
        <n v="93967034" u="1"/>
        <n v="93967035" u="1"/>
        <n v="93967036" u="1"/>
        <n v="93967037" u="1"/>
        <n v="93967038" u="1"/>
        <n v="93967039" u="1"/>
        <n v="93967040" u="1"/>
        <n v="93967041" u="1"/>
        <n v="93967042" u="1"/>
        <n v="93967043" u="1"/>
        <n v="93967044" u="1"/>
        <n v="93967046" u="1"/>
        <n v="93967047" u="1"/>
        <n v="93967048" u="1"/>
        <n v="93967049" u="1"/>
        <n v="93967050" u="1"/>
        <n v="93967051" u="1"/>
        <n v="93967052" u="1"/>
        <n v="315" u="1"/>
        <n v="316" u="1"/>
        <n v="317" u="1"/>
        <n v="318" u="1"/>
        <n v="328" u="1"/>
        <n v="329" u="1"/>
        <n v="330" u="1"/>
        <n v="327" u="1"/>
        <n v="320" u="1"/>
        <n v="321" u="1"/>
        <n v="322" u="1"/>
        <n v="323" u="1"/>
        <n v="324" u="1"/>
        <n v="326" u="1"/>
        <n v="325" u="1"/>
        <n v="331" u="1"/>
        <n v="93967053" u="1"/>
        <n v="93967054" u="1"/>
        <n v="93967055" u="1"/>
        <n v="93967056" u="1"/>
        <n v="93967057" u="1"/>
        <n v="93967058" u="1"/>
        <n v="93967059" u="1"/>
        <n v="93967060" u="1"/>
        <n v="332" u="1"/>
        <n v="93967061" u="1"/>
        <n v="333" u="1"/>
        <n v="334" u="1"/>
        <n v="335" u="1"/>
        <n v="336" u="1"/>
        <n v="337" u="1"/>
        <n v="338" u="1"/>
        <n v="339" u="1"/>
        <n v="340" u="1"/>
        <n v="341" u="1"/>
        <n v="342" u="1"/>
        <n v="343" u="1"/>
        <n v="344" u="1"/>
        <n v="345" u="1"/>
        <n v="346" u="1"/>
        <n v="347" u="1"/>
        <n v="348" u="1"/>
        <n v="349" u="1"/>
        <n v="350" u="1"/>
        <n v="351" u="1"/>
        <n v="352" u="1"/>
        <n v="353" u="1"/>
        <n v="355" u="1"/>
        <n v="354" u="1"/>
        <n v="356" u="1"/>
        <n v="357" u="1"/>
        <n v="358" u="1"/>
        <n v="359" u="1"/>
        <n v="93967062" u="1"/>
        <n v="360" u="1"/>
        <n v="361" u="1"/>
        <n v="362" u="1"/>
        <n v="363" u="1"/>
        <n v="364" u="1"/>
        <n v="365" u="1"/>
        <n v="366" u="1"/>
        <n v="367" u="1"/>
        <n v="368" u="1"/>
        <n v="369" u="1"/>
        <n v="370" u="1"/>
        <n v="371" u="1"/>
        <n v="372" u="1"/>
        <n v="93967063" u="1"/>
        <n v="93967064" u="1"/>
        <n v="93967065" u="1"/>
        <n v="93967066" u="1"/>
        <n v="93967067" u="1"/>
        <n v="93967068" u="1"/>
        <n v="93967069" u="1"/>
        <n v="93967070" u="1"/>
        <n v="93967071" u="1"/>
        <n v="373" u="1"/>
        <n v="374" u="1"/>
        <n v="375" u="1"/>
        <n v="376" u="1"/>
        <n v="377" u="1"/>
        <n v="378" u="1"/>
        <n v="93967072" u="1"/>
        <n v="93967073" u="1"/>
        <n v="93967074" u="1"/>
        <n v="93967075" u="1"/>
        <n v="93967076" u="1"/>
        <n v="93967077" u="1"/>
        <n v="93967078" u="1"/>
        <n v="379" u="1"/>
        <n v="380" u="1"/>
        <n v="381" u="1"/>
        <n v="382" u="1"/>
        <n v="383" u="1"/>
        <n v="384" u="1"/>
        <n v="93967079" u="1"/>
        <n v="93967080" u="1"/>
        <n v="93967081" u="1"/>
        <n v="93967082" u="1"/>
        <n v="93967083" u="1"/>
        <n v="93967084" u="1"/>
        <n v="93967085" u="1"/>
        <n v="93967086" u="1"/>
        <n v="93967087" u="1"/>
        <n v="93967088" u="1"/>
        <n v="93967089" u="1"/>
        <n v="93967090" u="1"/>
        <n v="93967091" u="1"/>
        <n v="93967092" u="1"/>
        <n v="93967093" u="1"/>
        <n v="93967094" u="1"/>
        <n v="93967095" u="1"/>
        <n v="93967096" u="1"/>
        <n v="93967097" u="1"/>
        <n v="93967098" u="1"/>
        <n v="93967099" u="1"/>
        <n v="93967100" u="1"/>
        <n v="93967101" u="1"/>
        <n v="93967102" u="1"/>
        <n v="93967103" u="1"/>
        <n v="385" u="1"/>
        <n v="386" u="1"/>
        <n v="387" u="1"/>
        <n v="388" u="1"/>
        <n v="389" u="1"/>
        <n v="390" u="1"/>
        <n v="391" u="1"/>
        <n v="392" u="1"/>
        <n v="393" u="1"/>
        <n v="394" u="1"/>
        <n v="395" u="1"/>
        <n v="396" u="1"/>
        <n v="402" u="1"/>
        <n v="403" u="1"/>
        <n v="397" u="1"/>
        <n v="398" u="1"/>
        <n v="399" u="1"/>
        <n v="400" u="1"/>
        <n v="401" u="1"/>
        <n v="404" u="1"/>
        <n v="405" u="1"/>
        <n v="409" u="1"/>
        <n v="410" u="1"/>
        <n v="411" u="1"/>
        <n v="412" u="1"/>
        <n v="413" u="1"/>
        <n v="414" u="1"/>
        <n v="415" u="1"/>
        <n v="416" u="1"/>
        <n v="417" u="1"/>
        <n v="418" u="1"/>
        <n v="419" u="1"/>
        <n v="420" u="1"/>
        <n v="406" u="1"/>
        <n v="407" u="1"/>
        <n v="408" u="1"/>
        <n v="421" u="1"/>
        <n v="422" u="1"/>
        <n v="423" u="1"/>
        <n v="424" u="1"/>
        <n v="425" u="1"/>
        <n v="426" u="1"/>
        <n v="427" u="1"/>
        <n v="428" u="1"/>
        <n v="429" u="1"/>
        <n v="430" u="1"/>
        <n v="431" u="1"/>
        <n v="93967104" u="1"/>
        <n v="93967105" u="1"/>
        <n v="93967106" u="1"/>
        <n v="93967107" u="1"/>
        <n v="432" u="1"/>
        <n v="433" u="1"/>
        <n v="434" u="1"/>
        <n v="435" u="1"/>
        <n v="436" u="1"/>
        <n v="437" u="1"/>
        <n v="438" u="1"/>
        <n v="439" u="1"/>
        <n v="440" u="1"/>
        <n v="441" u="1"/>
        <n v="442" u="1"/>
        <n v="443" u="1"/>
        <n v="93967108" u="1"/>
        <n v="444" u="1"/>
        <n v="445" u="1"/>
        <n v="125012" u="1"/>
        <n v="125013" u="1"/>
        <n v="125014" u="1"/>
        <n v="93967109" u="1"/>
        <n v="446" u="1"/>
        <n v="447" u="1"/>
        <n v="448" u="1"/>
        <n v="449" u="1"/>
        <n v="450" u="1"/>
        <n v="451" u="1"/>
        <n v="452" u="1"/>
        <n v="453" u="1"/>
        <n v="125015" u="1"/>
        <n v="125016" u="1"/>
        <n v="125017" u="1"/>
        <n v="125018" u="1"/>
        <n v="125019" u="1"/>
        <n v="125020" u="1"/>
        <n v="125021" u="1"/>
        <n v="125022" u="1"/>
        <n v="93967110" u="1"/>
        <n v="93967111" u="1"/>
        <n v="93967112" u="1"/>
        <n v="93967113" u="1"/>
        <n v="93967114" u="1"/>
        <n v="93967115" u="1"/>
        <n v="93967116" u="1"/>
        <n v="93967117" u="1"/>
        <n v="93967118" u="1"/>
        <n v="93967119" u="1"/>
        <n v="93967120" u="1"/>
        <n v="93967121" u="1"/>
        <n v="125023" u="1"/>
        <n v="125024" u="1"/>
        <n v="125025" u="1"/>
        <n v="125026" u="1"/>
        <n v="125027" u="1"/>
        <n v="125028" u="1"/>
        <n v="125029" u="1"/>
        <n v="125030" u="1"/>
        <n v="125031" u="1"/>
        <n v="125032" u="1"/>
        <n v="125033" u="1"/>
        <n v="125034" u="1"/>
        <n v="125035" u="1"/>
        <n v="125036" u="1"/>
        <n v="125037" u="1"/>
        <n v="125038" u="1"/>
        <n v="125039" u="1"/>
        <n v="125040" u="1"/>
        <n v="125041" u="1"/>
        <n v="125042" u="1"/>
        <n v="125043" u="1"/>
        <n v="125044" u="1"/>
        <n v="125045" u="1"/>
        <n v="125046" u="1"/>
        <n v="125047" u="1"/>
        <n v="125048" u="1"/>
        <n v="125049" u="1"/>
        <n v="125050" u="1"/>
        <n v="125051" u="1"/>
        <n v="125052" u="1"/>
        <n v="125053" u="1"/>
        <n v="125054" u="1"/>
        <n v="125055" u="1"/>
        <n v="125056" u="1"/>
        <n v="125057" u="1"/>
        <n v="125058" u="1"/>
        <n v="125059" u="1"/>
        <n v="125060" u="1"/>
        <n v="125061" u="1"/>
        <n v="136647" u="1"/>
        <n v="136648" u="1"/>
        <n v="136649" u="1"/>
        <n v="136650" u="1"/>
        <n v="136651" u="1"/>
        <n v="136652" u="1"/>
        <n v="93967122" u="1"/>
        <n v="93967123" u="1"/>
        <n v="93967124" u="1"/>
        <n v="93967125" u="1"/>
        <n v="93967126" u="1"/>
        <n v="93967127" u="1"/>
        <n v="93967128" u="1"/>
        <n v="93967129" u="1"/>
        <n v="93967130" u="1"/>
        <n v="93967131" u="1"/>
        <n v="454" u="1"/>
        <n v="455" u="1"/>
        <n v="456" u="1"/>
        <n v="457" u="1"/>
        <n v="458" u="1"/>
        <n v="93967132" u="1"/>
        <n v="93967133" u="1"/>
        <n v="93967134" u="1"/>
        <n v="459" u="1"/>
        <n v="93967135" u="1"/>
        <n v="93967136" u="1"/>
        <n v="93967137" u="1"/>
        <n v="93967138" u="1"/>
        <n v="93967139" u="1"/>
        <n v="93967140" u="1"/>
        <n v="93967141" u="1"/>
        <n v="93967142" u="1"/>
        <n v="460" u="1"/>
        <n v="461" u="1"/>
        <n v="462" u="1"/>
        <n v="463" u="1"/>
        <n v="464" u="1"/>
        <n v="465" u="1"/>
        <n v="466" u="1"/>
        <n v="467" u="1"/>
        <n v="468" u="1"/>
        <n v="469" u="1"/>
        <n v="470" u="1"/>
        <n v="471" u="1"/>
        <n v="472" u="1"/>
        <n v="473" u="1"/>
        <n v="474" u="1"/>
        <n v="475" u="1"/>
        <n v="476" u="1"/>
        <n v="477" u="1"/>
        <n v="478" u="1"/>
        <n v="479" u="1"/>
        <n v="480" u="1"/>
        <n v="481" u="1"/>
        <n v="482" u="1"/>
        <n v="483" u="1"/>
        <n v="484" u="1"/>
        <n v="485" u="1"/>
        <n v="486" u="1"/>
        <n v="487" u="1"/>
        <n v="488" u="1"/>
        <n v="489" u="1"/>
        <n v="490" u="1"/>
        <n v="93967143" u="1"/>
        <n v="136653" u="1"/>
        <n v="136654" u="1"/>
        <n v="136655" u="1"/>
        <n v="136656" u="1"/>
        <n v="136657" u="1"/>
        <n v="93967144" u="1"/>
        <n v="93967145" u="1"/>
        <n v="93967146" u="1"/>
        <n v="93967147" u="1"/>
        <n v="93967148" u="1"/>
        <n v="93967149" u="1"/>
        <n v="93967150" u="1"/>
        <n v="491" u="1"/>
        <n v="492" u="1"/>
        <n v="493" u="1"/>
        <n v="494" u="1"/>
        <n v="495" u="1"/>
        <n v="496" u="1"/>
        <n v="497" u="1"/>
        <n v="498" u="1"/>
        <n v="499" u="1"/>
        <n v="500" u="1"/>
        <n v="501" u="1"/>
        <n v="502" u="1"/>
        <n v="503" u="1"/>
        <n v="504" u="1"/>
        <n v="505" u="1"/>
        <n v="506" u="1"/>
        <n v="507" u="1"/>
        <n v="508" u="1"/>
        <n v="509" u="1"/>
        <n v="510" u="1"/>
        <n v="511" u="1"/>
        <n v="512" u="1"/>
        <n v="513" u="1"/>
        <n v="514" u="1"/>
        <n v="515" u="1"/>
        <n v="516" u="1"/>
        <n v="517" u="1"/>
        <n v="518" u="1"/>
        <n v="519" u="1"/>
        <n v="520" u="1"/>
        <n v="521" u="1"/>
        <n v="522" u="1"/>
        <n v="523" u="1"/>
        <n v="524" u="1"/>
        <n v="525" u="1"/>
        <n v="93967151" u="1"/>
        <n v="93967152" u="1"/>
        <n v="93967153" u="1"/>
        <n v="93967154" u="1"/>
        <n v="93967155" u="1"/>
        <n v="93967156" u="1"/>
        <n v="93967157" u="1"/>
        <n v="93967158" u="1"/>
        <n v="93967159" u="1"/>
        <n v="93967160" u="1"/>
        <n v="526" u="1"/>
        <n v="527" u="1"/>
        <n v="528" u="1"/>
        <n v="529" u="1"/>
        <n v="530" u="1"/>
        <n v="531" u="1"/>
        <n v="532" u="1"/>
        <n v="533" u="1"/>
        <n v="534" u="1"/>
        <n v="535" u="1"/>
        <n v="536" u="1"/>
        <n v="537" u="1"/>
        <n v="93967161" u="1"/>
        <n v="93967162" u="1"/>
        <n v="93967163" u="1"/>
        <n v="93967164" u="1"/>
        <n v="538" u="1"/>
        <n v="539" u="1"/>
        <n v="540" u="1"/>
        <n v="541" u="1"/>
        <n v="542" u="1"/>
        <n v="543" u="1"/>
        <n v="544" u="1"/>
        <n v="136658" u="1"/>
        <n v="136659" u="1"/>
        <n v="136660" u="1"/>
        <n v="136661" u="1"/>
        <n v="136662" u="1"/>
        <n v="136663" u="1"/>
        <n v="136664" u="1"/>
        <n v="136665" u="1"/>
        <n v="136666" u="1"/>
        <n v="136667" u="1"/>
        <n v="136668" u="1"/>
        <n v="136669" u="1"/>
        <n v="136670" u="1"/>
        <n v="136671" u="1"/>
        <n v="136672" u="1"/>
        <n v="136673" u="1"/>
        <n v="545" u="1"/>
        <n v="546" u="1"/>
        <n v="547" u="1"/>
        <n v="548" u="1"/>
        <n v="549" u="1"/>
        <n v="136674" u="1"/>
        <n v="136675" u="1"/>
        <n v="136676" u="1"/>
        <n v="136677" u="1"/>
        <n v="136678" u="1"/>
        <n v="136679" u="1"/>
        <n v="136680" u="1"/>
        <n v="136681" u="1"/>
        <n v="136682" u="1"/>
        <n v="136683" u="1"/>
        <n v="136684" u="1"/>
        <n v="136685" u="1"/>
        <n v="136686" u="1"/>
        <n v="136687" u="1"/>
        <n v="136688" u="1"/>
        <n v="136689" u="1"/>
        <n v="136690" u="1"/>
        <n v="136691" u="1"/>
        <n v="136692" u="1"/>
        <n v="136693" u="1"/>
        <n v="136694" u="1"/>
        <n v="136695" u="1"/>
        <n v="136696" u="1"/>
        <n v="136697" u="1"/>
        <n v="136698" u="1"/>
        <n v="136699" u="1"/>
        <n v="136700" u="1"/>
        <n v="93967165" u="1"/>
        <n v="93967166" u="1"/>
        <n v="93967167" u="1"/>
        <n v="93967168" u="1"/>
        <n v="550" u="1"/>
        <n v="551" u="1"/>
        <n v="552" u="1"/>
        <n v="553" u="1"/>
        <n v="554" u="1"/>
        <n v="555" u="1"/>
        <n v="556" u="1"/>
        <n v="557" u="1"/>
        <n v="558" u="1"/>
        <n v="559" u="1"/>
        <n v="560" u="1"/>
        <n v="561" u="1"/>
        <n v="562" u="1"/>
        <n v="563" u="1"/>
        <n v="564" u="1"/>
        <n v="565" u="1"/>
        <n v="566" u="1"/>
        <n v="567" u="1"/>
        <n v="568" u="1"/>
        <n v="569" u="1"/>
        <n v="570" u="1"/>
        <n v="571" u="1"/>
        <n v="572" u="1"/>
        <n v="573" u="1"/>
        <n v="574" u="1"/>
        <n v="575" u="1"/>
        <n v="576" u="1"/>
        <n v="577" u="1"/>
        <n v="578" u="1"/>
        <n v="579" u="1"/>
        <n v="580" u="1"/>
        <n v="93967169" u="1"/>
        <n v="93967170" u="1"/>
        <n v="93967171" u="1"/>
        <n v="93967172" u="1"/>
        <n v="93967173" u="1"/>
        <n v="581" u="1"/>
        <n v="582" u="1"/>
        <n v="583" u="1"/>
        <n v="584" u="1"/>
        <n v="585" u="1"/>
        <n v="586" u="1"/>
        <n v="587" u="1"/>
        <n v="588" u="1"/>
        <n v="589" u="1"/>
        <n v="590" u="1"/>
        <n v="591" u="1"/>
        <n v="592" u="1"/>
        <n v="593" u="1"/>
        <n v="594" u="1"/>
        <n v="595" u="1"/>
        <n v="596" u="1"/>
        <n v="597" u="1"/>
        <n v="598" u="1"/>
        <n v="599" u="1"/>
        <n v="600" u="1"/>
        <n v="601" u="1"/>
        <n v="602" u="1"/>
        <n v="603" u="1"/>
        <n v="604" u="1"/>
        <n v="605" u="1"/>
        <n v="606" u="1"/>
        <n v="607" u="1"/>
        <n v="608" u="1"/>
        <n v="609" u="1"/>
        <n v="610" u="1"/>
        <n v="611" u="1"/>
        <n v="612" u="1"/>
        <n v="613" u="1"/>
        <n v="614" u="1"/>
        <n v="615" u="1"/>
        <n v="616" u="1"/>
        <n v="617" u="1"/>
        <n v="618" u="1"/>
        <n v="619" u="1"/>
        <n v="620" u="1"/>
        <n v="621" u="1"/>
        <n v="622" u="1"/>
        <n v="623" u="1"/>
        <n v="624" u="1"/>
        <n v="625" u="1"/>
        <n v="626" u="1"/>
        <n v="627" u="1"/>
        <n v="628" u="1"/>
        <n v="629" u="1"/>
        <n v="630" u="1"/>
        <n v="631" u="1"/>
        <n v="632" u="1"/>
        <n v="633" u="1"/>
        <n v="634" u="1"/>
        <n v="635" u="1"/>
        <n v="636" u="1"/>
        <n v="637" u="1"/>
        <n v="638" u="1"/>
        <n v="639" u="1"/>
        <n v="640" u="1"/>
        <n v="136701" u="1"/>
        <n v="136702" u="1"/>
        <n v="641" u="1"/>
        <n v="642" u="1"/>
        <n v="643" u="1"/>
        <n v="644" u="1"/>
        <n v="645" u="1"/>
        <n v="646" u="1"/>
        <n v="647" u="1"/>
        <n v="648" u="1"/>
        <n v="649" u="1"/>
        <n v="650" u="1"/>
        <n v="93967174" u="1"/>
        <n v="93967175" u="1"/>
        <n v="93967176" u="1"/>
        <n v="93967177" u="1"/>
        <n v="93967178" u="1"/>
        <n v="93967179" u="1"/>
        <n v="93967180" u="1"/>
        <n v="93967181" u="1"/>
        <n v="93967182" u="1"/>
        <n v="651" u="1"/>
        <n v="652" u="1"/>
        <n v="653" u="1"/>
        <n v="654" u="1"/>
        <n v="655" u="1"/>
        <n v="656" u="1"/>
        <n v="657" u="1"/>
        <n v="658" u="1"/>
        <n v="659" u="1"/>
        <n v="660" u="1"/>
        <n v="661" u="1"/>
        <n v="662" u="1"/>
        <n v="663" u="1"/>
        <n v="664" u="1"/>
        <n v="665" u="1"/>
        <n v="666" u="1"/>
        <n v="667" u="1"/>
        <n v="668" u="1"/>
        <n v="669" u="1"/>
        <n v="670" u="1"/>
        <n v="671" u="1"/>
        <n v="672" u="1"/>
        <n v="673" u="1"/>
        <n v="674" u="1"/>
        <n v="675" u="1"/>
        <n v="676" u="1"/>
        <n v="677" u="1"/>
        <n v="678" u="1"/>
        <n v="679" u="1"/>
        <n v="680" u="1"/>
        <n v="681" u="1"/>
        <n v="682" u="1"/>
        <n v="683" u="1"/>
        <n v="93967183" u="1"/>
        <n v="93967184" u="1"/>
        <n v="93967185" u="1"/>
        <n v="93967186" u="1"/>
        <n v="93967187" u="1"/>
        <n v="93967188" u="1"/>
        <n v="93967189" u="1"/>
        <n v="93967190" u="1"/>
        <n v="93967191" u="1"/>
        <n v="93967192" u="1"/>
        <n v="93967193" u="1"/>
        <n v="93967194" u="1"/>
        <n v="93967195" u="1"/>
        <n v="93967196" u="1"/>
        <n v="93967197" u="1"/>
        <n v="684" u="1"/>
        <n v="685" u="1"/>
        <n v="686" u="1"/>
        <n v="687" u="1"/>
        <n v="688" u="1"/>
        <n v="689" u="1"/>
        <n v="690" u="1"/>
        <n v="691" u="1"/>
        <n v="692" u="1"/>
        <n v="693" u="1"/>
        <n v="694" u="1"/>
        <n v="695" u="1"/>
        <n v="696" u="1"/>
        <n v="697" u="1"/>
        <n v="698" u="1"/>
        <n v="699" u="1"/>
        <n v="700" u="1"/>
        <n v="701" u="1"/>
        <n v="702" u="1"/>
        <n v="703" u="1"/>
        <n v="704" u="1"/>
        <n v="705" u="1"/>
        <n v="706" u="1"/>
        <n v="707" u="1"/>
        <n v="708" u="1"/>
        <n v="709" u="1"/>
        <n v="710" u="1"/>
        <n v="711" u="1"/>
        <n v="712" u="1"/>
        <n v="713" u="1"/>
        <n v="714" u="1"/>
        <n v="715" u="1"/>
        <n v="716" u="1"/>
        <n v="717" u="1"/>
        <n v="718" u="1"/>
        <n v="719" u="1"/>
        <n v="720" u="1"/>
        <n v="721" u="1"/>
        <n v="722" u="1"/>
        <n v="723" u="1"/>
        <n v="724" u="1"/>
        <n v="725" u="1"/>
        <n v="726" u="1"/>
        <n v="727" u="1"/>
        <n v="728" u="1"/>
        <n v="729" u="1"/>
        <n v="730" u="1"/>
        <n v="731" u="1"/>
        <n v="732" u="1"/>
        <n v="733" u="1"/>
        <n v="734" u="1"/>
        <n v="735" u="1"/>
        <n v="736" u="1"/>
        <n v="737" u="1"/>
        <n v="738" u="1"/>
        <n v="739" u="1"/>
        <n v="740" u="1"/>
        <n v="741" u="1"/>
        <n v="742" u="1"/>
        <n v="743" u="1"/>
        <n v="744" u="1"/>
        <n v="745" u="1"/>
        <n v="746" u="1"/>
        <n v="747" u="1"/>
        <n v="748" u="1"/>
        <n v="749" u="1"/>
        <n v="750" u="1"/>
        <n v="751" u="1"/>
        <n v="752" u="1"/>
        <n v="753" u="1"/>
        <n v="754" u="1"/>
        <n v="93967198" u="1"/>
        <n v="755" u="1"/>
        <n v="756" u="1"/>
        <n v="757" u="1"/>
        <n v="760" u="1"/>
        <n v="758" u="1"/>
        <n v="761" u="1"/>
        <n v="759" u="1"/>
        <n v="762" u="1"/>
        <n v="763" u="1"/>
        <n v="764" u="1"/>
        <n v="765" u="1"/>
        <n v="766" u="1"/>
        <n v="767" u="1"/>
        <n v="768" u="1"/>
        <n v="769" u="1"/>
        <n v="93967199" u="1"/>
        <n v="93967200" u="1"/>
        <n v="93967201" u="1"/>
        <n v="770" u="1"/>
        <n v="771" u="1"/>
        <n v="772" u="1"/>
        <n v="773" u="1"/>
        <n v="774" u="1"/>
        <n v="775" u="1"/>
        <n v="776" u="1"/>
        <n v="777" u="1"/>
        <n v="778" u="1"/>
        <n v="779" u="1"/>
        <n v="780" u="1"/>
        <n v="781" u="1"/>
        <n v="782" u="1"/>
        <n v="783" u="1"/>
        <n v="784" u="1"/>
        <n v="785" u="1"/>
        <n v="786" u="1"/>
        <n v="787" u="1"/>
        <n v="136703" u="1"/>
        <n v="136704" u="1"/>
        <n v="136705" u="1"/>
        <n v="136706" u="1"/>
        <n v="136707" u="1"/>
        <n v="136708" u="1"/>
        <n v="788" u="1"/>
        <n v="789" u="1"/>
        <n v="790" u="1"/>
        <n v="791" u="1"/>
        <n v="792" u="1"/>
        <n v="793" u="1"/>
        <n v="794" u="1"/>
        <n v="795" u="1"/>
        <n v="796" u="1"/>
        <n v="797" u="1"/>
        <n v="798" u="1"/>
        <n v="799" u="1"/>
        <n v="800" u="1"/>
        <n v="801" u="1"/>
        <n v="93967202" u="1"/>
        <n v="93967203" u="1"/>
        <n v="93967204" u="1"/>
        <n v="93967205" u="1"/>
        <n v="93967206" u="1"/>
        <n v="93967207" u="1"/>
        <n v="93967208" u="1"/>
        <n v="93967209" u="1"/>
        <n v="93967210" u="1"/>
        <n v="93967211" u="1"/>
        <n v="93967212" u="1"/>
        <n v="93967213" u="1"/>
        <n v="93967214" u="1"/>
        <n v="37746175" u="1"/>
        <n v="37746176" u="1"/>
        <n v="803" u="1"/>
        <n v="804" u="1"/>
        <n v="805" u="1"/>
        <n v="806" u="1"/>
        <n v="807" u="1"/>
        <n v="808" u="1"/>
        <n v="809" u="1"/>
        <n v="810" u="1"/>
        <n v="811" u="1"/>
        <n v="812" u="1"/>
        <n v="813" u="1"/>
        <n v="93967215" u="1"/>
        <n v="93967216" u="1"/>
        <n v="93967217" u="1"/>
        <n v="93967218" u="1"/>
        <n v="93967219" u="1"/>
        <n v="93967220" u="1"/>
        <n v="93967221" u="1"/>
        <n v="93967222" u="1"/>
        <n v="93967223" u="1"/>
        <n v="93967224" u="1"/>
        <n v="93967225" u="1"/>
        <n v="93967226" u="1"/>
        <n v="93967227" u="1"/>
        <n v="93967228" u="1"/>
        <n v="93967229" u="1"/>
        <n v="93967230" u="1"/>
        <n v="814" u="1"/>
        <n v="815" u="1"/>
        <n v="816" u="1"/>
        <n v="817" u="1"/>
        <n v="818" u="1"/>
        <n v="819" u="1"/>
        <n v="820" u="1"/>
        <n v="821" u="1"/>
        <n v="822" u="1"/>
        <n v="823" u="1"/>
        <n v="824" u="1"/>
        <n v="825" u="1"/>
        <n v="826" u="1"/>
        <n v="827" u="1"/>
        <n v="828" u="1"/>
        <n v="829" u="1"/>
        <n v="830" u="1"/>
        <n v="831" u="1"/>
        <n v="832" u="1"/>
        <n v="833" u="1"/>
        <n v="834" u="1"/>
        <n v="835" u="1"/>
        <n v="836" u="1"/>
        <n v="837" u="1"/>
        <n v="838" u="1"/>
        <n v="839" u="1"/>
        <n v="840" u="1"/>
        <n v="841" u="1"/>
        <n v="842" u="1"/>
        <n v="843" u="1"/>
        <n v="844" u="1"/>
        <n v="845" u="1"/>
        <n v="846" u="1"/>
        <n v="847" u="1"/>
        <n v="848" u="1"/>
        <n v="849" u="1"/>
        <n v="850" u="1"/>
        <n v="851" u="1"/>
        <n v="852" u="1"/>
        <n v="853" u="1"/>
        <n v="854" u="1"/>
        <n v="855" u="1"/>
        <n v="856" u="1"/>
        <n v="857" u="1"/>
        <n v="858" u="1"/>
        <n v="859" u="1"/>
        <n v="860" u="1"/>
        <n v="861" u="1"/>
        <n v="862" u="1"/>
        <n v="863" u="1"/>
        <n v="864" u="1"/>
        <n v="865" u="1"/>
        <n v="866" u="1"/>
        <n v="867" u="1"/>
        <n v="868" u="1"/>
        <n v="869" u="1"/>
        <n v="870" u="1"/>
        <n v="871" u="1"/>
        <n v="872" u="1"/>
        <n v="873" u="1"/>
        <n v="874" u="1"/>
        <n v="875" u="1"/>
        <n v="876" u="1"/>
        <n v="93967231" u="1"/>
        <n v="93967232" u="1"/>
        <n v="93967233" u="1"/>
        <n v="93967234" u="1"/>
        <n v="93967235" u="1"/>
        <n v="93967236" u="1"/>
        <n v="37746177" u="1"/>
        <n v="37746178" u="1"/>
        <n v="93967237" u="1"/>
        <n v="877" u="1"/>
        <n v="878" u="1"/>
        <n v="879" u="1"/>
        <n v="880" u="1"/>
        <n v="881" u="1"/>
        <n v="882" u="1"/>
        <n v="883" u="1"/>
        <n v="884" u="1"/>
        <n v="885" u="1"/>
        <n v="886" u="1"/>
        <n v="887" u="1"/>
        <n v="888" u="1"/>
        <n v="889" u="1"/>
        <n v="890" u="1"/>
        <n v="891" u="1"/>
        <n v="892" u="1"/>
        <n v="893" u="1"/>
        <n v="894" u="1"/>
        <n v="895" u="1"/>
        <n v="896" u="1"/>
        <n v="93967238" u="1"/>
        <n v="93967239" u="1"/>
        <n v="93967240" u="1"/>
        <n v="906" u="1"/>
        <n v="907" u="1"/>
        <n v="908" u="1"/>
        <n v="909" u="1"/>
        <n v="910" u="1"/>
        <n v="911" u="1"/>
        <n v="912" u="1"/>
        <n v="913" u="1"/>
        <n v="914" u="1"/>
        <n v="915" u="1"/>
        <n v="916" u="1"/>
        <n v="897" u="1"/>
        <n v="898" u="1"/>
        <n v="899" u="1"/>
        <n v="900" u="1"/>
        <n v="901" u="1"/>
        <n v="902" u="1"/>
        <n v="903" u="1"/>
        <n v="904" u="1"/>
        <n v="905" u="1"/>
        <n v="917" u="1"/>
        <n v="918" u="1"/>
        <n v="919" u="1"/>
        <n v="920" u="1"/>
        <n v="921" u="1"/>
        <n v="922" u="1"/>
        <n v="923" u="1"/>
        <n v="924" u="1"/>
        <n v="925" u="1"/>
        <n v="926" u="1"/>
        <n v="927" u="1"/>
        <n v="928" u="1"/>
        <n v="929" u="1"/>
        <n v="930" u="1"/>
        <n v="931" u="1"/>
        <n v="932" u="1"/>
        <n v="933" u="1"/>
        <n v="934" u="1"/>
        <n v="935" u="1"/>
        <n v="936" u="1"/>
        <n v="937" u="1"/>
        <n v="938" u="1"/>
        <n v="939" u="1"/>
        <n v="940" u="1"/>
        <n v="93967241" u="1"/>
        <n v="93967242" u="1"/>
        <n v="93967243" u="1"/>
        <n v="93967244" u="1"/>
        <n v="93967245" u="1"/>
        <n v="93967246" u="1"/>
        <n v="93967247" u="1"/>
        <n v="93967248" u="1"/>
        <n v="93967249" u="1"/>
        <n v="93967250" u="1"/>
        <n v="93967251" u="1"/>
        <n v="93967252" u="1"/>
        <n v="93967253" u="1"/>
        <n v="93967254" u="1"/>
        <n v="93967255" u="1"/>
        <n v="93967256" u="1"/>
        <n v="93967257" u="1"/>
        <n v="941" u="1"/>
        <n v="942" u="1"/>
        <n v="943" u="1"/>
        <n v="944" u="1"/>
        <n v="945" u="1"/>
        <n v="946" u="1"/>
        <n v="947" u="1"/>
        <n v="948" u="1"/>
        <n v="949" u="1"/>
        <n v="950" u="1"/>
        <n v="951" u="1"/>
        <n v="952" u="1"/>
        <n v="953" u="1"/>
        <n v="954" u="1"/>
        <n v="955" u="1"/>
        <n v="956" u="1"/>
        <n v="957" u="1"/>
        <n v="958" u="1"/>
        <n v="959" u="1"/>
        <n v="960" u="1"/>
        <n v="961" u="1"/>
        <n v="962" u="1"/>
        <n v="963" u="1"/>
        <n v="964" u="1"/>
        <n v="965" u="1"/>
        <n v="966" u="1"/>
        <n v="1012" u="1"/>
        <n v="967" u="1"/>
        <n v="968" u="1"/>
        <n v="969" u="1"/>
        <n v="970" u="1"/>
        <n v="971" u="1"/>
        <n v="972" u="1"/>
        <n v="973" u="1"/>
        <n v="974" u="1"/>
        <n v="975" u="1"/>
        <n v="976" u="1"/>
        <n v="977" u="1"/>
        <n v="978" u="1"/>
        <n v="979" u="1"/>
        <n v="980" u="1"/>
        <n v="981" u="1"/>
        <n v="982" u="1"/>
        <n v="983" u="1"/>
        <n v="984" u="1"/>
        <n v="985" u="1"/>
        <n v="986" u="1"/>
        <n v="987" u="1"/>
        <n v="988" u="1"/>
        <n v="989" u="1"/>
        <n v="990" u="1"/>
        <n v="991" u="1"/>
        <n v="992" u="1"/>
        <n v="993" u="1"/>
        <n v="994" u="1"/>
        <n v="995" u="1"/>
        <n v="996" u="1"/>
        <n v="997" u="1"/>
        <n v="998" u="1"/>
        <n v="999" u="1"/>
        <n v="1000" u="1"/>
        <n v="1001" u="1"/>
        <n v="1002" u="1"/>
        <n v="1003" u="1"/>
        <n v="1004" u="1"/>
        <n v="1005" u="1"/>
        <n v="1006" u="1"/>
        <n v="1007" u="1"/>
        <n v="1008" u="1"/>
        <n v="1009" u="1"/>
        <n v="1010" u="1"/>
        <n v="1011" u="1"/>
        <n v="37746179" u="1"/>
        <n v="136709" u="1"/>
        <n v="136710" u="1"/>
        <n v="93967258" u="1"/>
        <n v="1013" u="1"/>
        <n v="1014" u="1"/>
        <n v="1015" u="1"/>
        <n v="1016" u="1"/>
        <n v="93967259" u="1"/>
        <n v="93967260" u="1"/>
        <n v="93967261" u="1"/>
        <n v="93967262" u="1"/>
        <n v="93967263" u="1"/>
        <n v="37746180" u="1"/>
        <n v="93967264" u="1"/>
        <n v="93967265" u="1"/>
        <n v="93967266" u="1"/>
        <n v="93967267" u="1"/>
        <n v="93967268" u="1"/>
        <n v="93967269" u="1"/>
        <n v="93967270" u="1"/>
        <n v="93967271" u="1"/>
        <n v="93967272" u="1"/>
        <n v="93967273" u="1"/>
        <n v="93967274" u="1"/>
        <n v="93967275" u="1"/>
        <n v="93967276" u="1"/>
        <n v="93967277" u="1"/>
        <n v="93967278" u="1"/>
        <n v="93967279" u="1"/>
        <n v="93967280" u="1"/>
        <n v="93967281" u="1"/>
        <n v="93967282" u="1"/>
        <n v="93967283" u="1"/>
        <n v="1017" u="1"/>
        <n v="1018" u="1"/>
        <n v="1019" u="1"/>
        <n v="1020" u="1"/>
        <n v="1021" u="1"/>
        <n v="1022" u="1"/>
        <n v="1023" u="1"/>
        <n v="1024" u="1"/>
        <n v="1025" u="1"/>
        <n v="1026" u="1"/>
        <n v="1027" u="1"/>
        <n v="1028" u="1"/>
        <n v="1029" u="1"/>
        <n v="1030" u="1"/>
        <n v="93967284" u="1"/>
        <n v="93967285" u="1"/>
        <n v="1037" u="1"/>
        <n v="1038" u="1"/>
        <n v="1039" u="1"/>
        <n v="1040" u="1"/>
        <n v="1041" u="1"/>
        <n v="1042" u="1"/>
        <n v="1031" u="1"/>
        <n v="1032" u="1"/>
        <n v="1033" u="1"/>
        <n v="1034" u="1"/>
        <n v="1035" u="1"/>
        <n v="1036" u="1"/>
        <n v="1043" u="1"/>
        <n v="1044" u="1"/>
        <n v="1045" u="1"/>
        <n v="1046" u="1"/>
        <n v="1047" u="1"/>
        <n v="1048" u="1"/>
        <n v="1049" u="1"/>
        <n v="1050" u="1"/>
        <n v="1051" u="1"/>
        <n v="1052" u="1"/>
        <n v="1053" u="1"/>
        <n v="1054" u="1"/>
        <n v="1055" u="1"/>
        <n v="1056" u="1"/>
        <n v="1057" u="1"/>
        <n v="93967286" u="1"/>
        <n v="93967287" u="1"/>
        <n v="93967288" u="1"/>
        <n v="93967289" u="1"/>
        <n v="93967290" u="1"/>
        <n v="93967291" u="1"/>
        <n v="93967292" u="1"/>
        <n v="93967293" u="1"/>
        <n v="93967294" u="1"/>
        <n v="93967295" u="1"/>
        <n v="93967296" u="1"/>
        <n v="93967297" u="1"/>
        <n v="93967298" u="1"/>
        <n v="93967299" u="1"/>
        <n v="93967300" u="1"/>
        <n v="93967301" u="1"/>
        <n v="93967302" u="1"/>
        <n v="93967303" u="1"/>
        <n v="93967304" u="1"/>
        <n v="93967305" u="1"/>
        <n v="1058" u="1"/>
        <n v="1059" u="1"/>
        <n v="1060" u="1"/>
        <n v="1061" u="1"/>
        <n v="1062" u="1"/>
        <n v="1063" u="1"/>
        <n v="1064" u="1"/>
        <n v="1065" u="1"/>
        <n v="1066" u="1"/>
        <n v="1067" u="1"/>
        <n v="1068" u="1"/>
        <n v="1069" u="1"/>
        <n v="1070" u="1"/>
        <n v="1071" u="1"/>
        <n v="1072" u="1"/>
        <n v="1073" u="1"/>
        <n v="1074" u="1"/>
        <n v="1075" u="1"/>
        <n v="1076" u="1"/>
        <n v="1077" u="1"/>
        <n v="1078" u="1"/>
        <n v="1079" u="1"/>
        <n v="1080" u="1"/>
        <n v="1081" u="1"/>
        <n v="1082" u="1"/>
        <n v="1083" u="1"/>
        <n v="1084" u="1"/>
        <n v="1085" u="1"/>
        <n v="1086" u="1"/>
        <n v="1087" u="1"/>
        <n v="1088" u="1"/>
        <n v="1089" u="1"/>
        <n v="1090" u="1"/>
        <n v="1091" u="1"/>
        <n v="1092" u="1"/>
        <n v="1093" u="1"/>
        <n v="1094" u="1"/>
        <n v="1095" u="1"/>
        <n v="1096" u="1"/>
        <n v="93967306" u="1"/>
        <n v="1097" u="1"/>
        <n v="93967307" u="1"/>
        <n v="93967308" u="1"/>
        <n v="93967309" u="1"/>
        <n v="1098" u="1"/>
        <n v="1099" u="1"/>
        <n v="1100" u="1"/>
        <n v="1101" u="1"/>
        <n v="1102" u="1"/>
        <n v="1103" u="1"/>
        <n v="1104" u="1"/>
        <n v="1105" u="1"/>
        <n v="1106" u="1"/>
        <n v="1107" u="1"/>
        <n v="1108" u="1"/>
        <n v="1109" u="1"/>
        <n v="1110" u="1"/>
        <n v="1111" u="1"/>
        <n v="1114" u="1"/>
        <n v="1115" u="1"/>
        <n v="1112" u="1"/>
        <n v="1113" u="1"/>
        <n v="93967310" u="1"/>
        <n v="93967311" u="1"/>
        <n v="93967312" u="1"/>
        <n v="93967313" u="1"/>
        <n v="93967314" u="1"/>
        <n v="93967315" u="1"/>
        <n v="1116" u="1"/>
        <n v="1117" u="1"/>
        <n v="1118" u="1"/>
        <n v="1119" u="1"/>
        <n v="1120" u="1"/>
        <n v="1121" u="1"/>
        <n v="1122" u="1"/>
        <n v="1123" u="1"/>
        <n v="1124" u="1"/>
        <n v="1125" u="1"/>
        <n v="1126" u="1"/>
        <n v="1127" u="1"/>
        <n v="1128" u="1"/>
        <n v="1129" u="1"/>
        <n v="1130" u="1"/>
        <n v="1131" u="1"/>
        <n v="1132" u="1"/>
        <n v="1133" u="1"/>
        <n v="1134" u="1"/>
        <n v="1135" u="1"/>
        <n v="93967316" u="1"/>
        <n v="93967317" u="1"/>
        <n v="93967318" u="1"/>
        <n v="93967319" u="1"/>
        <n v="93967320" u="1"/>
        <n v="93967321" u="1"/>
        <n v="93967322" u="1"/>
        <n v="93967323" u="1"/>
        <n v="93967324" u="1"/>
        <n v="93967325" u="1"/>
        <n v="93967326" u="1"/>
        <n v="93967327" u="1"/>
        <n v="1136" u="1"/>
        <n v="1137" u="1"/>
        <n v="1138" u="1"/>
        <n v="1139" u="1"/>
        <n v="1140" u="1"/>
        <n v="1141" u="1"/>
        <n v="1142" u="1"/>
        <n v="1143" u="1"/>
        <n v="1144" u="1"/>
        <n v="1145" u="1"/>
        <n v="1146" u="1"/>
        <n v="1147" u="1"/>
        <n v="1148" u="1"/>
        <n v="1149" u="1"/>
        <n v="1150" u="1"/>
        <n v="1151" u="1"/>
        <n v="1152" u="1"/>
        <n v="1153" u="1"/>
        <n v="1154" u="1"/>
        <n v="1155" u="1"/>
        <n v="1156" u="1"/>
        <n v="1157" u="1"/>
        <n v="93967328" u="1"/>
        <n v="93967329" u="1"/>
        <n v="93967330" u="1"/>
        <n v="93967331" u="1"/>
        <n v="93967332" u="1"/>
        <n v="93967333" u="1"/>
        <n v="93967334" u="1"/>
        <n v="93967335" u="1"/>
        <n v="93967336" u="1"/>
        <n v="93967337" u="1"/>
        <n v="93967338" u="1"/>
        <n v="93967339" u="1"/>
        <n v="93967340" u="1"/>
        <n v="93967341" u="1"/>
        <n v="93967342" u="1"/>
        <n v="93967343" u="1"/>
        <n v="93967344" u="1"/>
        <n v="93967345" u="1"/>
        <n v="93967346" u="1"/>
        <n v="93967347" u="1"/>
        <n v="93967348" u="1"/>
        <n v="136711" u="1"/>
        <n v="136712" u="1"/>
        <n v="136713" u="1"/>
        <n v="136714" u="1"/>
        <n v="136715" u="1"/>
        <n v="136716" u="1"/>
        <n v="136717" u="1"/>
        <n v="136718" u="1"/>
        <n v="136719" u="1"/>
        <n v="136720" u="1"/>
        <n v="136721" u="1"/>
        <n v="136722" u="1"/>
        <n v="136723" u="1"/>
        <n v="136724" u="1"/>
        <n v="136725" u="1"/>
        <n v="136726" u="1"/>
        <n v="136727" u="1"/>
        <n v="136728" u="1"/>
        <n v="136729" u="1"/>
        <n v="136730" u="1"/>
        <n v="136731" u="1"/>
        <n v="136732" u="1"/>
        <n v="136733" u="1"/>
        <n v="136734" u="1"/>
        <n v="136735" u="1"/>
        <n v="136736" u="1"/>
        <n v="136737" u="1"/>
        <n v="136738" u="1"/>
        <n v="136739" u="1"/>
        <n v="136740" u="1"/>
        <n v="136741" u="1"/>
        <n v="136742" u="1"/>
        <n v="136743" u="1"/>
        <n v="93967349" u="1"/>
        <n v="136744" u="1"/>
        <n v="93967350" u="1"/>
        <n v="93967351" u="1"/>
        <n v="93967352" u="1"/>
        <n v="1158" u="1"/>
        <n v="93967353" u="1"/>
        <n v="37746181" u="1"/>
        <n v="317749" u="1"/>
        <n v="317750" u="1"/>
        <n v="317751" u="1"/>
        <n v="317752" u="1"/>
        <n v="317753" u="1"/>
        <n v="317754" u="1"/>
        <n v="317755" u="1"/>
        <n v="317756" u="1"/>
        <n v="317757" u="1"/>
        <n v="317758" u="1"/>
        <n v="317759" u="1"/>
        <n v="317760" u="1"/>
        <n v="317761" u="1"/>
        <n v="136745" u="1"/>
        <n v="136746" u="1"/>
        <n v="317762" u="1"/>
        <n v="317763" u="1"/>
        <n v="317764" u="1"/>
        <n v="317765" u="1"/>
        <n v="317766" u="1"/>
        <n v="317767" u="1"/>
        <n v="317768" u="1"/>
        <n v="317769" u="1"/>
        <n v="317770" u="1"/>
        <n v="317771" u="1"/>
        <n v="317772" u="1"/>
        <n v="317773" u="1"/>
        <n v="93967355" u="1"/>
        <n v="93967356" u="1"/>
        <n v="93967357" u="1"/>
        <n v="93967358" u="1"/>
        <n v="93967359" u="1"/>
        <n v="93967360" u="1"/>
        <n v="93967361" u="1"/>
        <n v="93967362" u="1"/>
        <n v="93967363" u="1"/>
        <n v="93967364" u="1"/>
        <n v="93967365" u="1"/>
        <n v="93967366" u="1"/>
        <n v="93967367" u="1"/>
        <n v="93967368" u="1"/>
        <n v="93967369" u="1"/>
        <n v="93967370" u="1"/>
        <n v="317781" u="1"/>
        <n v="317782" u="1"/>
        <n v="317783" u="1"/>
        <n v="317784" u="1"/>
        <n v="317785" u="1"/>
        <n v="317786" u="1"/>
        <n v="317787" u="1"/>
        <n v="317788" u="1"/>
        <n v="317789" u="1"/>
        <n v="317790" u="1"/>
        <n v="317791" u="1"/>
        <n v="317792" u="1"/>
        <n v="317793" u="1"/>
        <n v="317794" u="1"/>
        <n v="317795" u="1"/>
        <n v="317796" u="1"/>
        <n v="317797" u="1"/>
        <n v="317798" u="1"/>
        <n v="317799" u="1"/>
        <n v="317800" u="1"/>
        <n v="317801" u="1"/>
        <n v="317802" u="1"/>
        <n v="317803" u="1"/>
        <n v="317804" u="1"/>
        <n v="317805" u="1"/>
        <n v="317806" u="1"/>
        <n v="317807" u="1"/>
        <n v="317808" u="1"/>
        <n v="317809" u="1"/>
        <n v="317810" u="1"/>
        <n v="317811" u="1"/>
        <n v="317812" u="1"/>
        <n v="317813" u="1"/>
        <n v="317814" u="1"/>
        <n v="317815" u="1"/>
        <n v="317816" u="1"/>
        <n v="317817" u="1"/>
        <n v="317818" u="1"/>
        <n v="317819" u="1"/>
        <n v="317820" u="1"/>
        <n v="317821" u="1"/>
        <n v="317822" u="1"/>
        <n v="317823" u="1"/>
        <n v="317824" u="1"/>
        <n v="317825" u="1"/>
        <n v="317826" u="1"/>
        <n v="317827" u="1"/>
        <n v="93967371" u="1"/>
        <n v="317828" u="1"/>
        <n v="317829" u="1"/>
        <n v="317830" u="1"/>
        <n v="317831" u="1"/>
        <n v="93967372" u="1"/>
        <n v="317832" u="1"/>
        <n v="317833" u="1"/>
        <n v="93967373" u="1"/>
        <n v="317835" u="1"/>
        <n v="317837" u="1"/>
        <n v="317838" u="1"/>
        <n v="93967374" u="1"/>
        <n v="358072" u="1"/>
        <n v="358073" u="1"/>
        <n v="358074" u="1"/>
        <n v="358075" u="1"/>
        <n v="358076" u="1"/>
        <n v="358077" u="1"/>
        <n v="358078" u="1"/>
        <n v="358079" u="1"/>
        <n v="358080" u="1"/>
        <n v="358081" u="1"/>
        <n v="358082" u="1"/>
        <n v="358083" u="1"/>
        <n v="358084" u="1"/>
        <n v="358085" u="1"/>
        <n v="358086" u="1"/>
        <n v="358087" u="1"/>
        <n v="358088" u="1"/>
        <n v="358089" u="1"/>
        <n v="358090" u="1"/>
        <n v="358091" u="1"/>
        <n v="358092" u="1"/>
        <n v="358093" u="1"/>
        <n v="358094" u="1"/>
        <n v="358095" u="1"/>
        <n v="358096" u="1"/>
        <n v="358097" u="1"/>
        <n v="358071" u="1"/>
        <n v="93967375" u="1"/>
        <n v="358098" u="1"/>
        <n v="358099" u="1"/>
        <n v="358100" u="1"/>
        <n v="358101" u="1"/>
        <n v="358102" u="1"/>
        <n v="358103" u="1"/>
        <n v="358104" u="1"/>
        <n v="358105" u="1"/>
        <n v="358106" u="1"/>
        <n v="93967376" u="1"/>
        <n v="358107" u="1"/>
        <n v="358108" u="1"/>
        <n v="358109" u="1"/>
        <n v="358110" u="1"/>
        <n v="358111" u="1"/>
        <n v="358112" u="1"/>
        <n v="358113" u="1"/>
        <n v="358114" u="1"/>
        <n v="358115" u="1"/>
        <n v="358116" u="1"/>
        <n v="358117" u="1"/>
        <n v="358118" u="1"/>
        <n v="358119" u="1"/>
        <n v="358120" u="1"/>
        <n v="358121" u="1"/>
        <n v="358122" u="1"/>
        <n v="358123" u="1"/>
        <n v="358124" u="1"/>
        <n v="358125" u="1"/>
        <n v="358126" u="1"/>
        <n v="358127" u="1"/>
        <n v="358128" u="1"/>
        <n v="358129" u="1"/>
        <n v="358130" u="1"/>
        <n v="358131" u="1"/>
        <n v="358132" u="1"/>
        <n v="358133" u="1"/>
        <n v="358134" u="1"/>
        <n v="358135" u="1"/>
        <n v="358136" u="1"/>
        <n v="358137" u="1"/>
        <n v="358138" u="1"/>
        <n v="93967377" u="1"/>
        <n v="93967378" u="1"/>
        <n v="93967379" u="1"/>
        <n v="93967380" u="1"/>
        <n v="93967381" u="1"/>
        <n v="93967382" u="1"/>
        <n v="93967383" u="1"/>
        <n v="93967384" u="1"/>
        <n v="93967385" u="1"/>
        <n v="93967386" u="1"/>
        <n v="93967387" u="1"/>
        <n v="93967388" u="1"/>
        <n v="93967389" u="1"/>
        <n v="93967390" u="1"/>
        <n v="93967391" u="1"/>
        <n v="93967392" u="1"/>
        <n v="358139" u="1"/>
        <n v="358140" u="1"/>
        <n v="358141" u="1"/>
        <n v="358142" u="1"/>
        <n v="358143" u="1"/>
        <n v="358144" u="1"/>
        <n v="358145" u="1"/>
        <n v="358146" u="1"/>
        <n v="358147" u="1"/>
        <n v="358148" u="1"/>
        <n v="358149" u="1"/>
        <n v="358150" u="1"/>
        <n v="358151" u="1"/>
        <n v="358152" u="1"/>
        <n v="358153" u="1"/>
        <n v="358154" u="1"/>
        <n v="376822" u="1"/>
        <n v="376823" u="1"/>
        <n v="376824" u="1"/>
        <n v="376825" u="1"/>
        <n v="376826" u="1"/>
        <n v="376827" u="1"/>
        <n v="376828" u="1"/>
        <n v="376829" u="1"/>
        <n v="1159" u="1"/>
        <n v="1160" u="1"/>
        <n v="1161" u="1"/>
        <n v="1162" u="1"/>
        <n v="1163" u="1"/>
        <n v="1164" u="1"/>
        <n v="1165" u="1"/>
        <n v="1166" u="1"/>
        <n v="376830" u="1"/>
        <n v="376831" u="1"/>
        <n v="376832" u="1"/>
        <n v="1167" u="1"/>
        <n v="93967393" u="1"/>
        <n v="376833" u="1"/>
        <n v="376834" u="1"/>
        <n v="376835" u="1"/>
        <n v="376836" u="1"/>
        <n v="376837" u="1"/>
        <n v="376838" u="1"/>
        <n v="376839" u="1"/>
        <n v="376840" u="1"/>
        <n v="376841" u="1"/>
        <n v="376842" u="1"/>
        <n v="376843" u="1"/>
        <n v="376844" u="1"/>
        <n v="376845" u="1"/>
        <n v="376846" u="1"/>
        <n v="376847" u="1"/>
        <n v="376848" u="1"/>
        <n v="376849" u="1"/>
        <n v="376850" u="1"/>
        <n v="376851" u="1"/>
        <n v="376852" u="1"/>
        <n v="376853" u="1"/>
        <n v="376854" u="1"/>
        <n v="376855" u="1"/>
        <n v="376856" u="1"/>
        <n v="376857" u="1"/>
        <n v="93967394" u="1"/>
        <n v="376858" u="1"/>
        <n v="376859" u="1"/>
        <n v="376860" u="1"/>
        <n v="376861" u="1"/>
        <n v="376862" u="1"/>
        <n v="358063" u="1"/>
        <n v="376864" u="1"/>
        <n v="376865" u="1"/>
        <n v="376866" u="1"/>
        <n v="93967395" u="1"/>
        <n v="93967396" u="1"/>
        <n v="376867" u="1"/>
        <n v="376868" u="1"/>
        <n v="376869" u="1"/>
        <n v="376870" u="1"/>
        <n v="376871" u="1"/>
        <n v="93967398" u="1"/>
        <n v="376872" u="1"/>
        <n v="376873" u="1"/>
        <n v="376874" u="1"/>
        <n v="376875" u="1"/>
        <n v="376876" u="1"/>
        <n v="376877" u="1"/>
        <n v="376878" u="1"/>
        <n v="376879" u="1"/>
        <n v="376880" u="1"/>
        <n v="376881" u="1"/>
        <n v="376882" u="1"/>
        <n v="376883" u="1"/>
        <n v="376884" u="1"/>
        <n v="376885" u="1"/>
        <n v="376886" u="1"/>
        <n v="376887" u="1"/>
        <n v="376888" u="1"/>
        <n v="376889" u="1"/>
        <n v="376890" u="1"/>
        <n v="376891" u="1"/>
        <n v="376892" u="1"/>
        <n v="376893" u="1"/>
        <n v="376894" u="1"/>
        <n v="376895" u="1"/>
        <n v="376896" u="1"/>
        <n v="376897" u="1"/>
        <n v="376898" u="1"/>
        <n v="376899" u="1"/>
        <n v="376900" u="1"/>
        <n v="376901" u="1"/>
        <n v="376902" u="1"/>
        <n v="376903" u="1"/>
        <n v="376904" u="1"/>
        <n v="376905" u="1"/>
        <n v="376906" u="1"/>
        <n v="376907" u="1"/>
        <n v="376908" u="1"/>
        <n v="376909" u="1"/>
        <n v="376910" u="1"/>
        <n v="376911" u="1"/>
        <n v="376912" u="1"/>
        <n v="376913" u="1"/>
        <n v="376914" u="1"/>
        <n v="376915" u="1"/>
        <n v="376916" u="1"/>
        <n v="376917" u="1"/>
        <n v="93967399" u="1"/>
        <n v="93967400" u="1"/>
        <n v="93967401" u="1"/>
        <n v="93967402" u="1"/>
        <n v="93967403" u="1"/>
        <n v="93967404" u="1"/>
        <n v="93967405" u="1"/>
        <n v="93967406" u="1"/>
        <n v="93967407" u="1"/>
        <n v="93967408" u="1"/>
        <n v="93967409" u="1"/>
        <n v="93967410" u="1"/>
        <n v="376918" u="1"/>
        <n v="93967411" u="1"/>
        <n v="93967412" u="1"/>
        <n v="93967413" u="1"/>
        <n v="93967414" u="1"/>
        <n v="93967415" u="1"/>
        <n v="376919" u="1"/>
        <n v="376920" u="1"/>
        <n v="376921" u="1"/>
        <n v="420330" u="1"/>
        <n v="420331" u="1"/>
        <n v="93967416" u="1"/>
        <n v="420332" u="1"/>
        <n v="420333" u="1"/>
        <n v="420334" u="1"/>
        <n v="93967417" u="1"/>
        <n v="93967418" u="1"/>
        <n v="93967419" u="1"/>
        <n v="93967420" u="1"/>
        <n v="93967421" u="1"/>
        <n v="93967422" u="1"/>
        <n v="93967423" u="1"/>
        <n v="93967424" u="1"/>
        <n v="93967425" u="1"/>
        <n v="93967426" u="1"/>
        <n v="420335" u="1"/>
        <n v="420336" u="1"/>
        <n v="420337" u="1"/>
        <n v="420338" u="1"/>
        <n v="420339" u="1"/>
        <n v="420340" u="1"/>
        <n v="420341" u="1"/>
        <n v="420342" u="1"/>
        <n v="420343" u="1"/>
        <n v="420344" u="1"/>
        <n v="420345" u="1"/>
        <n v="420346" u="1"/>
        <n v="420347" u="1"/>
        <n v="420348" u="1"/>
        <n v="420349" u="1"/>
        <n v="5042054" u="1"/>
        <n v="5042055" u="1"/>
        <n v="5042056" u="1"/>
        <n v="5042057" u="1"/>
        <n v="5042058" u="1"/>
        <n v="5042059" u="1"/>
        <n v="5042060" u="1"/>
        <n v="5042061" u="1"/>
        <n v="5042062" u="1"/>
        <n v="5042063" u="1"/>
        <n v="420350" u="1"/>
        <n v="420351" u="1"/>
        <n v="420352" u="1"/>
        <n v="420353" u="1"/>
        <n v="420354" u="1"/>
        <n v="420355" u="1"/>
        <n v="420356" u="1"/>
        <n v="420357" u="1"/>
        <n v="420358" u="1"/>
        <n v="420359" u="1"/>
        <n v="93967427" u="1"/>
        <n v="93967428" u="1"/>
        <n v="420360" u="1"/>
        <n v="420361" u="1"/>
        <n v="420362" u="1"/>
        <n v="93967429" u="1"/>
        <n v="93967430" u="1"/>
        <n v="93967431" u="1"/>
        <n v="93967432" u="1"/>
        <n v="93967433" u="1"/>
        <n v="420363" u="1"/>
        <n v="420364" u="1"/>
        <n v="420365" u="1"/>
        <n v="420366" u="1"/>
        <n v="420367" u="1"/>
        <n v="420368" u="1"/>
        <n v="420369" u="1"/>
        <n v="93967434" u="1"/>
        <n v="93967435" u="1"/>
        <n v="93967436" u="1"/>
        <n v="420370" u="1"/>
        <n v="420371" u="1"/>
        <n v="420372" u="1"/>
        <n v="420373" u="1"/>
        <n v="420374" u="1"/>
        <n v="420375" u="1"/>
        <n v="420376" u="1"/>
        <n v="420377" u="1"/>
        <n v="420378" u="1"/>
        <n v="93967437" u="1"/>
        <n v="420379" u="1"/>
        <n v="420380" u="1"/>
        <n v="420381" u="1"/>
        <n v="420382" u="1"/>
        <n v="420383" u="1"/>
        <n v="420384" u="1"/>
        <n v="420385" u="1"/>
        <n v="420386" u="1"/>
        <n v="420387" u="1"/>
        <n v="420388" u="1"/>
        <n v="420389" u="1"/>
        <n v="420390" u="1"/>
        <n v="420391" u="1"/>
        <n v="420392" u="1"/>
        <n v="420393" u="1"/>
        <n v="420394" u="1"/>
        <n v="420395" u="1"/>
        <n v="420396" u="1"/>
        <n v="420397" u="1"/>
        <n v="420398" u="1"/>
        <n v="93967438" u="1"/>
        <n v="93967439" u="1"/>
        <n v="93967440" u="1"/>
        <n v="93967441" u="1"/>
        <n v="93967442" u="1"/>
        <n v="93967443" u="1"/>
        <n v="93967444" u="1"/>
        <n v="93967445" u="1"/>
        <n v="93967446" u="1"/>
        <n v="93967447" u="1"/>
        <n v="93967448" u="1"/>
        <n v="93967449" u="1"/>
        <n v="93967450" u="1"/>
        <n v="420399" u="1"/>
        <n v="420400" u="1"/>
        <n v="420401" u="1"/>
        <n v="420402" u="1"/>
        <n v="420403" u="1"/>
        <n v="420404" u="1"/>
        <n v="420405" u="1"/>
        <n v="420406" u="1"/>
        <n v="420407" u="1"/>
        <n v="420408" u="1"/>
        <n v="420409" u="1"/>
        <n v="420410" u="1"/>
        <n v="420411" u="1"/>
        <n v="420412" u="1"/>
        <n v="420413" u="1"/>
        <n v="420414" u="1"/>
        <n v="420415" u="1"/>
        <n v="420416" u="1"/>
        <n v="420417" u="1"/>
        <n v="420418" u="1"/>
        <n v="420419" u="1"/>
        <n v="420420" u="1"/>
        <n v="420421" u="1"/>
        <n v="420422" u="1"/>
        <n v="420423" u="1"/>
        <n v="420424" u="1"/>
        <n v="420425" u="1"/>
        <n v="420426" u="1"/>
        <n v="420427" u="1"/>
        <n v="420428" u="1"/>
        <n v="420429" u="1"/>
        <n v="93967451" u="1"/>
        <n v="93967452" u="1"/>
        <n v="93967453" u="1"/>
        <n v="93967454" u="1"/>
        <n v="93967455" u="1"/>
        <n v="93967456" u="1"/>
        <n v="93967457" u="1"/>
        <n v="93967458" u="1"/>
        <n v="93967459" u="1"/>
        <n v="451368" u="1"/>
        <n v="93967460" u="1"/>
        <n v="93967461" u="1"/>
        <n v="93967462" u="1"/>
        <n v="451369" u="1"/>
        <n v="451370" u="1"/>
        <n v="451371" u="1"/>
        <n v="93967466" u="1"/>
        <n v="93967467" u="1"/>
        <n v="93967468" u="1"/>
        <n v="93967469" u="1"/>
        <n v="93967470" u="1"/>
        <n v="93967471" u="1"/>
        <n v="451372" u="1"/>
        <n v="451373" u="1"/>
        <n v="451374" u="1"/>
        <n v="451375" u="1"/>
        <n v="451376" u="1"/>
        <n v="451377" u="1"/>
        <n v="451378" u="1"/>
        <n v="451379" u="1"/>
        <n v="451380" u="1"/>
        <n v="451381" u="1"/>
        <n v="451382" u="1"/>
        <n v="451383" u="1"/>
        <n v="451384" u="1"/>
        <n v="451385" u="1"/>
        <n v="451386" u="1"/>
        <n v="451387" u="1"/>
        <n v="451388" u="1"/>
        <n v="451389" u="1"/>
        <n v="451390" u="1"/>
        <n v="451391" u="1"/>
        <n v="93967472" u="1"/>
        <n v="93967473" u="1"/>
        <n v="93967474" u="1"/>
        <n v="93967475" u="1"/>
        <n v="93967476" u="1"/>
        <n v="93967480" u="1"/>
        <n v="93967481" u="1"/>
        <n v="93967482" u="1"/>
        <n v="451392" u="1"/>
        <n v="451393" u="1"/>
        <n v="451394" u="1"/>
        <n v="451395" u="1"/>
        <n v="451396" u="1"/>
        <n v="451397" u="1"/>
        <n v="451398" u="1"/>
        <n v="93967483" u="1"/>
        <n v="93967484" u="1"/>
        <n v="5042064" u="1"/>
        <n v="5042065" u="1"/>
        <n v="5042066" u="1"/>
        <n v="451399" u="1"/>
        <n v="451400" u="1"/>
        <n v="451401" u="1"/>
        <n v="451402" u="1"/>
        <n v="451403" u="1"/>
        <n v="451404" u="1"/>
        <n v="451405" u="1"/>
        <n v="451406" u="1"/>
        <n v="451407" u="1"/>
        <n v="451408" u="1"/>
        <n v="451409" u="1"/>
        <n v="451410" u="1"/>
        <n v="451411" u="1"/>
        <n v="451412" u="1"/>
        <n v="451413" u="1"/>
        <n v="451414" u="1"/>
        <n v="451415" u="1"/>
        <n v="451416" u="1"/>
        <n v="93967485" u="1"/>
        <n v="93967486" u="1"/>
        <n v="93967487" u="1"/>
        <n v="93967488" u="1"/>
        <n v="93967489" u="1"/>
        <n v="93967490" u="1"/>
        <n v="93967491" u="1"/>
        <n v="93967492" u="1"/>
        <n v="93967493" u="1"/>
        <n v="93967494" u="1"/>
        <n v="93967495" u="1"/>
        <n v="93967496" u="1"/>
        <n v="451417" u="1"/>
        <n v="451418" u="1"/>
        <n v="451419" u="1"/>
        <n v="451420" u="1"/>
        <n v="451421" u="1"/>
        <n v="451422" u="1"/>
        <n v="451423" u="1"/>
        <n v="451424" u="1"/>
        <n v="451425" u="1"/>
        <n v="451426" u="1"/>
        <n v="451427" u="1"/>
        <n v="451428" u="1"/>
        <n v="451429" u="1"/>
        <n v="451430" u="1"/>
        <n v="451431" u="1"/>
        <n v="451432" u="1"/>
        <n v="451433" u="1"/>
        <n v="451434" u="1"/>
        <n v="451435" u="1"/>
        <n v="451436" u="1"/>
        <n v="451437" u="1"/>
        <n v="451438" u="1"/>
        <n v="451439" u="1"/>
        <n v="451440" u="1"/>
        <n v="451441" u="1"/>
        <n v="93967497" u="1"/>
        <n v="93967498" u="1"/>
        <n v="451442" u="1"/>
        <n v="451443" u="1"/>
        <n v="451444" u="1"/>
        <n v="451445" u="1"/>
        <n v="451446" u="1"/>
        <n v="451447" u="1"/>
        <n v="451448" u="1"/>
        <n v="451449" u="1"/>
        <n v="451450" u="1"/>
        <n v="451451" u="1"/>
        <n v="451452" u="1"/>
        <n v="451453" u="1"/>
        <n v="451454" u="1"/>
        <n v="451455" u="1"/>
        <n v="451456" u="1"/>
        <n v="451457" u="1"/>
        <n v="451458" u="1"/>
        <n v="451459" u="1"/>
        <n v="451460" u="1"/>
        <n v="451461" u="1"/>
        <n v="451462" u="1"/>
        <n v="451463" u="1"/>
        <n v="451464" u="1"/>
        <n v="451465" u="1"/>
        <n v="451466" u="1"/>
        <n v="451467" u="1"/>
        <n v="479592" u="1"/>
        <n v="479593" u="1"/>
        <n v="479594" u="1"/>
        <n v="479595" u="1"/>
        <n v="93967499" u="1"/>
        <n v="93967500" u="1"/>
        <n v="93967501" u="1"/>
        <n v="93967502" u="1"/>
        <n v="93967503" u="1"/>
        <n v="479596" u="1"/>
        <n v="479597" u="1"/>
        <n v="479598" u="1"/>
        <n v="479599" u="1"/>
        <n v="479600" u="1"/>
        <n v="479601" u="1"/>
        <n v="479602" u="1"/>
        <n v="479603" u="1"/>
        <n v="479604" u="1"/>
        <n v="479605" u="1"/>
        <n v="93967504" u="1"/>
        <n v="93967505" u="1"/>
        <n v="93967506" u="1"/>
        <n v="93967507" u="1"/>
        <n v="93967508" u="1"/>
        <n v="93967509" u="1"/>
        <n v="93967510" u="1"/>
        <n v="93967511" u="1"/>
        <n v="93967512" u="1"/>
        <n v="479606" u="1"/>
        <n v="479607" u="1"/>
        <n v="479608" u="1"/>
        <n v="479609" u="1"/>
        <n v="479610" u="1"/>
        <n v="479611" u="1"/>
        <n v="479612" u="1"/>
        <n v="479613" u="1"/>
        <n v="479614" u="1"/>
        <n v="479615" u="1"/>
        <n v="479616" u="1"/>
        <n v="479617" u="1"/>
        <n v="479618" u="1"/>
        <n v="479619" u="1"/>
        <n v="479620" u="1"/>
        <n v="479621" u="1"/>
        <n v="479622" u="1"/>
        <n v="479623" u="1"/>
        <n v="479624" u="1"/>
        <n v="479625" u="1"/>
        <n v="479626" u="1"/>
        <n v="479627" u="1"/>
        <n v="479628" u="1"/>
        <n v="479629" u="1"/>
        <n v="479630" u="1"/>
        <n v="479631" u="1"/>
        <n v="479632" u="1"/>
        <n v="479633" u="1"/>
        <n v="93967513" u="1"/>
        <n v="93967514" u="1"/>
        <n v="93967515" u="1"/>
        <n v="93967516" u="1"/>
        <n v="93967517" u="1"/>
        <n v="93967518" u="1"/>
        <n v="93967519" u="1"/>
        <n v="93967520" u="1"/>
        <n v="93967521" u="1"/>
        <n v="93967522" u="1"/>
        <n v="93967523" u="1"/>
        <n v="93967524" u="1"/>
        <n v="93967525" u="1"/>
        <n v="93967526" u="1"/>
        <n v="93967527" u="1"/>
        <n v="93967528" u="1"/>
        <n v="93967529" u="1"/>
        <n v="93967530" u="1"/>
        <n v="93967531" u="1"/>
        <n v="93967532" u="1"/>
        <n v="93967533" u="1"/>
        <n v="479634" u="1"/>
        <n v="479635" u="1"/>
        <n v="479636" u="1"/>
        <n v="93967534" u="1"/>
        <n v="479637" u="1"/>
        <n v="479638" u="1"/>
        <n v="479639" u="1"/>
        <n v="479640" u="1"/>
        <n v="479641" u="1"/>
        <n v="479642" u="1"/>
        <n v="479643" u="1"/>
        <n v="479644" u="1"/>
        <n v="479645" u="1"/>
        <n v="479646" u="1"/>
        <n v="479647" u="1"/>
        <n v="479648" u="1"/>
        <n v="479649" u="1"/>
        <n v="479650" u="1"/>
        <n v="479651" u="1"/>
        <n v="479652" u="1"/>
        <n v="479653" u="1"/>
        <n v="479654" u="1"/>
        <n v="479655" u="1"/>
        <n v="479656" u="1"/>
        <n v="479657" u="1"/>
        <n v="479658" u="1"/>
        <n v="479659" u="1"/>
        <n v="479660" u="1"/>
        <n v="479661" u="1"/>
        <n v="93967535" u="1"/>
        <n v="479669" u="1"/>
        <n v="479670" u="1"/>
        <n v="479671" u="1"/>
        <n v="479662" u="1"/>
        <n v="479663" u="1"/>
        <n v="479664" u="1"/>
        <n v="479665" u="1"/>
        <n v="479666" u="1"/>
        <n v="479667" u="1"/>
        <n v="479668" u="1"/>
        <n v="93967536" u="1"/>
        <n v="93967537" u="1"/>
        <n v="93967538" u="1"/>
        <n v="93967539" u="1"/>
        <n v="93967540" u="1"/>
        <n v="93967541" u="1"/>
        <n v="479672" u="1"/>
        <n v="479673" u="1"/>
        <n v="479674" u="1"/>
        <n v="479675" u="1"/>
        <n v="479676" u="1"/>
        <n v="479677" u="1"/>
        <n v="479678" u="1"/>
        <n v="479679" u="1"/>
        <n v="479680" u="1"/>
        <n v="479681" u="1"/>
        <n v="479682" u="1"/>
        <n v="479683" u="1"/>
        <n v="93967542" u="1"/>
        <n v="93967543" u="1"/>
        <n v="93967544" u="1"/>
        <n v="93967545" u="1"/>
        <n v="93967546" u="1"/>
        <n v="93967547" u="1"/>
        <n v="93967548" u="1"/>
        <n v="93967549" u="1"/>
        <n v="93967550" u="1"/>
        <n v="93967551" u="1"/>
        <n v="93967552" u="1"/>
        <n v="93967553" u="1"/>
        <n v="479684" u="1"/>
        <n v="479685" u="1"/>
        <n v="479686" u="1"/>
        <n v="479687" u="1"/>
        <n v="479688" u="1"/>
        <n v="479689" u="1"/>
        <n v="479690" u="1"/>
        <n v="479691" u="1"/>
        <n v="479692" u="1"/>
        <n v="479693" u="1"/>
        <n v="479694" u="1"/>
        <n v="479695" u="1"/>
        <n v="479696" u="1"/>
        <n v="93967554" u="1"/>
        <n v="93967555" u="1"/>
        <n v="93967556" u="1"/>
        <n v="93967557" u="1"/>
        <n v="93967558" u="1"/>
        <n v="93967559" u="1"/>
        <n v="93967560" u="1"/>
        <n v="93967561" u="1"/>
        <n v="93967562" u="1"/>
        <n v="93967563" u="1"/>
        <n v="93967564" u="1"/>
        <n v="93967565" u="1"/>
        <n v="479697" u="1"/>
        <n v="479698" u="1"/>
        <n v="479699" u="1"/>
        <n v="479700" u="1"/>
        <n v="479701" u="1"/>
        <n v="479702" u="1"/>
        <n v="479703" u="1"/>
        <n v="479704" u="1"/>
        <n v="479705" u="1"/>
        <n v="479706" u="1"/>
        <n v="93967566" u="1"/>
        <n v="93967567" u="1"/>
        <n v="93967568" u="1"/>
        <n v="93967569" u="1"/>
        <n v="93967570" u="1"/>
        <n v="93967571" u="1"/>
        <n v="93967572" u="1"/>
        <n v="93967573" u="1"/>
        <n v="479707" u="1"/>
        <n v="479708" u="1"/>
        <n v="479709" u="1"/>
        <n v="479710" u="1"/>
        <n v="479711" u="1"/>
        <n v="479712" u="1"/>
        <n v="479713" u="1"/>
        <n v="479714" u="1"/>
        <n v="479715" u="1"/>
        <n v="479716" u="1"/>
        <n v="479717" u="1"/>
        <n v="479718" u="1"/>
        <n v="479719" u="1"/>
        <n v="479720" u="1"/>
        <n v="93967574" u="1"/>
        <n v="93967575" u="1"/>
        <n v="93967576" u="1"/>
        <n v="93967577" u="1"/>
        <n v="479721" u="1"/>
        <n v="479722" u="1"/>
        <n v="479723" u="1"/>
        <n v="479724" u="1"/>
        <n v="479725" u="1"/>
        <n v="479726" u="1"/>
        <n v="479727" u="1"/>
        <n v="479728" u="1"/>
        <n v="479729" u="1"/>
        <n v="479730" u="1"/>
        <n v="479731" u="1"/>
        <n v="479732" u="1"/>
        <n v="479733" u="1"/>
        <n v="479734" u="1"/>
        <n v="479735" u="1"/>
        <n v="93967578" u="1"/>
        <n v="479736" u="1"/>
        <n v="479737" u="1"/>
        <n v="479738" u="1"/>
        <n v="479739" u="1"/>
        <n v="479740" u="1"/>
        <n v="479741" u="1"/>
        <n v="93967579" u="1"/>
        <n v="93967580" u="1"/>
        <n v="93967581" u="1"/>
        <n v="93967582" u="1"/>
        <n v="93967583" u="1"/>
        <n v="93967584" u="1"/>
        <n v="93967585" u="1"/>
        <n v="544546" u="1"/>
        <n v="544547" u="1"/>
        <n v="544548" u="1"/>
        <n v="544549" u="1"/>
        <n v="544550" u="1"/>
        <n v="544551" u="1"/>
        <n v="544552" u="1"/>
        <n v="544553" u="1"/>
        <n v="544554" u="1"/>
        <n v="544555" u="1"/>
        <n v="544556" u="1"/>
        <n v="544557" u="1"/>
        <n v="544558" u="1"/>
        <n v="544559" u="1"/>
        <n v="544560" u="1"/>
        <n v="544561" u="1"/>
        <n v="544562" u="1"/>
        <n v="544563" u="1"/>
        <n v="544564" u="1"/>
        <n v="544565" u="1"/>
        <n v="544566" u="1"/>
        <n v="544567" u="1"/>
        <n v="544568" u="1"/>
        <n v="544569" u="1"/>
        <n v="544570" u="1"/>
        <n v="544571" u="1"/>
        <n v="544572" u="1"/>
        <n v="544573" u="1"/>
        <n v="544574" u="1"/>
        <n v="544575" u="1"/>
        <n v="544576" u="1"/>
        <n v="544577" u="1"/>
        <n v="544578" u="1"/>
        <n v="544579" u="1"/>
        <n v="544580" u="1"/>
        <n v="544581" u="1"/>
        <n v="93967586" u="1"/>
        <n v="93967587" u="1"/>
        <n v="93967588" u="1"/>
        <n v="93967589" u="1"/>
        <n v="93967590" u="1"/>
        <n v="93967591" u="1"/>
        <n v="93967592" u="1"/>
        <n v="93967593" u="1"/>
        <n v="93967594" u="1"/>
        <n v="93967595" u="1"/>
        <n v="93967596" u="1"/>
        <n v="544582" u="1"/>
        <n v="544583" u="1"/>
        <n v="544584" u="1"/>
        <n v="544585" u="1"/>
        <n v="544586" u="1"/>
        <n v="544587" u="1"/>
        <n v="544588" u="1"/>
        <n v="544589" u="1"/>
        <n v="544590" u="1"/>
        <n v="93967597" u="1"/>
        <n v="93967598" u="1"/>
        <n v="93967599" u="1"/>
        <n v="93967600" u="1"/>
        <n v="93967601" u="1"/>
        <n v="93967602" u="1"/>
        <n v="93967603" u="1"/>
        <n v="93967604" u="1"/>
        <n v="544591" u="1"/>
        <n v="544592" u="1"/>
        <n v="544593" u="1"/>
        <n v="544594" u="1"/>
        <n v="544595" u="1"/>
        <n v="544596" u="1"/>
        <n v="544597" u="1"/>
        <n v="544598" u="1"/>
        <n v="544599" u="1"/>
        <n v="544600" u="1"/>
        <n v="544601" u="1"/>
        <n v="544602" u="1"/>
        <n v="544603" u="1"/>
        <n v="544604" u="1"/>
        <n v="544605" u="1"/>
        <n v="544606" u="1"/>
        <n v="544607" u="1"/>
        <n v="544608" u="1"/>
        <n v="544609" u="1"/>
        <n v="544610" u="1"/>
        <n v="544611" u="1"/>
        <n v="544612" u="1"/>
        <n v="544613" u="1"/>
        <n v="544614" u="1"/>
        <n v="544615" u="1"/>
        <n v="544616" u="1"/>
        <n v="544617" u="1"/>
        <n v="544618" u="1"/>
        <n v="544619" u="1"/>
        <n v="544620" u="1"/>
        <n v="544621" u="1"/>
        <n v="544622" u="1"/>
        <n v="544623" u="1"/>
        <n v="544624" u="1"/>
        <n v="544625" u="1"/>
        <n v="544626" u="1"/>
        <n v="544627" u="1"/>
        <n v="544628" u="1"/>
        <n v="544629" u="1"/>
        <n v="544630" u="1"/>
        <n v="544631" u="1"/>
        <n v="544632" u="1"/>
        <n v="544633" u="1"/>
        <n v="93967605" u="1"/>
        <n v="93967606" u="1"/>
        <n v="93967607" u="1"/>
        <n v="93967608" u="1"/>
        <n v="93967609" u="1"/>
        <n v="93967610" u="1"/>
        <n v="93967611" u="1"/>
        <n v="93967612" u="1"/>
        <n v="93967613" u="1"/>
        <n v="93967614" u="1"/>
        <n v="93967615" u="1"/>
        <n v="93967616" u="1"/>
        <n v="93967617" u="1"/>
        <n v="93967618" u="1"/>
        <n v="544634" u="1"/>
        <n v="544635" u="1"/>
        <n v="544636" u="1"/>
        <n v="544637" u="1"/>
        <n v="544638" u="1"/>
        <n v="544639" u="1"/>
        <n v="544640" u="1"/>
        <n v="544641" u="1"/>
        <n v="544642" u="1"/>
        <n v="544643" u="1"/>
        <n v="544644" u="1"/>
        <n v="544645" u="1"/>
        <n v="544646" u="1"/>
        <n v="93967619" u="1"/>
        <n v="93967620" u="1"/>
        <n v="544647" u="1"/>
        <n v="544648" u="1"/>
        <n v="544649" u="1"/>
        <n v="544650" u="1"/>
        <n v="544651" u="1"/>
        <n v="544652" u="1"/>
        <n v="93967621" u="1"/>
        <n v="544653" u="1"/>
        <n v="544654" u="1"/>
        <n v="544655" u="1"/>
        <n v="544656" u="1"/>
        <n v="544657" u="1"/>
        <n v="544658" u="1"/>
        <n v="544659" u="1"/>
        <n v="544660" u="1"/>
        <n v="544661" u="1"/>
        <n v="544662" u="1"/>
        <n v="544663" u="1"/>
        <n v="544664" u="1"/>
        <n v="544665" u="1"/>
        <n v="544666" u="1"/>
        <n v="544667" u="1"/>
        <n v="544668" u="1"/>
        <n v="544669" u="1"/>
        <n v="544670" u="1"/>
        <n v="93967622" u="1"/>
        <n v="93967623" u="1"/>
        <n v="93967624" u="1"/>
        <n v="93967625" u="1"/>
        <n v="93967626" u="1"/>
        <n v="93967627" u="1"/>
        <n v="93967628" u="1"/>
        <n v="544671" u="1"/>
        <n v="544672" u="1"/>
        <n v="544673" u="1"/>
        <n v="544674" u="1"/>
        <n v="544675" u="1"/>
        <n v="93967629" u="1"/>
        <n v="93967630" u="1"/>
        <n v="93967631" u="1"/>
        <n v="93967632" u="1"/>
        <n v="93967633" u="1"/>
        <n v="93967634" u="1"/>
        <n v="93967635" u="1"/>
        <n v="544676" u="1"/>
        <n v="544677" u="1"/>
        <n v="544678" u="1"/>
        <n v="544679" u="1"/>
        <n v="544680" u="1"/>
        <n v="544681" u="1"/>
        <n v="93967636" u="1"/>
        <n v="544682" u="1"/>
        <n v="544683" u="1"/>
        <n v="544684" u="1"/>
        <n v="544685" u="1"/>
        <n v="544686" u="1"/>
        <n v="544687" u="1"/>
        <n v="544688" u="1"/>
        <n v="544689" u="1"/>
        <n v="544690" u="1"/>
        <n v="544691" u="1"/>
        <n v="544692" u="1"/>
        <n v="544693" u="1"/>
        <n v="544694" u="1"/>
        <n v="544695" u="1"/>
        <n v="544696" u="1"/>
        <n v="544697" u="1"/>
        <n v="544698" u="1"/>
        <n v="544699" u="1"/>
        <n v="544700" u="1"/>
        <n v="544701" u="1"/>
        <n v="544702" u="1"/>
        <n v="93967637" u="1"/>
        <n v="544703" u="1"/>
        <n v="544704" u="1"/>
        <n v="544705" u="1"/>
        <n v="544706" u="1"/>
        <n v="544707" u="1"/>
        <n v="544708" u="1"/>
        <n v="544709" u="1"/>
        <n v="544710" u="1"/>
        <n v="544711" u="1"/>
        <n v="544712" u="1"/>
        <n v="544713" u="1"/>
        <n v="544714" u="1"/>
        <n v="544715" u="1"/>
        <n v="544716" u="1"/>
        <n v="544717" u="1"/>
        <n v="544718" u="1"/>
        <n v="544719" u="1"/>
        <n v="544720" u="1"/>
        <n v="544721" u="1"/>
        <n v="544722" u="1"/>
        <n v="544723" u="1"/>
        <n v="544724" u="1"/>
        <n v="544725" u="1"/>
        <n v="544726" u="1"/>
      </sharedItems>
    </cacheField>
    <cacheField name="importe" numFmtId="0">
      <sharedItems containsString="0" containsBlank="1" containsNumber="1" minValue="0" maxValue="458463870"/>
    </cacheField>
    <cacheField name="Fe.valor" numFmtId="14">
      <sharedItems containsNonDate="0" containsDate="1" containsString="0" containsBlank="1" minDate="2025-01-02T00:00:00" maxDate="2026-11-06T00:00:00" count="303">
        <d v="2025-01-02T00:00:00"/>
        <d v="2025-01-06T00:00:00"/>
        <d v="2025-01-07T00:00:00"/>
        <d v="2025-01-13T00:00:00"/>
        <d v="2025-01-14T00:00:00"/>
        <d v="2025-01-10T00:00:00"/>
        <d v="2025-01-09T00:00:00"/>
        <d v="2025-01-15T00:00:00"/>
        <d v="2025-01-16T00:00:00"/>
        <d v="2025-01-17T00:00:00"/>
        <d v="2025-01-23T00:00:00"/>
        <d v="2025-01-24T00:00:00"/>
        <d v="2025-01-21T00:00:00"/>
        <d v="2025-01-27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4T00:00:00"/>
        <d v="2025-02-12T00:00:00"/>
        <d v="2025-02-13T00:00:00"/>
        <d v="2025-02-19T00:00:00"/>
        <d v="2025-02-20T00:00:00"/>
        <d v="2025-02-25T00:00:00"/>
        <d v="2025-03-05T00:00:00"/>
        <d v="2025-03-06T00:00:00"/>
        <d v="2025-03-10T00:00:00"/>
        <d v="2025-03-11T00:00:00"/>
        <d v="2025-03-13T00:00:00"/>
        <d v="2025-03-14T00:00:00"/>
        <d v="2025-03-19T00:00:00"/>
        <d v="2025-03-24T00:00:00"/>
        <d v="2025-03-20T00:00:00"/>
        <d v="2025-03-25T00:00:00"/>
        <d v="2025-03-26T00:00:00"/>
        <d v="2025-03-18T00:00:00"/>
        <d v="2025-03-21T00:00:00"/>
        <d v="2025-03-27T00:00:00"/>
        <d v="2025-03-28T00:00:00"/>
        <d v="2025-04-03T00:00:00"/>
        <d v="2025-04-04T00:00:00"/>
        <d v="2025-04-07T00:00:00"/>
        <d v="2025-04-10T00:00:00"/>
        <d v="2025-04-11T00:00:00"/>
        <d v="2025-04-14T00:00:00"/>
        <d v="2025-04-16T00:00:00"/>
        <d v="2025-04-21T00:00:00"/>
        <d v="2025-04-23T00:00:00"/>
        <d v="2025-04-28T00:00:00"/>
        <d v="2025-04-29T00:00:00"/>
        <d v="2025-04-30T00:00:00"/>
        <d v="2025-05-05T00:00:00"/>
        <d v="2025-05-10T00:00:00"/>
        <d v="2025-05-07T00:00:00"/>
        <d v="2025-05-08T00:00:00"/>
        <d v="2025-05-09T00:00:00"/>
        <d v="2025-05-12T00:00:00"/>
        <d v="2025-05-14T00:00:00"/>
        <d v="2025-05-16T00:00:00"/>
        <d v="2025-05-15T00:00:00"/>
        <d v="2025-05-19T00:00:00"/>
        <d v="2025-05-20T00:00:00"/>
        <d v="2025-05-22T00:00:00"/>
        <d v="2025-05-23T00:00:00"/>
        <d v="2025-05-21T00:00:00"/>
        <d v="2025-05-26T00:00:00"/>
        <d v="2025-05-29T00:00:00"/>
        <d v="2025-05-30T00:00:00"/>
        <d v="2025-06-20T00:00:00"/>
        <d v="2025-06-02T00:00:00"/>
        <d v="2025-06-05T00:00:00"/>
        <d v="2025-06-06T00:00:00"/>
        <d v="2025-06-04T00:00:00"/>
        <d v="2025-06-03T00:00:00"/>
        <d v="2025-06-11T00:00:00"/>
        <d v="2025-06-12T00:00:00"/>
        <d v="2025-06-13T00:00:00"/>
        <d v="2025-06-17T00:00:00"/>
        <d v="2025-06-19T00:00:00"/>
        <d v="2025-06-23T00:00:00"/>
        <d v="2025-06-18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8T00:00:00"/>
        <d v="2025-07-11T00:00:00"/>
        <d v="2025-07-14T00:00:00"/>
        <d v="2025-07-15T00:00:00"/>
        <d v="2025-07-17T00:00:00"/>
        <d v="2025-07-18T00:00:00"/>
        <d v="2025-07-21T00:00:00"/>
        <d v="2025-07-24T00:00:00"/>
        <d v="2025-07-25T00:00:00"/>
        <d v="2025-07-23T00:00:00"/>
        <d v="2025-07-28T00:00:00"/>
        <d v="2025-07-29T00:00:00"/>
        <d v="2025-07-30T00:00:00"/>
        <d v="2025-07-31T00:00:00"/>
        <d v="2025-08-01T00:00:00"/>
        <d v="2025-08-04T00:00:00"/>
        <d v="2025-08-06T00:00:00"/>
        <d v="2025-08-18T00:00:00"/>
        <d v="2025-09-15T00:00:00"/>
        <d v="2025-08-07T00:00:00"/>
        <d v="2025-08-08T00:00:00"/>
        <d v="2025-08-11T00:00:00"/>
        <d v="2025-08-14T00:00:00"/>
        <d v="2025-08-19T00:00:00"/>
        <d v="2025-08-20T00:00:00"/>
        <d v="2025-08-22T00:00:00"/>
        <d v="2025-08-25T00:00:00"/>
        <d v="2025-08-29T00:00:00"/>
        <d v="2025-09-05T00:00:00"/>
        <d v="2025-09-18T00:00:00"/>
        <d v="2025-10-03T00:00:00"/>
        <d v="2025-09-01T00:00:00"/>
        <d v="2025-08-26T00:00:00"/>
        <d v="2025-09-03T00:00:00"/>
        <d v="2025-10-20T00:00:00"/>
        <d v="2025-11-17T00:00:00"/>
        <d v="2025-12-17T00:00:00"/>
        <d v="2025-09-02T00:00:00"/>
        <d v="2025-09-08T00:00:00"/>
        <d v="2025-09-12T00:00:00"/>
        <d v="2025-09-11T00:00:00"/>
        <d v="2025-09-19T00:00:00"/>
        <d v="2025-09-17T00:00:00"/>
        <d v="2025-09-23T00:00:00"/>
        <d v="2025-09-25T00:00:00"/>
        <d v="2025-09-26T00:00:00"/>
        <d v="2025-09-30T00:00:00"/>
        <d v="2025-09-29T00:00:00"/>
        <d v="2025-10-27T00:00:00"/>
        <d v="2025-11-25T00:00:00"/>
        <d v="2025-10-15T00:00:00"/>
        <d v="2025-10-01T00:00:00"/>
        <d v="2025-10-02T00:00:00"/>
        <d v="2025-10-06T00:00:00"/>
        <d v="2025-10-08T00:00:00"/>
        <d v="2025-10-09T00:00:00"/>
        <d v="2025-10-13T00:00:00"/>
        <d v="2025-10-14T00:00:00"/>
        <d v="2025-10-17T00:00:00"/>
        <d v="2025-10-16T00:00:00"/>
        <d v="2025-11-07T00:00:00"/>
        <d v="2025-12-05T00:00:00"/>
        <d v="2025-10-22T00:00:00"/>
        <d v="2025-10-23T00:00:00"/>
        <d v="2025-10-24T00:00:00"/>
        <d v="2025-10-30T00:00:00"/>
        <d v="2025-10-29T00:00:00"/>
        <d v="2025-10-31T00:00:00"/>
        <d v="2025-12-23T00:00:00"/>
        <d v="2026-01-23T00:00:00"/>
        <d v="2025-11-10T00:00:00"/>
        <d v="2025-11-13T00:00:00"/>
        <d v="2025-11-14T00:00:00"/>
        <d v="2025-11-20T00:00:00"/>
        <d v="2025-11-28T00:00:00"/>
        <d v="2025-12-12T00:00:00"/>
        <d v="2025-11-26T00:00:00"/>
        <d v="2026-01-19T00:00:00"/>
        <d v="2026-02-19T00:00:00"/>
        <d v="2025-12-09T00:00:00"/>
        <d v="2025-12-10T00:00:00"/>
        <d v="2025-12-11T00:00:00"/>
        <d v="2025-12-27T00:00:00"/>
        <d v="2026-01-26T00:00:00"/>
        <d v="2026-02-25T00:00:00"/>
        <d v="2025-12-15T00:00:00"/>
        <d v="2025-12-18T00:00:00"/>
        <d v="2025-12-19T00:00:00"/>
        <d v="2026-01-04T00:00:00"/>
        <d v="2025-12-16T00:00:00"/>
        <d v="2025-12-22T00:00:00"/>
        <d v="2025-12-26T00:00:00"/>
        <d v="2025-12-30T00:00:00"/>
        <d v="2026-01-02T00:00:00"/>
        <d v="2026-01-09T00:00:00"/>
        <d v="2026-01-13T00:00:00"/>
        <d v="2026-01-15T00:00:00"/>
        <d v="2026-01-16T00:00:00"/>
        <d v="2026-01-14T00:00:00"/>
        <d v="2026-01-22T00:00:00"/>
        <d v="2026-01-20T00:00:00"/>
        <d v="2026-01-27T00:00:00"/>
        <d v="2026-01-28T00:00:00"/>
        <d v="2026-01-29T00:00:00"/>
        <d v="2026-01-30T00:00:00"/>
        <d v="2026-02-05T00:00:00"/>
        <d v="2026-02-06T00:00:00"/>
        <d v="2026-03-27T00:00:00"/>
        <d v="2026-04-26T00:00:00"/>
        <d v="2026-05-26T00:00:00"/>
        <d v="2026-06-25T00:00:00"/>
        <d v="2026-07-25T00:00:00"/>
        <d v="2026-08-24T00:00:00"/>
        <d v="2026-09-23T00:00:00"/>
        <d v="2026-10-23T00:00:00"/>
        <d v="2026-02-09T00:00:00"/>
        <d v="2026-02-04T00:00:00"/>
        <d v="2026-02-13T00:00:00"/>
        <d v="2026-02-18T00:00:00"/>
        <d v="2026-02-27T00:00:00"/>
        <d v="2026-02-20T00:00:00"/>
        <d v="2026-02-23T00:00:00"/>
        <d v="2026-02-26T00:00:00"/>
        <d v="2026-03-04T00:00:00"/>
        <d v="2026-03-05T00:00:00"/>
        <d v="2026-03-06T00:00:00"/>
        <d v="2026-03-09T00:00:00"/>
        <d v="2026-03-13T00:00:00"/>
        <d v="2026-03-16T00:00:00"/>
        <d v="2026-03-18T00:00:00"/>
        <d v="2026-03-19T00:00:00"/>
        <d v="2026-03-20T00:00:00"/>
        <d v="2026-03-25T00:00:00"/>
        <d v="2026-03-30T00:00:00"/>
        <d v="2026-04-10T00:00:00"/>
        <d v="2026-04-13T00:00:00"/>
        <d v="2026-04-15T00:00:00"/>
        <d v="2026-04-16T00:00:00"/>
        <d v="2026-04-17T00:00:00"/>
        <d v="2026-04-20T00:00:00"/>
        <d v="2026-04-21T00:00:00"/>
        <d v="2026-04-22T00:00:00"/>
        <d v="2026-05-22T00:00:00"/>
        <d v="2026-06-22T00:00:00"/>
        <d v="2026-04-23T00:00:00"/>
        <d v="2026-04-24T00:00:00"/>
        <d v="2026-04-27T00:00:00"/>
        <d v="2026-04-28T00:00:00"/>
        <d v="2026-04-30T00:00:00"/>
        <d v="2026-05-04T00:00:00"/>
        <d v="2026-05-07T00:00:00"/>
        <d v="2026-05-08T00:00:00"/>
        <d v="2026-05-06T00:00:00"/>
        <d v="2026-06-03T00:00:00"/>
        <d v="2026-05-15T00:00:00"/>
        <d v="2026-05-13T00:00:00"/>
        <d v="2026-05-14T00:00:00"/>
        <d v="2026-05-18T00:00:00"/>
        <d v="2026-05-19T00:00:00"/>
        <d v="2026-05-20T00:00:00"/>
        <d v="2026-05-21T00:00:00"/>
        <d v="2026-05-28T00:00:00"/>
        <d v="2026-05-29T00:00:00"/>
        <d v="2026-06-09T00:00:00"/>
        <d v="2026-06-16T00:00:00"/>
        <d v="2026-06-04T00:00:00"/>
        <d v="2026-06-05T00:00:00"/>
        <d v="2026-07-01T00:00:00"/>
        <d v="2026-08-03T00:00:00"/>
        <d v="2026-06-08T00:00:00"/>
        <d v="2026-07-04T00:00:00"/>
        <d v="2026-06-11T00:00:00"/>
        <d v="2026-06-12T00:00:00"/>
        <d v="2026-07-08T00:00:00"/>
        <d v="2026-08-07T00:00:00"/>
        <d v="2026-07-06T00:00:00"/>
        <d v="2026-07-07T00:00:00"/>
        <d v="2026-06-19T00:00:00"/>
        <d v="2026-07-17T00:00:00"/>
        <d v="2026-08-17T00:00:00"/>
        <d v="2026-08-05T00:00:00"/>
        <d v="2026-09-07T00:00:00"/>
        <d v="2026-10-05T00:00:00"/>
        <d v="2026-11-05T00:00:00"/>
        <d v="2026-06-26T00:00:00"/>
        <d v="2026-07-22T00:00:00"/>
        <d v="2026-07-02T00:00:00"/>
        <d v="2026-07-03T00:00:00"/>
        <d v="2026-07-13T00:00:00"/>
        <d v="2026-07-16T00:00:00"/>
        <d v="2026-07-15T00:00:00"/>
        <d v="2026-07-20T00:00:00"/>
        <d v="2026-07-23T00:00:00"/>
        <d v="2026-09-10T00:00:00"/>
        <d v="2026-10-09T00:00:00"/>
        <d v="2026-07-24T00:00:00"/>
        <d v="2026-07-30T00:00:00"/>
        <d v="2026-07-31T00:00:00"/>
        <d v="2026-08-10T00:00:00"/>
        <d v="2026-08-13T00:00:00"/>
        <d v="2026-08-14T00:00:00"/>
        <d v="2026-09-04T00:00:00"/>
        <d v="2026-08-25T00:00:00"/>
        <d v="2026-08-26T00:00:00"/>
        <d v="2026-08-20T00:00:00"/>
        <d v="2026-08-28T00:00:00"/>
        <d v="2026-09-01T00:00:00"/>
        <d v="2026-09-02T00:00:00"/>
        <d v="2026-09-03T00:00:00"/>
        <m/>
      </sharedItems>
    </cacheField>
    <cacheField name="Banco" numFmtId="0">
      <sharedItems containsBlank="1" containsMixedTypes="1" containsNumber="1" containsInteger="1" minValue="902318" maxValue="902328" count="15">
        <s v="MACRO"/>
        <s v="HSBC"/>
        <s v="GALICIA"/>
        <m/>
        <n v="902318" u="1"/>
        <n v="902319" u="1"/>
        <n v="902320" u="1"/>
        <n v="902321" u="1"/>
        <n v="902322" u="1"/>
        <n v="902323" u="1"/>
        <n v="902324" u="1"/>
        <n v="902325" u="1"/>
        <n v="902326" u="1"/>
        <n v="902327" u="1"/>
        <n v="902328" u="1"/>
      </sharedItems>
    </cacheField>
    <cacheField name="pagado" numFmtId="0">
      <sharedItems containsBlank="1"/>
    </cacheField>
    <cacheField name="estado" numFmtId="0">
      <sharedItems containsBlank="1"/>
    </cacheField>
    <cacheField name="estado dos" numFmtId="0">
      <sharedItems containsBlank="1" count="4">
        <s v="excluir"/>
        <s v="proximo a vencer"/>
        <s v="a paga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2">
  <r>
    <n v="3000000030"/>
    <d v="2025-01-02T00:00:00"/>
    <n v="0"/>
    <s v="Anulado"/>
    <x v="0"/>
    <n v="0"/>
    <x v="0"/>
    <x v="0"/>
    <s v="no pagado"/>
    <s v="fuera de fecha"/>
    <x v="0"/>
    <x v="0"/>
  </r>
  <r>
    <n v="3000000031"/>
    <d v="2025-01-02T00:00:00"/>
    <n v="4656543.4000000004"/>
    <s v="HYDRASER SA ROSARIO 12"/>
    <x v="1"/>
    <n v="4656543.4000000004"/>
    <x v="1"/>
    <x v="0"/>
    <s v="pagado"/>
    <s v="pagado"/>
    <x v="0"/>
    <x v="0"/>
  </r>
  <r>
    <n v="3000000032"/>
    <d v="2025-01-02T00:00:00"/>
    <n v="4183758.4"/>
    <s v="LOBO BENICIO MARTIN ALDERETES 14"/>
    <x v="2"/>
    <n v="4183758.4"/>
    <x v="1"/>
    <x v="0"/>
    <s v="pagado"/>
    <s v="pagado"/>
    <x v="0"/>
    <x v="0"/>
  </r>
  <r>
    <n v="3000000033"/>
    <d v="2025-01-02T00:00:00"/>
    <n v="9873403.4000000004"/>
    <s v="PABLO Y FERNANDO TACCHELLA S.RSAN MIGUEL DE TUCUMAN 14"/>
    <x v="3"/>
    <n v="9873403.4000000004"/>
    <x v="2"/>
    <x v="0"/>
    <s v="pagado"/>
    <s v="pagado"/>
    <x v="0"/>
    <x v="0"/>
  </r>
  <r>
    <n v="3000000034"/>
    <d v="2025-01-02T00:00:00"/>
    <n v="6665838.2699999996"/>
    <s v="Servicom Group S.A. CAPITAL FEDERAL 00"/>
    <x v="4"/>
    <n v="6665838.2699999996"/>
    <x v="2"/>
    <x v="0"/>
    <s v="pagado"/>
    <s v="pagado"/>
    <x v="0"/>
    <x v="0"/>
  </r>
  <r>
    <n v="3000000083"/>
    <d v="2025-01-06T00:00:00"/>
    <n v="6715811.7999999998"/>
    <s v="MERCATOR TRANSPORT ARGENTINA SBUENOS AIRES 01"/>
    <x v="5"/>
    <n v="6715811.7999999998"/>
    <x v="1"/>
    <x v="1"/>
    <s v="pagado"/>
    <s v="pagado"/>
    <x v="0"/>
    <x v="0"/>
  </r>
  <r>
    <n v="3000000109"/>
    <d v="2025-01-07T00:00:00"/>
    <n v="37609623.539999999"/>
    <s v="Greif Argentina SA Tigre 01"/>
    <x v="6"/>
    <n v="37609623.539999999"/>
    <x v="2"/>
    <x v="1"/>
    <s v="pagado"/>
    <s v="pagado"/>
    <x v="0"/>
    <x v="0"/>
  </r>
  <r>
    <n v="3000000110"/>
    <d v="2025-01-07T00:00:00"/>
    <n v="18230418.23"/>
    <s v="MONTEROS LEMON SAS TAFI VIEJO 14"/>
    <x v="7"/>
    <n v="18230418.23"/>
    <x v="2"/>
    <x v="1"/>
    <s v="pagado"/>
    <s v="pagado"/>
    <x v="0"/>
    <x v="0"/>
  </r>
  <r>
    <n v="3000000149"/>
    <d v="2025-01-08T00:00:00"/>
    <n v="20000000"/>
    <s v="BONSUR SA CAPITAL FEDERAL 00"/>
    <x v="8"/>
    <n v="20000000"/>
    <x v="3"/>
    <x v="0"/>
    <s v="pagado"/>
    <s v="pagado"/>
    <x v="0"/>
    <x v="0"/>
  </r>
  <r>
    <n v="3000000149"/>
    <d v="2025-01-08T00:00:00"/>
    <n v="19850367.920000002"/>
    <s v="BONSUR SA CAPITAL FEDERAL 00"/>
    <x v="9"/>
    <n v="19850367.920000002"/>
    <x v="4"/>
    <x v="0"/>
    <s v="pagado"/>
    <s v="pagado"/>
    <x v="0"/>
    <x v="0"/>
  </r>
  <r>
    <n v="3000000148"/>
    <d v="2025-01-08T00:00:00"/>
    <n v="22860153.16"/>
    <s v="Terminal 4 S.A. Puerto Nuevo 01"/>
    <x v="10"/>
    <n v="22860153.16"/>
    <x v="5"/>
    <x v="0"/>
    <s v="pagado"/>
    <s v="pagado"/>
    <x v="0"/>
    <x v="0"/>
  </r>
  <r>
    <n v="3000000150"/>
    <d v="2025-01-09T00:00:00"/>
    <n v="2000000"/>
    <s v=". Tucumán"/>
    <x v="11"/>
    <n v="2000000"/>
    <x v="6"/>
    <x v="1"/>
    <s v="pagado"/>
    <s v="pagado"/>
    <x v="0"/>
    <x v="0"/>
  </r>
  <r>
    <n v="3000000226"/>
    <d v="2025-01-13T00:00:00"/>
    <n v="120000000"/>
    <s v="MG SERVICIOS AGROPECUARIOS SASTAFI VIEJO 14"/>
    <x v="12"/>
    <n v="120000000"/>
    <x v="7"/>
    <x v="1"/>
    <s v="pagado"/>
    <s v="pagado"/>
    <x v="0"/>
    <x v="0"/>
  </r>
  <r>
    <n v="3000000226"/>
    <d v="2025-01-13T00:00:00"/>
    <n v="22000000"/>
    <s v="MG SERVICIOS AGROPECUARIOS SASTAFI VIEJO 14"/>
    <x v="13"/>
    <n v="22000000"/>
    <x v="7"/>
    <x v="1"/>
    <s v="pagado"/>
    <s v="pagado"/>
    <x v="0"/>
    <x v="0"/>
  </r>
  <r>
    <n v="3000000226"/>
    <d v="2025-01-13T00:00:00"/>
    <n v="6127000"/>
    <s v="MG SERVICIOS AGROPECUARIOS SASTAFI VIEJO 14"/>
    <x v="14"/>
    <n v="6127000"/>
    <x v="7"/>
    <x v="1"/>
    <s v="pagado"/>
    <s v="pagado"/>
    <x v="0"/>
    <x v="0"/>
  </r>
  <r>
    <n v="3000000226"/>
    <d v="2025-01-13T00:00:00"/>
    <n v="2387500"/>
    <s v="MG SERVICIOS AGROPECUARIOS SASTAFI VIEJO 14"/>
    <x v="15"/>
    <n v="2387500"/>
    <x v="8"/>
    <x v="1"/>
    <s v="pagado"/>
    <s v="pagado"/>
    <x v="0"/>
    <x v="0"/>
  </r>
  <r>
    <n v="3000000226"/>
    <d v="2025-01-13T00:00:00"/>
    <n v="2633358"/>
    <s v="MG SERVICIOS AGROPECUARIOS SASTAFI VIEJO 14"/>
    <x v="16"/>
    <n v="2633358"/>
    <x v="8"/>
    <x v="1"/>
    <s v="pagado"/>
    <s v="pagado"/>
    <x v="0"/>
    <x v="0"/>
  </r>
  <r>
    <n v="3000000226"/>
    <d v="2025-01-13T00:00:00"/>
    <n v="12398389.27"/>
    <s v="MG SERVICIOS AGROPECUARIOS SASTAFI VIEJO 14"/>
    <x v="17"/>
    <n v="12398389.27"/>
    <x v="8"/>
    <x v="1"/>
    <s v="pagado"/>
    <s v="pagado"/>
    <x v="0"/>
    <x v="0"/>
  </r>
  <r>
    <n v="3000000227"/>
    <d v="2025-01-13T00:00:00"/>
    <n v="21000000"/>
    <s v="TRUSARELLI CARLOS ALBERTO BANDA DEL RIO SALI 14"/>
    <x v="18"/>
    <n v="21000000"/>
    <x v="7"/>
    <x v="1"/>
    <s v="pagado"/>
    <s v="pagado"/>
    <x v="0"/>
    <x v="0"/>
  </r>
  <r>
    <n v="3000000227"/>
    <d v="2025-01-13T00:00:00"/>
    <n v="20261104.68"/>
    <s v="TRUSARELLI CARLOS ALBERTO BANDA DEL RIO SALI 14"/>
    <x v="19"/>
    <n v="20261104.68"/>
    <x v="8"/>
    <x v="1"/>
    <s v="pagado"/>
    <s v="pagado"/>
    <x v="0"/>
    <x v="0"/>
  </r>
  <r>
    <n v="3000000230"/>
    <d v="2025-01-13T00:00:00"/>
    <n v="23000000"/>
    <s v="M. AMUCHASTEGUI S. R. L. YERBA BUENA 14"/>
    <x v="20"/>
    <n v="23000000"/>
    <x v="7"/>
    <x v="1"/>
    <s v="pagado"/>
    <s v="pagado"/>
    <x v="0"/>
    <x v="0"/>
  </r>
  <r>
    <n v="3000000230"/>
    <d v="2025-01-13T00:00:00"/>
    <n v="22928224.420000002"/>
    <s v="M. AMUCHASTEGUI S. R. L. YERBA BUENA 14"/>
    <x v="21"/>
    <n v="22928224.420000002"/>
    <x v="8"/>
    <x v="1"/>
    <s v="pagado"/>
    <s v="pagado"/>
    <x v="0"/>
    <x v="0"/>
  </r>
  <r>
    <n v="3000000228"/>
    <d v="2025-01-13T00:00:00"/>
    <n v="5222989.75"/>
    <s v="GCAMPO MAQUINARIAS S.R.L LAS TALITAS 14"/>
    <x v="22"/>
    <n v="5222989.75"/>
    <x v="7"/>
    <x v="1"/>
    <s v="pagado"/>
    <s v="pagado"/>
    <x v="0"/>
    <x v="0"/>
  </r>
  <r>
    <n v="3000000229"/>
    <d v="2025-01-13T00:00:00"/>
    <n v="9367605.0899999999"/>
    <s v="CAMPOAGRO SRL YERBA BUENA 14"/>
    <x v="23"/>
    <n v="9367605.0899999999"/>
    <x v="7"/>
    <x v="1"/>
    <s v="pagado"/>
    <s v="pagado"/>
    <x v="0"/>
    <x v="0"/>
  </r>
  <r>
    <n v="3000000231"/>
    <d v="2025-01-13T00:00:00"/>
    <n v="6205901.4900000002"/>
    <s v="PEREZ CURBELO HNOS SRL SAN MIGUEL DE TUCUMAN 14"/>
    <x v="24"/>
    <n v="6205901.4900000002"/>
    <x v="9"/>
    <x v="1"/>
    <s v="pagado"/>
    <s v="pagado"/>
    <x v="0"/>
    <x v="0"/>
  </r>
  <r>
    <n v="3000000232"/>
    <d v="2025-01-13T00:00:00"/>
    <n v="8636029.0899999999"/>
    <s v="Metalurgica Ramon S.R.L. Lastenia 14"/>
    <x v="25"/>
    <n v="8636029.0899999999"/>
    <x v="9"/>
    <x v="1"/>
    <s v="pagado"/>
    <s v="pagado"/>
    <x v="0"/>
    <x v="0"/>
  </r>
  <r>
    <n v="3000000268"/>
    <d v="2025-01-13T00:00:00"/>
    <n v="2024279"/>
    <s v="MG SERVICIOS AGROPECUARIOS SASTAFI VIEJO 14"/>
    <x v="26"/>
    <n v="2024279"/>
    <x v="9"/>
    <x v="1"/>
    <s v="pagado"/>
    <s v="pagado"/>
    <x v="0"/>
    <x v="0"/>
  </r>
  <r>
    <n v="3000000268"/>
    <d v="2025-01-13T00:00:00"/>
    <n v="1282000"/>
    <s v="MG SERVICIOS AGROPECUARIOS SASTAFI VIEJO 14"/>
    <x v="27"/>
    <n v="1282000"/>
    <x v="9"/>
    <x v="1"/>
    <s v="pagado"/>
    <s v="pagado"/>
    <x v="0"/>
    <x v="0"/>
  </r>
  <r>
    <n v="3000000268"/>
    <d v="2025-01-13T00:00:00"/>
    <n v="28812441.129999999"/>
    <s v="MG SERVICIOS AGROPECUARIOS SASTAFI VIEJO 14"/>
    <x v="28"/>
    <n v="28812441.129999999"/>
    <x v="9"/>
    <x v="1"/>
    <s v="pagado"/>
    <s v="pagado"/>
    <x v="0"/>
    <x v="0"/>
  </r>
  <r>
    <n v="3000000325"/>
    <d v="2025-01-20T00:00:00"/>
    <n v="10000000"/>
    <s v="CAFELI S.R.L. SAN MIGUEL DE TUCUMAN 14"/>
    <x v="29"/>
    <n v="10000000"/>
    <x v="10"/>
    <x v="1"/>
    <s v="pagado"/>
    <s v="pagado"/>
    <x v="0"/>
    <x v="0"/>
  </r>
  <r>
    <n v="3000000325"/>
    <d v="2025-01-20T00:00:00"/>
    <n v="5000000"/>
    <s v="CAFELI S.R.L. SAN MIGUEL DE TUCUMAN 14"/>
    <x v="30"/>
    <n v="5000000"/>
    <x v="10"/>
    <x v="1"/>
    <s v="pagado"/>
    <s v="pagado"/>
    <x v="0"/>
    <x v="0"/>
  </r>
  <r>
    <n v="3000000325"/>
    <d v="2025-01-20T00:00:00"/>
    <n v="5966545.0499999998"/>
    <s v="CAFELI S.R.L. SAN MIGUEL DE TUCUMAN 14"/>
    <x v="31"/>
    <n v="5966545.0499999998"/>
    <x v="11"/>
    <x v="1"/>
    <s v="pagado"/>
    <s v="pagado"/>
    <x v="0"/>
    <x v="0"/>
  </r>
  <r>
    <n v="3000000330"/>
    <d v="2025-01-20T00:00:00"/>
    <n v="20000000"/>
    <s v="MONTEROS LEMON SAS TAFI VIEJO 14"/>
    <x v="32"/>
    <n v="20000000"/>
    <x v="10"/>
    <x v="1"/>
    <s v="pagado"/>
    <s v="pagado"/>
    <x v="0"/>
    <x v="0"/>
  </r>
  <r>
    <n v="3000000330"/>
    <d v="2025-01-20T00:00:00"/>
    <n v="17169371.920000002"/>
    <s v="MONTEROS LEMON SAS TAFI VIEJO 14"/>
    <x v="33"/>
    <n v="17169371.920000002"/>
    <x v="11"/>
    <x v="1"/>
    <s v="pagado"/>
    <s v="pagado"/>
    <x v="0"/>
    <x v="0"/>
  </r>
  <r>
    <n v="3000000326"/>
    <d v="2025-01-20T00:00:00"/>
    <n v="220008590"/>
    <s v="EDET S.A. SAN MIGUEL DE TUCUMAN 14"/>
    <x v="34"/>
    <n v="220008590"/>
    <x v="12"/>
    <x v="1"/>
    <s v="pagado"/>
    <s v="pagado"/>
    <x v="0"/>
    <x v="0"/>
  </r>
  <r>
    <n v="3000000327"/>
    <d v="2025-01-20T00:00:00"/>
    <n v="6651581.3499999996"/>
    <s v="Consultoria en Tecnologia de IBUENOS AIRES 00"/>
    <x v="35"/>
    <n v="6651581.3499999996"/>
    <x v="10"/>
    <x v="1"/>
    <s v="pagado"/>
    <s v="pagado"/>
    <x v="0"/>
    <x v="0"/>
  </r>
  <r>
    <n v="3000000328"/>
    <d v="2025-01-20T00:00:00"/>
    <n v="5200982.25"/>
    <s v="M. AMUCHASTEGUI S. R. L. YERBA BUENA 14"/>
    <x v="36"/>
    <n v="5200982.25"/>
    <x v="10"/>
    <x v="1"/>
    <s v="pagado"/>
    <s v="pagado"/>
    <x v="0"/>
    <x v="0"/>
  </r>
  <r>
    <n v="3000000329"/>
    <d v="2025-01-20T00:00:00"/>
    <n v="11692197.359999999"/>
    <s v="Romero, Hector Ruben Alpachiri 14"/>
    <x v="37"/>
    <n v="11692197.359999999"/>
    <x v="10"/>
    <x v="1"/>
    <s v="pagado"/>
    <s v="pagado"/>
    <x v="0"/>
    <x v="0"/>
  </r>
  <r>
    <n v="3000000331"/>
    <d v="2025-01-20T00:00:00"/>
    <n v="5458642"/>
    <s v="SANTEX S. A. LOS NOGALES 14"/>
    <x v="38"/>
    <n v="5458642"/>
    <x v="10"/>
    <x v="1"/>
    <s v="pagado"/>
    <s v="pagado"/>
    <x v="0"/>
    <x v="0"/>
  </r>
  <r>
    <n v="3000000332"/>
    <d v="2025-01-20T00:00:00"/>
    <n v="7519903.3200000003"/>
    <s v="MARTINO HNOS SERVICIOS AGRICOLFAMAILLA 14"/>
    <x v="39"/>
    <n v="7519903.3200000003"/>
    <x v="10"/>
    <x v="1"/>
    <s v="pagado"/>
    <s v="pagado"/>
    <x v="0"/>
    <x v="0"/>
  </r>
  <r>
    <n v="3000000333"/>
    <d v="2025-01-20T00:00:00"/>
    <n v="6807063.8300000001"/>
    <s v="SALAZAR CARLOS ALBERTO SAN MIGUEL DE TUCUMAN 14"/>
    <x v="40"/>
    <n v="6807063.8300000001"/>
    <x v="10"/>
    <x v="1"/>
    <s v="pagado"/>
    <s v="pagado"/>
    <x v="0"/>
    <x v="0"/>
  </r>
  <r>
    <n v="3000000376"/>
    <d v="2025-01-22T00:00:00"/>
    <n v="11461757.92"/>
    <s v="TRANSPORTE LA TRADICION SRL ALDERETES 14"/>
    <x v="41"/>
    <n v="11461757.92"/>
    <x v="11"/>
    <x v="1"/>
    <s v="pagado"/>
    <s v="pagado"/>
    <x v="0"/>
    <x v="0"/>
  </r>
  <r>
    <n v="3000000377"/>
    <d v="2025-01-22T00:00:00"/>
    <n v="12894135.83"/>
    <s v="Terminal 4 S.A. Puerto Nuevo 01"/>
    <x v="42"/>
    <n v="12894135.83"/>
    <x v="11"/>
    <x v="1"/>
    <s v="pagado"/>
    <s v="pagado"/>
    <x v="0"/>
    <x v="0"/>
  </r>
  <r>
    <n v="3000000378"/>
    <d v="2025-01-22T00:00:00"/>
    <n v="20000000"/>
    <s v="MERCATOR TRANSPORT ARGENTINA SBUENOS AIRES 01"/>
    <x v="43"/>
    <n v="20000000"/>
    <x v="11"/>
    <x v="1"/>
    <s v="pagado"/>
    <s v="pagado"/>
    <x v="0"/>
    <x v="0"/>
  </r>
  <r>
    <n v="3000000378"/>
    <d v="2025-01-22T00:00:00"/>
    <n v="19797475.120000001"/>
    <s v="MERCATOR TRANSPORT ARGENTINA SBUENOS AIRES 01"/>
    <x v="44"/>
    <n v="19797475.120000001"/>
    <x v="13"/>
    <x v="1"/>
    <s v="pagado"/>
    <s v="pagado"/>
    <x v="0"/>
    <x v="0"/>
  </r>
  <r>
    <n v="3000000475"/>
    <d v="2025-01-28T00:00:00"/>
    <n v="12000000"/>
    <s v="MG SERVICIOS AGROPECUARIOS SASTAFI VIEJO 14"/>
    <x v="45"/>
    <n v="12000000"/>
    <x v="14"/>
    <x v="1"/>
    <s v="pagado"/>
    <s v="pagado"/>
    <x v="0"/>
    <x v="0"/>
  </r>
  <r>
    <n v="3000000475"/>
    <d v="2025-01-28T00:00:00"/>
    <n v="30362004.93"/>
    <s v="MG SERVICIOS AGROPECUARIOS SASTAFI VIEJO 14"/>
    <x v="46"/>
    <n v="30362004.93"/>
    <x v="15"/>
    <x v="1"/>
    <s v="pagado"/>
    <s v="pagado"/>
    <x v="0"/>
    <x v="0"/>
  </r>
  <r>
    <n v="3000000476"/>
    <d v="2025-01-28T00:00:00"/>
    <n v="530102.19999999995"/>
    <s v="Acosta, Angel Alejandro SAN MIGUEL DE TUCUMAN 14"/>
    <x v="47"/>
    <n v="530102.19999999995"/>
    <x v="14"/>
    <x v="1"/>
    <s v="pagado"/>
    <s v="pagado"/>
    <x v="0"/>
    <x v="0"/>
  </r>
  <r>
    <n v="3000000437"/>
    <d v="2025-01-27T00:00:00"/>
    <n v="8019745.9000000004"/>
    <s v="JUAREZ SERGIO DAVID SAN MIGUEL DE TUCUMAN 14"/>
    <x v="48"/>
    <n v="8019745.9000000004"/>
    <x v="14"/>
    <x v="0"/>
    <s v="pagado"/>
    <s v="pagado"/>
    <x v="0"/>
    <x v="0"/>
  </r>
  <r>
    <n v="3000000438"/>
    <d v="2025-01-27T00:00:00"/>
    <n v="7837597.1399999997"/>
    <s v="Silver Freight Logistic SRL CAPITAL FEDERAL 00"/>
    <x v="49"/>
    <n v="7837597.1399999997"/>
    <x v="14"/>
    <x v="0"/>
    <s v="pagado"/>
    <s v="pagado"/>
    <x v="0"/>
    <x v="0"/>
  </r>
  <r>
    <n v="3000000439"/>
    <d v="2025-01-27T00:00:00"/>
    <n v="19595351.219999999"/>
    <s v="SMART SEGURIDAD SA YERBA BUENA 14"/>
    <x v="50"/>
    <n v="19595351.219999999"/>
    <x v="14"/>
    <x v="0"/>
    <s v="pagado"/>
    <s v="pagado"/>
    <x v="0"/>
    <x v="0"/>
  </r>
  <r>
    <n v="3000000440"/>
    <d v="2025-01-27T00:00:00"/>
    <n v="17633539.030000001"/>
    <s v="LA ASTURIANA SRL SAN MIGUEL DE TUCUMAN 14"/>
    <x v="51"/>
    <n v="17633539.030000001"/>
    <x v="15"/>
    <x v="0"/>
    <s v="pagado"/>
    <s v="pagado"/>
    <x v="0"/>
    <x v="0"/>
  </r>
  <r>
    <n v="3000000441"/>
    <d v="2025-01-27T00:00:00"/>
    <n v="12650244.390000001"/>
    <s v="TRUSARELLI CARLOS ALBERTO BANDA DEL RIO SALI 14"/>
    <x v="52"/>
    <n v="12650244.390000001"/>
    <x v="15"/>
    <x v="0"/>
    <s v="pagado"/>
    <s v="pagado"/>
    <x v="0"/>
    <x v="0"/>
  </r>
  <r>
    <n v="3000000442"/>
    <d v="2025-01-27T00:00:00"/>
    <n v="12454897.109999999"/>
    <s v="Servicom Group S.A. CAPITAL FEDERAL 00"/>
    <x v="53"/>
    <n v="12454897.109999999"/>
    <x v="15"/>
    <x v="0"/>
    <s v="pagado"/>
    <s v="pagado"/>
    <x v="0"/>
    <x v="0"/>
  </r>
  <r>
    <n v="3000000443"/>
    <d v="2025-01-27T00:00:00"/>
    <n v="10049305"/>
    <s v="RIBA MONICA ELIZABETH LAS TALITAS 14"/>
    <x v="54"/>
    <n v="10049305"/>
    <x v="16"/>
    <x v="0"/>
    <s v="pagado"/>
    <s v="pagado"/>
    <x v="0"/>
    <x v="0"/>
  </r>
  <r>
    <n v="3000000444"/>
    <d v="2025-01-27T00:00:00"/>
    <n v="8177346.46"/>
    <s v="Marchese Grandi Meson y Asoc SAN MIGUEL DE TUCUMAN 14"/>
    <x v="55"/>
    <n v="8177346.46"/>
    <x v="16"/>
    <x v="0"/>
    <s v="pagado"/>
    <s v="pagado"/>
    <x v="0"/>
    <x v="0"/>
  </r>
  <r>
    <n v="3000000445"/>
    <d v="2025-01-27T00:00:00"/>
    <n v="6668436"/>
    <s v="TEKNOS TECHNOLOGY GROUP SA CAPITAL FEDERAL 00"/>
    <x v="56"/>
    <n v="6668436"/>
    <x v="16"/>
    <x v="0"/>
    <s v="pagado"/>
    <s v="pagado"/>
    <x v="0"/>
    <x v="0"/>
  </r>
  <r>
    <n v="3000000519"/>
    <d v="2025-01-30T00:00:00"/>
    <n v="1000000"/>
    <s v="Fondo Fijo Administracion CitrNO TIENE"/>
    <x v="57"/>
    <n v="1000000"/>
    <x v="16"/>
    <x v="1"/>
    <s v="pagado"/>
    <s v="pagado"/>
    <x v="0"/>
    <x v="0"/>
  </r>
  <r>
    <n v="3000000519"/>
    <d v="2025-01-30T00:00:00"/>
    <n v="938229.47"/>
    <s v="Fondo Fijo Administracion CitrNO TIENE"/>
    <x v="58"/>
    <n v="938229.47"/>
    <x v="17"/>
    <x v="1"/>
    <s v="pagado"/>
    <s v="pagado"/>
    <x v="0"/>
    <x v="0"/>
  </r>
  <r>
    <n v="3000000521"/>
    <d v="2025-01-31T00:00:00"/>
    <n v="24523200"/>
    <s v="BONSUR SA CAPITAL FEDERAL 00"/>
    <x v="59"/>
    <n v="24523200"/>
    <x v="18"/>
    <x v="1"/>
    <s v="pagado"/>
    <s v="pagado"/>
    <x v="0"/>
    <x v="0"/>
  </r>
  <r>
    <n v="3000000585"/>
    <d v="2025-02-04T00:00:00"/>
    <n v="2626701.19"/>
    <s v="MG SERVICIOS AGROPECUARIOS SASTAFI VIEJO 14"/>
    <x v="60"/>
    <n v="2626701.19"/>
    <x v="19"/>
    <x v="1"/>
    <s v="pagado"/>
    <s v="pagado"/>
    <x v="0"/>
    <x v="0"/>
  </r>
  <r>
    <n v="3000000557"/>
    <d v="2025-02-03T00:00:00"/>
    <n v="15000000"/>
    <s v="M. AMUCHASTEGUI S. R. L. YERBA BUENA 14"/>
    <x v="61"/>
    <n v="15000000"/>
    <x v="19"/>
    <x v="0"/>
    <s v="pagado"/>
    <s v="pagado"/>
    <x v="0"/>
    <x v="0"/>
  </r>
  <r>
    <n v="3000000557"/>
    <d v="2025-02-03T00:00:00"/>
    <n v="13269222.24"/>
    <s v="M. AMUCHASTEGUI S. R. L. YERBA BUENA 14"/>
    <x v="62"/>
    <n v="13269222.24"/>
    <x v="20"/>
    <x v="0"/>
    <s v="pagado"/>
    <s v="pagado"/>
    <x v="0"/>
    <x v="0"/>
  </r>
  <r>
    <n v="3000000559"/>
    <d v="2025-02-03T00:00:00"/>
    <n v="12000000"/>
    <s v="MAC DONALD MIGUEL ALEJANDRO BANDA DEL RIO SALI 14"/>
    <x v="63"/>
    <n v="12000000"/>
    <x v="19"/>
    <x v="0"/>
    <s v="pagado"/>
    <s v="pagado"/>
    <x v="0"/>
    <x v="0"/>
  </r>
  <r>
    <n v="3000000559"/>
    <d v="2025-02-03T00:00:00"/>
    <n v="11631009.74"/>
    <s v="MAC DONALD MIGUEL ALEJANDRO BANDA DEL RIO SALI 14"/>
    <x v="64"/>
    <n v="11631009.74"/>
    <x v="20"/>
    <x v="0"/>
    <s v="pagado"/>
    <s v="pagado"/>
    <x v="0"/>
    <x v="0"/>
  </r>
  <r>
    <n v="3000000562"/>
    <d v="2025-02-03T00:00:00"/>
    <n v="14000000"/>
    <s v="CAPETTA ANTONELLA ANAHI SAN MIGUEL DE TUCUMAN 14"/>
    <x v="65"/>
    <n v="14000000"/>
    <x v="19"/>
    <x v="0"/>
    <s v="pagado"/>
    <s v="pagado"/>
    <x v="0"/>
    <x v="0"/>
  </r>
  <r>
    <n v="3000000562"/>
    <d v="2025-02-03T00:00:00"/>
    <n v="13628138.09"/>
    <s v="CAPETTA ANTONELLA ANAHI SAN MIGUEL DE TUCUMAN 14"/>
    <x v="66"/>
    <n v="13628138.09"/>
    <x v="20"/>
    <x v="0"/>
    <s v="pagado"/>
    <s v="pagado"/>
    <x v="0"/>
    <x v="0"/>
  </r>
  <r>
    <n v="3000000555"/>
    <d v="2025-02-03T00:00:00"/>
    <n v="8113013.9000000004"/>
    <s v="LUGUIMAC S.R.L VILLA LYNCH 01"/>
    <x v="67"/>
    <n v="8113013.9000000004"/>
    <x v="19"/>
    <x v="0"/>
    <s v="pagado"/>
    <s v="pagado"/>
    <x v="0"/>
    <x v="0"/>
  </r>
  <r>
    <n v="3000000556"/>
    <d v="2025-02-03T00:00:00"/>
    <n v="16648171.25"/>
    <s v="FABRICA ARG. DE INDUMENTARIA SGENERAL RODRIGUEZ 01"/>
    <x v="68"/>
    <n v="16648171.25"/>
    <x v="19"/>
    <x v="0"/>
    <s v="pagado"/>
    <s v="pagado"/>
    <x v="0"/>
    <x v="0"/>
  </r>
  <r>
    <n v="3000000558"/>
    <d v="2025-02-03T00:00:00"/>
    <n v="7130759.9199999999"/>
    <s v="JACQUET NORBERTO SALVADOR SAN JOSE 05"/>
    <x v="69"/>
    <n v="7130759.9199999999"/>
    <x v="19"/>
    <x v="0"/>
    <s v="pagado"/>
    <s v="pagado"/>
    <x v="0"/>
    <x v="0"/>
  </r>
  <r>
    <n v="3000000560"/>
    <d v="2025-02-03T00:00:00"/>
    <n v="7131259.7800000003"/>
    <s v="LOGISTICA Y DISTRIBUCION FEDE CAPITAL FEDERAL 00"/>
    <x v="70"/>
    <n v="7131259.7800000003"/>
    <x v="19"/>
    <x v="0"/>
    <s v="pagado"/>
    <s v="pagado"/>
    <x v="0"/>
    <x v="0"/>
  </r>
  <r>
    <n v="3000000561"/>
    <d v="2025-02-03T00:00:00"/>
    <n v="8354845.9800000004"/>
    <s v="TRANSPORTE FRIOS DEL NORTE S.RSAN MIGUEL DE TUCUMAN 14"/>
    <x v="71"/>
    <n v="8354845.9800000004"/>
    <x v="19"/>
    <x v="0"/>
    <s v="pagado"/>
    <s v="pagado"/>
    <x v="0"/>
    <x v="0"/>
  </r>
  <r>
    <n v="3000000563"/>
    <d v="2025-02-03T00:00:00"/>
    <n v="7408404.0599999996"/>
    <s v="RL SOLUCIONES S. A. S. SAN MIGUEL DE TUCUMAN 14"/>
    <x v="72"/>
    <n v="7408404.0599999996"/>
    <x v="19"/>
    <x v="0"/>
    <s v="pagado"/>
    <s v="pagado"/>
    <x v="0"/>
    <x v="0"/>
  </r>
  <r>
    <n v="3000000601"/>
    <d v="2025-02-05T00:00:00"/>
    <n v="7468372.0499999998"/>
    <s v="Servicom Group S.A. CAPITAL FEDERAL 00"/>
    <x v="73"/>
    <n v="7468372.0499999998"/>
    <x v="21"/>
    <x v="1"/>
    <s v="pagado"/>
    <s v="pagado"/>
    <x v="0"/>
    <x v="0"/>
  </r>
  <r>
    <n v="3000000602"/>
    <d v="2025-02-05T00:00:00"/>
    <n v="15015420.970000001"/>
    <s v="Terminal 4 S.A. Puerto Nuevo 01"/>
    <x v="74"/>
    <n v="15015420.970000001"/>
    <x v="21"/>
    <x v="1"/>
    <s v="pagado"/>
    <s v="pagado"/>
    <x v="0"/>
    <x v="0"/>
  </r>
  <r>
    <n v="3000000603"/>
    <d v="2025-02-05T00:00:00"/>
    <n v="7834634.8799999999"/>
    <s v="FLETES Y SERVICIOS PUJATO S.A PUJATO 12"/>
    <x v="75"/>
    <n v="7834634.8799999999"/>
    <x v="21"/>
    <x v="1"/>
    <s v="pagado"/>
    <s v="pagado"/>
    <x v="0"/>
    <x v="0"/>
  </r>
  <r>
    <n v="3000000604"/>
    <d v="2025-02-05T00:00:00"/>
    <n v="5057267.5599999996"/>
    <s v="Expreso Bisonte S.R.L. BANDA DEL RIO SALI 14"/>
    <x v="76"/>
    <n v="5057267.5599999996"/>
    <x v="21"/>
    <x v="1"/>
    <s v="pagado"/>
    <s v="pagado"/>
    <x v="0"/>
    <x v="0"/>
  </r>
  <r>
    <n v="3000000728"/>
    <d v="2025-02-11T00:00:00"/>
    <n v="141557350.72"/>
    <s v="MG SERVICIOS AGROPECUARIOS SASTAFI VIEJO 14"/>
    <x v="77"/>
    <n v="141557350.72"/>
    <x v="22"/>
    <x v="1"/>
    <s v="pagado"/>
    <s v="pagado"/>
    <x v="0"/>
    <x v="0"/>
  </r>
  <r>
    <n v="3000000692"/>
    <d v="2025-02-11T00:00:00"/>
    <n v="8777470.7200000007"/>
    <s v="CAMPOAGRO SRL YERBA BUENA 14"/>
    <x v="78"/>
    <n v="8777470.7200000007"/>
    <x v="23"/>
    <x v="1"/>
    <s v="pagado"/>
    <s v="pagado"/>
    <x v="0"/>
    <x v="0"/>
  </r>
  <r>
    <n v="3000000693"/>
    <d v="2025-02-11T00:00:00"/>
    <n v="3887380.76"/>
    <s v="INSITU S.R.L SAN MIGUEL DE TUCUMAN 14"/>
    <x v="79"/>
    <n v="3887380.76"/>
    <x v="23"/>
    <x v="1"/>
    <s v="pagado"/>
    <s v="pagado"/>
    <x v="0"/>
    <x v="0"/>
  </r>
  <r>
    <n v="3000000694"/>
    <d v="2025-02-11T00:00:00"/>
    <n v="8309167.1399999997"/>
    <s v="GCAMPO MAQUINARIAS S.R.L LAS TALITAS 14"/>
    <x v="80"/>
    <n v="8309167.1399999997"/>
    <x v="23"/>
    <x v="1"/>
    <s v="pagado"/>
    <s v="pagado"/>
    <x v="0"/>
    <x v="0"/>
  </r>
  <r>
    <n v="3000000695"/>
    <d v="2025-02-11T00:00:00"/>
    <n v="20199491.75"/>
    <s v="SMART SEGURIDAD SA YERBA BUENA 14"/>
    <x v="81"/>
    <n v="20199491.75"/>
    <x v="24"/>
    <x v="1"/>
    <s v="pagado"/>
    <s v="pagado"/>
    <x v="0"/>
    <x v="0"/>
  </r>
  <r>
    <n v="3000000696"/>
    <d v="2025-02-11T00:00:00"/>
    <n v="13575156.43"/>
    <s v="MONTEROS LEMON SAS TAFI VIEJO 14"/>
    <x v="82"/>
    <n v="13575156.43"/>
    <x v="24"/>
    <x v="1"/>
    <s v="pagado"/>
    <s v="pagado"/>
    <x v="0"/>
    <x v="0"/>
  </r>
  <r>
    <n v="3000000697"/>
    <d v="2025-02-11T00:00:00"/>
    <n v="10000000"/>
    <s v="CAFELI S.R.L. SAN MIGUEL DE TUCUMAN 14"/>
    <x v="83"/>
    <n v="10000000"/>
    <x v="24"/>
    <x v="1"/>
    <s v="pagado"/>
    <s v="pagado"/>
    <x v="0"/>
    <x v="0"/>
  </r>
  <r>
    <n v="3000000697"/>
    <d v="2025-02-11T00:00:00"/>
    <n v="10000000"/>
    <s v="CAFELI S.R.L. SAN MIGUEL DE TUCUMAN 14"/>
    <x v="84"/>
    <n v="10000000"/>
    <x v="24"/>
    <x v="1"/>
    <s v="pagado"/>
    <s v="pagado"/>
    <x v="0"/>
    <x v="0"/>
  </r>
  <r>
    <n v="3000000697"/>
    <d v="2025-02-11T00:00:00"/>
    <n v="9976027.2699999996"/>
    <s v="CAFELI S.R.L. SAN MIGUEL DE TUCUMAN 14"/>
    <x v="85"/>
    <n v="9976027.2699999996"/>
    <x v="22"/>
    <x v="1"/>
    <s v="pagado"/>
    <s v="pagado"/>
    <x v="0"/>
    <x v="0"/>
  </r>
  <r>
    <n v="3000000698"/>
    <d v="2025-02-11T00:00:00"/>
    <n v="15000000"/>
    <s v="Servicom Group S.A. CAPITAL FEDERAL 00"/>
    <x v="86"/>
    <n v="15000000"/>
    <x v="24"/>
    <x v="1"/>
    <s v="pagado"/>
    <s v="pagado"/>
    <x v="0"/>
    <x v="0"/>
  </r>
  <r>
    <n v="3000000698"/>
    <d v="2025-02-11T00:00:00"/>
    <n v="12241454.27"/>
    <s v="Servicom Group S.A. CAPITAL FEDERAL 00"/>
    <x v="87"/>
    <n v="12241454.27"/>
    <x v="22"/>
    <x v="1"/>
    <s v="pagado"/>
    <s v="pagado"/>
    <x v="0"/>
    <x v="0"/>
  </r>
  <r>
    <n v="3000000728"/>
    <d v="2025-02-11T00:00:00"/>
    <n v="30000000"/>
    <s v="MG SERVICIOS AGROPECUARIOS SASTAFI VIEJO 14"/>
    <x v="88"/>
    <n v="30000000"/>
    <x v="23"/>
    <x v="1"/>
    <s v="pagado"/>
    <s v="pagado"/>
    <x v="0"/>
    <x v="0"/>
  </r>
  <r>
    <n v="3000000728"/>
    <d v="2025-02-11T00:00:00"/>
    <n v="29000000"/>
    <s v="MG SERVICIOS AGROPECUARIOS SASTAFI VIEJO 14"/>
    <x v="89"/>
    <n v="29000000"/>
    <x v="24"/>
    <x v="1"/>
    <s v="pagado"/>
    <s v="pagado"/>
    <x v="0"/>
    <x v="0"/>
  </r>
  <r>
    <n v="3000000728"/>
    <d v="2025-02-11T00:00:00"/>
    <n v="6201000"/>
    <s v="MG SERVICIOS AGROPECUARIOS SASTAFI VIEJO 14"/>
    <x v="90"/>
    <n v="6201000"/>
    <x v="24"/>
    <x v="1"/>
    <s v="pagado"/>
    <s v="pagado"/>
    <x v="0"/>
    <x v="0"/>
  </r>
  <r>
    <n v="3000000728"/>
    <d v="2025-02-11T00:00:00"/>
    <n v="2968655"/>
    <s v="MG SERVICIOS AGROPECUARIOS SASTAFI VIEJO 14"/>
    <x v="91"/>
    <n v="2968655"/>
    <x v="24"/>
    <x v="1"/>
    <s v="pagado"/>
    <s v="pagado"/>
    <x v="0"/>
    <x v="0"/>
  </r>
  <r>
    <n v="3000000728"/>
    <d v="2025-02-11T00:00:00"/>
    <n v="2900000"/>
    <s v="MG SERVICIOS AGROPECUARIOS SASTAFI VIEJO 14"/>
    <x v="92"/>
    <n v="2900000"/>
    <x v="24"/>
    <x v="1"/>
    <s v="pagado"/>
    <s v="pagado"/>
    <x v="0"/>
    <x v="0"/>
  </r>
  <r>
    <n v="3000000728"/>
    <d v="2025-02-11T00:00:00"/>
    <n v="2400000"/>
    <s v="MG SERVICIOS AGROPECUARIOS SASTAFI VIEJO 14"/>
    <x v="93"/>
    <n v="2400000"/>
    <x v="24"/>
    <x v="1"/>
    <s v="pagado"/>
    <s v="pagado"/>
    <x v="0"/>
    <x v="0"/>
  </r>
  <r>
    <n v="3000000728"/>
    <d v="2025-02-11T00:00:00"/>
    <n v="3063000"/>
    <s v="MG SERVICIOS AGROPECUARIOS SASTAFI VIEJO 14"/>
    <x v="94"/>
    <n v="3063000"/>
    <x v="24"/>
    <x v="1"/>
    <s v="pagado"/>
    <s v="pagado"/>
    <x v="0"/>
    <x v="0"/>
  </r>
  <r>
    <n v="3000000747"/>
    <d v="2025-02-12T00:00:00"/>
    <n v="10631532.810000001"/>
    <s v="Terminal 4 S.A. Puerto Nuevo 01"/>
    <x v="95"/>
    <n v="10631532.810000001"/>
    <x v="22"/>
    <x v="1"/>
    <s v="pagado"/>
    <s v="pagado"/>
    <x v="0"/>
    <x v="0"/>
  </r>
  <r>
    <n v="3000000748"/>
    <d v="2025-02-12T00:00:00"/>
    <n v="7356467.9199999999"/>
    <s v="LATCOMEX SA CAPITAL FEDERAL 00"/>
    <x v="96"/>
    <n v="7356467.9199999999"/>
    <x v="22"/>
    <x v="1"/>
    <s v="pagado"/>
    <s v="pagado"/>
    <x v="0"/>
    <x v="0"/>
  </r>
  <r>
    <n v="3000000749"/>
    <d v="2025-02-12T00:00:00"/>
    <n v="5393304"/>
    <s v="RL SOLUCIONES S. A. S. SAN MIGUEL DE TUCUMAN 14"/>
    <x v="97"/>
    <n v="5393304"/>
    <x v="22"/>
    <x v="1"/>
    <s v="pagado"/>
    <s v="pagado"/>
    <x v="0"/>
    <x v="0"/>
  </r>
  <r>
    <n v="3000000818"/>
    <d v="2025-02-17T00:00:00"/>
    <n v="10000000"/>
    <s v="SMART SEGURIDAD SA YERBA BUENA 14"/>
    <x v="98"/>
    <n v="10000000"/>
    <x v="25"/>
    <x v="1"/>
    <s v="pagado"/>
    <s v="pagado"/>
    <x v="0"/>
    <x v="0"/>
  </r>
  <r>
    <n v="3000000818"/>
    <d v="2025-02-17T00:00:00"/>
    <n v="10198148.34"/>
    <s v="SMART SEGURIDAD SA YERBA BUENA 14"/>
    <x v="99"/>
    <n v="10198148.34"/>
    <x v="26"/>
    <x v="1"/>
    <s v="pagado"/>
    <s v="pagado"/>
    <x v="0"/>
    <x v="0"/>
  </r>
  <r>
    <n v="3000000815"/>
    <d v="2025-02-17T00:00:00"/>
    <n v="5820317.9900000002"/>
    <s v="AGROPECUARIA MUNDO NUEVO SRL SAN PABLO 14"/>
    <x v="100"/>
    <n v="5820317.9900000002"/>
    <x v="25"/>
    <x v="1"/>
    <s v="pagado"/>
    <s v="pagado"/>
    <x v="0"/>
    <x v="0"/>
  </r>
  <r>
    <n v="3000000816"/>
    <d v="2025-02-17T00:00:00"/>
    <n v="6357816.6699999999"/>
    <s v="CAMPOAGRO SRL YERBA BUENA 14"/>
    <x v="101"/>
    <n v="6357816.6699999999"/>
    <x v="25"/>
    <x v="1"/>
    <s v="pagado"/>
    <s v="pagado"/>
    <x v="0"/>
    <x v="0"/>
  </r>
  <r>
    <n v="3000000817"/>
    <d v="2025-02-17T00:00:00"/>
    <n v="10186003.189999999"/>
    <s v="BERCOVICH COMERCIAL SAS SAN MIGUEL DE TUCUMAN 14"/>
    <x v="102"/>
    <n v="10186003.189999999"/>
    <x v="25"/>
    <x v="1"/>
    <s v="pagado"/>
    <s v="pagado"/>
    <x v="0"/>
    <x v="0"/>
  </r>
  <r>
    <n v="3000000839"/>
    <d v="2025-02-18T00:00:00"/>
    <n v="2592346.17"/>
    <s v="MG SERVICIOS AGROPECUARIOS SASTAFI VIEJO 14"/>
    <x v="103"/>
    <n v="2592346.17"/>
    <x v="26"/>
    <x v="1"/>
    <s v="pagado"/>
    <s v="pagado"/>
    <x v="0"/>
    <x v="0"/>
  </r>
  <r>
    <n v="3000000839"/>
    <d v="2025-02-18T00:00:00"/>
    <n v="1900000"/>
    <s v="MG SERVICIOS AGROPECUARIOS SASTAFI VIEJO 14"/>
    <x v="104"/>
    <n v="1900000"/>
    <x v="26"/>
    <x v="1"/>
    <s v="pagado"/>
    <s v="pagado"/>
    <x v="0"/>
    <x v="0"/>
  </r>
  <r>
    <n v="3000000839"/>
    <d v="2025-02-18T00:00:00"/>
    <n v="1447701"/>
    <s v="MG SERVICIOS AGROPECUARIOS SASTAFI VIEJO 14"/>
    <x v="105"/>
    <n v="1447701"/>
    <x v="26"/>
    <x v="1"/>
    <s v="pagado"/>
    <s v="pagado"/>
    <x v="0"/>
    <x v="0"/>
  </r>
  <r>
    <n v="3000000839"/>
    <d v="2025-02-18T00:00:00"/>
    <n v="2400000"/>
    <s v="MG SERVICIOS AGROPECUARIOS SASTAFI VIEJO 14"/>
    <x v="106"/>
    <n v="2400000"/>
    <x v="26"/>
    <x v="1"/>
    <s v="pagado"/>
    <s v="pagado"/>
    <x v="0"/>
    <x v="0"/>
  </r>
  <r>
    <n v="3000000839"/>
    <d v="2025-02-18T00:00:00"/>
    <n v="2186117"/>
    <s v="MG SERVICIOS AGROPECUARIOS SASTAFI VIEJO 14"/>
    <x v="107"/>
    <n v="2186117"/>
    <x v="26"/>
    <x v="1"/>
    <s v="pagado"/>
    <s v="pagado"/>
    <x v="0"/>
    <x v="0"/>
  </r>
  <r>
    <n v="3000000853"/>
    <d v="2025-02-19T00:00:00"/>
    <n v="123654020"/>
    <s v="EDET S.A. SAN MIGUEL DE TUCUMAN 14"/>
    <x v="108"/>
    <n v="123654020"/>
    <x v="26"/>
    <x v="1"/>
    <s v="pagado"/>
    <s v="pagado"/>
    <x v="0"/>
    <x v="0"/>
  </r>
  <r>
    <n v="3000000929"/>
    <d v="2025-02-25T00:00:00"/>
    <n v="83201230"/>
    <s v="EDET S.A. SAN MIGUEL DE TUCUMAN 14"/>
    <x v="109"/>
    <n v="83201230"/>
    <x v="27"/>
    <x v="1"/>
    <s v="pagado"/>
    <s v="pagado"/>
    <x v="0"/>
    <x v="0"/>
  </r>
  <r>
    <n v="3000000967"/>
    <d v="2025-02-26T00:00:00"/>
    <n v="12000000"/>
    <s v="BONSUR SA CAPITAL FEDERAL 00"/>
    <x v="110"/>
    <n v="12000000"/>
    <x v="28"/>
    <x v="1"/>
    <s v="pagado"/>
    <s v="pagado"/>
    <x v="0"/>
    <x v="0"/>
  </r>
  <r>
    <n v="3000000967"/>
    <d v="2025-02-26T00:00:00"/>
    <n v="12523367.92"/>
    <s v="BONSUR SA CAPITAL FEDERAL 00"/>
    <x v="111"/>
    <n v="12523367.92"/>
    <x v="29"/>
    <x v="1"/>
    <s v="pagado"/>
    <s v="pagado"/>
    <x v="0"/>
    <x v="0"/>
  </r>
  <r>
    <n v="3000000962"/>
    <d v="2025-02-26T00:00:00"/>
    <n v="5347944"/>
    <s v="JACQUET NORBERTO SALVADOR SAN JOSE 05"/>
    <x v="112"/>
    <n v="5347944"/>
    <x v="28"/>
    <x v="1"/>
    <s v="pagado"/>
    <s v="pagado"/>
    <x v="0"/>
    <x v="0"/>
  </r>
  <r>
    <n v="3000000963"/>
    <d v="2025-02-26T00:00:00"/>
    <n v="5361552"/>
    <s v="RL SOLUCIONES S. A. S. SAN MIGUEL DE TUCUMAN 14"/>
    <x v="113"/>
    <n v="5361552"/>
    <x v="28"/>
    <x v="1"/>
    <s v="pagado"/>
    <s v="pagado"/>
    <x v="0"/>
    <x v="0"/>
  </r>
  <r>
    <n v="3000000964"/>
    <d v="2025-02-26T00:00:00"/>
    <n v="9020299.0899999999"/>
    <s v="VILLAGRA VELEZ ROQUE RICARDO SAN MIGUEL DE TUCUMAN 14"/>
    <x v="114"/>
    <n v="9020299.0899999999"/>
    <x v="28"/>
    <x v="1"/>
    <s v="pagado"/>
    <s v="pagado"/>
    <x v="0"/>
    <x v="0"/>
  </r>
  <r>
    <n v="3000000965"/>
    <d v="2025-02-26T00:00:00"/>
    <n v="10764682.609999999"/>
    <s v="MAC DONALD MIGUEL ALEJANDRO BANDA DEL RIO SALI 14"/>
    <x v="115"/>
    <n v="10764682.609999999"/>
    <x v="28"/>
    <x v="1"/>
    <s v="pagado"/>
    <s v="pagado"/>
    <x v="0"/>
    <x v="0"/>
  </r>
  <r>
    <n v="3000000966"/>
    <d v="2025-02-26T00:00:00"/>
    <n v="9190143.6500000004"/>
    <s v="CAPETTA ANTONELLA ANAHI SAN MIGUEL DE TUCUMAN 14"/>
    <x v="116"/>
    <n v="9190143.6500000004"/>
    <x v="28"/>
    <x v="1"/>
    <s v="pagado"/>
    <s v="pagado"/>
    <x v="0"/>
    <x v="0"/>
  </r>
  <r>
    <n v="3000001037"/>
    <d v="2025-03-05T00:00:00"/>
    <n v="10000000"/>
    <s v="JACQUET NORBERTO SALVADOR SAN JOSE 05"/>
    <x v="117"/>
    <n v="10000000"/>
    <x v="30"/>
    <x v="0"/>
    <s v="pagado"/>
    <s v="pagado"/>
    <x v="0"/>
    <x v="0"/>
  </r>
  <r>
    <n v="3000001037"/>
    <d v="2025-03-05T00:00:00"/>
    <n v="8039516.3700000001"/>
    <s v="JACQUET NORBERTO SALVADOR SAN JOSE 05"/>
    <x v="118"/>
    <n v="8039516.3700000001"/>
    <x v="31"/>
    <x v="0"/>
    <s v="pagado"/>
    <s v="pagado"/>
    <x v="0"/>
    <x v="0"/>
  </r>
  <r>
    <n v="3000001032"/>
    <d v="2025-03-05T00:00:00"/>
    <n v="3663483.75"/>
    <s v="Cia. Azucarera Los Balcanes S.Ingenio La Florida 14"/>
    <x v="119"/>
    <n v="3663483.75"/>
    <x v="30"/>
    <x v="0"/>
    <s v="pagado"/>
    <s v="pagado"/>
    <x v="0"/>
    <x v="0"/>
  </r>
  <r>
    <n v="3000001033"/>
    <d v="2025-03-05T00:00:00"/>
    <n v="13440767.92"/>
    <s v="FLETES Y SERVICIOS PUJATO S.A PUJATO 12"/>
    <x v="120"/>
    <n v="13440767.92"/>
    <x v="30"/>
    <x v="0"/>
    <s v="pagado"/>
    <s v="pagado"/>
    <x v="0"/>
    <x v="0"/>
  </r>
  <r>
    <n v="3000001034"/>
    <d v="2025-03-05T00:00:00"/>
    <n v="7392417.5300000003"/>
    <s v="CAPETTA ANTONELLA ANAHI SAN MIGUEL DE TUCUMAN 14"/>
    <x v="121"/>
    <n v="7392417.5300000003"/>
    <x v="30"/>
    <x v="0"/>
    <s v="pagado"/>
    <s v="pagado"/>
    <x v="0"/>
    <x v="0"/>
  </r>
  <r>
    <n v="3000001035"/>
    <d v="2025-03-05T00:00:00"/>
    <n v="5382509.2300000004"/>
    <s v="MAC DONALD MIGUEL ALEJANDRO BANDA DEL RIO SALI 14"/>
    <x v="122"/>
    <n v="5382509.2300000004"/>
    <x v="30"/>
    <x v="0"/>
    <s v="pagado"/>
    <s v="pagado"/>
    <x v="0"/>
    <x v="0"/>
  </r>
  <r>
    <n v="3000001036"/>
    <d v="2025-03-05T00:00:00"/>
    <n v="11722771.939999999"/>
    <s v="Terminal 4 S.A. Puerto Nuevo 01"/>
    <x v="123"/>
    <n v="11722771.939999999"/>
    <x v="30"/>
    <x v="0"/>
    <s v="pagado"/>
    <s v="pagado"/>
    <x v="0"/>
    <x v="0"/>
  </r>
  <r>
    <n v="3000001038"/>
    <d v="2025-03-05T00:00:00"/>
    <n v="5771942.46"/>
    <s v="Dsv Air &amp; Sea SA BUENOS AIRES 01"/>
    <x v="124"/>
    <n v="5771942.46"/>
    <x v="30"/>
    <x v="0"/>
    <s v="pagado"/>
    <s v="pagado"/>
    <x v="0"/>
    <x v="0"/>
  </r>
  <r>
    <n v="3000001039"/>
    <d v="2025-03-05T00:00:00"/>
    <n v="9623461.2400000002"/>
    <s v="CATALANA DE SERVICIOS SRL YERBA BUENA 14"/>
    <x v="125"/>
    <n v="9623461.2400000002"/>
    <x v="30"/>
    <x v="0"/>
    <s v="pagado"/>
    <s v="pagado"/>
    <x v="0"/>
    <x v="0"/>
  </r>
  <r>
    <n v="3000001040"/>
    <d v="2025-03-05T00:00:00"/>
    <n v="3167373.04"/>
    <s v="AGROPECUARIA MUNDO NUEVO SRL SAN PABLO 14"/>
    <x v="126"/>
    <n v="3167373.04"/>
    <x v="30"/>
    <x v="0"/>
    <s v="pagado"/>
    <s v="pagado"/>
    <x v="0"/>
    <x v="0"/>
  </r>
  <r>
    <n v="3000001041"/>
    <d v="2025-03-05T00:00:00"/>
    <n v="8083476.8899999997"/>
    <s v="ROMERO SERVICIOS S. A. S. ALPACHIRI 14"/>
    <x v="127"/>
    <n v="8083476.8899999997"/>
    <x v="30"/>
    <x v="0"/>
    <s v="pagado"/>
    <s v="pagado"/>
    <x v="0"/>
    <x v="0"/>
  </r>
  <r>
    <n v="3000001042"/>
    <d v="2025-03-05T00:00:00"/>
    <n v="14589841.32"/>
    <s v="Consultoria en Tecnologia de IBUENOS AIRES 00"/>
    <x v="128"/>
    <n v="14589841.32"/>
    <x v="31"/>
    <x v="0"/>
    <s v="pagado"/>
    <s v="pagado"/>
    <x v="0"/>
    <x v="0"/>
  </r>
  <r>
    <n v="3000001043"/>
    <d v="2025-03-05T00:00:00"/>
    <n v="4798943.4000000004"/>
    <s v="SEPULVEDA MONTAJES S.R.L. SAN ISIDRO DE LULES 14"/>
    <x v="129"/>
    <n v="4798943.4000000004"/>
    <x v="30"/>
    <x v="0"/>
    <s v="pagado"/>
    <s v="pagado"/>
    <x v="0"/>
    <x v="0"/>
  </r>
  <r>
    <n v="3000001044"/>
    <d v="2025-03-05T00:00:00"/>
    <n v="4287715.08"/>
    <s v="VISMA ARGENTINA SA CAPITAL FEDERAL 14"/>
    <x v="130"/>
    <n v="4287715.08"/>
    <x v="30"/>
    <x v="0"/>
    <s v="pagado"/>
    <s v="pagado"/>
    <x v="0"/>
    <x v="0"/>
  </r>
  <r>
    <n v="3000001169"/>
    <d v="2025-03-11T00:00:00"/>
    <n v="15000000"/>
    <s v="Jeblab S.R.L. YERBA BUENA 14"/>
    <x v="131"/>
    <n v="15000000"/>
    <x v="32"/>
    <x v="1"/>
    <s v="pagado"/>
    <s v="pagado"/>
    <x v="0"/>
    <x v="0"/>
  </r>
  <r>
    <n v="3000001169"/>
    <d v="2025-03-11T00:00:00"/>
    <n v="14900843.4"/>
    <s v="Jeblab S.R.L. YERBA BUENA 14"/>
    <x v="132"/>
    <n v="14900843.4"/>
    <x v="33"/>
    <x v="1"/>
    <s v="pagado"/>
    <s v="pagado"/>
    <x v="0"/>
    <x v="0"/>
  </r>
  <r>
    <n v="3000001168"/>
    <d v="2025-03-11T00:00:00"/>
    <n v="7563406.8799999999"/>
    <s v="Marchese Grandi Meson y Asoc SAN MIGUEL DE TUCUMAN 14"/>
    <x v="133"/>
    <n v="7563406.8799999999"/>
    <x v="32"/>
    <x v="1"/>
    <s v="pagado"/>
    <s v="pagado"/>
    <x v="0"/>
    <x v="0"/>
  </r>
  <r>
    <n v="3000001259"/>
    <d v="2025-03-17T00:00:00"/>
    <n v="47000000"/>
    <s v="TRUSARELLI CARLOS ALBERTO BANDA DEL RIO SALI 14"/>
    <x v="134"/>
    <n v="47000000"/>
    <x v="34"/>
    <x v="0"/>
    <s v="pagado"/>
    <s v="pagado"/>
    <x v="0"/>
    <x v="0"/>
  </r>
  <r>
    <n v="3000001259"/>
    <d v="2025-03-17T00:00:00"/>
    <n v="34077795.270000003"/>
    <s v="TRUSARELLI CARLOS ALBERTO BANDA DEL RIO SALI 14"/>
    <x v="135"/>
    <n v="34077795.270000003"/>
    <x v="35"/>
    <x v="0"/>
    <s v="pagado"/>
    <s v="pagado"/>
    <x v="0"/>
    <x v="0"/>
  </r>
  <r>
    <n v="3000001256"/>
    <d v="2025-03-17T00:00:00"/>
    <n v="4287667.2699999996"/>
    <s v="GCAMPO MAQUINARIAS S.R.L LAS TALITAS 14"/>
    <x v="136"/>
    <n v="4287667.2699999996"/>
    <x v="34"/>
    <x v="0"/>
    <s v="pagado"/>
    <s v="pagado"/>
    <x v="0"/>
    <x v="0"/>
  </r>
  <r>
    <n v="3000001257"/>
    <d v="2025-03-17T00:00:00"/>
    <n v="12403793.92"/>
    <s v="CAMPOAGRO SRL YERBA BUENA 14"/>
    <x v="137"/>
    <n v="12403793.92"/>
    <x v="34"/>
    <x v="0"/>
    <s v="pagado"/>
    <s v="pagado"/>
    <x v="0"/>
    <x v="0"/>
  </r>
  <r>
    <n v="3000001258"/>
    <d v="2025-03-17T00:00:00"/>
    <n v="5500449.4199999999"/>
    <s v="Servicom Group S.A. CAPITAL FEDERAL 00"/>
    <x v="138"/>
    <n v="5500449.4199999999"/>
    <x v="34"/>
    <x v="0"/>
    <s v="pagado"/>
    <s v="pagado"/>
    <x v="0"/>
    <x v="0"/>
  </r>
  <r>
    <n v="3000001277"/>
    <d v="2025-03-18T00:00:00"/>
    <n v="24000000"/>
    <s v="MG SERVICIOS AGROPECUARIOS SASTAFI VIEJO 14"/>
    <x v="139"/>
    <n v="24000000"/>
    <x v="36"/>
    <x v="0"/>
    <s v="pagado"/>
    <s v="pagado"/>
    <x v="0"/>
    <x v="0"/>
  </r>
  <r>
    <n v="3000001277"/>
    <d v="2025-03-18T00:00:00"/>
    <n v="6790472"/>
    <s v="MG SERVICIOS AGROPECUARIOS SASTAFI VIEJO 14"/>
    <x v="140"/>
    <n v="6790472"/>
    <x v="36"/>
    <x v="0"/>
    <s v="pagado"/>
    <s v="pagado"/>
    <x v="0"/>
    <x v="0"/>
  </r>
  <r>
    <n v="3000001277"/>
    <d v="2025-03-18T00:00:00"/>
    <n v="4304616"/>
    <s v="MG SERVICIOS AGROPECUARIOS SASTAFI VIEJO 14"/>
    <x v="141"/>
    <n v="4304616"/>
    <x v="36"/>
    <x v="0"/>
    <s v="pagado"/>
    <s v="pagado"/>
    <x v="0"/>
    <x v="0"/>
  </r>
  <r>
    <n v="3000001277"/>
    <d v="2025-03-18T00:00:00"/>
    <n v="2942799"/>
    <s v="MG SERVICIOS AGROPECUARIOS SASTAFI VIEJO 14"/>
    <x v="142"/>
    <n v="2942799"/>
    <x v="36"/>
    <x v="0"/>
    <s v="pagado"/>
    <s v="pagado"/>
    <x v="0"/>
    <x v="0"/>
  </r>
  <r>
    <n v="3000001277"/>
    <d v="2025-03-18T00:00:00"/>
    <n v="2710453"/>
    <s v="MG SERVICIOS AGROPECUARIOS SASTAFI VIEJO 14"/>
    <x v="143"/>
    <n v="2710453"/>
    <x v="36"/>
    <x v="0"/>
    <s v="pagado"/>
    <s v="pagado"/>
    <x v="0"/>
    <x v="0"/>
  </r>
  <r>
    <n v="3000001277"/>
    <d v="2025-03-18T00:00:00"/>
    <n v="2688000"/>
    <s v="MG SERVICIOS AGROPECUARIOS SASTAFI VIEJO 14"/>
    <x v="144"/>
    <n v="2688000"/>
    <x v="36"/>
    <x v="0"/>
    <s v="pagado"/>
    <s v="pagado"/>
    <x v="0"/>
    <x v="0"/>
  </r>
  <r>
    <n v="3000001277"/>
    <d v="2025-03-18T00:00:00"/>
    <n v="2151780"/>
    <s v="MG SERVICIOS AGROPECUARIOS SASTAFI VIEJO 14"/>
    <x v="145"/>
    <n v="2151780"/>
    <x v="36"/>
    <x v="0"/>
    <s v="pagado"/>
    <s v="pagado"/>
    <x v="0"/>
    <x v="0"/>
  </r>
  <r>
    <n v="3000001277"/>
    <d v="2025-03-18T00:00:00"/>
    <n v="1500402"/>
    <s v="MG SERVICIOS AGROPECUARIOS SASTAFI VIEJO 14"/>
    <x v="146"/>
    <n v="1500402"/>
    <x v="36"/>
    <x v="0"/>
    <s v="pagado"/>
    <s v="pagado"/>
    <x v="0"/>
    <x v="0"/>
  </r>
  <r>
    <n v="3000001277"/>
    <d v="2025-03-18T00:00:00"/>
    <n v="1370043"/>
    <s v="MG SERVICIOS AGROPECUARIOS SASTAFI VIEJO 14"/>
    <x v="147"/>
    <n v="1370043"/>
    <x v="36"/>
    <x v="0"/>
    <s v="pagado"/>
    <s v="pagado"/>
    <x v="0"/>
    <x v="0"/>
  </r>
  <r>
    <n v="3000001280"/>
    <d v="2025-03-18T00:00:00"/>
    <n v="10000000"/>
    <s v="Verde y Sol S.R.L. SAN MIGUEL DE TUCUMAN 14"/>
    <x v="148"/>
    <n v="10000000"/>
    <x v="37"/>
    <x v="0"/>
    <s v="pagado"/>
    <s v="pagado"/>
    <x v="0"/>
    <x v="0"/>
  </r>
  <r>
    <n v="3000001280"/>
    <d v="2025-03-18T00:00:00"/>
    <n v="10000000"/>
    <s v="Verde y Sol S.R.L. SAN MIGUEL DE TUCUMAN 14"/>
    <x v="149"/>
    <n v="10000000"/>
    <x v="37"/>
    <x v="0"/>
    <s v="pagado"/>
    <s v="pagado"/>
    <x v="0"/>
    <x v="0"/>
  </r>
  <r>
    <n v="3000001280"/>
    <d v="2025-03-18T00:00:00"/>
    <n v="10000000"/>
    <s v="Verde y Sol S.R.L. SAN MIGUEL DE TUCUMAN 14"/>
    <x v="150"/>
    <n v="10000000"/>
    <x v="37"/>
    <x v="0"/>
    <s v="pagado"/>
    <s v="pagado"/>
    <x v="0"/>
    <x v="0"/>
  </r>
  <r>
    <n v="3000001280"/>
    <d v="2025-03-18T00:00:00"/>
    <n v="7280559.9900000002"/>
    <s v="Verde y Sol S.R.L. SAN MIGUEL DE TUCUMAN 14"/>
    <x v="151"/>
    <n v="7280559.9900000002"/>
    <x v="37"/>
    <x v="0"/>
    <s v="pagado"/>
    <s v="pagado"/>
    <x v="0"/>
    <x v="0"/>
  </r>
  <r>
    <n v="3000001278"/>
    <d v="2025-03-18T00:00:00"/>
    <n v="34218093.759999998"/>
    <s v="ROMERO SERVICIOS S. A. S. ALPACHIRI 14"/>
    <x v="152"/>
    <n v="34218093.759999998"/>
    <x v="38"/>
    <x v="0"/>
    <s v="pagado"/>
    <s v="pagado"/>
    <x v="0"/>
    <x v="0"/>
  </r>
  <r>
    <n v="3000001282"/>
    <d v="2025-03-18T00:00:00"/>
    <n v="39000675.039999999"/>
    <s v="AGROPECUARIA MUNDO NUEVO SRL SAN PABLO 14"/>
    <x v="153"/>
    <n v="39000675.039999999"/>
    <x v="37"/>
    <x v="0"/>
    <s v="pagado"/>
    <s v="pagado"/>
    <x v="0"/>
    <x v="0"/>
  </r>
  <r>
    <n v="3000001283"/>
    <d v="2025-03-18T00:00:00"/>
    <n v="56110224.469999999"/>
    <s v="M. AMUCHASTEGUI S. R. L. YERBA BUENA 14"/>
    <x v="154"/>
    <n v="56110224.469999999"/>
    <x v="37"/>
    <x v="0"/>
    <s v="pagado"/>
    <s v="pagado"/>
    <x v="0"/>
    <x v="0"/>
  </r>
  <r>
    <n v="3000001284"/>
    <d v="2025-03-18T00:00:00"/>
    <n v="21569443.960000001"/>
    <s v="PAMPLONA SRL SAN MIGUEL DE TUCUMAN 14"/>
    <x v="155"/>
    <n v="21569443.960000001"/>
    <x v="37"/>
    <x v="0"/>
    <s v="pagado"/>
    <s v="pagado"/>
    <x v="0"/>
    <x v="0"/>
  </r>
  <r>
    <n v="3000001261"/>
    <d v="2025-03-17T00:00:00"/>
    <n v="116986990"/>
    <s v="EDET S.A. SAN MIGUEL DE TUCUMAN 14"/>
    <x v="156"/>
    <n v="116986990"/>
    <x v="39"/>
    <x v="1"/>
    <s v="pagado"/>
    <s v="pagado"/>
    <x v="0"/>
    <x v="0"/>
  </r>
  <r>
    <n v="3000001341"/>
    <d v="2025-03-20T00:00:00"/>
    <n v="5411260"/>
    <s v="EDET S.A. SAN MIGUEL DE TUCUMAN 14"/>
    <x v="157"/>
    <n v="5411260"/>
    <x v="40"/>
    <x v="1"/>
    <s v="pagado"/>
    <s v="pagado"/>
    <x v="0"/>
    <x v="0"/>
  </r>
  <r>
    <n v="3000001341"/>
    <d v="2025-03-21T00:00:00"/>
    <n v="94737770"/>
    <s v="EDET S.A. SAN MIGUEL DE TUCUMAN 14"/>
    <x v="158"/>
    <n v="94737770"/>
    <x v="37"/>
    <x v="1"/>
    <s v="pagado"/>
    <s v="pagado"/>
    <x v="0"/>
    <x v="0"/>
  </r>
  <r>
    <n v="3000001388"/>
    <d v="2025-03-25T00:00:00"/>
    <n v="15000000"/>
    <s v="SMART SEGURIDAD SA YERBA BUENA 14"/>
    <x v="159"/>
    <n v="15000000"/>
    <x v="41"/>
    <x v="0"/>
    <s v="pagado"/>
    <s v="pagado"/>
    <x v="0"/>
    <x v="0"/>
  </r>
  <r>
    <n v="3000001388"/>
    <d v="2025-03-25T00:00:00"/>
    <n v="17400526.27"/>
    <s v="SMART SEGURIDAD SA YERBA BUENA 14"/>
    <x v="160"/>
    <n v="17400526.27"/>
    <x v="42"/>
    <x v="0"/>
    <s v="pagado"/>
    <s v="pagado"/>
    <x v="0"/>
    <x v="0"/>
  </r>
  <r>
    <n v="3000001389"/>
    <d v="2025-03-25T00:00:00"/>
    <n v="15000000"/>
    <s v="MAINCAL S.A ROSARIO SUD 12"/>
    <x v="161"/>
    <n v="15000000"/>
    <x v="41"/>
    <x v="0"/>
    <s v="pagado"/>
    <s v="pagado"/>
    <x v="0"/>
    <x v="0"/>
  </r>
  <r>
    <n v="3000001389"/>
    <d v="2025-03-25T00:00:00"/>
    <n v="16657718.85"/>
    <s v="MAINCAL S.A ROSARIO SUD 12"/>
    <x v="162"/>
    <n v="16657718.85"/>
    <x v="42"/>
    <x v="0"/>
    <s v="pagado"/>
    <s v="pagado"/>
    <x v="0"/>
    <x v="0"/>
  </r>
  <r>
    <n v="3000001390"/>
    <d v="2025-03-25T00:00:00"/>
    <n v="23000000"/>
    <s v="AGROPECUARIA MUNDO NUEVO SRL SAN PABLO 14"/>
    <x v="163"/>
    <n v="23000000"/>
    <x v="41"/>
    <x v="0"/>
    <s v="pagado"/>
    <s v="pagado"/>
    <x v="0"/>
    <x v="0"/>
  </r>
  <r>
    <n v="3000001390"/>
    <d v="2025-03-25T00:00:00"/>
    <n v="22005290.809999999"/>
    <s v="AGROPECUARIA MUNDO NUEVO SRL SAN PABLO 14"/>
    <x v="164"/>
    <n v="22005290.809999999"/>
    <x v="42"/>
    <x v="0"/>
    <s v="pagado"/>
    <s v="pagado"/>
    <x v="0"/>
    <x v="0"/>
  </r>
  <r>
    <n v="3000001399"/>
    <d v="2025-03-25T00:00:00"/>
    <n v="10000000"/>
    <s v="BONSUR SA CAPITAL FEDERAL 00"/>
    <x v="165"/>
    <n v="10000000"/>
    <x v="41"/>
    <x v="0"/>
    <s v="pagado"/>
    <s v="pagado"/>
    <x v="0"/>
    <x v="0"/>
  </r>
  <r>
    <n v="3000001399"/>
    <d v="2025-03-25T00:00:00"/>
    <n v="11222167.92"/>
    <s v="BONSUR SA CAPITAL FEDERAL 00"/>
    <x v="166"/>
    <n v="11222167.92"/>
    <x v="42"/>
    <x v="0"/>
    <s v="pagado"/>
    <s v="pagado"/>
    <x v="0"/>
    <x v="0"/>
  </r>
  <r>
    <n v="3000001387"/>
    <d v="2025-03-25T00:00:00"/>
    <n v="14944109.720000001"/>
    <s v="NOBEN SRL SAN MIGUEL DE TUCUMAN 14"/>
    <x v="167"/>
    <n v="14944109.720000001"/>
    <x v="41"/>
    <x v="0"/>
    <s v="pagado"/>
    <s v="pagado"/>
    <x v="0"/>
    <x v="0"/>
  </r>
  <r>
    <n v="3000001391"/>
    <d v="2025-03-25T00:00:00"/>
    <n v="5568020.6299999999"/>
    <s v="ROMERO SERVICIOS S. A. S. ALPACHIRI 14"/>
    <x v="168"/>
    <n v="5568020.6299999999"/>
    <x v="41"/>
    <x v="0"/>
    <s v="pagado"/>
    <s v="pagado"/>
    <x v="0"/>
    <x v="0"/>
  </r>
  <r>
    <n v="3000001392"/>
    <d v="2025-03-25T00:00:00"/>
    <n v="2263591.1"/>
    <s v="MG SERVICIOS AGROPECUARIOS SASTAFI VIEJO 14"/>
    <x v="169"/>
    <n v="2263591.1"/>
    <x v="41"/>
    <x v="0"/>
    <s v="pagado"/>
    <s v="pagado"/>
    <x v="0"/>
    <x v="0"/>
  </r>
  <r>
    <n v="3000001393"/>
    <d v="2025-03-25T00:00:00"/>
    <n v="6752691.5999999996"/>
    <s v="TEKNOS TECHNOLOGY GROUP SA CAPITAL FEDERAL 00"/>
    <x v="170"/>
    <n v="6752691.5999999996"/>
    <x v="41"/>
    <x v="0"/>
    <s v="pagado"/>
    <s v="pagado"/>
    <x v="0"/>
    <x v="0"/>
  </r>
  <r>
    <n v="3000001394"/>
    <d v="2025-03-25T00:00:00"/>
    <n v="5423997.9699999997"/>
    <s v="LOGISTICA INTERNACIONAL S.A SAN MIGUEL DE TUCUMAN 14"/>
    <x v="171"/>
    <n v="5423997.9699999997"/>
    <x v="41"/>
    <x v="0"/>
    <s v="pagado"/>
    <s v="pagado"/>
    <x v="0"/>
    <x v="0"/>
  </r>
  <r>
    <n v="3000001395"/>
    <d v="2025-03-25T00:00:00"/>
    <n v="9994718.9800000004"/>
    <s v="Transportes La Sevillanita S.RALDERETES 14"/>
    <x v="172"/>
    <n v="9994718.9800000004"/>
    <x v="41"/>
    <x v="0"/>
    <s v="pagado"/>
    <s v="pagado"/>
    <x v="0"/>
    <x v="0"/>
  </r>
  <r>
    <n v="3000001396"/>
    <d v="2025-03-25T00:00:00"/>
    <n v="3615552.18"/>
    <s v="BUENOS AIRES COMEX S.R.L. BANFIELD 14"/>
    <x v="173"/>
    <n v="3615552.18"/>
    <x v="41"/>
    <x v="0"/>
    <s v="pagado"/>
    <s v="pagado"/>
    <x v="0"/>
    <x v="0"/>
  </r>
  <r>
    <n v="3000001397"/>
    <d v="2025-03-25T00:00:00"/>
    <n v="5901818.9199999999"/>
    <s v="TRANSPORTE LA TRADICION SRL ALDERETES 14"/>
    <x v="174"/>
    <n v="5901818.9199999999"/>
    <x v="41"/>
    <x v="0"/>
    <s v="pagado"/>
    <s v="pagado"/>
    <x v="0"/>
    <x v="0"/>
  </r>
  <r>
    <n v="3000001398"/>
    <d v="2025-03-25T00:00:00"/>
    <n v="3565296"/>
    <s v="JACQUET NORBERTO SALVADOR SAN JOSE 05"/>
    <x v="175"/>
    <n v="3565296"/>
    <x v="41"/>
    <x v="0"/>
    <s v="pagado"/>
    <s v="pagado"/>
    <x v="0"/>
    <x v="0"/>
  </r>
  <r>
    <n v="3000001400"/>
    <d v="2025-03-25T00:00:00"/>
    <n v="9183173.0800000001"/>
    <s v="Terminal 4 S.A. Puerto Nuevo 01"/>
    <x v="176"/>
    <n v="9183173.0800000001"/>
    <x v="41"/>
    <x v="0"/>
    <s v="pagado"/>
    <s v="pagado"/>
    <x v="0"/>
    <x v="0"/>
  </r>
  <r>
    <n v="3000001401"/>
    <d v="2025-03-25T00:00:00"/>
    <n v="5393304"/>
    <s v="RL SOLUCIONES S. A. S. SAN MIGUEL DE TUCUMAN 14"/>
    <x v="177"/>
    <n v="5393304"/>
    <x v="41"/>
    <x v="0"/>
    <s v="pagado"/>
    <s v="pagado"/>
    <x v="0"/>
    <x v="0"/>
  </r>
  <r>
    <n v="3000001402"/>
    <d v="2025-03-25T00:00:00"/>
    <n v="15528177.1"/>
    <s v="CAPETTA ANTONELLA ANAHI SAN MIGUEL DE TUCUMAN 14"/>
    <x v="178"/>
    <n v="15528177.1"/>
    <x v="41"/>
    <x v="0"/>
    <s v="pagado"/>
    <s v="pagado"/>
    <x v="0"/>
    <x v="0"/>
  </r>
  <r>
    <n v="3000001403"/>
    <d v="2025-03-25T00:00:00"/>
    <n v="3588227.54"/>
    <s v="MAC DONALD MIGUEL ALEJANDRO BANDA DEL RIO SALI 14"/>
    <x v="179"/>
    <n v="3588227.54"/>
    <x v="41"/>
    <x v="0"/>
    <s v="pagado"/>
    <s v="pagado"/>
    <x v="0"/>
    <x v="0"/>
  </r>
  <r>
    <n v="3000001472"/>
    <d v="2025-03-27T00:00:00"/>
    <n v="484544.99"/>
    <s v=". Tucumán"/>
    <x v="180"/>
    <n v="484544.99"/>
    <x v="37"/>
    <x v="1"/>
    <s v="pagado"/>
    <s v="pagado"/>
    <x v="0"/>
    <x v="0"/>
  </r>
  <r>
    <n v="3000001507"/>
    <d v="2025-03-31T00:00:00"/>
    <n v="3000860.08"/>
    <s v="SABIKA SRL CIUDAD AUTONOMA BUENOS AIRES 00"/>
    <x v="181"/>
    <n v="3000860.08"/>
    <x v="43"/>
    <x v="0"/>
    <s v="pagado"/>
    <s v="pagado"/>
    <x v="0"/>
    <x v="0"/>
  </r>
  <r>
    <n v="3000001508"/>
    <d v="2025-03-31T00:00:00"/>
    <n v="4482479.4000000004"/>
    <s v="MORILLO ANTONIO JOSE EMBARCACION 09"/>
    <x v="182"/>
    <n v="4482479.4000000004"/>
    <x v="43"/>
    <x v="0"/>
    <s v="pagado"/>
    <s v="pagado"/>
    <x v="0"/>
    <x v="0"/>
  </r>
  <r>
    <n v="3000001509"/>
    <d v="2025-03-31T00:00:00"/>
    <n v="3514213.5"/>
    <s v="DECIMA MANUEL ARMANDO SAN MIGUEL DE TUCUMAN 14"/>
    <x v="183"/>
    <n v="3514213.5"/>
    <x v="43"/>
    <x v="0"/>
    <s v="pagado"/>
    <s v="pagado"/>
    <x v="0"/>
    <x v="0"/>
  </r>
  <r>
    <n v="3000001510"/>
    <d v="2025-03-31T00:00:00"/>
    <n v="2614409.79"/>
    <s v="MONTEROS LEMON SAS TAFI VIEJO 14"/>
    <x v="184"/>
    <n v="2614409.79"/>
    <x v="43"/>
    <x v="0"/>
    <s v="pagado"/>
    <s v="pagado"/>
    <x v="0"/>
    <x v="0"/>
  </r>
  <r>
    <n v="3000001511"/>
    <d v="2025-03-31T00:00:00"/>
    <n v="7567193.4000000004"/>
    <s v="SOLUCIONES RANDSTAD S.A ROSARIO 12"/>
    <x v="185"/>
    <n v="7567193.4000000004"/>
    <x v="44"/>
    <x v="0"/>
    <s v="pagado"/>
    <s v="pagado"/>
    <x v="0"/>
    <x v="0"/>
  </r>
  <r>
    <n v="3000001512"/>
    <d v="2025-03-31T00:00:00"/>
    <n v="6615069.0300000003"/>
    <s v="JS NORTE INGENIERIA S.R.L ANDALGALA 02"/>
    <x v="186"/>
    <n v="6615069.0300000003"/>
    <x v="44"/>
    <x v="0"/>
    <s v="pagado"/>
    <s v="pagado"/>
    <x v="0"/>
    <x v="0"/>
  </r>
  <r>
    <n v="3000001513"/>
    <d v="2025-03-31T00:00:00"/>
    <n v="6788075"/>
    <s v="TEKNOS TECHNOLOGY GROUP SA CAPITAL FEDERAL 00"/>
    <x v="187"/>
    <n v="6788075"/>
    <x v="44"/>
    <x v="0"/>
    <s v="pagado"/>
    <s v="pagado"/>
    <x v="0"/>
    <x v="0"/>
  </r>
  <r>
    <n v="3000001514"/>
    <d v="2025-03-31T00:00:00"/>
    <n v="8007068.4000000004"/>
    <s v="GEOTECNOLOGIA S.R.L SAN MIGUEL DE TUCUMAN 14"/>
    <x v="188"/>
    <n v="8007068.4000000004"/>
    <x v="44"/>
    <x v="0"/>
    <s v="pagado"/>
    <s v="pagado"/>
    <x v="0"/>
    <x v="0"/>
  </r>
  <r>
    <n v="3000001561"/>
    <d v="2025-04-03T00:00:00"/>
    <n v="1335665.95"/>
    <s v="Expreso Bisonte S.R.L. BANDA DEL RIO SALI 14"/>
    <x v="189"/>
    <n v="1335665.95"/>
    <x v="45"/>
    <x v="0"/>
    <s v="pagado"/>
    <s v="pagado"/>
    <x v="0"/>
    <x v="0"/>
  </r>
  <r>
    <n v="3000001562"/>
    <d v="2025-04-03T00:00:00"/>
    <n v="12056607.32"/>
    <s v="MAC DONALD MIGUEL ALEJANDRO BANDA DEL RIO SALI 14"/>
    <x v="190"/>
    <n v="12056607.32"/>
    <x v="45"/>
    <x v="0"/>
    <s v="pagado"/>
    <s v="pagado"/>
    <x v="0"/>
    <x v="0"/>
  </r>
  <r>
    <n v="3000001563"/>
    <d v="2025-04-03T00:00:00"/>
    <n v="5064966.97"/>
    <s v="VILLAGRA VELEZ ROQUE RICARDO SAN MIGUEL DE TUCUMAN 14"/>
    <x v="191"/>
    <n v="5064966.97"/>
    <x v="45"/>
    <x v="0"/>
    <s v="pagado"/>
    <s v="pagado"/>
    <x v="0"/>
    <x v="0"/>
  </r>
  <r>
    <n v="3000001536"/>
    <d v="2025-04-03T00:00:00"/>
    <n v="2000000"/>
    <s v=". Tucumán"/>
    <x v="192"/>
    <n v="2000000"/>
    <x v="43"/>
    <x v="1"/>
    <s v="pagado"/>
    <s v="pagado"/>
    <x v="0"/>
    <x v="0"/>
  </r>
  <r>
    <n v="3000001642"/>
    <d v="2025-04-08T00:00:00"/>
    <n v="13000000"/>
    <s v="Verde y Sol S.R.L. SAN MIGUEL DE TUCUMAN 14"/>
    <x v="193"/>
    <n v="13000000"/>
    <x v="46"/>
    <x v="0"/>
    <s v="pagado"/>
    <s v="pagado"/>
    <x v="0"/>
    <x v="0"/>
  </r>
  <r>
    <n v="3000001642"/>
    <d v="2025-04-08T00:00:00"/>
    <n v="13000000"/>
    <s v="Verde y Sol S.R.L. SAN MIGUEL DE TUCUMAN 14"/>
    <x v="194"/>
    <n v="13000000"/>
    <x v="46"/>
    <x v="0"/>
    <s v="pagado"/>
    <s v="pagado"/>
    <x v="0"/>
    <x v="0"/>
  </r>
  <r>
    <n v="3000001642"/>
    <d v="2025-04-08T00:00:00"/>
    <n v="13000000"/>
    <s v="Verde y Sol S.R.L. SAN MIGUEL DE TUCUMAN 14"/>
    <x v="195"/>
    <n v="13000000"/>
    <x v="46"/>
    <x v="0"/>
    <s v="pagado"/>
    <s v="pagado"/>
    <x v="0"/>
    <x v="0"/>
  </r>
  <r>
    <n v="3000001642"/>
    <d v="2025-04-08T00:00:00"/>
    <n v="7582335.4199999999"/>
    <s v="Verde y Sol S.R.L. SAN MIGUEL DE TUCUMAN 14"/>
    <x v="196"/>
    <n v="7582335.4199999999"/>
    <x v="47"/>
    <x v="0"/>
    <s v="pagado"/>
    <s v="pagado"/>
    <x v="0"/>
    <x v="0"/>
  </r>
  <r>
    <n v="3000001644"/>
    <d v="2025-04-08T00:00:00"/>
    <n v="11000000"/>
    <s v="SEGURIDAD OMEGA SRL SAN FERNANDO DEL VALLE DE CATAMARCA 02"/>
    <x v="197"/>
    <n v="11000000"/>
    <x v="46"/>
    <x v="0"/>
    <s v="pagado"/>
    <s v="pagado"/>
    <x v="0"/>
    <x v="0"/>
  </r>
  <r>
    <n v="3000001644"/>
    <d v="2025-04-08T00:00:00"/>
    <n v="11099306.92"/>
    <s v="SEGURIDAD OMEGA SRL SAN FERNANDO DEL VALLE DE CATAMARCA 02"/>
    <x v="198"/>
    <n v="11099306.92"/>
    <x v="47"/>
    <x v="0"/>
    <s v="pagado"/>
    <s v="pagado"/>
    <x v="0"/>
    <x v="0"/>
  </r>
  <r>
    <n v="3000001645"/>
    <d v="2025-04-08T00:00:00"/>
    <n v="20000000"/>
    <s v="M. AMUCHASTEGUI S. R. L. YERBA BUENA 14"/>
    <x v="199"/>
    <n v="20000000"/>
    <x v="46"/>
    <x v="0"/>
    <s v="pagado"/>
    <s v="pagado"/>
    <x v="0"/>
    <x v="0"/>
  </r>
  <r>
    <n v="3000001645"/>
    <d v="2025-04-08T00:00:00"/>
    <n v="19337004.699999999"/>
    <s v="M. AMUCHASTEGUI S. R. L. YERBA BUENA 14"/>
    <x v="200"/>
    <n v="19337004.699999999"/>
    <x v="47"/>
    <x v="0"/>
    <s v="pagado"/>
    <s v="pagado"/>
    <x v="0"/>
    <x v="0"/>
  </r>
  <r>
    <n v="3000001649"/>
    <d v="2025-04-08T00:00:00"/>
    <n v="10000000"/>
    <s v="SMART SEGURIDAD SA YERBA BUENA 14"/>
    <x v="201"/>
    <n v="10000000"/>
    <x v="46"/>
    <x v="0"/>
    <s v="pagado"/>
    <s v="pagado"/>
    <x v="0"/>
    <x v="0"/>
  </r>
  <r>
    <n v="3000001649"/>
    <d v="2025-04-08T00:00:00"/>
    <n v="10252296.890000001"/>
    <s v="SMART SEGURIDAD SA YERBA BUENA 14"/>
    <x v="202"/>
    <n v="10252296.890000001"/>
    <x v="47"/>
    <x v="0"/>
    <s v="pagado"/>
    <s v="pagado"/>
    <x v="0"/>
    <x v="0"/>
  </r>
  <r>
    <n v="3000001654"/>
    <d v="2025-04-08T00:00:00"/>
    <n v="21000000"/>
    <s v="MERCATOR TRANSPORT ARGENTINA SBUENOS AIRES 01"/>
    <x v="203"/>
    <n v="21000000"/>
    <x v="47"/>
    <x v="0"/>
    <s v="pagado"/>
    <s v="pagado"/>
    <x v="0"/>
    <x v="0"/>
  </r>
  <r>
    <n v="3000001654"/>
    <d v="2025-04-08T00:00:00"/>
    <n v="21089967.289999999"/>
    <s v="MERCATOR TRANSPORT ARGENTINA SBUENOS AIRES 01"/>
    <x v="204"/>
    <n v="21089967.289999999"/>
    <x v="48"/>
    <x v="0"/>
    <s v="pagado"/>
    <s v="pagado"/>
    <x v="0"/>
    <x v="0"/>
  </r>
  <r>
    <n v="3000001655"/>
    <d v="2025-04-08T00:00:00"/>
    <n v="11000000"/>
    <s v="BUENOS AIRES COMEX S.R.L. BANFIELD 14"/>
    <x v="205"/>
    <n v="11000000"/>
    <x v="47"/>
    <x v="0"/>
    <s v="pagado"/>
    <s v="pagado"/>
    <x v="0"/>
    <x v="0"/>
  </r>
  <r>
    <n v="3000001655"/>
    <d v="2025-04-08T00:00:00"/>
    <n v="11031415.73"/>
    <s v="BUENOS AIRES COMEX S.R.L. BANFIELD 14"/>
    <x v="206"/>
    <n v="11031415.73"/>
    <x v="48"/>
    <x v="0"/>
    <s v="pagado"/>
    <s v="pagado"/>
    <x v="0"/>
    <x v="0"/>
  </r>
  <r>
    <n v="3000001640"/>
    <d v="2025-04-08T00:00:00"/>
    <n v="5779626.3899999997"/>
    <s v="RODRIGO HEREDIA PUIG LASTENIA 14"/>
    <x v="207"/>
    <n v="5779626.3899999997"/>
    <x v="46"/>
    <x v="0"/>
    <s v="pagado"/>
    <s v="pagado"/>
    <x v="0"/>
    <x v="0"/>
  </r>
  <r>
    <n v="3000001641"/>
    <d v="2025-04-08T00:00:00"/>
    <n v="27631343.399999999"/>
    <s v="SAUCE HUACHO SERVICIOS S.R.L MONTEROS 14"/>
    <x v="208"/>
    <n v="27631343.399999999"/>
    <x v="47"/>
    <x v="0"/>
    <s v="pagado"/>
    <s v="pagado"/>
    <x v="0"/>
    <x v="0"/>
  </r>
  <r>
    <n v="3000001643"/>
    <d v="2025-04-08T00:00:00"/>
    <n v="3689625.6000000001"/>
    <s v="J. SLEIMAN S.R.L SAN MIGUEL DE TUCUMAN 14"/>
    <x v="209"/>
    <n v="3689625.6000000001"/>
    <x v="46"/>
    <x v="0"/>
    <s v="pagado"/>
    <s v="pagado"/>
    <x v="0"/>
    <x v="0"/>
  </r>
  <r>
    <n v="3000001646"/>
    <d v="2025-04-08T00:00:00"/>
    <n v="3022076.78"/>
    <s v="Servicom Group S.A. CAPITAL FEDERAL 00"/>
    <x v="210"/>
    <n v="3022076.78"/>
    <x v="46"/>
    <x v="0"/>
    <s v="pagado"/>
    <s v="pagado"/>
    <x v="0"/>
    <x v="0"/>
  </r>
  <r>
    <n v="3000001647"/>
    <d v="2025-04-08T00:00:00"/>
    <n v="4375526.1900000004"/>
    <s v="PETROARSA S.A SAN MIGUEL DE TUCUMAN 14"/>
    <x v="211"/>
    <n v="4375526.1900000004"/>
    <x v="46"/>
    <x v="0"/>
    <s v="pagado"/>
    <s v="pagado"/>
    <x v="0"/>
    <x v="0"/>
  </r>
  <r>
    <n v="3000001648"/>
    <d v="2025-04-08T00:00:00"/>
    <n v="5222771.3"/>
    <s v="CAMPOAGRO SRL YERBA BUENA 14"/>
    <x v="212"/>
    <n v="5222771.3"/>
    <x v="46"/>
    <x v="0"/>
    <s v="pagado"/>
    <s v="pagado"/>
    <x v="0"/>
    <x v="0"/>
  </r>
  <r>
    <n v="3000001650"/>
    <d v="2025-04-08T00:00:00"/>
    <n v="7986987.4400000004"/>
    <s v="JACQUET NORBERTO SALVADOR SAN JOSE 05"/>
    <x v="213"/>
    <n v="7986987.4400000004"/>
    <x v="47"/>
    <x v="0"/>
    <s v="pagado"/>
    <s v="pagado"/>
    <x v="0"/>
    <x v="0"/>
  </r>
  <r>
    <n v="3000001651"/>
    <d v="2025-04-08T00:00:00"/>
    <n v="3700335.92"/>
    <s v="RL SOLUCIONES S. A. S. SAN MIGUEL DE TUCUMAN 14"/>
    <x v="214"/>
    <n v="3700335.92"/>
    <x v="47"/>
    <x v="0"/>
    <s v="pagado"/>
    <s v="pagado"/>
    <x v="0"/>
    <x v="0"/>
  </r>
  <r>
    <n v="3000001652"/>
    <d v="2025-04-08T00:00:00"/>
    <n v="18227468.949999999"/>
    <s v="CAPETTA ANTONELLA ANAHI SAN MIGUEL DE TUCUMAN 14"/>
    <x v="215"/>
    <n v="18227468.949999999"/>
    <x v="47"/>
    <x v="0"/>
    <s v="pagado"/>
    <s v="pagado"/>
    <x v="0"/>
    <x v="0"/>
  </r>
  <r>
    <n v="3000001653"/>
    <d v="2025-04-08T00:00:00"/>
    <n v="7235922.6500000004"/>
    <s v="CEMEVA SAS YERBA BUENA 14"/>
    <x v="216"/>
    <n v="7235922.6500000004"/>
    <x v="47"/>
    <x v="0"/>
    <s v="pagado"/>
    <s v="pagado"/>
    <x v="0"/>
    <x v="0"/>
  </r>
  <r>
    <n v="3000001656"/>
    <d v="2025-04-08T00:00:00"/>
    <n v="8567264.0299999993"/>
    <s v="LATCOMEX SA CAPITAL FEDERAL 00"/>
    <x v="217"/>
    <n v="8567264.0299999993"/>
    <x v="47"/>
    <x v="0"/>
    <s v="pagado"/>
    <s v="pagado"/>
    <x v="0"/>
    <x v="0"/>
  </r>
  <r>
    <n v="3000001687"/>
    <d v="2025-04-09T00:00:00"/>
    <n v="3888830"/>
    <s v="MG SERVICIOS AGROPECUARIOS SASTAFI VIEJO 14"/>
    <x v="218"/>
    <n v="3888830"/>
    <x v="47"/>
    <x v="1"/>
    <s v="pagado"/>
    <s v="pagado"/>
    <x v="0"/>
    <x v="0"/>
  </r>
  <r>
    <n v="3000001687"/>
    <d v="2025-04-09T00:00:00"/>
    <n v="3096372"/>
    <s v="MG SERVICIOS AGROPECUARIOS SASTAFI VIEJO 14"/>
    <x v="219"/>
    <n v="3096372"/>
    <x v="47"/>
    <x v="1"/>
    <s v="pagado"/>
    <s v="pagado"/>
    <x v="0"/>
    <x v="0"/>
  </r>
  <r>
    <n v="3000001687"/>
    <d v="2025-04-09T00:00:00"/>
    <n v="1243130"/>
    <s v="MG SERVICIOS AGROPECUARIOS SASTAFI VIEJO 14"/>
    <x v="220"/>
    <n v="1243130"/>
    <x v="47"/>
    <x v="1"/>
    <s v="pagado"/>
    <s v="pagado"/>
    <x v="0"/>
    <x v="0"/>
  </r>
  <r>
    <n v="3000001687"/>
    <d v="2025-04-09T00:00:00"/>
    <n v="5150000"/>
    <s v="MG SERVICIOS AGROPECUARIOS SASTAFI VIEJO 14"/>
    <x v="221"/>
    <n v="5150000"/>
    <x v="47"/>
    <x v="1"/>
    <s v="pagado"/>
    <s v="pagado"/>
    <x v="0"/>
    <x v="0"/>
  </r>
  <r>
    <n v="3000001687"/>
    <d v="2025-04-09T00:00:00"/>
    <n v="1365000"/>
    <s v="MG SERVICIOS AGROPECUARIOS SASTAFI VIEJO 14"/>
    <x v="222"/>
    <n v="1365000"/>
    <x v="47"/>
    <x v="1"/>
    <s v="pagado"/>
    <s v="pagado"/>
    <x v="0"/>
    <x v="0"/>
  </r>
  <r>
    <n v="3000001687"/>
    <d v="2025-04-09T00:00:00"/>
    <n v="3000000"/>
    <s v="MG SERVICIOS AGROPECUARIOS SASTAFI VIEJO 14"/>
    <x v="223"/>
    <n v="3000000"/>
    <x v="47"/>
    <x v="1"/>
    <s v="pagado"/>
    <s v="pagado"/>
    <x v="0"/>
    <x v="0"/>
  </r>
  <r>
    <n v="3000001687"/>
    <d v="2025-04-09T00:00:00"/>
    <n v="684493"/>
    <s v="MG SERVICIOS AGROPECUARIOS SASTAFI VIEJO 14"/>
    <x v="224"/>
    <n v="684493"/>
    <x v="47"/>
    <x v="1"/>
    <s v="pagado"/>
    <s v="pagado"/>
    <x v="0"/>
    <x v="0"/>
  </r>
  <r>
    <n v="3000001687"/>
    <d v="2025-04-09T00:00:00"/>
    <n v="116103690.52"/>
    <s v="MG SERVICIOS AGROPECUARIOS SASTAFI VIEJO 14"/>
    <x v="225"/>
    <n v="116103690.52"/>
    <x v="47"/>
    <x v="1"/>
    <s v="pagado"/>
    <s v="pagado"/>
    <x v="0"/>
    <x v="0"/>
  </r>
  <r>
    <n v="3000001723"/>
    <d v="2025-04-10T00:00:00"/>
    <n v="2947408.93"/>
    <s v="Fondo Fijo Administracion CitrNO TIENE"/>
    <x v="226"/>
    <n v="2947408.93"/>
    <x v="47"/>
    <x v="1"/>
    <s v="pagado"/>
    <s v="pagado"/>
    <x v="0"/>
    <x v="0"/>
  </r>
  <r>
    <n v="3000001786"/>
    <d v="2025-04-14T00:00:00"/>
    <n v="25000000"/>
    <s v="Trading Internacional S.A. ROSARIO 12"/>
    <x v="227"/>
    <n v="25000000"/>
    <x v="49"/>
    <x v="0"/>
    <s v="pagado"/>
    <s v="pagado"/>
    <x v="0"/>
    <x v="0"/>
  </r>
  <r>
    <n v="3000001786"/>
    <d v="2025-04-14T00:00:00"/>
    <n v="24282450"/>
    <s v="Trading Internacional S.A. ROSARIO 12"/>
    <x v="228"/>
    <n v="24282450"/>
    <x v="50"/>
    <x v="0"/>
    <s v="pagado"/>
    <s v="pagado"/>
    <x v="0"/>
    <x v="0"/>
  </r>
  <r>
    <n v="3000001788"/>
    <d v="2025-04-14T00:00:00"/>
    <n v="16000000"/>
    <s v="LA MARTINA SERV. AGRICOLAS S.RSAN PABLO 14"/>
    <x v="229"/>
    <n v="16000000"/>
    <x v="49"/>
    <x v="0"/>
    <s v="pagado"/>
    <s v="pagado"/>
    <x v="0"/>
    <x v="0"/>
  </r>
  <r>
    <n v="3000001788"/>
    <d v="2025-04-14T00:00:00"/>
    <n v="15007293.4"/>
    <s v="LA MARTINA SERV. AGRICOLAS S.RSAN PABLO 14"/>
    <x v="230"/>
    <n v="15007293.4"/>
    <x v="50"/>
    <x v="0"/>
    <s v="pagado"/>
    <s v="pagado"/>
    <x v="0"/>
    <x v="0"/>
  </r>
  <r>
    <n v="3000001789"/>
    <d v="2025-04-14T00:00:00"/>
    <n v="19000000"/>
    <s v="PAMPLONA SRL SAN MIGUEL DE TUCUMAN 14"/>
    <x v="231"/>
    <n v="19000000"/>
    <x v="49"/>
    <x v="0"/>
    <s v="pagado"/>
    <s v="pagado"/>
    <x v="0"/>
    <x v="0"/>
  </r>
  <r>
    <n v="3000001789"/>
    <d v="2025-04-14T00:00:00"/>
    <n v="19438843.399999999"/>
    <s v="PAMPLONA SRL SAN MIGUEL DE TUCUMAN 14"/>
    <x v="232"/>
    <n v="19438843.399999999"/>
    <x v="50"/>
    <x v="0"/>
    <s v="pagado"/>
    <s v="pagado"/>
    <x v="0"/>
    <x v="0"/>
  </r>
  <r>
    <n v="3000001791"/>
    <d v="2025-04-14T00:00:00"/>
    <n v="10000000"/>
    <s v="M. AMUCHASTEGUI S. R. L. YERBA BUENA 14"/>
    <x v="233"/>
    <n v="10000000"/>
    <x v="49"/>
    <x v="0"/>
    <s v="pagado"/>
    <s v="pagado"/>
    <x v="0"/>
    <x v="0"/>
  </r>
  <r>
    <n v="3000001791"/>
    <d v="2025-04-14T00:00:00"/>
    <n v="7384547.4400000004"/>
    <s v="M. AMUCHASTEGUI S. R. L. YERBA BUENA 14"/>
    <x v="234"/>
    <n v="7384547.4400000004"/>
    <x v="50"/>
    <x v="0"/>
    <s v="pagado"/>
    <s v="pagado"/>
    <x v="0"/>
    <x v="0"/>
  </r>
  <r>
    <n v="3000001792"/>
    <d v="2025-04-14T00:00:00"/>
    <n v="18000000"/>
    <s v="PAMPLONA SRL SAN MIGUEL DE TUCUMAN 14"/>
    <x v="235"/>
    <n v="18000000"/>
    <x v="49"/>
    <x v="0"/>
    <s v="pagado"/>
    <s v="pagado"/>
    <x v="0"/>
    <x v="0"/>
  </r>
  <r>
    <n v="3000001792"/>
    <d v="2025-04-14T00:00:00"/>
    <n v="19849823.140000001"/>
    <s v="PAMPLONA SRL SAN MIGUEL DE TUCUMAN 14"/>
    <x v="236"/>
    <n v="19849823.140000001"/>
    <x v="50"/>
    <x v="0"/>
    <s v="pagado"/>
    <s v="pagado"/>
    <x v="0"/>
    <x v="0"/>
  </r>
  <r>
    <n v="3000001793"/>
    <d v="2025-04-14T00:00:00"/>
    <n v="16000000"/>
    <s v="SMART SEGURIDAD SA YERBA BUENA 14"/>
    <x v="237"/>
    <n v="16000000"/>
    <x v="49"/>
    <x v="0"/>
    <s v="pagado"/>
    <s v="pagado"/>
    <x v="0"/>
    <x v="0"/>
  </r>
  <r>
    <n v="3000001793"/>
    <d v="2025-04-14T00:00:00"/>
    <n v="15470651.689999999"/>
    <s v="SMART SEGURIDAD SA YERBA BUENA 14"/>
    <x v="238"/>
    <n v="15470651.689999999"/>
    <x v="50"/>
    <x v="0"/>
    <s v="pagado"/>
    <s v="pagado"/>
    <x v="0"/>
    <x v="0"/>
  </r>
  <r>
    <n v="3000001794"/>
    <d v="2025-04-14T00:00:00"/>
    <n v="10000000"/>
    <s v="ADLER HASENCLEVER Y ASOCIADOS BUENOS AIRES 01"/>
    <x v="239"/>
    <n v="10000000"/>
    <x v="49"/>
    <x v="0"/>
    <s v="pagado"/>
    <s v="pagado"/>
    <x v="0"/>
    <x v="0"/>
  </r>
  <r>
    <n v="3000001794"/>
    <d v="2025-04-14T00:00:00"/>
    <n v="6295298.71"/>
    <s v="ADLER HASENCLEVER Y ASOCIADOS BUENOS AIRES 01"/>
    <x v="240"/>
    <n v="6295298.71"/>
    <x v="50"/>
    <x v="0"/>
    <s v="pagado"/>
    <s v="pagado"/>
    <x v="0"/>
    <x v="0"/>
  </r>
  <r>
    <n v="3000001797"/>
    <d v="2025-04-14T00:00:00"/>
    <n v="20000000"/>
    <s v="BONSUR SA CAPITAL FEDERAL 00"/>
    <x v="241"/>
    <n v="20000000"/>
    <x v="49"/>
    <x v="0"/>
    <s v="pagado"/>
    <s v="pagado"/>
    <x v="0"/>
    <x v="0"/>
  </r>
  <r>
    <n v="3000001797"/>
    <d v="2025-04-14T00:00:00"/>
    <n v="15075417.92"/>
    <s v="BONSUR SA CAPITAL FEDERAL 00"/>
    <x v="242"/>
    <n v="15075417.92"/>
    <x v="50"/>
    <x v="0"/>
    <s v="pagado"/>
    <s v="pagado"/>
    <x v="0"/>
    <x v="0"/>
  </r>
  <r>
    <n v="3000001798"/>
    <d v="2025-04-14T00:00:00"/>
    <n v="20000000"/>
    <s v="BUENOS AIRES COMEX S.R.L. BANFIELD 14"/>
    <x v="243"/>
    <n v="20000000"/>
    <x v="49"/>
    <x v="0"/>
    <s v="pagado"/>
    <s v="pagado"/>
    <x v="0"/>
    <x v="0"/>
  </r>
  <r>
    <n v="3000001798"/>
    <d v="2025-04-14T00:00:00"/>
    <n v="16728942.050000001"/>
    <s v="BUENOS AIRES COMEX S.R.L. BANFIELD 14"/>
    <x v="244"/>
    <n v="16728942.050000001"/>
    <x v="50"/>
    <x v="0"/>
    <s v="pagado"/>
    <s v="pagado"/>
    <x v="0"/>
    <x v="0"/>
  </r>
  <r>
    <n v="3000001787"/>
    <d v="2025-04-14T00:00:00"/>
    <n v="13815000"/>
    <s v="J. SLEIMAN S.R.L SAN MIGUEL DE TUCUMAN 14"/>
    <x v="245"/>
    <n v="13815000"/>
    <x v="49"/>
    <x v="0"/>
    <s v="pagado"/>
    <s v="pagado"/>
    <x v="0"/>
    <x v="0"/>
  </r>
  <r>
    <n v="3000001790"/>
    <d v="2025-04-14T00:00:00"/>
    <n v="11420400"/>
    <s v="SAUCE HUACHO SERVICIOS S.R.L MONTEROS 14"/>
    <x v="246"/>
    <n v="11420400"/>
    <x v="49"/>
    <x v="0"/>
    <s v="pagado"/>
    <s v="pagado"/>
    <x v="0"/>
    <x v="0"/>
  </r>
  <r>
    <n v="3000001795"/>
    <d v="2025-04-14T00:00:00"/>
    <n v="5097847.7699999996"/>
    <s v="PEREZ CURBELO HNOS SRL SAN MIGUEL DE TUCUMAN 14"/>
    <x v="247"/>
    <n v="5097847.7699999996"/>
    <x v="49"/>
    <x v="0"/>
    <s v="pagado"/>
    <s v="pagado"/>
    <x v="0"/>
    <x v="0"/>
  </r>
  <r>
    <n v="3000001796"/>
    <d v="2025-04-14T00:00:00"/>
    <n v="7403131.7400000002"/>
    <s v="RL SOLUCIONES S. A. S. SAN MIGUEL DE TUCUMAN 14"/>
    <x v="248"/>
    <n v="7403131.7400000002"/>
    <x v="49"/>
    <x v="0"/>
    <s v="pagado"/>
    <s v="pagado"/>
    <x v="0"/>
    <x v="0"/>
  </r>
  <r>
    <n v="3000001827"/>
    <d v="2025-04-15T00:00:00"/>
    <n v="92007690"/>
    <s v="EDET S.A. SAN MIGUEL DE TUCUMAN 14"/>
    <x v="249"/>
    <n v="92007690"/>
    <x v="49"/>
    <x v="1"/>
    <s v="pagado"/>
    <s v="pagado"/>
    <x v="0"/>
    <x v="0"/>
  </r>
  <r>
    <n v="3000001867"/>
    <d v="2025-04-16T00:00:00"/>
    <n v="6232980"/>
    <s v="EDET S.A. SAN MIGUEL DE TUCUMAN 14"/>
    <x v="250"/>
    <n v="6232980"/>
    <x v="50"/>
    <x v="1"/>
    <s v="pagado"/>
    <s v="pagado"/>
    <x v="0"/>
    <x v="0"/>
  </r>
  <r>
    <n v="3000001906"/>
    <d v="2025-04-21T00:00:00"/>
    <n v="3780852.71"/>
    <s v="AGROREDES S.R.L SAN ISIDRO 01"/>
    <x v="251"/>
    <n v="3780852.71"/>
    <x v="51"/>
    <x v="0"/>
    <s v="pagado"/>
    <s v="pagado"/>
    <x v="0"/>
    <x v="0"/>
  </r>
  <r>
    <n v="3000001908"/>
    <d v="2025-04-21T00:00:00"/>
    <n v="5763890.4000000004"/>
    <s v="COOPTRAR LTDA SAN MIGUEL DE TUCUMAN 14"/>
    <x v="252"/>
    <n v="5763890.4000000004"/>
    <x v="51"/>
    <x v="0"/>
    <s v="pagado"/>
    <s v="pagado"/>
    <x v="0"/>
    <x v="0"/>
  </r>
  <r>
    <n v="3000001907"/>
    <d v="2025-04-21T00:00:00"/>
    <n v="7855457.96"/>
    <s v="Consultoria en Tecnologia de IBUENOS AIRES 00"/>
    <x v="253"/>
    <n v="7855457.96"/>
    <x v="51"/>
    <x v="0"/>
    <s v="pagado"/>
    <s v="pagado"/>
    <x v="0"/>
    <x v="0"/>
  </r>
  <r>
    <n v="3000001924"/>
    <d v="2025-04-22T00:00:00"/>
    <n v="4300000"/>
    <s v="Archvil S.A. CEVIL POZO 14"/>
    <x v="254"/>
    <n v="4300000"/>
    <x v="51"/>
    <x v="1"/>
    <s v="pagado"/>
    <s v="pagado"/>
    <x v="0"/>
    <x v="0"/>
  </r>
  <r>
    <n v="3000001925"/>
    <d v="2025-04-22T00:00:00"/>
    <n v="106215990"/>
    <s v="EDET S.A. SAN MIGUEL DE TUCUMAN 14"/>
    <x v="255"/>
    <n v="106215990"/>
    <x v="51"/>
    <x v="1"/>
    <s v="pagado"/>
    <s v="pagado"/>
    <x v="0"/>
    <x v="0"/>
  </r>
  <r>
    <n v="3000001955"/>
    <d v="2025-04-23T00:00:00"/>
    <n v="14000000"/>
    <s v="CEFAS S.A CIUDAD AUTONOMA DE BUENOS AIRES 01"/>
    <x v="256"/>
    <n v="14000000"/>
    <x v="52"/>
    <x v="0"/>
    <s v="pagado"/>
    <s v="pagado"/>
    <x v="0"/>
    <x v="0"/>
  </r>
  <r>
    <n v="3000001955"/>
    <d v="2025-04-23T00:00:00"/>
    <n v="14516201.91"/>
    <s v="CEFAS S.A CIUDAD AUTONOMA DE BUENOS AIRES 01"/>
    <x v="257"/>
    <n v="14516201.91"/>
    <x v="53"/>
    <x v="0"/>
    <s v="pagado"/>
    <s v="pagado"/>
    <x v="0"/>
    <x v="0"/>
  </r>
  <r>
    <n v="3000001949"/>
    <d v="2025-04-23T00:00:00"/>
    <n v="7060640.9400000004"/>
    <s v="GOMEZ JUANA ROSA VILLA LA TRINIDAD 14"/>
    <x v="258"/>
    <n v="7060640.9400000004"/>
    <x v="52"/>
    <x v="0"/>
    <s v="pagado"/>
    <s v="pagado"/>
    <x v="0"/>
    <x v="0"/>
  </r>
  <r>
    <n v="3000001950"/>
    <d v="2025-04-23T00:00:00"/>
    <n v="5219613.87"/>
    <s v="PAEZ ANDRES ALEXIS MACIO 14"/>
    <x v="259"/>
    <n v="5219613.87"/>
    <x v="52"/>
    <x v="0"/>
    <s v="pagado"/>
    <s v="pagado"/>
    <x v="0"/>
    <x v="0"/>
  </r>
  <r>
    <n v="3000001951"/>
    <d v="2025-04-23T00:00:00"/>
    <n v="9195647.3100000005"/>
    <s v="Vaquera Francisco Alfredo Monteros 14"/>
    <x v="260"/>
    <n v="9195647.3100000005"/>
    <x v="52"/>
    <x v="0"/>
    <s v="pagado"/>
    <s v="pagado"/>
    <x v="0"/>
    <x v="0"/>
  </r>
  <r>
    <n v="3000001952"/>
    <d v="2025-04-23T00:00:00"/>
    <n v="12413816.960000001"/>
    <s v="D´ANDREA SERGIO FRANCISCO YERBA BUENA 14"/>
    <x v="261"/>
    <n v="12413816.960000001"/>
    <x v="52"/>
    <x v="0"/>
    <s v="pagado"/>
    <s v="pagado"/>
    <x v="0"/>
    <x v="0"/>
  </r>
  <r>
    <n v="3000001953"/>
    <d v="2025-04-23T00:00:00"/>
    <n v="7787644.6500000004"/>
    <s v="ACOSTA ROQUE RAMON SAN MIGUEL DE TUCUMAN 14"/>
    <x v="262"/>
    <n v="7787644.6500000004"/>
    <x v="52"/>
    <x v="0"/>
    <s v="pagado"/>
    <s v="pagado"/>
    <x v="0"/>
    <x v="0"/>
  </r>
  <r>
    <n v="3000001954"/>
    <d v="2025-04-23T00:00:00"/>
    <n v="9326652.8200000003"/>
    <s v="TRANSCARGO ARGENTINA SA CAPITAL FEDERAL 00"/>
    <x v="263"/>
    <n v="9326652.8200000003"/>
    <x v="52"/>
    <x v="0"/>
    <s v="pagado"/>
    <s v="pagado"/>
    <x v="0"/>
    <x v="0"/>
  </r>
  <r>
    <n v="3000002048"/>
    <d v="2025-04-28T00:00:00"/>
    <n v="5729492.2300000004"/>
    <s v="Anka SRL San Miguel de Tucumán 14"/>
    <x v="264"/>
    <n v="5729492.2300000004"/>
    <x v="54"/>
    <x v="2"/>
    <s v="pagado"/>
    <s v="pagado"/>
    <x v="0"/>
    <x v="0"/>
  </r>
  <r>
    <n v="3000002049"/>
    <d v="2025-04-28T00:00:00"/>
    <n v="5213600"/>
    <s v="Silver Freight Logistic SRL CAPITAL FEDERAL 00"/>
    <x v="265"/>
    <n v="5213600"/>
    <x v="54"/>
    <x v="2"/>
    <s v="pagado"/>
    <s v="pagado"/>
    <x v="0"/>
    <x v="0"/>
  </r>
  <r>
    <n v="3000002050"/>
    <d v="2025-04-28T00:00:00"/>
    <n v="4500000"/>
    <s v="LOBO BENICIO MARTIN ALDERETES 14"/>
    <x v="266"/>
    <n v="4500000"/>
    <x v="55"/>
    <x v="2"/>
    <s v="pagado"/>
    <s v="pagado"/>
    <x v="0"/>
    <x v="0"/>
  </r>
  <r>
    <n v="3000002050"/>
    <d v="2025-04-28T00:00:00"/>
    <n v="4198498.4000000004"/>
    <s v="LOBO BENICIO MARTIN ALDERETES 14"/>
    <x v="267"/>
    <n v="4198498.4000000004"/>
    <x v="56"/>
    <x v="2"/>
    <s v="pagado"/>
    <s v="pagado"/>
    <x v="0"/>
    <x v="0"/>
  </r>
  <r>
    <n v="3000002051"/>
    <d v="2025-04-28T00:00:00"/>
    <n v="5827443.4000000004"/>
    <s v="PABLO Y FERNANDO TACCHELLA S.RSAN MIGUEL DE TUCUMAN 14"/>
    <x v="268"/>
    <n v="5827443.4000000004"/>
    <x v="54"/>
    <x v="2"/>
    <s v="pagado"/>
    <s v="pagado"/>
    <x v="0"/>
    <x v="0"/>
  </r>
  <r>
    <n v="3000002052"/>
    <d v="2025-04-28T00:00:00"/>
    <n v="6277887.79"/>
    <s v="ROMERO SERVICIOS S. A. S. ALPACHIRI 14"/>
    <x v="269"/>
    <n v="6277887.79"/>
    <x v="54"/>
    <x v="2"/>
    <s v="pagado"/>
    <s v="pagado"/>
    <x v="0"/>
    <x v="0"/>
  </r>
  <r>
    <n v="3000002053"/>
    <d v="2025-04-28T00:00:00"/>
    <n v="8771216.5299999993"/>
    <s v="PAMPLONA SRL SAN MIGUEL DE TUCUMAN 14"/>
    <x v="270"/>
    <n v="8771216.5299999993"/>
    <x v="54"/>
    <x v="2"/>
    <s v="pagado"/>
    <s v="pagado"/>
    <x v="0"/>
    <x v="0"/>
  </r>
  <r>
    <n v="3000002054"/>
    <d v="2025-04-28T00:00:00"/>
    <n v="5825048.9199999999"/>
    <s v="RL SOLUCIONES S. A. S. SAN MIGUEL DE TUCUMAN 14"/>
    <x v="271"/>
    <n v="5825048.9199999999"/>
    <x v="54"/>
    <x v="2"/>
    <s v="pagado"/>
    <s v="pagado"/>
    <x v="0"/>
    <x v="0"/>
  </r>
  <r>
    <n v="3000002055"/>
    <d v="2025-04-28T00:00:00"/>
    <n v="5165591.09"/>
    <s v="VILLAGRA VELEZ ROQUE RICARDO SAN MIGUEL DE TUCUMAN 14"/>
    <x v="272"/>
    <n v="5165591.09"/>
    <x v="54"/>
    <x v="2"/>
    <s v="no pagado"/>
    <s v="fuera de fecha"/>
    <x v="0"/>
    <x v="0"/>
  </r>
  <r>
    <n v="3000002056"/>
    <d v="2025-04-28T00:00:00"/>
    <n v="6646805.7800000003"/>
    <s v="PERATO CRISTIAN LUIS BANDA DEL RIO SALI 14"/>
    <x v="273"/>
    <n v="6646805.7800000003"/>
    <x v="54"/>
    <x v="2"/>
    <s v="pagado"/>
    <s v="pagado"/>
    <x v="0"/>
    <x v="0"/>
  </r>
  <r>
    <n v="3000002057"/>
    <d v="2025-04-28T00:00:00"/>
    <n v="14607941.49"/>
    <s v="TUCUMAN PALLET SRL EL MANANTIAL 14"/>
    <x v="274"/>
    <n v="14607941.49"/>
    <x v="55"/>
    <x v="2"/>
    <s v="pagado"/>
    <s v="pagado"/>
    <x v="0"/>
    <x v="0"/>
  </r>
  <r>
    <n v="3000002058"/>
    <d v="2025-04-28T00:00:00"/>
    <n v="12404481.689999999"/>
    <s v="Pintureria España S.R.L SAN MIGUEL DE TUCUMAN 14"/>
    <x v="275"/>
    <n v="12404481.689999999"/>
    <x v="55"/>
    <x v="2"/>
    <s v="pagado"/>
    <s v="pagado"/>
    <x v="0"/>
    <x v="0"/>
  </r>
  <r>
    <n v="3000002059"/>
    <d v="2025-04-28T00:00:00"/>
    <n v="16619834.470000001"/>
    <s v="ADLER HASENCLEVER Y ASOCIADOS BUENOS AIRES 01"/>
    <x v="276"/>
    <n v="16619834.470000001"/>
    <x v="55"/>
    <x v="2"/>
    <s v="pagado"/>
    <s v="pagado"/>
    <x v="0"/>
    <x v="0"/>
  </r>
  <r>
    <n v="3000002060"/>
    <d v="2025-04-28T00:00:00"/>
    <n v="10551591.060000001"/>
    <s v="NOBEN SRL SAN MIGUEL DE TUCUMAN 14"/>
    <x v="277"/>
    <n v="10551591.060000001"/>
    <x v="55"/>
    <x v="2"/>
    <s v="pagado"/>
    <s v="pagado"/>
    <x v="0"/>
    <x v="0"/>
  </r>
  <r>
    <n v="3000002061"/>
    <d v="2025-04-28T00:00:00"/>
    <n v="10478610.35"/>
    <s v="Terminal 4 S.A. Puerto Nuevo 01"/>
    <x v="278"/>
    <n v="10478610.35"/>
    <x v="55"/>
    <x v="2"/>
    <s v="pagado"/>
    <s v="pagado"/>
    <x v="0"/>
    <x v="0"/>
  </r>
  <r>
    <n v="3000002062"/>
    <d v="2025-04-28T00:00:00"/>
    <n v="12186379.640000001"/>
    <s v="CAPETTA ANTONELLA ANAHI SAN MIGUEL DE TUCUMAN 14"/>
    <x v="279"/>
    <n v="12186379.640000001"/>
    <x v="55"/>
    <x v="2"/>
    <s v="pagado"/>
    <s v="pagado"/>
    <x v="0"/>
    <x v="0"/>
  </r>
  <r>
    <n v="3000002063"/>
    <d v="2025-04-28T00:00:00"/>
    <n v="20366767.350000001"/>
    <s v="LA MARTINA SERV. AGRICOLAS S.RSAN PABLO 14"/>
    <x v="280"/>
    <n v="20366767.350000001"/>
    <x v="55"/>
    <x v="2"/>
    <s v="pagado"/>
    <s v="pagado"/>
    <x v="0"/>
    <x v="0"/>
  </r>
  <r>
    <n v="3000002064"/>
    <d v="2025-04-28T00:00:00"/>
    <n v="20366767.350000001"/>
    <s v="LA MARTINA SERV. AGRICOLAS S.RSAN PABLO 14"/>
    <x v="281"/>
    <n v="20366767.350000001"/>
    <x v="55"/>
    <x v="2"/>
    <s v="pagado"/>
    <s v="pagado"/>
    <x v="0"/>
    <x v="0"/>
  </r>
  <r>
    <n v="3000002065"/>
    <d v="2025-04-28T00:00:00"/>
    <n v="1288083.04"/>
    <s v="SAUCE HUACHO SERVICIOS S.R.L MONTEROS 14"/>
    <x v="282"/>
    <n v="1288083.04"/>
    <x v="54"/>
    <x v="2"/>
    <s v="pagado"/>
    <s v="pagado"/>
    <x v="0"/>
    <x v="0"/>
  </r>
  <r>
    <n v="3000002066"/>
    <d v="2025-04-28T00:00:00"/>
    <n v="1288083.04"/>
    <s v="SAUCE HUACHO SERVICIOS S.R.L MONTEROS 14"/>
    <x v="283"/>
    <n v="1288083.04"/>
    <x v="54"/>
    <x v="2"/>
    <s v="pagado"/>
    <s v="pagado"/>
    <x v="0"/>
    <x v="0"/>
  </r>
  <r>
    <n v="3000002067"/>
    <d v="2025-04-28T00:00:00"/>
    <n v="2344000"/>
    <s v="MG SERVICIOS AGROPECUARIOS SASTAFI VIEJO 14"/>
    <x v="284"/>
    <n v="2344000"/>
    <x v="54"/>
    <x v="2"/>
    <s v="pagado"/>
    <s v="pagado"/>
    <x v="0"/>
    <x v="0"/>
  </r>
  <r>
    <n v="3000002067"/>
    <d v="2025-04-28T00:00:00"/>
    <n v="3788354"/>
    <s v="MG SERVICIOS AGROPECUARIOS SASTAFI VIEJO 14"/>
    <x v="285"/>
    <n v="3788354"/>
    <x v="54"/>
    <x v="2"/>
    <s v="pagado"/>
    <s v="pagado"/>
    <x v="0"/>
    <x v="0"/>
  </r>
  <r>
    <n v="3000002067"/>
    <d v="2025-04-28T00:00:00"/>
    <n v="9565507"/>
    <s v="MG SERVICIOS AGROPECUARIOS SASTAFI VIEJO 14"/>
    <x v="286"/>
    <n v="9565507"/>
    <x v="54"/>
    <x v="2"/>
    <s v="pagado"/>
    <s v="pagado"/>
    <x v="0"/>
    <x v="0"/>
  </r>
  <r>
    <n v="3000002067"/>
    <d v="2025-04-28T00:00:00"/>
    <n v="1000000"/>
    <s v="MG SERVICIOS AGROPECUARIOS SASTAFI VIEJO 14"/>
    <x v="287"/>
    <n v="1000000"/>
    <x v="54"/>
    <x v="2"/>
    <s v="pagado"/>
    <s v="pagado"/>
    <x v="0"/>
    <x v="0"/>
  </r>
  <r>
    <n v="3000002067"/>
    <d v="2025-04-28T00:00:00"/>
    <n v="2100000"/>
    <s v="MG SERVICIOS AGROPECUARIOS SASTAFI VIEJO 14"/>
    <x v="288"/>
    <n v="2100000"/>
    <x v="54"/>
    <x v="2"/>
    <s v="pagado"/>
    <s v="pagado"/>
    <x v="0"/>
    <x v="0"/>
  </r>
  <r>
    <n v="3000002067"/>
    <d v="2025-04-28T00:00:00"/>
    <n v="1892714"/>
    <s v="MG SERVICIOS AGROPECUARIOS SASTAFI VIEJO 14"/>
    <x v="289"/>
    <n v="1892714"/>
    <x v="54"/>
    <x v="2"/>
    <s v="pagado"/>
    <s v="pagado"/>
    <x v="0"/>
    <x v="0"/>
  </r>
  <r>
    <n v="3000002067"/>
    <d v="2025-04-28T00:00:00"/>
    <n v="7000000"/>
    <s v="MG SERVICIOS AGROPECUARIOS SASTAFI VIEJO 14"/>
    <x v="290"/>
    <n v="7000000"/>
    <x v="54"/>
    <x v="2"/>
    <s v="pagado"/>
    <s v="pagado"/>
    <x v="0"/>
    <x v="0"/>
  </r>
  <r>
    <n v="3000002067"/>
    <d v="2025-04-28T00:00:00"/>
    <n v="26590581.440000001"/>
    <s v="MG SERVICIOS AGROPECUARIOS SASTAFI VIEJO 14"/>
    <x v="291"/>
    <n v="26590581.440000001"/>
    <x v="54"/>
    <x v="2"/>
    <s v="pagado"/>
    <s v="pagado"/>
    <x v="0"/>
    <x v="0"/>
  </r>
  <r>
    <n v="3000002068"/>
    <d v="2025-04-28T00:00:00"/>
    <n v="2187069.77"/>
    <s v="TRANSPORTE MEDINA S.H. CRUZ ALTA 14"/>
    <x v="292"/>
    <n v="2187069.77"/>
    <x v="53"/>
    <x v="1"/>
    <s v="pagado"/>
    <s v="pagado"/>
    <x v="0"/>
    <x v="0"/>
  </r>
  <r>
    <n v="3000002169"/>
    <d v="2025-05-05T00:00:00"/>
    <n v="7600950"/>
    <s v="CEIVAC SAS SAN MIGUEL DE TUCUMAN 14"/>
    <x v="293"/>
    <n v="7600950"/>
    <x v="57"/>
    <x v="2"/>
    <s v="pagado"/>
    <s v="pagado"/>
    <x v="0"/>
    <x v="0"/>
  </r>
  <r>
    <n v="3000002170"/>
    <d v="2025-05-05T00:00:00"/>
    <n v="6838027.4000000004"/>
    <s v="TEKNOS TECHNOLOGY GROUP SA CAPITAL FEDERAL 00"/>
    <x v="294"/>
    <n v="6838027.4000000004"/>
    <x v="58"/>
    <x v="2"/>
    <s v="no pagado"/>
    <s v="fuera de fecha"/>
    <x v="0"/>
    <x v="0"/>
  </r>
  <r>
    <n v="3000002171"/>
    <d v="2025-05-05T00:00:00"/>
    <n v="4467346.46"/>
    <s v="VISMA ARGENTINA SA CAPITAL FEDERAL 14"/>
    <x v="295"/>
    <n v="4467346.46"/>
    <x v="57"/>
    <x v="2"/>
    <s v="pagado"/>
    <s v="pagado"/>
    <x v="0"/>
    <x v="0"/>
  </r>
  <r>
    <n v="3000002172"/>
    <d v="2025-05-05T00:00:00"/>
    <n v="17123544.879999999"/>
    <s v="PAMPLONA SRL SAN MIGUEL DE TUCUMAN 14"/>
    <x v="296"/>
    <n v="17123544.879999999"/>
    <x v="57"/>
    <x v="2"/>
    <s v="pagado"/>
    <s v="pagado"/>
    <x v="0"/>
    <x v="0"/>
  </r>
  <r>
    <n v="3000002173"/>
    <d v="2025-05-05T00:00:00"/>
    <n v="17154865.93"/>
    <s v="PAMPLONA SRL SAN MIGUEL DE TUCUMAN 14"/>
    <x v="297"/>
    <n v="17154865.93"/>
    <x v="58"/>
    <x v="2"/>
    <s v="pagado"/>
    <s v="pagado"/>
    <x v="0"/>
    <x v="0"/>
  </r>
  <r>
    <n v="3000002174"/>
    <d v="2025-05-05T00:00:00"/>
    <n v="12185040.48"/>
    <s v="ROMERO SERVICIOS S. A. S. ALPACHIRI 14"/>
    <x v="298"/>
    <n v="12185040.48"/>
    <x v="57"/>
    <x v="2"/>
    <s v="pagado"/>
    <s v="pagado"/>
    <x v="0"/>
    <x v="0"/>
  </r>
  <r>
    <n v="3000002175"/>
    <d v="2025-05-05T00:00:00"/>
    <n v="12153231.51"/>
    <s v="ROMERO SERVICIOS S. A. S. ALPACHIRI 14"/>
    <x v="299"/>
    <n v="12153231.51"/>
    <x v="58"/>
    <x v="2"/>
    <s v="pagado"/>
    <s v="pagado"/>
    <x v="0"/>
    <x v="0"/>
  </r>
  <r>
    <n v="3000002262"/>
    <d v="2025-05-08T00:00:00"/>
    <n v="9227933"/>
    <s v=". Tucumán"/>
    <x v="300"/>
    <n v="9227933"/>
    <x v="59"/>
    <x v="1"/>
    <s v="pagado"/>
    <s v="pagado"/>
    <x v="0"/>
    <x v="0"/>
  </r>
  <r>
    <n v="3000002229"/>
    <d v="2025-05-07T00:00:00"/>
    <n v="12000000"/>
    <s v="RL SOLUCIONES S. A. S. SAN MIGUEL DE TUCUMAN 14"/>
    <x v="301"/>
    <n v="12000000"/>
    <x v="59"/>
    <x v="0"/>
    <s v="pagado"/>
    <s v="pagado"/>
    <x v="0"/>
    <x v="0"/>
  </r>
  <r>
    <n v="3000002229"/>
    <d v="2025-05-07T00:00:00"/>
    <n v="11268737.619999999"/>
    <s v="RL SOLUCIONES S. A. S. SAN MIGUEL DE TUCUMAN 14"/>
    <x v="302"/>
    <n v="11268737.619999999"/>
    <x v="60"/>
    <x v="0"/>
    <s v="pagado"/>
    <s v="pagado"/>
    <x v="0"/>
    <x v="0"/>
  </r>
  <r>
    <n v="3000002231"/>
    <d v="2025-05-07T00:00:00"/>
    <n v="15000000"/>
    <s v="GAR S.A SAN MIGUEL DE TUCUMAN 14"/>
    <x v="303"/>
    <n v="15000000"/>
    <x v="59"/>
    <x v="0"/>
    <s v="pagado"/>
    <s v="pagado"/>
    <x v="0"/>
    <x v="0"/>
  </r>
  <r>
    <n v="3000002231"/>
    <d v="2025-05-07T00:00:00"/>
    <n v="16429407.18"/>
    <s v="GAR S.A SAN MIGUEL DE TUCUMAN 14"/>
    <x v="304"/>
    <n v="16429407.18"/>
    <x v="60"/>
    <x v="0"/>
    <s v="pagado"/>
    <s v="pagado"/>
    <x v="0"/>
    <x v="0"/>
  </r>
  <r>
    <n v="3000002216"/>
    <d v="2025-05-07T00:00:00"/>
    <n v="2692869.92"/>
    <s v="BESTANI LEANDRO EXEQUIEL SAN MIGUEL DE TUCUMAN 14"/>
    <x v="305"/>
    <n v="2692869.92"/>
    <x v="59"/>
    <x v="0"/>
    <s v="pagado"/>
    <s v="pagado"/>
    <x v="0"/>
    <x v="0"/>
  </r>
  <r>
    <n v="3000002217"/>
    <d v="2025-05-07T00:00:00"/>
    <n v="4535357.83"/>
    <s v="HERRERA RICARDO ALBERTO BANDA DEL RIO SALI 14"/>
    <x v="306"/>
    <n v="4535357.83"/>
    <x v="59"/>
    <x v="0"/>
    <s v="pagado"/>
    <s v="pagado"/>
    <x v="0"/>
    <x v="0"/>
  </r>
  <r>
    <n v="3000002218"/>
    <d v="2025-05-07T00:00:00"/>
    <n v="11519821.869999999"/>
    <s v="PERATO CRISTIAN LUIS BANDA DEL RIO SALI 14"/>
    <x v="307"/>
    <n v="11519821.869999999"/>
    <x v="59"/>
    <x v="0"/>
    <s v="pagado"/>
    <s v="pagado"/>
    <x v="0"/>
    <x v="0"/>
  </r>
  <r>
    <n v="3000002219"/>
    <d v="2025-05-07T00:00:00"/>
    <n v="5830302.0599999996"/>
    <s v="Sanchez Jose Mauricio San Miguel de Tucuman 14"/>
    <x v="308"/>
    <n v="5830302.0599999996"/>
    <x v="59"/>
    <x v="0"/>
    <s v="pagado"/>
    <s v="pagado"/>
    <x v="0"/>
    <x v="0"/>
  </r>
  <r>
    <n v="3000002220"/>
    <d v="2025-05-07T00:00:00"/>
    <n v="3661506.06"/>
    <s v="SUAREZ MIGUEL ANGEL ALDERETES 14"/>
    <x v="309"/>
    <n v="3661506.06"/>
    <x v="59"/>
    <x v="0"/>
    <s v="pagado"/>
    <s v="pagado"/>
    <x v="0"/>
    <x v="0"/>
  </r>
  <r>
    <n v="3000002221"/>
    <d v="2025-05-07T00:00:00"/>
    <n v="2735445.29"/>
    <s v="OLEA LUIS ARIEL LOS GUTIERREZ-ALDERETES 14"/>
    <x v="310"/>
    <n v="2735445.29"/>
    <x v="59"/>
    <x v="0"/>
    <s v="pagado"/>
    <s v="pagado"/>
    <x v="0"/>
    <x v="0"/>
  </r>
  <r>
    <n v="3000002222"/>
    <d v="2025-05-07T00:00:00"/>
    <n v="6199166.4900000002"/>
    <s v="PEDRO GABRIEL ALEJANDRO ALDERETES 14"/>
    <x v="311"/>
    <n v="6199166.4900000002"/>
    <x v="59"/>
    <x v="0"/>
    <s v="pagado"/>
    <s v="pagado"/>
    <x v="0"/>
    <x v="0"/>
  </r>
  <r>
    <n v="3000002223"/>
    <d v="2025-05-07T00:00:00"/>
    <n v="6149354.9299999997"/>
    <s v="Bustos Sergio Alejandro Banda Rio Sali 14"/>
    <x v="312"/>
    <n v="6149354.9299999997"/>
    <x v="59"/>
    <x v="0"/>
    <s v="pagado"/>
    <s v="pagado"/>
    <x v="0"/>
    <x v="0"/>
  </r>
  <r>
    <n v="3000002224"/>
    <d v="2025-05-07T00:00:00"/>
    <n v="5720794.4100000001"/>
    <s v="FERNANDEZ HECTOR JOSE SIMOCA 14"/>
    <x v="313"/>
    <n v="5720794.4100000001"/>
    <x v="59"/>
    <x v="0"/>
    <s v="pagado"/>
    <s v="pagado"/>
    <x v="0"/>
    <x v="0"/>
  </r>
  <r>
    <n v="3000002225"/>
    <d v="2025-05-07T00:00:00"/>
    <n v="4256646.51"/>
    <s v="PERATO LUIS ALBERTO BANDA DEL RIO SALI 14"/>
    <x v="314"/>
    <n v="4256646.51"/>
    <x v="59"/>
    <x v="0"/>
    <s v="pagado"/>
    <s v="pagado"/>
    <x v="0"/>
    <x v="0"/>
  </r>
  <r>
    <n v="3000002226"/>
    <d v="2025-05-07T00:00:00"/>
    <n v="4018981.05"/>
    <s v="MAC DONALD MIGUEL ALEJANDRO BANDA DEL RIO SALI 14"/>
    <x v="315"/>
    <n v="4018981.05"/>
    <x v="59"/>
    <x v="0"/>
    <s v="pagado"/>
    <s v="pagado"/>
    <x v="0"/>
    <x v="0"/>
  </r>
  <r>
    <n v="3000002227"/>
    <d v="2025-05-07T00:00:00"/>
    <n v="4112784.02"/>
    <s v="VILLAGRA VELEZ ROQUE RICARDO SAN MIGUEL DE TUCUMAN 14"/>
    <x v="316"/>
    <n v="4112784.02"/>
    <x v="59"/>
    <x v="0"/>
    <s v="pagado"/>
    <s v="pagado"/>
    <x v="0"/>
    <x v="0"/>
  </r>
  <r>
    <n v="3000002228"/>
    <d v="2025-05-07T00:00:00"/>
    <n v="3624413.92"/>
    <s v="MANGNUS TRADE LOGISTIC SA Caítal Federañ 00"/>
    <x v="317"/>
    <n v="3624413.92"/>
    <x v="59"/>
    <x v="0"/>
    <s v="pagado"/>
    <s v="pagado"/>
    <x v="0"/>
    <x v="0"/>
  </r>
  <r>
    <n v="3000002230"/>
    <d v="2025-05-07T00:00:00"/>
    <n v="10716513.73"/>
    <s v="GOMEZ JUANA ROSA VILLA LA TRINIDAD 14"/>
    <x v="318"/>
    <n v="10716513.73"/>
    <x v="59"/>
    <x v="0"/>
    <s v="pagado"/>
    <s v="pagado"/>
    <x v="0"/>
    <x v="0"/>
  </r>
  <r>
    <n v="3000002311"/>
    <d v="2025-05-12T00:00:00"/>
    <n v="33276593.399999999"/>
    <s v="Jeblab S.R.L. YERBA BUENA 14"/>
    <x v="319"/>
    <n v="33276593.399999999"/>
    <x v="61"/>
    <x v="2"/>
    <s v="pagado"/>
    <s v="pagado"/>
    <x v="0"/>
    <x v="0"/>
  </r>
  <r>
    <n v="3000002312"/>
    <d v="2025-05-12T00:00:00"/>
    <n v="30447393.280000001"/>
    <s v="SMART SEGURIDAD SA YERBA BUENA 14"/>
    <x v="320"/>
    <n v="30447393.280000001"/>
    <x v="61"/>
    <x v="2"/>
    <s v="pagado"/>
    <s v="pagado"/>
    <x v="0"/>
    <x v="0"/>
  </r>
  <r>
    <n v="3000002313"/>
    <d v="2025-05-12T00:00:00"/>
    <n v="19320905.600000001"/>
    <s v="NOBEN SRL SAN MIGUEL DE TUCUMAN 14"/>
    <x v="321"/>
    <n v="19320905.600000001"/>
    <x v="61"/>
    <x v="2"/>
    <s v="pagado"/>
    <s v="pagado"/>
    <x v="0"/>
    <x v="0"/>
  </r>
  <r>
    <n v="3000002314"/>
    <d v="2025-05-12T00:00:00"/>
    <n v="7084711.4400000004"/>
    <s v="CAMPOAGRO SRL YERBA BUENA 14"/>
    <x v="322"/>
    <n v="7084711.4400000004"/>
    <x v="61"/>
    <x v="2"/>
    <s v="pagado"/>
    <s v="pagado"/>
    <x v="0"/>
    <x v="0"/>
  </r>
  <r>
    <n v="3000002315"/>
    <d v="2025-05-12T00:00:00"/>
    <n v="36868867.93"/>
    <s v="VIRAL IMPORTS SA YERBA BUENA 14"/>
    <x v="323"/>
    <n v="36868867.93"/>
    <x v="61"/>
    <x v="2"/>
    <s v="pagado"/>
    <s v="pagado"/>
    <x v="0"/>
    <x v="0"/>
  </r>
  <r>
    <n v="3000002316"/>
    <d v="2025-05-12T00:00:00"/>
    <n v="5392607.0599999996"/>
    <s v="ADLER HASENCLEVER Y ASOCIADOS BUENOS AIRES 01"/>
    <x v="324"/>
    <n v="5392607.0599999996"/>
    <x v="61"/>
    <x v="2"/>
    <s v="pagado"/>
    <s v="pagado"/>
    <x v="0"/>
    <x v="0"/>
  </r>
  <r>
    <n v="3000002317"/>
    <d v="2025-05-12T00:00:00"/>
    <n v="6385601.3399999999"/>
    <s v="LANCHELA HECTOR ROLANDO CONCEPCION 14"/>
    <x v="325"/>
    <n v="6385601.3399999999"/>
    <x v="61"/>
    <x v="2"/>
    <s v="pagado"/>
    <s v="pagado"/>
    <x v="0"/>
    <x v="0"/>
  </r>
  <r>
    <n v="3000002318"/>
    <d v="2025-05-12T00:00:00"/>
    <n v="5054808.78"/>
    <s v="ALVAREZ RENE JOSE MARIA BELLA VISTA 14"/>
    <x v="326"/>
    <n v="5054808.78"/>
    <x v="61"/>
    <x v="2"/>
    <s v="pagado"/>
    <s v="pagado"/>
    <x v="0"/>
    <x v="0"/>
  </r>
  <r>
    <n v="3000002319"/>
    <d v="2025-05-12T00:00:00"/>
    <n v="15228403.48"/>
    <s v="D´ANDREA SERGIO FRANCISCO YERBA BUENA 14"/>
    <x v="327"/>
    <n v="15228403.48"/>
    <x v="61"/>
    <x v="2"/>
    <s v="pagado"/>
    <s v="pagado"/>
    <x v="0"/>
    <x v="0"/>
  </r>
  <r>
    <n v="3000002320"/>
    <d v="2025-05-12T00:00:00"/>
    <n v="14607941.49"/>
    <s v="TUCUMAN PALLET SRL EL MANANTIAL 14"/>
    <x v="328"/>
    <n v="14607941.49"/>
    <x v="62"/>
    <x v="2"/>
    <s v="pagado"/>
    <s v="pagado"/>
    <x v="0"/>
    <x v="0"/>
  </r>
  <r>
    <n v="3000002321"/>
    <d v="2025-05-12T00:00:00"/>
    <n v="28251232.370000001"/>
    <s v="CEFAS S.A CIUDAD AUTONOMA DE BUENOS AIRES 01"/>
    <x v="329"/>
    <n v="28251232.370000001"/>
    <x v="62"/>
    <x v="2"/>
    <s v="pagado"/>
    <s v="pagado"/>
    <x v="0"/>
    <x v="0"/>
  </r>
  <r>
    <n v="3000002323"/>
    <d v="2025-05-12T00:00:00"/>
    <n v="12932034.08"/>
    <s v="Vaquera Francisco Alfredo Monteros 14"/>
    <x v="330"/>
    <n v="12932034.08"/>
    <x v="61"/>
    <x v="2"/>
    <s v="pagado"/>
    <s v="pagado"/>
    <x v="0"/>
    <x v="0"/>
  </r>
  <r>
    <n v="3000002354"/>
    <d v="2025-05-13T00:00:00"/>
    <n v="27000000"/>
    <s v="Trading Internacional S.A. ROSARIO 12"/>
    <x v="331"/>
    <n v="27000000"/>
    <x v="61"/>
    <x v="0"/>
    <s v="pagado"/>
    <s v="pagado"/>
    <x v="0"/>
    <x v="0"/>
  </r>
  <r>
    <n v="3000002324"/>
    <d v="2025-05-12T00:00:00"/>
    <n v="6951570"/>
    <s v="MG SERVICIOS AGROPECUARIOS SASTAFI VIEJO 14"/>
    <x v="332"/>
    <n v="6951570"/>
    <x v="63"/>
    <x v="1"/>
    <s v="pagado"/>
    <s v="pagado"/>
    <x v="0"/>
    <x v="0"/>
  </r>
  <r>
    <n v="3000002324"/>
    <d v="2025-05-12T00:00:00"/>
    <n v="3900000"/>
    <s v="MG SERVICIOS AGROPECUARIOS SASTAFI VIEJO 14"/>
    <x v="333"/>
    <n v="3900000"/>
    <x v="63"/>
    <x v="1"/>
    <s v="pagado"/>
    <s v="pagado"/>
    <x v="0"/>
    <x v="0"/>
  </r>
  <r>
    <n v="3000002324"/>
    <d v="2025-05-12T00:00:00"/>
    <n v="3027000"/>
    <s v="MG SERVICIOS AGROPECUARIOS SASTAFI VIEJO 14"/>
    <x v="334"/>
    <n v="3027000"/>
    <x v="63"/>
    <x v="1"/>
    <s v="pagado"/>
    <s v="pagado"/>
    <x v="0"/>
    <x v="0"/>
  </r>
  <r>
    <n v="3000002324"/>
    <d v="2025-05-12T00:00:00"/>
    <n v="10000000"/>
    <s v="MG SERVICIOS AGROPECUARIOS SASTAFI VIEJO 14"/>
    <x v="335"/>
    <n v="10000000"/>
    <x v="63"/>
    <x v="1"/>
    <s v="pagado"/>
    <s v="pagado"/>
    <x v="0"/>
    <x v="0"/>
  </r>
  <r>
    <n v="3000002324"/>
    <d v="2025-05-12T00:00:00"/>
    <n v="46807100"/>
    <s v="MG SERVICIOS AGROPECUARIOS SASTAFI VIEJO 14"/>
    <x v="336"/>
    <n v="46807100"/>
    <x v="61"/>
    <x v="1"/>
    <s v="pagado"/>
    <s v="pagado"/>
    <x v="0"/>
    <x v="0"/>
  </r>
  <r>
    <n v="3000002324"/>
    <d v="2025-05-12T00:00:00"/>
    <n v="46807100.57"/>
    <s v="MG SERVICIOS AGROPECUARIOS SASTAFI VIEJO 14"/>
    <x v="337"/>
    <n v="46807100.57"/>
    <x v="61"/>
    <x v="1"/>
    <s v="pagado"/>
    <s v="pagado"/>
    <x v="0"/>
    <x v="0"/>
  </r>
  <r>
    <n v="3000002357"/>
    <d v="2025-05-13T00:00:00"/>
    <n v="585558.64"/>
    <s v="Fondo Fijo Administracion CitrNO TIENE"/>
    <x v="338"/>
    <n v="585558.64"/>
    <x v="61"/>
    <x v="1"/>
    <s v="pagado"/>
    <s v="pagado"/>
    <x v="0"/>
    <x v="0"/>
  </r>
  <r>
    <n v="3000002358"/>
    <d v="2025-05-13T00:00:00"/>
    <n v="839522.13"/>
    <s v="Fondo Fijo Administracion CitrNO TIENE"/>
    <x v="339"/>
    <n v="839522.13"/>
    <x v="61"/>
    <x v="1"/>
    <s v="pagado"/>
    <s v="pagado"/>
    <x v="0"/>
    <x v="0"/>
  </r>
  <r>
    <n v="3000002408"/>
    <d v="2025-05-14T00:00:00"/>
    <n v="2385141.9900000002"/>
    <s v="TRANSPORTE MEDINA S.H."/>
    <x v="340"/>
    <n v="2385141.9900000002"/>
    <x v="64"/>
    <x v="1"/>
    <s v="pagado"/>
    <s v="pagado"/>
    <x v="0"/>
    <x v="0"/>
  </r>
  <r>
    <n v="3000002391"/>
    <d v="2025-05-14T00:00:00"/>
    <n v="30000000"/>
    <s v="LA MARTINA SERV. AGRICOLAS S.RSAN PABLO 14"/>
    <x v="341"/>
    <n v="30000000"/>
    <x v="64"/>
    <x v="2"/>
    <s v="pagado"/>
    <s v="pagado"/>
    <x v="0"/>
    <x v="0"/>
  </r>
  <r>
    <n v="3000002391"/>
    <d v="2025-05-14T00:00:00"/>
    <n v="25433952.27"/>
    <s v="LA MARTINA SERV. AGRICOLAS S.RSAN PABLO 14"/>
    <x v="342"/>
    <n v="25433952.27"/>
    <x v="65"/>
    <x v="2"/>
    <s v="pagado"/>
    <s v="pagado"/>
    <x v="0"/>
    <x v="0"/>
  </r>
  <r>
    <n v="3000002392"/>
    <d v="2025-05-14T00:00:00"/>
    <n v="25000000"/>
    <s v="PAMPLONA SRL SAN MIGUEL DE TUCUMAN 14"/>
    <x v="343"/>
    <n v="25000000"/>
    <x v="64"/>
    <x v="2"/>
    <s v="pagado"/>
    <s v="pagado"/>
    <x v="0"/>
    <x v="0"/>
  </r>
  <r>
    <n v="3000002392"/>
    <d v="2025-05-14T00:00:00"/>
    <n v="21605498.289999999"/>
    <s v="PAMPLONA SRL SAN MIGUEL DE TUCUMAN 14"/>
    <x v="344"/>
    <n v="21605498.289999999"/>
    <x v="65"/>
    <x v="2"/>
    <s v="pagado"/>
    <s v="pagado"/>
    <x v="0"/>
    <x v="0"/>
  </r>
  <r>
    <n v="3000002393"/>
    <d v="2025-05-14T00:00:00"/>
    <n v="30000000"/>
    <s v="MG SERVICIOS AGROPECUARIOS SASTAFI VIEJO 14"/>
    <x v="345"/>
    <n v="30000000"/>
    <x v="64"/>
    <x v="2"/>
    <s v="pagado"/>
    <s v="pagado"/>
    <x v="0"/>
    <x v="0"/>
  </r>
  <r>
    <n v="3000002393"/>
    <d v="2025-05-14T00:00:00"/>
    <n v="23838706.789999999"/>
    <s v="MG SERVICIOS AGROPECUARIOS SASTAFI VIEJO 14"/>
    <x v="346"/>
    <n v="23838706.789999999"/>
    <x v="65"/>
    <x v="2"/>
    <s v="pagado"/>
    <s v="pagado"/>
    <x v="0"/>
    <x v="0"/>
  </r>
  <r>
    <n v="3000002394"/>
    <d v="2025-05-14T00:00:00"/>
    <n v="15000000"/>
    <s v="ROMERO SERVICIOS S. A. S. ALPACHIRI 14"/>
    <x v="347"/>
    <n v="15000000"/>
    <x v="64"/>
    <x v="2"/>
    <s v="pagado"/>
    <s v="pagado"/>
    <x v="0"/>
    <x v="0"/>
  </r>
  <r>
    <n v="3000002394"/>
    <d v="2025-05-14T00:00:00"/>
    <n v="16975231.34"/>
    <s v="ROMERO SERVICIOS S. A. S. ALPACHIRI 14"/>
    <x v="348"/>
    <n v="16975231.34"/>
    <x v="65"/>
    <x v="2"/>
    <s v="pagado"/>
    <s v="pagado"/>
    <x v="0"/>
    <x v="0"/>
  </r>
  <r>
    <n v="3000002404"/>
    <d v="2025-05-14T00:00:00"/>
    <n v="13000000"/>
    <s v="CAPETTA ANTONELLA ANAHI SAN MIGUEL DE TUCUMAN 14"/>
    <x v="349"/>
    <n v="13000000"/>
    <x v="64"/>
    <x v="2"/>
    <s v="pagado"/>
    <s v="pagado"/>
    <x v="0"/>
    <x v="0"/>
  </r>
  <r>
    <n v="3000002404"/>
    <d v="2025-05-14T00:00:00"/>
    <n v="10111952.289999999"/>
    <s v="CAPETTA ANTONELLA ANAHI SAN MIGUEL DE TUCUMAN 14"/>
    <x v="350"/>
    <n v="10111952.289999999"/>
    <x v="65"/>
    <x v="2"/>
    <s v="pagado"/>
    <s v="pagado"/>
    <x v="0"/>
    <x v="0"/>
  </r>
  <r>
    <n v="3000002406"/>
    <d v="2025-05-14T00:00:00"/>
    <n v="13000000"/>
    <s v="BUENOS AIRES COMEX S.R.L. BANFIELD 14"/>
    <x v="351"/>
    <n v="13000000"/>
    <x v="64"/>
    <x v="2"/>
    <s v="pagado"/>
    <s v="pagado"/>
    <x v="0"/>
    <x v="0"/>
  </r>
  <r>
    <n v="3000002406"/>
    <d v="2025-05-14T00:00:00"/>
    <n v="13767776.15"/>
    <s v="BUENOS AIRES COMEX S.R.L. BANFIELD 14"/>
    <x v="352"/>
    <n v="13767776.15"/>
    <x v="65"/>
    <x v="2"/>
    <s v="pagado"/>
    <s v="pagado"/>
    <x v="0"/>
    <x v="0"/>
  </r>
  <r>
    <n v="3000002395"/>
    <d v="2025-05-14T00:00:00"/>
    <n v="7444087.8899999997"/>
    <s v="SAUCE HUACHO SERVICIOS S.R.L MONTEROS 14"/>
    <x v="353"/>
    <n v="7444087.8899999997"/>
    <x v="64"/>
    <x v="2"/>
    <s v="pagado"/>
    <s v="pagado"/>
    <x v="0"/>
    <x v="0"/>
  </r>
  <r>
    <n v="3000002396"/>
    <d v="2025-05-14T00:00:00"/>
    <n v="6067519.3399999999"/>
    <s v="SUAREZ MANUEL RODOLFO ALDERETES 14"/>
    <x v="354"/>
    <n v="6067519.3399999999"/>
    <x v="64"/>
    <x v="2"/>
    <s v="pagado"/>
    <s v="pagado"/>
    <x v="0"/>
    <x v="0"/>
  </r>
  <r>
    <n v="3000002397"/>
    <d v="2025-05-14T00:00:00"/>
    <n v="3861031.53"/>
    <s v="GEREZ ALICIA ELEUTERIA SAN MIGUEL DE TUCUMAN 14"/>
    <x v="355"/>
    <n v="3861031.53"/>
    <x v="64"/>
    <x v="2"/>
    <s v="pagado"/>
    <s v="pagado"/>
    <x v="0"/>
    <x v="0"/>
  </r>
  <r>
    <n v="3000002398"/>
    <d v="2025-05-14T00:00:00"/>
    <n v="3077915.34"/>
    <s v="Cruz Jonas Marcos Tafi del Valle 14"/>
    <x v="356"/>
    <n v="3077915.34"/>
    <x v="64"/>
    <x v="2"/>
    <s v="pagado"/>
    <s v="pagado"/>
    <x v="0"/>
    <x v="0"/>
  </r>
  <r>
    <n v="3000002399"/>
    <d v="2025-05-14T00:00:00"/>
    <n v="3290202.86"/>
    <s v="Alcoba Luareano Arnaldo Concepcion 14"/>
    <x v="357"/>
    <n v="3290202.86"/>
    <x v="64"/>
    <x v="2"/>
    <s v="pagado"/>
    <s v="pagado"/>
    <x v="0"/>
    <x v="0"/>
  </r>
  <r>
    <n v="3000002400"/>
    <d v="2025-05-14T00:00:00"/>
    <n v="7019571.29"/>
    <s v="MOREY SERGIO GUILLERMO LOS GUTIERREZ-ALDERETES 14"/>
    <x v="358"/>
    <n v="7019571.29"/>
    <x v="64"/>
    <x v="2"/>
    <s v="pagado"/>
    <s v="pagado"/>
    <x v="0"/>
    <x v="0"/>
  </r>
  <r>
    <n v="3000002401"/>
    <d v="2025-05-14T00:00:00"/>
    <n v="6118915.0499999998"/>
    <s v="HERRERA RICARDO ALBERTO BANDA DEL RIO SALI 14"/>
    <x v="359"/>
    <n v="6118915.0499999998"/>
    <x v="64"/>
    <x v="2"/>
    <s v="pagado"/>
    <s v="pagado"/>
    <x v="0"/>
    <x v="0"/>
  </r>
  <r>
    <n v="3000002402"/>
    <d v="2025-05-14T00:00:00"/>
    <n v="11943173.76"/>
    <s v="ACOSTA ROQUE RAMON SAN MIGUEL DE TUCUMAN 14"/>
    <x v="360"/>
    <n v="11943173.76"/>
    <x v="64"/>
    <x v="2"/>
    <s v="pagado"/>
    <s v="pagado"/>
    <x v="0"/>
    <x v="0"/>
  </r>
  <r>
    <n v="3000002403"/>
    <d v="2025-05-14T00:00:00"/>
    <n v="6347733.6299999999"/>
    <s v="JACQUET NORBERTO SALVADOR SAN JOSE 05"/>
    <x v="361"/>
    <n v="6347733.6299999999"/>
    <x v="64"/>
    <x v="2"/>
    <s v="pagado"/>
    <s v="pagado"/>
    <x v="0"/>
    <x v="0"/>
  </r>
  <r>
    <n v="3000002405"/>
    <d v="2025-05-14T00:00:00"/>
    <n v="4957927.6100000003"/>
    <s v="PAEZ LEONEL EXEQUIEL MACIO 14"/>
    <x v="362"/>
    <n v="4957927.6100000003"/>
    <x v="64"/>
    <x v="2"/>
    <s v="pagado"/>
    <s v="pagado"/>
    <x v="0"/>
    <x v="0"/>
  </r>
  <r>
    <n v="3000002518"/>
    <d v="2025-05-20T00:00:00"/>
    <n v="23000000"/>
    <s v="CAPETTA ANTONELLA ANAHI SAN MIGUEL DE TUCUMAN 14"/>
    <x v="363"/>
    <n v="23000000"/>
    <x v="66"/>
    <x v="2"/>
    <s v="pagado"/>
    <s v="pagado"/>
    <x v="0"/>
    <x v="0"/>
  </r>
  <r>
    <n v="3000002518"/>
    <d v="2025-05-20T00:00:00"/>
    <n v="23674382.829999998"/>
    <s v="CAPETTA ANTONELLA ANAHI SAN MIGUEL DE TUCUMAN 14"/>
    <x v="364"/>
    <n v="23674382.829999998"/>
    <x v="67"/>
    <x v="2"/>
    <s v="pagado"/>
    <s v="pagado"/>
    <x v="0"/>
    <x v="0"/>
  </r>
  <r>
    <n v="3000002521"/>
    <d v="2025-05-20T00:00:00"/>
    <n v="1500000"/>
    <s v="VILLAGRA VELEZ ROQUE RICARDO SAN MIGUEL DE TUCUMAN 14"/>
    <x v="365"/>
    <n v="1500000"/>
    <x v="67"/>
    <x v="2"/>
    <s v="pagado"/>
    <s v="pagado"/>
    <x v="0"/>
    <x v="0"/>
  </r>
  <r>
    <n v="3000002521"/>
    <d v="2025-05-20T00:00:00"/>
    <n v="1500000"/>
    <s v="VILLAGRA VELEZ ROQUE RICARDO SAN MIGUEL DE TUCUMAN 14"/>
    <x v="366"/>
    <n v="1500000"/>
    <x v="67"/>
    <x v="2"/>
    <s v="pagado"/>
    <s v="pagado"/>
    <x v="0"/>
    <x v="0"/>
  </r>
  <r>
    <n v="3000002521"/>
    <d v="2025-05-20T00:00:00"/>
    <n v="1112616.1000000001"/>
    <s v="VILLAGRA VELEZ ROQUE RICARDO SAN MIGUEL DE TUCUMAN 14"/>
    <x v="367"/>
    <n v="1112616.1000000001"/>
    <x v="67"/>
    <x v="2"/>
    <s v="pagado"/>
    <s v="pagado"/>
    <x v="0"/>
    <x v="0"/>
  </r>
  <r>
    <n v="3000002522"/>
    <d v="2025-05-20T00:00:00"/>
    <n v="23000000"/>
    <s v="RL SOLUCIONES S. A. S. SAN MIGUEL DE TUCUMAN 14"/>
    <x v="368"/>
    <n v="23000000"/>
    <x v="66"/>
    <x v="2"/>
    <s v="pagado"/>
    <s v="pagado"/>
    <x v="0"/>
    <x v="0"/>
  </r>
  <r>
    <n v="3000002522"/>
    <d v="2025-05-20T00:00:00"/>
    <n v="20074788.77"/>
    <s v="RL SOLUCIONES S. A. S. SAN MIGUEL DE TUCUMAN 14"/>
    <x v="369"/>
    <n v="20074788.77"/>
    <x v="67"/>
    <x v="2"/>
    <s v="pagado"/>
    <s v="pagado"/>
    <x v="0"/>
    <x v="0"/>
  </r>
  <r>
    <n v="3000002510"/>
    <d v="2025-05-20T00:00:00"/>
    <n v="2997156.71"/>
    <s v="Consultoria en Tecnologia de IBUENOS AIRES 00"/>
    <x v="370"/>
    <n v="2997156.71"/>
    <x v="68"/>
    <x v="2"/>
    <s v="pagado"/>
    <s v="pagado"/>
    <x v="0"/>
    <x v="0"/>
  </r>
  <r>
    <n v="3000002513"/>
    <d v="2025-05-20T00:00:00"/>
    <n v="9254379.5700000003"/>
    <s v="ZYMO SA SAN MIGUEL DE TUCUMAN 00"/>
    <x v="371"/>
    <n v="9254379.5700000003"/>
    <x v="67"/>
    <x v="2"/>
    <s v="pagado"/>
    <s v="pagado"/>
    <x v="0"/>
    <x v="0"/>
  </r>
  <r>
    <n v="3000002514"/>
    <d v="2025-05-20T00:00:00"/>
    <n v="7650994.7699999996"/>
    <s v="Servicom Group S.A. CAPITAL FEDERAL 00"/>
    <x v="372"/>
    <n v="7650994.7699999996"/>
    <x v="67"/>
    <x v="2"/>
    <s v="pagado"/>
    <s v="pagado"/>
    <x v="0"/>
    <x v="0"/>
  </r>
  <r>
    <n v="3000002515"/>
    <d v="2025-05-20T00:00:00"/>
    <n v="2146156.1800000002"/>
    <s v="Air Liquide Argentina SA SAN MIGUEL DE TUCUMAN 14"/>
    <x v="373"/>
    <n v="2146156.1800000002"/>
    <x v="67"/>
    <x v="2"/>
    <s v="pagado"/>
    <s v="pagado"/>
    <x v="0"/>
    <x v="0"/>
  </r>
  <r>
    <n v="3000002517"/>
    <d v="2025-05-20T00:00:00"/>
    <n v="10666090.949999999"/>
    <s v="Terminal 4 S.A. Puerto Nuevo 01"/>
    <x v="374"/>
    <n v="10666090.949999999"/>
    <x v="67"/>
    <x v="2"/>
    <s v="pagado"/>
    <s v="pagado"/>
    <x v="0"/>
    <x v="0"/>
  </r>
  <r>
    <n v="3000002519"/>
    <d v="2025-05-20T00:00:00"/>
    <n v="5855240.5"/>
    <s v="CEMEVA SAS YERBA BUENA 14"/>
    <x v="375"/>
    <n v="5855240.5"/>
    <x v="67"/>
    <x v="2"/>
    <s v="pagado"/>
    <s v="pagado"/>
    <x v="0"/>
    <x v="0"/>
  </r>
  <r>
    <n v="3000002520"/>
    <d v="2025-05-20T00:00:00"/>
    <n v="4138777.78"/>
    <s v="MAC DONALD MIGUEL ALEJANDRO BANDA DEL RIO SALI 14"/>
    <x v="376"/>
    <n v="4138777.78"/>
    <x v="67"/>
    <x v="2"/>
    <s v="pagado"/>
    <s v="pagado"/>
    <x v="0"/>
    <x v="0"/>
  </r>
  <r>
    <n v="3000002523"/>
    <d v="2025-05-20T00:00:00"/>
    <n v="6720095.0300000003"/>
    <s v="Bustos Sergio Alejandro Banda Rio Sali 14"/>
    <x v="377"/>
    <n v="6720095.0300000003"/>
    <x v="67"/>
    <x v="2"/>
    <s v="pagado"/>
    <s v="pagado"/>
    <x v="0"/>
    <x v="0"/>
  </r>
  <r>
    <n v="3000002524"/>
    <d v="2025-05-20T00:00:00"/>
    <n v="5757903.9800000004"/>
    <s v="PAEZ ANDRES ALEXIS MACIO 14"/>
    <x v="378"/>
    <n v="5757903.9800000004"/>
    <x v="67"/>
    <x v="2"/>
    <s v="pagado"/>
    <s v="pagado"/>
    <x v="0"/>
    <x v="0"/>
  </r>
  <r>
    <n v="3000002525"/>
    <d v="2025-05-20T00:00:00"/>
    <n v="5402046.1399999997"/>
    <s v="LA MARTINA SERV. AGRICOLAS S.RSAN PABLO 14"/>
    <x v="379"/>
    <n v="5402046.1399999997"/>
    <x v="67"/>
    <x v="2"/>
    <s v="pagado"/>
    <s v="pagado"/>
    <x v="0"/>
    <x v="0"/>
  </r>
  <r>
    <n v="3000002526"/>
    <d v="2025-05-20T00:00:00"/>
    <n v="5589772.1699999999"/>
    <s v="PEDRO GABRIEL ALEJANDRO ALDERETES 14"/>
    <x v="380"/>
    <n v="5589772.1699999999"/>
    <x v="67"/>
    <x v="2"/>
    <s v="pagado"/>
    <s v="pagado"/>
    <x v="0"/>
    <x v="0"/>
  </r>
  <r>
    <n v="3000002468"/>
    <d v="2025-05-19T00:00:00"/>
    <n v="114648500"/>
    <s v="EDET S.A. SAN MIGUEL DE TUCUMAN 14"/>
    <x v="381"/>
    <n v="114648500"/>
    <x v="65"/>
    <x v="1"/>
    <s v="pagado"/>
    <s v="pagado"/>
    <x v="0"/>
    <x v="0"/>
  </r>
  <r>
    <n v="3000002577"/>
    <d v="2025-05-22T00:00:00"/>
    <n v="163996880"/>
    <s v="EDET S.A. SAN MIGUEL DE TUCUMAN 14"/>
    <x v="382"/>
    <n v="163996880"/>
    <x v="67"/>
    <x v="1"/>
    <s v="pagado"/>
    <s v="pagado"/>
    <x v="0"/>
    <x v="0"/>
  </r>
  <r>
    <n v="3000002635"/>
    <d v="2025-05-26T00:00:00"/>
    <n v="0"/>
    <s v="invalidado med.EOLIVERA -Destruido/ Sin uso"/>
    <x v="383"/>
    <n v="0"/>
    <x v="69"/>
    <x v="2"/>
    <s v="no pagado"/>
    <s v="fuera de fecha"/>
    <x v="0"/>
    <x v="0"/>
  </r>
  <r>
    <n v="3000002636"/>
    <d v="2025-05-26T00:00:00"/>
    <n v="0"/>
    <s v="invalidado med.EOLIVERA -Destruido/ Sin uso"/>
    <x v="384"/>
    <n v="0"/>
    <x v="69"/>
    <x v="2"/>
    <s v="no pagado"/>
    <s v="fuera de fecha"/>
    <x v="0"/>
    <x v="0"/>
  </r>
  <r>
    <n v="3000002637"/>
    <d v="2025-05-26T00:00:00"/>
    <n v="0"/>
    <s v="invalidado med.EOLIVERA -Destruido/ Sin uso"/>
    <x v="385"/>
    <n v="0"/>
    <x v="69"/>
    <x v="2"/>
    <s v="no pagado"/>
    <s v="fuera de fecha"/>
    <x v="0"/>
    <x v="0"/>
  </r>
  <r>
    <n v="3000002638"/>
    <d v="2025-05-26T00:00:00"/>
    <n v="0"/>
    <s v="invalidado med.EOLIVERA -Destruido/ Sin uso"/>
    <x v="386"/>
    <n v="0"/>
    <x v="69"/>
    <x v="2"/>
    <s v="no pagado"/>
    <s v="fuera de fecha"/>
    <x v="0"/>
    <x v="0"/>
  </r>
  <r>
    <n v="3000002638"/>
    <d v="2025-05-26T00:00:00"/>
    <n v="0"/>
    <s v="invalidado med.EOLIVERA -Destruido/ Sin uso"/>
    <x v="387"/>
    <n v="0"/>
    <x v="69"/>
    <x v="2"/>
    <s v="no pagado"/>
    <s v="fuera de fecha"/>
    <x v="0"/>
    <x v="0"/>
  </r>
  <r>
    <n v="3000002639"/>
    <d v="2025-05-26T00:00:00"/>
    <n v="0"/>
    <s v="invalidado med.EOLIVERA -Destruido/ Sin uso"/>
    <x v="388"/>
    <n v="0"/>
    <x v="69"/>
    <x v="2"/>
    <s v="no pagado"/>
    <s v="fuera de fecha"/>
    <x v="0"/>
    <x v="0"/>
  </r>
  <r>
    <n v="3000002639"/>
    <d v="2025-05-26T00:00:00"/>
    <n v="0"/>
    <s v="invalidado med.EOLIVERA -Destruido/ Sin uso"/>
    <x v="389"/>
    <n v="0"/>
    <x v="69"/>
    <x v="2"/>
    <s v="no pagado"/>
    <s v="fuera de fecha"/>
    <x v="0"/>
    <x v="0"/>
  </r>
  <r>
    <n v="3000002640"/>
    <d v="2025-05-26T00:00:00"/>
    <n v="0"/>
    <s v="invalidado med.EOLIVERA -Destruido/ Sin uso"/>
    <x v="390"/>
    <n v="0"/>
    <x v="69"/>
    <x v="2"/>
    <s v="no pagado"/>
    <s v="fuera de fecha"/>
    <x v="0"/>
    <x v="0"/>
  </r>
  <r>
    <n v="3000002641"/>
    <d v="2025-05-26T00:00:00"/>
    <n v="0"/>
    <s v="invalidado med.EOLIVERA -Destruido/ Sin uso"/>
    <x v="391"/>
    <n v="0"/>
    <x v="69"/>
    <x v="2"/>
    <s v="no pagado"/>
    <s v="fuera de fecha"/>
    <x v="0"/>
    <x v="0"/>
  </r>
  <r>
    <n v="3000002641"/>
    <d v="2025-05-26T00:00:00"/>
    <n v="0"/>
    <s v="invalidado med.EOLIVERA -Destruido/ Sin uso"/>
    <x v="392"/>
    <n v="0"/>
    <x v="69"/>
    <x v="2"/>
    <s v="no pagado"/>
    <s v="fuera de fecha"/>
    <x v="0"/>
    <x v="0"/>
  </r>
  <r>
    <n v="3000002642"/>
    <d v="2025-05-26T00:00:00"/>
    <n v="0"/>
    <s v="invalidado med.EOLIVERA -Destruido/ Sin uso"/>
    <x v="393"/>
    <n v="0"/>
    <x v="69"/>
    <x v="2"/>
    <s v="no pagado"/>
    <s v="fuera de fecha"/>
    <x v="0"/>
    <x v="0"/>
  </r>
  <r>
    <n v="3000002642"/>
    <d v="2025-05-26T00:00:00"/>
    <n v="0"/>
    <s v="invalidado med.EOLIVERA -Destruido/ Sin uso"/>
    <x v="394"/>
    <n v="0"/>
    <x v="69"/>
    <x v="2"/>
    <s v="no pagado"/>
    <s v="fuera de fecha"/>
    <x v="0"/>
    <x v="0"/>
  </r>
  <r>
    <n v="3000002643"/>
    <d v="2025-05-26T00:00:00"/>
    <n v="0"/>
    <s v="invalidado med.EOLIVERA -Destruido/ Sin uso"/>
    <x v="395"/>
    <n v="0"/>
    <x v="69"/>
    <x v="2"/>
    <s v="no pagado"/>
    <s v="fuera de fecha"/>
    <x v="0"/>
    <x v="0"/>
  </r>
  <r>
    <n v="3000002643"/>
    <d v="2025-05-26T00:00:00"/>
    <n v="0"/>
    <s v="invalidado med.EOLIVERA -Destruido/ Sin uso"/>
    <x v="396"/>
    <n v="0"/>
    <x v="69"/>
    <x v="2"/>
    <s v="no pagado"/>
    <s v="fuera de fecha"/>
    <x v="0"/>
    <x v="0"/>
  </r>
  <r>
    <n v="3000002644"/>
    <d v="2025-05-26T00:00:00"/>
    <n v="0"/>
    <s v="invalidado med.EOLIVERA -Destruido/ Sin uso"/>
    <x v="397"/>
    <n v="0"/>
    <x v="69"/>
    <x v="2"/>
    <s v="no pagado"/>
    <s v="fuera de fecha"/>
    <x v="0"/>
    <x v="0"/>
  </r>
  <r>
    <n v="3000002644"/>
    <d v="2025-05-26T00:00:00"/>
    <n v="0"/>
    <s v="invalidado med.EOLIVERA -Destruido/ Sin uso"/>
    <x v="398"/>
    <n v="0"/>
    <x v="69"/>
    <x v="2"/>
    <s v="no pagado"/>
    <s v="fuera de fecha"/>
    <x v="0"/>
    <x v="0"/>
  </r>
  <r>
    <n v="3000002645"/>
    <d v="2025-05-26T00:00:00"/>
    <n v="0"/>
    <s v="invalidado med.EOLIVERA -Destruido/ Sin uso"/>
    <x v="399"/>
    <n v="0"/>
    <x v="69"/>
    <x v="2"/>
    <s v="no pagado"/>
    <s v="fuera de fecha"/>
    <x v="0"/>
    <x v="0"/>
  </r>
  <r>
    <n v="3000002646"/>
    <d v="2025-05-26T00:00:00"/>
    <n v="0"/>
    <s v="invalidado med.EOLIVERA -Destruido/ Sin uso"/>
    <x v="400"/>
    <n v="0"/>
    <x v="69"/>
    <x v="2"/>
    <s v="no pagado"/>
    <s v="fuera de fecha"/>
    <x v="0"/>
    <x v="0"/>
  </r>
  <r>
    <n v="3000002647"/>
    <d v="2025-05-26T00:00:00"/>
    <n v="0"/>
    <s v="invalidado med.EOLIVERA -Destruido/ Sin uso"/>
    <x v="401"/>
    <n v="0"/>
    <x v="69"/>
    <x v="2"/>
    <s v="no pagado"/>
    <s v="fuera de fecha"/>
    <x v="0"/>
    <x v="0"/>
  </r>
  <r>
    <n v="3000002647"/>
    <d v="2025-05-26T00:00:00"/>
    <n v="0"/>
    <s v="invalidado med.EOLIVERA -Destruido/ Sin uso"/>
    <x v="402"/>
    <n v="0"/>
    <x v="69"/>
    <x v="2"/>
    <s v="no pagado"/>
    <s v="fuera de fecha"/>
    <x v="0"/>
    <x v="0"/>
  </r>
  <r>
    <n v="3000002635"/>
    <d v="2025-05-27T00:00:00"/>
    <n v="10952596.109999999"/>
    <s v="TUCUMAN PALLET SRL EL MANANTIAL 14"/>
    <x v="403"/>
    <n v="10952596.109999999"/>
    <x v="70"/>
    <x v="2"/>
    <s v="pagado"/>
    <s v="pagado"/>
    <x v="0"/>
    <x v="0"/>
  </r>
  <r>
    <n v="3000002636"/>
    <d v="2025-05-27T00:00:00"/>
    <n v="9575958.4900000002"/>
    <s v="EMPRESA MAYORISTA INDUSTRIAL SSAN MIGUEL DE TUCUMAN 14"/>
    <x v="404"/>
    <n v="9575958.4900000002"/>
    <x v="70"/>
    <x v="2"/>
    <s v="pagado"/>
    <s v="pagado"/>
    <x v="0"/>
    <x v="0"/>
  </r>
  <r>
    <n v="3000002637"/>
    <d v="2025-05-27T00:00:00"/>
    <n v="4316841.83"/>
    <s v="MG SERVICIOS AGROPECUARIOS SASTAFI VIEJO 14"/>
    <x v="405"/>
    <n v="4316841.83"/>
    <x v="70"/>
    <x v="2"/>
    <s v="pagado"/>
    <s v="pagado"/>
    <x v="0"/>
    <x v="0"/>
  </r>
  <r>
    <n v="3000002638"/>
    <d v="2025-05-27T00:00:00"/>
    <n v="20000000"/>
    <s v="CEFAS S.A CIUDAD AUTONOMA DE BUENOS AIRES 01"/>
    <x v="406"/>
    <n v="20000000"/>
    <x v="70"/>
    <x v="2"/>
    <s v="pagado"/>
    <s v="pagado"/>
    <x v="0"/>
    <x v="0"/>
  </r>
  <r>
    <n v="3000002638"/>
    <d v="2025-05-27T00:00:00"/>
    <n v="21600217.09"/>
    <s v="CEFAS S.A CIUDAD AUTONOMA DE BUENOS AIRES 01"/>
    <x v="407"/>
    <n v="21600217.09"/>
    <x v="71"/>
    <x v="2"/>
    <s v="pagado"/>
    <s v="pagado"/>
    <x v="0"/>
    <x v="0"/>
  </r>
  <r>
    <n v="3000002639"/>
    <d v="2025-05-27T00:00:00"/>
    <n v="15000000"/>
    <s v="SEGURIDAD OMEGA SRL SAN FERNANDO DEL VALLE DE CATAMARCA 02"/>
    <x v="408"/>
    <n v="15000000"/>
    <x v="70"/>
    <x v="2"/>
    <s v="pagado"/>
    <s v="pagado"/>
    <x v="0"/>
    <x v="0"/>
  </r>
  <r>
    <n v="3000002639"/>
    <d v="2025-05-27T00:00:00"/>
    <n v="16978029.890000001"/>
    <s v="SEGURIDAD OMEGA SRL SAN FERNANDO DEL VALLE DE CATAMARCA 02"/>
    <x v="409"/>
    <n v="16978029.890000001"/>
    <x v="71"/>
    <x v="2"/>
    <s v="pagado"/>
    <s v="pagado"/>
    <x v="0"/>
    <x v="0"/>
  </r>
  <r>
    <n v="3000002640"/>
    <d v="2025-05-27T00:00:00"/>
    <n v="8678438.1699999999"/>
    <s v="ROMERO SERVICIOS S. A. S. ALPACHIRI 14"/>
    <x v="410"/>
    <n v="8678438.1699999999"/>
    <x v="70"/>
    <x v="2"/>
    <s v="pagado"/>
    <s v="pagado"/>
    <x v="0"/>
    <x v="0"/>
  </r>
  <r>
    <n v="3000002641"/>
    <d v="2025-05-27T00:00:00"/>
    <n v="10000000"/>
    <s v="CORTEZ CHRISTIE ANA INES YERBA BUENA 14"/>
    <x v="411"/>
    <n v="10000000"/>
    <x v="70"/>
    <x v="2"/>
    <s v="pagado"/>
    <s v="pagado"/>
    <x v="0"/>
    <x v="0"/>
  </r>
  <r>
    <n v="3000002641"/>
    <d v="2025-05-27T00:00:00"/>
    <n v="11214656"/>
    <s v="CORTEZ CHRISTIE ANA INES YERBA BUENA 14"/>
    <x v="412"/>
    <n v="11214656"/>
    <x v="71"/>
    <x v="2"/>
    <s v="pagado"/>
    <s v="pagado"/>
    <x v="0"/>
    <x v="0"/>
  </r>
  <r>
    <n v="3000002642"/>
    <d v="2025-05-27T00:00:00"/>
    <n v="30000000"/>
    <s v="AGROPECUARIA MUNDO NUEVO SRL SAN PABLO 14"/>
    <x v="413"/>
    <n v="30000000"/>
    <x v="70"/>
    <x v="2"/>
    <s v="pagado"/>
    <s v="pagado"/>
    <x v="0"/>
    <x v="0"/>
  </r>
  <r>
    <n v="3000002642"/>
    <d v="2025-05-27T00:00:00"/>
    <n v="27399251.109999999"/>
    <s v="AGROPECUARIA MUNDO NUEVO SRL SAN PABLO 14"/>
    <x v="414"/>
    <n v="27399251.109999999"/>
    <x v="71"/>
    <x v="2"/>
    <s v="pagado"/>
    <s v="pagado"/>
    <x v="0"/>
    <x v="0"/>
  </r>
  <r>
    <n v="3000002643"/>
    <d v="2025-05-27T00:00:00"/>
    <n v="23000000"/>
    <s v="PAMPLONA SRL SAN MIGUEL DE TUCUMAN 14"/>
    <x v="415"/>
    <n v="23000000"/>
    <x v="70"/>
    <x v="2"/>
    <s v="pagado"/>
    <s v="pagado"/>
    <x v="0"/>
    <x v="0"/>
  </r>
  <r>
    <n v="3000002643"/>
    <d v="2025-05-27T00:00:00"/>
    <n v="23411366.57"/>
    <s v="PAMPLONA SRL SAN MIGUEL DE TUCUMAN 14"/>
    <x v="416"/>
    <n v="23411366.57"/>
    <x v="71"/>
    <x v="2"/>
    <s v="pagado"/>
    <s v="pagado"/>
    <x v="0"/>
    <x v="0"/>
  </r>
  <r>
    <n v="3000002644"/>
    <d v="2025-05-27T00:00:00"/>
    <n v="16000000"/>
    <s v="Excer S.R.L. Buenos Aires 01"/>
    <x v="417"/>
    <n v="16000000"/>
    <x v="70"/>
    <x v="2"/>
    <s v="pagado"/>
    <s v="pagado"/>
    <x v="0"/>
    <x v="0"/>
  </r>
  <r>
    <n v="3000002644"/>
    <d v="2025-05-27T00:00:00"/>
    <n v="16378667.92"/>
    <s v="Excer S.R.L. Buenos Aires 01"/>
    <x v="418"/>
    <n v="16378667.92"/>
    <x v="71"/>
    <x v="2"/>
    <s v="pagado"/>
    <s v="pagado"/>
    <x v="0"/>
    <x v="0"/>
  </r>
  <r>
    <n v="3000002645"/>
    <d v="2025-05-27T00:00:00"/>
    <n v="8552025.1400000006"/>
    <s v="PERATO CRISTIAN LUIS BANDA DEL RIO SALI 14"/>
    <x v="419"/>
    <n v="8552025.1400000006"/>
    <x v="70"/>
    <x v="2"/>
    <s v="pagado"/>
    <s v="pagado"/>
    <x v="0"/>
    <x v="0"/>
  </r>
  <r>
    <n v="3000002646"/>
    <d v="2025-05-27T00:00:00"/>
    <n v="11844434.27"/>
    <s v="BUENOS AIRES COMEX S.R.L. BANFIELD 14"/>
    <x v="420"/>
    <n v="11844434.27"/>
    <x v="70"/>
    <x v="2"/>
    <s v="pagado"/>
    <s v="pagado"/>
    <x v="0"/>
    <x v="0"/>
  </r>
  <r>
    <n v="3000002647"/>
    <d v="2025-05-27T00:00:00"/>
    <n v="17000000"/>
    <s v="LATCOMEX SA CAPITAL FEDERAL 00"/>
    <x v="421"/>
    <n v="17000000"/>
    <x v="70"/>
    <x v="2"/>
    <s v="pagado"/>
    <s v="pagado"/>
    <x v="0"/>
    <x v="0"/>
  </r>
  <r>
    <n v="3000002647"/>
    <d v="2025-05-27T00:00:00"/>
    <n v="18594664.16"/>
    <s v="LATCOMEX SA CAPITAL FEDERAL 00"/>
    <x v="422"/>
    <n v="18594664.16"/>
    <x v="71"/>
    <x v="2"/>
    <s v="pagado"/>
    <s v="pagado"/>
    <x v="0"/>
    <x v="0"/>
  </r>
  <r>
    <n v="3000002679"/>
    <d v="2025-05-27T00:00:00"/>
    <n v="30000000"/>
    <s v="LA MARTINA SERV. AGRICOLAS S.RSAN PABLO 14"/>
    <x v="423"/>
    <n v="30000000"/>
    <x v="70"/>
    <x v="2"/>
    <s v="pagado"/>
    <s v="pagado"/>
    <x v="0"/>
    <x v="0"/>
  </r>
  <r>
    <n v="3000002679"/>
    <d v="2025-05-27T00:00:00"/>
    <n v="24307046.09"/>
    <s v="LA MARTINA SERV. AGRICOLAS S.RSAN PABLO 14"/>
    <x v="424"/>
    <n v="24307046.09"/>
    <x v="70"/>
    <x v="2"/>
    <s v="pagado"/>
    <s v="pagado"/>
    <x v="0"/>
    <x v="0"/>
  </r>
  <r>
    <n v="3000002680"/>
    <d v="2025-05-27T00:00:00"/>
    <n v="14695554.199999999"/>
    <s v="SAUCE HUACHO SERVICIOS S.R.L MONTEROS 14"/>
    <x v="425"/>
    <n v="14695554.199999999"/>
    <x v="70"/>
    <x v="2"/>
    <s v="pagado"/>
    <s v="pagado"/>
    <x v="0"/>
    <x v="0"/>
  </r>
  <r>
    <n v="3000002681"/>
    <d v="2025-05-27T00:00:00"/>
    <n v="20000000"/>
    <s v="ROMERO SERVICIOS S. A. S. ALPACHIRI 14"/>
    <x v="426"/>
    <n v="20000000"/>
    <x v="70"/>
    <x v="2"/>
    <s v="pagado"/>
    <s v="pagado"/>
    <x v="0"/>
    <x v="0"/>
  </r>
  <r>
    <n v="3000002681"/>
    <d v="2025-05-27T00:00:00"/>
    <n v="14188889.76"/>
    <s v="ROMERO SERVICIOS S. A. S. ALPACHIRI 14"/>
    <x v="427"/>
    <n v="14188889.76"/>
    <x v="70"/>
    <x v="2"/>
    <s v="pagado"/>
    <s v="pagado"/>
    <x v="0"/>
    <x v="0"/>
  </r>
  <r>
    <n v="3000002682"/>
    <d v="2025-05-27T00:00:00"/>
    <n v="3000000"/>
    <s v="MG SERVICIOS AGROPECUARIOS SASTAFI VIEJO 14"/>
    <x v="428"/>
    <n v="3000000"/>
    <x v="70"/>
    <x v="1"/>
    <s v="pagado"/>
    <s v="pagado"/>
    <x v="0"/>
    <x v="0"/>
  </r>
  <r>
    <n v="3000002682"/>
    <d v="2025-05-27T00:00:00"/>
    <n v="4000000"/>
    <s v="MG SERVICIOS AGROPECUARIOS SASTAFI VIEJO 14"/>
    <x v="429"/>
    <n v="4000000"/>
    <x v="70"/>
    <x v="1"/>
    <s v="pagado"/>
    <s v="pagado"/>
    <x v="0"/>
    <x v="0"/>
  </r>
  <r>
    <n v="3000002682"/>
    <d v="2025-05-27T00:00:00"/>
    <n v="7309642.96"/>
    <s v="MG SERVICIOS AGROPECUARIOS SASTAFI VIEJO 14"/>
    <x v="430"/>
    <n v="7309642.96"/>
    <x v="70"/>
    <x v="1"/>
    <s v="pagado"/>
    <s v="pagado"/>
    <x v="0"/>
    <x v="0"/>
  </r>
  <r>
    <n v="3000002682"/>
    <d v="2025-05-27T00:00:00"/>
    <n v="12350000"/>
    <s v="MG SERVICIOS AGROPECUARIOS SASTAFI VIEJO 14"/>
    <x v="431"/>
    <n v="12350000"/>
    <x v="70"/>
    <x v="1"/>
    <s v="pagado"/>
    <s v="pagado"/>
    <x v="0"/>
    <x v="0"/>
  </r>
  <r>
    <n v="3000002682"/>
    <d v="2025-05-27T00:00:00"/>
    <n v="10000000"/>
    <s v="MG SERVICIOS AGROPECUARIOS SASTAFI VIEJO 14"/>
    <x v="432"/>
    <n v="10000000"/>
    <x v="71"/>
    <x v="1"/>
    <s v="pagado"/>
    <s v="pagado"/>
    <x v="0"/>
    <x v="0"/>
  </r>
  <r>
    <n v="3000002682"/>
    <d v="2025-05-27T00:00:00"/>
    <n v="10000000"/>
    <s v="MG SERVICIOS AGROPECUARIOS SASTAFI VIEJO 14"/>
    <x v="433"/>
    <n v="10000000"/>
    <x v="71"/>
    <x v="1"/>
    <s v="pagado"/>
    <s v="pagado"/>
    <x v="0"/>
    <x v="0"/>
  </r>
  <r>
    <n v="3000002682"/>
    <d v="2025-05-27T00:00:00"/>
    <n v="10000000"/>
    <s v="MG SERVICIOS AGROPECUARIOS SASTAFI VIEJO 14"/>
    <x v="434"/>
    <n v="10000000"/>
    <x v="71"/>
    <x v="1"/>
    <s v="pagado"/>
    <s v="pagado"/>
    <x v="0"/>
    <x v="0"/>
  </r>
  <r>
    <n v="3000002682"/>
    <d v="2025-05-27T00:00:00"/>
    <n v="10000000"/>
    <s v="MG SERVICIOS AGROPECUARIOS SASTAFI VIEJO 14"/>
    <x v="435"/>
    <n v="10000000"/>
    <x v="71"/>
    <x v="1"/>
    <s v="pagado"/>
    <s v="pagado"/>
    <x v="0"/>
    <x v="0"/>
  </r>
  <r>
    <n v="3000002726"/>
    <d v="2025-05-28T00:00:00"/>
    <n v="6077320.2599999998"/>
    <s v="FERNANDEZ HECTOR JOSE SIMOCA 14"/>
    <x v="436"/>
    <n v="6077320.2599999998"/>
    <x v="71"/>
    <x v="2"/>
    <s v="pagado"/>
    <s v="pagado"/>
    <x v="0"/>
    <x v="0"/>
  </r>
  <r>
    <n v="3000002727"/>
    <d v="2025-05-28T00:00:00"/>
    <n v="11194514.039999999"/>
    <s v="D´ANDREA SERGIO FRANCISCO YERBA BUENA 14"/>
    <x v="437"/>
    <n v="11194514.039999999"/>
    <x v="71"/>
    <x v="2"/>
    <s v="pagado"/>
    <s v="pagado"/>
    <x v="0"/>
    <x v="0"/>
  </r>
  <r>
    <n v="3000002715"/>
    <d v="2025-05-28T00:00:00"/>
    <n v="19200000"/>
    <s v="NAVATUC IND. METALURGICAS S.R.LASTENIA 14"/>
    <x v="438"/>
    <n v="19200000"/>
    <x v="70"/>
    <x v="2"/>
    <s v="pagado"/>
    <s v="pagado"/>
    <x v="0"/>
    <x v="0"/>
  </r>
  <r>
    <n v="3000002715"/>
    <d v="2025-05-28T00:00:00"/>
    <n v="19112616.789999999"/>
    <s v="NAVATUC IND. METALURGICAS S.R.LASTENIA 14"/>
    <x v="439"/>
    <n v="19112616.789999999"/>
    <x v="72"/>
    <x v="2"/>
    <s v="pagado"/>
    <s v="pagado"/>
    <x v="0"/>
    <x v="0"/>
  </r>
  <r>
    <n v="3000002719"/>
    <d v="2025-05-28T00:00:00"/>
    <n v="20000000"/>
    <s v="TRANSPORTE FRIOS DEL NORTE S.RSAN MIGUEL DE TUCUMAN 14"/>
    <x v="440"/>
    <n v="20000000"/>
    <x v="71"/>
    <x v="2"/>
    <s v="pagado"/>
    <s v="pagado"/>
    <x v="0"/>
    <x v="0"/>
  </r>
  <r>
    <n v="3000002719"/>
    <d v="2025-05-28T00:00:00"/>
    <n v="12750498.57"/>
    <s v="TRANSPORTE FRIOS DEL NORTE S.RSAN MIGUEL DE TUCUMAN 14"/>
    <x v="441"/>
    <n v="12750498.57"/>
    <x v="73"/>
    <x v="2"/>
    <s v="pagado"/>
    <s v="pagado"/>
    <x v="0"/>
    <x v="0"/>
  </r>
  <r>
    <n v="3000002722"/>
    <d v="2025-05-28T00:00:00"/>
    <n v="25000000"/>
    <s v="CAPETTA ANTONELLA ANAHI SAN MIGUEL DE TUCUMAN 14"/>
    <x v="442"/>
    <n v="25000000"/>
    <x v="71"/>
    <x v="2"/>
    <s v="pagado"/>
    <s v="pagado"/>
    <x v="0"/>
    <x v="0"/>
  </r>
  <r>
    <n v="3000002722"/>
    <d v="2025-05-28T00:00:00"/>
    <n v="20210584.18"/>
    <s v="CAPETTA ANTONELLA ANAHI SAN MIGUEL DE TUCUMAN 14"/>
    <x v="443"/>
    <n v="20210584.18"/>
    <x v="73"/>
    <x v="2"/>
    <s v="pagado"/>
    <s v="pagado"/>
    <x v="0"/>
    <x v="0"/>
  </r>
  <r>
    <n v="3000002718"/>
    <d v="2025-05-28T00:00:00"/>
    <n v="4000351.91"/>
    <s v="Transporte CDC S.A. CAPITAL FEDERAL 00"/>
    <x v="444"/>
    <n v="4000351.91"/>
    <x v="71"/>
    <x v="2"/>
    <s v="pagado"/>
    <s v="pagado"/>
    <x v="0"/>
    <x v="0"/>
  </r>
  <r>
    <n v="3000002720"/>
    <d v="2025-05-28T00:00:00"/>
    <n v="14064999.18"/>
    <s v="RL SOLUCIONES S. A. S. SAN MIGUEL DE TUCUMAN 14"/>
    <x v="445"/>
    <n v="14064999.18"/>
    <x v="71"/>
    <x v="2"/>
    <s v="pagado"/>
    <s v="pagado"/>
    <x v="0"/>
    <x v="0"/>
  </r>
  <r>
    <n v="3000002721"/>
    <d v="2025-05-28T00:00:00"/>
    <n v="10221937.060000001"/>
    <s v="JACQUET NORBERTO SALVADOR SAN JOSE 05"/>
    <x v="446"/>
    <n v="10221937.060000001"/>
    <x v="71"/>
    <x v="2"/>
    <s v="pagado"/>
    <s v="pagado"/>
    <x v="0"/>
    <x v="0"/>
  </r>
  <r>
    <n v="3000002723"/>
    <d v="2025-05-28T00:00:00"/>
    <n v="4930812.3499999996"/>
    <s v="PERATO LUIS ALBERTO BANDA DEL RIO SALI 14"/>
    <x v="447"/>
    <n v="4930812.3499999996"/>
    <x v="71"/>
    <x v="2"/>
    <s v="pagado"/>
    <s v="pagado"/>
    <x v="0"/>
    <x v="0"/>
  </r>
  <r>
    <n v="3000002724"/>
    <d v="2025-05-28T00:00:00"/>
    <n v="5945997.5300000003"/>
    <s v="MOREY SERGIO GUILLERMO LOS GUTIERREZ-ALDERETES 14"/>
    <x v="448"/>
    <n v="5945997.5300000003"/>
    <x v="71"/>
    <x v="2"/>
    <s v="pagado"/>
    <s v="pagado"/>
    <x v="0"/>
    <x v="0"/>
  </r>
  <r>
    <n v="3000002725"/>
    <d v="2025-05-28T00:00:00"/>
    <n v="5200719.67"/>
    <s v="HERRERA RICARDO ALBERTO BANDA DEL RIO SALI 14"/>
    <x v="449"/>
    <n v="5200719.67"/>
    <x v="71"/>
    <x v="2"/>
    <s v="pagado"/>
    <s v="pagado"/>
    <x v="0"/>
    <x v="0"/>
  </r>
  <r>
    <n v="3000002806"/>
    <d v="2025-06-02T00:00:00"/>
    <n v="15000000"/>
    <s v="MURATO CONSTRUCCIONES S.R.L YERBA BUENA 14"/>
    <x v="450"/>
    <n v="15000000"/>
    <x v="74"/>
    <x v="2"/>
    <s v="pagado"/>
    <s v="pagado"/>
    <x v="0"/>
    <x v="0"/>
  </r>
  <r>
    <n v="3000002806"/>
    <d v="2025-06-02T00:00:00"/>
    <n v="15000000"/>
    <s v="MURATO CONSTRUCCIONES S.R.L YERBA BUENA 14"/>
    <x v="451"/>
    <n v="15000000"/>
    <x v="74"/>
    <x v="2"/>
    <s v="pagado"/>
    <s v="pagado"/>
    <x v="0"/>
    <x v="0"/>
  </r>
  <r>
    <n v="3000002806"/>
    <d v="2025-06-02T00:00:00"/>
    <n v="11500244.5"/>
    <s v="MURATO CONSTRUCCIONES S.R.L YERBA BUENA 14"/>
    <x v="452"/>
    <n v="11500244.5"/>
    <x v="75"/>
    <x v="2"/>
    <s v="pagado"/>
    <s v="pagado"/>
    <x v="0"/>
    <x v="0"/>
  </r>
  <r>
    <n v="3000002811"/>
    <d v="2025-06-02T00:00:00"/>
    <n v="22000000"/>
    <s v="PAMPLONA SRL SAN MIGUEL DE TUCUMAN 14"/>
    <x v="453"/>
    <n v="22000000"/>
    <x v="76"/>
    <x v="2"/>
    <s v="pagado"/>
    <s v="pagado"/>
    <x v="0"/>
    <x v="0"/>
  </r>
  <r>
    <n v="3000002811"/>
    <d v="2025-06-02T00:00:00"/>
    <n v="20668509.609999999"/>
    <s v="PAMPLONA SRL SAN MIGUEL DE TUCUMAN 14"/>
    <x v="454"/>
    <n v="20668509.609999999"/>
    <x v="74"/>
    <x v="2"/>
    <s v="pagado"/>
    <s v="pagado"/>
    <x v="0"/>
    <x v="0"/>
  </r>
  <r>
    <n v="3000002805"/>
    <d v="2025-06-02T00:00:00"/>
    <n v="9740054.5500000007"/>
    <s v="Servicom Group S.A. CAPITAL FEDERAL 00"/>
    <x v="455"/>
    <n v="9740054.5500000007"/>
    <x v="74"/>
    <x v="2"/>
    <s v="pagado"/>
    <s v="pagado"/>
    <x v="0"/>
    <x v="0"/>
  </r>
  <r>
    <n v="3000002807"/>
    <d v="2025-06-02T00:00:00"/>
    <n v="8267414.4100000001"/>
    <s v="ACOSTA ROQUE RAMON SAN MIGUEL DE TUCUMAN 14"/>
    <x v="456"/>
    <n v="8267414.4100000001"/>
    <x v="74"/>
    <x v="2"/>
    <s v="pagado"/>
    <s v="pagado"/>
    <x v="0"/>
    <x v="0"/>
  </r>
  <r>
    <n v="3000002808"/>
    <d v="2025-06-02T00:00:00"/>
    <n v="4387794.96"/>
    <s v="SUAREZ MANUEL RODOLFO ALDERETES 14"/>
    <x v="457"/>
    <n v="4387794.96"/>
    <x v="74"/>
    <x v="2"/>
    <s v="pagado"/>
    <s v="pagado"/>
    <x v="0"/>
    <x v="0"/>
  </r>
  <r>
    <n v="3000002809"/>
    <d v="2025-06-02T00:00:00"/>
    <n v="4178097.48"/>
    <s v="Sanchez Jose Mauricio San Miguel de Tucuman 14"/>
    <x v="458"/>
    <n v="4178097.48"/>
    <x v="74"/>
    <x v="2"/>
    <s v="pagado"/>
    <s v="pagado"/>
    <x v="0"/>
    <x v="0"/>
  </r>
  <r>
    <n v="3000002810"/>
    <d v="2025-06-02T00:00:00"/>
    <n v="5700497.5999999996"/>
    <s v="CORTEZ CHRISTIE ANA INES YERBA BUENA 14"/>
    <x v="459"/>
    <n v="5700497.5999999996"/>
    <x v="74"/>
    <x v="2"/>
    <s v="pagado"/>
    <s v="pagado"/>
    <x v="0"/>
    <x v="0"/>
  </r>
  <r>
    <n v="3000002827"/>
    <d v="2025-06-03T00:00:00"/>
    <n v="10296886"/>
    <s v="INSITU S.R.L SAN MIGUEL DE TUCUMAN 14"/>
    <x v="460"/>
    <n v="10296886"/>
    <x v="74"/>
    <x v="2"/>
    <s v="pagado"/>
    <s v="pagado"/>
    <x v="0"/>
    <x v="0"/>
  </r>
  <r>
    <n v="3000002804"/>
    <d v="2025-06-02T00:00:00"/>
    <n v="3094360"/>
    <s v="EDET S.A. SAN MIGUEL DE TUCUMAN 14"/>
    <x v="461"/>
    <n v="3094360"/>
    <x v="77"/>
    <x v="1"/>
    <s v="pagado"/>
    <s v="pagado"/>
    <x v="0"/>
    <x v="0"/>
  </r>
  <r>
    <n v="3000002826"/>
    <d v="2025-06-03T00:00:00"/>
    <n v="2257247.9300000002"/>
    <s v="TRANSPORTE MEDINA S.H. CRUZ ALTA 14"/>
    <x v="462"/>
    <n v="2257247.9300000002"/>
    <x v="74"/>
    <x v="1"/>
    <s v="pagado"/>
    <s v="pagado"/>
    <x v="0"/>
    <x v="0"/>
  </r>
  <r>
    <n v="3000002855"/>
    <d v="2025-06-04T00:00:00"/>
    <n v="2958892.92"/>
    <s v="BARBARISI JUAREZ PABLO EMANUELSAN JUAN 10"/>
    <x v="463"/>
    <n v="2958892.92"/>
    <x v="75"/>
    <x v="2"/>
    <s v="pagado"/>
    <s v="pagado"/>
    <x v="0"/>
    <x v="0"/>
  </r>
  <r>
    <n v="3000002856"/>
    <d v="2025-06-04T00:00:00"/>
    <n v="7986987.4299999997"/>
    <s v="JACQUET NORBERTO SALVADOR SAN JOSE 05"/>
    <x v="464"/>
    <n v="7986987.4299999997"/>
    <x v="75"/>
    <x v="2"/>
    <s v="pagado"/>
    <s v="pagado"/>
    <x v="0"/>
    <x v="0"/>
  </r>
  <r>
    <n v="3000002857"/>
    <d v="2025-06-04T00:00:00"/>
    <n v="7018095.9199999999"/>
    <s v="TRANSPORTE FRIOS DEL NORTE S.RSAN MIGUEL DE TUCUMAN 14"/>
    <x v="465"/>
    <n v="7018095.9199999999"/>
    <x v="75"/>
    <x v="2"/>
    <s v="pagado"/>
    <s v="pagado"/>
    <x v="0"/>
    <x v="0"/>
  </r>
  <r>
    <n v="3000002858"/>
    <d v="2025-06-04T00:00:00"/>
    <n v="4018981.05"/>
    <s v="MAC DONALD MIGUEL ALEJANDRO BANDA DEL RIO SALI 14"/>
    <x v="466"/>
    <n v="4018981.05"/>
    <x v="75"/>
    <x v="2"/>
    <s v="pagado"/>
    <s v="pagado"/>
    <x v="0"/>
    <x v="0"/>
  </r>
  <r>
    <n v="3000002859"/>
    <d v="2025-06-04T00:00:00"/>
    <n v="8054729.7400000002"/>
    <s v="RL SOLUCIONES S. A. S. SAN MIGUEL DE TUCUMAN 14"/>
    <x v="467"/>
    <n v="8054729.7400000002"/>
    <x v="75"/>
    <x v="2"/>
    <s v="pagado"/>
    <s v="pagado"/>
    <x v="0"/>
    <x v="0"/>
  </r>
  <r>
    <n v="3000002860"/>
    <d v="2025-06-04T00:00:00"/>
    <n v="28238867.920000002"/>
    <s v="LATCOMEX SA CAPITAL FEDERAL 00"/>
    <x v="468"/>
    <n v="28238867.920000002"/>
    <x v="75"/>
    <x v="2"/>
    <s v="pagado"/>
    <s v="pagado"/>
    <x v="0"/>
    <x v="0"/>
  </r>
  <r>
    <n v="3000002861"/>
    <d v="2025-06-04T00:00:00"/>
    <n v="2122166.35"/>
    <s v="Southatlantic Maritime S.A. BUENOS AIRES 01"/>
    <x v="469"/>
    <n v="2122166.35"/>
    <x v="75"/>
    <x v="2"/>
    <s v="pagado"/>
    <s v="pagado"/>
    <x v="0"/>
    <x v="0"/>
  </r>
  <r>
    <n v="3000002862"/>
    <d v="2025-06-04T00:00:00"/>
    <n v="7230530.2599999998"/>
    <s v="ALVAREZ RENE JOSE MARIA BELLA VISTA 14"/>
    <x v="470"/>
    <n v="7230530.2599999998"/>
    <x v="75"/>
    <x v="2"/>
    <s v="pagado"/>
    <s v="pagado"/>
    <x v="0"/>
    <x v="0"/>
  </r>
  <r>
    <n v="3000002863"/>
    <d v="2025-06-04T00:00:00"/>
    <n v="2500204.92"/>
    <s v="BESTANI LEANDRO EXEQUIEL SAN MIGUEL DE TUCUMAN 14"/>
    <x v="471"/>
    <n v="2500204.92"/>
    <x v="75"/>
    <x v="2"/>
    <s v="pagado"/>
    <s v="pagado"/>
    <x v="0"/>
    <x v="0"/>
  </r>
  <r>
    <n v="3000002864"/>
    <d v="2025-06-04T00:00:00"/>
    <n v="2402209.67"/>
    <s v="Alcoba Luareano Arnaldo Concepcion 14"/>
    <x v="472"/>
    <n v="2402209.67"/>
    <x v="75"/>
    <x v="2"/>
    <s v="pagado"/>
    <s v="pagado"/>
    <x v="0"/>
    <x v="0"/>
  </r>
  <r>
    <n v="3000002865"/>
    <d v="2025-06-04T00:00:00"/>
    <n v="6105815.0300000003"/>
    <s v="TRANSPORTE MARIANITA S.R.L SAN MIGUEL DE TUCUMAN 14"/>
    <x v="473"/>
    <n v="6105815.0300000003"/>
    <x v="75"/>
    <x v="2"/>
    <s v="pagado"/>
    <s v="pagado"/>
    <x v="0"/>
    <x v="0"/>
  </r>
  <r>
    <n v="3000002866"/>
    <d v="2025-06-04T00:00:00"/>
    <n v="2437827.3199999998"/>
    <s v="GEREZ ALICIA ELEUTERIA SAN MIGUEL DE TUCUMAN 14"/>
    <x v="474"/>
    <n v="2437827.3199999998"/>
    <x v="75"/>
    <x v="2"/>
    <s v="pagado"/>
    <s v="pagado"/>
    <x v="0"/>
    <x v="0"/>
  </r>
  <r>
    <n v="3000002867"/>
    <d v="2025-06-04T00:00:00"/>
    <n v="3003338.5"/>
    <s v="Pedro Angel Michael Alderetes 14"/>
    <x v="475"/>
    <n v="3003338.5"/>
    <x v="75"/>
    <x v="2"/>
    <s v="pagado"/>
    <s v="pagado"/>
    <x v="0"/>
    <x v="0"/>
  </r>
  <r>
    <n v="3000002868"/>
    <d v="2025-06-04T00:00:00"/>
    <n v="3258808.3"/>
    <s v="PAEZ ANDRES ALEXIS MACIO 14"/>
    <x v="476"/>
    <n v="3258808.3"/>
    <x v="75"/>
    <x v="2"/>
    <s v="pagado"/>
    <s v="pagado"/>
    <x v="0"/>
    <x v="0"/>
  </r>
  <r>
    <n v="3000002869"/>
    <d v="2025-06-04T00:00:00"/>
    <n v="3158687.5"/>
    <s v="TORRES JUAN RAMON ALDERETES 14"/>
    <x v="477"/>
    <n v="3158687.5"/>
    <x v="75"/>
    <x v="2"/>
    <s v="pagado"/>
    <s v="pagado"/>
    <x v="0"/>
    <x v="0"/>
  </r>
  <r>
    <n v="3000002870"/>
    <d v="2025-06-04T00:00:00"/>
    <n v="5640600.9299999997"/>
    <s v="VIDES GUSTAVO ENRIQUE LA TRINIDAD 14"/>
    <x v="478"/>
    <n v="5640600.9299999997"/>
    <x v="75"/>
    <x v="2"/>
    <s v="pagado"/>
    <s v="pagado"/>
    <x v="0"/>
    <x v="0"/>
  </r>
  <r>
    <n v="3000002968"/>
    <d v="2025-06-09T00:00:00"/>
    <n v="1911957"/>
    <s v="MG SERVICIOS AGROPECUARIOS SASTAFI VIEJO 14"/>
    <x v="479"/>
    <n v="1911957"/>
    <x v="78"/>
    <x v="2"/>
    <s v="pagado"/>
    <s v="pagado"/>
    <x v="0"/>
    <x v="0"/>
  </r>
  <r>
    <n v="3000002968"/>
    <d v="2025-06-09T00:00:00"/>
    <n v="1111712"/>
    <s v="MG SERVICIOS AGROPECUARIOS SASTAFI VIEJO 14"/>
    <x v="480"/>
    <n v="1111712"/>
    <x v="78"/>
    <x v="2"/>
    <s v="pagado"/>
    <s v="pagado"/>
    <x v="0"/>
    <x v="0"/>
  </r>
  <r>
    <n v="3000002968"/>
    <d v="2025-06-09T00:00:00"/>
    <n v="1805529"/>
    <s v="MG SERVICIOS AGROPECUARIOS SASTAFI VIEJO 14"/>
    <x v="481"/>
    <n v="1805529"/>
    <x v="78"/>
    <x v="2"/>
    <s v="pagado"/>
    <s v="pagado"/>
    <x v="0"/>
    <x v="0"/>
  </r>
  <r>
    <n v="3000002968"/>
    <d v="2025-06-09T00:00:00"/>
    <n v="1856299"/>
    <s v="MG SERVICIOS AGROPECUARIOS SASTAFI VIEJO 14"/>
    <x v="482"/>
    <n v="1856299"/>
    <x v="78"/>
    <x v="2"/>
    <s v="pagado"/>
    <s v="pagado"/>
    <x v="0"/>
    <x v="0"/>
  </r>
  <r>
    <n v="3000002968"/>
    <d v="2025-06-09T00:00:00"/>
    <n v="8377145"/>
    <s v="MG SERVICIOS AGROPECUARIOS SASTAFI VIEJO 14"/>
    <x v="483"/>
    <n v="8377145"/>
    <x v="78"/>
    <x v="2"/>
    <s v="pagado"/>
    <s v="pagado"/>
    <x v="0"/>
    <x v="0"/>
  </r>
  <r>
    <n v="3000002968"/>
    <d v="2025-06-09T00:00:00"/>
    <n v="4329071"/>
    <s v="MG SERVICIOS AGROPECUARIOS SASTAFI VIEJO 14"/>
    <x v="484"/>
    <n v="4329071"/>
    <x v="78"/>
    <x v="2"/>
    <s v="pagado"/>
    <s v="pagado"/>
    <x v="0"/>
    <x v="0"/>
  </r>
  <r>
    <n v="3000002968"/>
    <d v="2025-06-09T00:00:00"/>
    <n v="6150000"/>
    <s v="MG SERVICIOS AGROPECUARIOS SASTAFI VIEJO 14"/>
    <x v="485"/>
    <n v="6150000"/>
    <x v="78"/>
    <x v="2"/>
    <s v="pagado"/>
    <s v="pagado"/>
    <x v="0"/>
    <x v="0"/>
  </r>
  <r>
    <n v="3000002968"/>
    <d v="2025-06-09T00:00:00"/>
    <n v="1530610"/>
    <s v="MG SERVICIOS AGROPECUARIOS SASTAFI VIEJO 14"/>
    <x v="486"/>
    <n v="1530610"/>
    <x v="78"/>
    <x v="2"/>
    <s v="pagado"/>
    <s v="pagado"/>
    <x v="0"/>
    <x v="0"/>
  </r>
  <r>
    <n v="3000002968"/>
    <d v="2025-06-09T00:00:00"/>
    <n v="2555000"/>
    <s v="MG SERVICIOS AGROPECUARIOS SASTAFI VIEJO 14"/>
    <x v="487"/>
    <n v="2555000"/>
    <x v="78"/>
    <x v="2"/>
    <s v="pagado"/>
    <s v="pagado"/>
    <x v="0"/>
    <x v="0"/>
  </r>
  <r>
    <n v="3000002968"/>
    <d v="2025-06-09T00:00:00"/>
    <n v="3354900"/>
    <s v="MG SERVICIOS AGROPECUARIOS SASTAFI VIEJO 14"/>
    <x v="488"/>
    <n v="3354900"/>
    <x v="78"/>
    <x v="2"/>
    <s v="pagado"/>
    <s v="pagado"/>
    <x v="0"/>
    <x v="0"/>
  </r>
  <r>
    <n v="3000002968"/>
    <d v="2025-06-09T00:00:00"/>
    <n v="7000000"/>
    <s v="MG SERVICIOS AGROPECUARIOS SASTAFI VIEJO 14"/>
    <x v="489"/>
    <n v="7000000"/>
    <x v="78"/>
    <x v="2"/>
    <s v="pagado"/>
    <s v="pagado"/>
    <x v="0"/>
    <x v="0"/>
  </r>
  <r>
    <n v="3000002968"/>
    <d v="2025-06-09T00:00:00"/>
    <n v="4832639"/>
    <s v="MG SERVICIOS AGROPECUARIOS SASTAFI VIEJO 14"/>
    <x v="490"/>
    <n v="4832639"/>
    <x v="78"/>
    <x v="2"/>
    <s v="pagado"/>
    <s v="pagado"/>
    <x v="0"/>
    <x v="0"/>
  </r>
  <r>
    <n v="3000002969"/>
    <d v="2025-06-09T00:00:00"/>
    <n v="10000000"/>
    <s v="Verde y Sol S.R.L. SAN MIGUEL DE TUCUMAN 14"/>
    <x v="491"/>
    <n v="10000000"/>
    <x v="78"/>
    <x v="2"/>
    <s v="pagado"/>
    <s v="pagado"/>
    <x v="0"/>
    <x v="0"/>
  </r>
  <r>
    <n v="3000002969"/>
    <d v="2025-06-09T00:00:00"/>
    <n v="11377284.92"/>
    <s v="Verde y Sol S.R.L. SAN MIGUEL DE TUCUMAN 14"/>
    <x v="492"/>
    <n v="11377284.92"/>
    <x v="79"/>
    <x v="2"/>
    <s v="pagado"/>
    <s v="pagado"/>
    <x v="0"/>
    <x v="0"/>
  </r>
  <r>
    <n v="3000002970"/>
    <d v="2025-06-09T00:00:00"/>
    <n v="15000000"/>
    <s v="NOBEN SRL SAN MIGUEL DE TUCUMAN 14"/>
    <x v="493"/>
    <n v="15000000"/>
    <x v="78"/>
    <x v="2"/>
    <s v="pagado"/>
    <s v="pagado"/>
    <x v="0"/>
    <x v="0"/>
  </r>
  <r>
    <n v="3000002970"/>
    <d v="2025-06-09T00:00:00"/>
    <n v="14192776.15"/>
    <s v="NOBEN SRL SAN MIGUEL DE TUCUMAN 14"/>
    <x v="494"/>
    <n v="14192776.15"/>
    <x v="79"/>
    <x v="2"/>
    <s v="pagado"/>
    <s v="pagado"/>
    <x v="0"/>
    <x v="0"/>
  </r>
  <r>
    <n v="3000002971"/>
    <d v="2025-06-09T00:00:00"/>
    <n v="17000000"/>
    <s v="TRUSARELLI CARLOS ALBERTO BANDA DEL RIO SALI 14"/>
    <x v="495"/>
    <n v="17000000"/>
    <x v="78"/>
    <x v="2"/>
    <s v="pagado"/>
    <s v="pagado"/>
    <x v="0"/>
    <x v="0"/>
  </r>
  <r>
    <n v="3000002971"/>
    <d v="2025-06-09T00:00:00"/>
    <n v="17845578.190000001"/>
    <s v="TRUSARELLI CARLOS ALBERTO BANDA DEL RIO SALI 14"/>
    <x v="496"/>
    <n v="17845578.190000001"/>
    <x v="79"/>
    <x v="2"/>
    <s v="pagado"/>
    <s v="pagado"/>
    <x v="0"/>
    <x v="0"/>
  </r>
  <r>
    <n v="3000002972"/>
    <d v="2025-06-09T00:00:00"/>
    <n v="11000000"/>
    <s v="PAMPLONA SRL SAN MIGUEL DE TUCUMAN 14"/>
    <x v="497"/>
    <n v="11000000"/>
    <x v="78"/>
    <x v="2"/>
    <s v="pagado"/>
    <s v="pagado"/>
    <x v="0"/>
    <x v="0"/>
  </r>
  <r>
    <n v="3000002972"/>
    <d v="2025-06-09T00:00:00"/>
    <n v="11086105.07"/>
    <s v="PAMPLONA SRL SAN MIGUEL DE TUCUMAN 14"/>
    <x v="498"/>
    <n v="11086105.07"/>
    <x v="79"/>
    <x v="2"/>
    <s v="pagado"/>
    <s v="pagado"/>
    <x v="0"/>
    <x v="0"/>
  </r>
  <r>
    <n v="3000002967"/>
    <d v="2025-06-09T00:00:00"/>
    <n v="5730784.9699999997"/>
    <s v="Servicom Group S.A. CAPITAL FEDERAL 00"/>
    <x v="499"/>
    <n v="5730784.9699999997"/>
    <x v="78"/>
    <x v="2"/>
    <s v="pagado"/>
    <s v="pagado"/>
    <x v="0"/>
    <x v="0"/>
  </r>
  <r>
    <n v="3000002973"/>
    <d v="2025-06-09T00:00:00"/>
    <n v="4316064.2"/>
    <s v="INSITU S.R.L SAN MIGUEL DE TUCUMAN 14"/>
    <x v="500"/>
    <n v="4316064.2"/>
    <x v="78"/>
    <x v="2"/>
    <s v="pagado"/>
    <s v="pagado"/>
    <x v="0"/>
    <x v="0"/>
  </r>
  <r>
    <n v="3000002974"/>
    <d v="2025-06-09T00:00:00"/>
    <n v="12294522.08"/>
    <s v="CAMPOAGRO SRL YERBA BUENA 14"/>
    <x v="501"/>
    <n v="12294522.08"/>
    <x v="78"/>
    <x v="2"/>
    <s v="pagado"/>
    <s v="pagado"/>
    <x v="0"/>
    <x v="0"/>
  </r>
  <r>
    <n v="3000002975"/>
    <d v="2025-06-09T00:00:00"/>
    <n v="7947151"/>
    <s v="SANTEX S. A. LOS NOGALES 14"/>
    <x v="502"/>
    <n v="7947151"/>
    <x v="79"/>
    <x v="2"/>
    <s v="pagado"/>
    <s v="pagado"/>
    <x v="0"/>
    <x v="0"/>
  </r>
  <r>
    <n v="3000002976"/>
    <d v="2025-06-09T00:00:00"/>
    <n v="4434292.0999999996"/>
    <s v="ADLER HASENCLEVER Y ASOCIADOS BUENOS AIRES 01"/>
    <x v="503"/>
    <n v="4434292.0999999996"/>
    <x v="79"/>
    <x v="2"/>
    <s v="pagado"/>
    <s v="pagado"/>
    <x v="0"/>
    <x v="0"/>
  </r>
  <r>
    <n v="3000003019"/>
    <d v="2025-06-10T00:00:00"/>
    <n v="22000000"/>
    <s v="PAMPLONA SRL SAN MIGUEL DE TUCUMAN 14"/>
    <x v="504"/>
    <n v="22000000"/>
    <x v="79"/>
    <x v="2"/>
    <s v="pagado"/>
    <s v="pagado"/>
    <x v="0"/>
    <x v="0"/>
  </r>
  <r>
    <n v="3000003019"/>
    <d v="2025-06-10T00:00:00"/>
    <n v="20941125.5"/>
    <s v="PAMPLONA SRL SAN MIGUEL DE TUCUMAN 14"/>
    <x v="505"/>
    <n v="20941125.5"/>
    <x v="80"/>
    <x v="2"/>
    <s v="pagado"/>
    <s v="pagado"/>
    <x v="0"/>
    <x v="0"/>
  </r>
  <r>
    <n v="3000003020"/>
    <d v="2025-06-10T00:00:00"/>
    <n v="20000000"/>
    <s v="ROMERO SERVICIOS S. A. S. ALPACHIRI 14"/>
    <x v="506"/>
    <n v="20000000"/>
    <x v="79"/>
    <x v="2"/>
    <s v="pagado"/>
    <s v="pagado"/>
    <x v="0"/>
    <x v="0"/>
  </r>
  <r>
    <n v="3000003020"/>
    <d v="2025-06-10T00:00:00"/>
    <n v="18021035.59"/>
    <s v="ROMERO SERVICIOS S. A. S. ALPACHIRI 14"/>
    <x v="507"/>
    <n v="18021035.59"/>
    <x v="80"/>
    <x v="2"/>
    <s v="pagado"/>
    <s v="pagado"/>
    <x v="0"/>
    <x v="0"/>
  </r>
  <r>
    <n v="3000003021"/>
    <d v="2025-06-10T00:00:00"/>
    <n v="19774783.579999998"/>
    <s v="SAUCE HUACHO SERVICIOS S.R.L MONTEROS 14"/>
    <x v="508"/>
    <n v="19774783.579999998"/>
    <x v="79"/>
    <x v="2"/>
    <s v="pagado"/>
    <s v="pagado"/>
    <x v="0"/>
    <x v="0"/>
  </r>
  <r>
    <n v="3000003045"/>
    <d v="2025-06-11T00:00:00"/>
    <n v="7391148.2000000002"/>
    <s v="FERNANDEZ HECTOR JOSE SIMOCA 14"/>
    <x v="509"/>
    <n v="7391148.2000000002"/>
    <x v="81"/>
    <x v="2"/>
    <s v="pagado"/>
    <s v="pagado"/>
    <x v="0"/>
    <x v="0"/>
  </r>
  <r>
    <n v="3000003046"/>
    <d v="2025-06-11T00:00:00"/>
    <n v="4232024.63"/>
    <s v="JACQUET NORBERTO SALVADOR SAN JOSE 05"/>
    <x v="510"/>
    <n v="4232024.63"/>
    <x v="81"/>
    <x v="2"/>
    <s v="pagado"/>
    <s v="pagado"/>
    <x v="0"/>
    <x v="0"/>
  </r>
  <r>
    <n v="3000003047"/>
    <d v="2025-06-11T00:00:00"/>
    <n v="4018813.13"/>
    <s v="MAC DONALD MIGUEL ALEJANDRO BANDA DEL RIO SALI 14"/>
    <x v="511"/>
    <n v="4018813.13"/>
    <x v="81"/>
    <x v="2"/>
    <s v="pagado"/>
    <s v="pagado"/>
    <x v="0"/>
    <x v="0"/>
  </r>
  <r>
    <n v="3000003048"/>
    <d v="2025-06-11T00:00:00"/>
    <n v="36245528.310000002"/>
    <s v="CAPETTA ANTONELLA ANAHI SAN MIGUEL DE TUCUMAN 14"/>
    <x v="512"/>
    <n v="36245528.310000002"/>
    <x v="81"/>
    <x v="2"/>
    <s v="pagado"/>
    <s v="pagado"/>
    <x v="0"/>
    <x v="0"/>
  </r>
  <r>
    <n v="3000003049"/>
    <d v="2025-06-11T00:00:00"/>
    <n v="3990443.34"/>
    <s v="VILLAGRA VELEZ ROQUE RICARDO SAN MIGUEL DE TUCUMAN 14"/>
    <x v="513"/>
    <n v="3990443.34"/>
    <x v="81"/>
    <x v="2"/>
    <s v="pagado"/>
    <s v="pagado"/>
    <x v="0"/>
    <x v="0"/>
  </r>
  <r>
    <n v="3000003050"/>
    <d v="2025-06-11T00:00:00"/>
    <n v="20256723.109999999"/>
    <s v="RL SOLUCIONES S. A. S. SAN MIGUEL DE TUCUMAN 14"/>
    <x v="514"/>
    <n v="20256723.109999999"/>
    <x v="81"/>
    <x v="2"/>
    <s v="pagado"/>
    <s v="pagado"/>
    <x v="0"/>
    <x v="0"/>
  </r>
  <r>
    <n v="3000003051"/>
    <d v="2025-06-11T00:00:00"/>
    <n v="11371273.550000001"/>
    <s v="Terminal 4 S.A. Puerto Nuevo 01"/>
    <x v="515"/>
    <n v="11371273.550000001"/>
    <x v="81"/>
    <x v="2"/>
    <s v="pagado"/>
    <s v="pagado"/>
    <x v="0"/>
    <x v="0"/>
  </r>
  <r>
    <n v="3000003052"/>
    <d v="2025-06-11T00:00:00"/>
    <n v="24563659.02"/>
    <s v="Vaquera Francisco Alfredo Monteros 14"/>
    <x v="516"/>
    <n v="24563659.02"/>
    <x v="81"/>
    <x v="2"/>
    <s v="pagado"/>
    <s v="pagado"/>
    <x v="0"/>
    <x v="0"/>
  </r>
  <r>
    <n v="3000003053"/>
    <d v="2025-06-11T00:00:00"/>
    <n v="11023782"/>
    <s v="PERATO CRISTIAN LUIS BANDA DEL RIO SALI 14"/>
    <x v="517"/>
    <n v="11023782"/>
    <x v="81"/>
    <x v="2"/>
    <s v="pagado"/>
    <s v="pagado"/>
    <x v="0"/>
    <x v="0"/>
  </r>
  <r>
    <n v="3000003054"/>
    <d v="2025-06-11T00:00:00"/>
    <n v="9357237.3200000003"/>
    <s v="TRANSPORTE FRIOS DEL NORTE S.RSAN MIGUEL DE TUCUMAN 14"/>
    <x v="518"/>
    <n v="9357237.3200000003"/>
    <x v="81"/>
    <x v="2"/>
    <s v="pagado"/>
    <s v="pagado"/>
    <x v="0"/>
    <x v="0"/>
  </r>
  <r>
    <n v="3000003096"/>
    <d v="2025-06-12T00:00:00"/>
    <n v="1600000"/>
    <s v=". Tucumán"/>
    <x v="519"/>
    <n v="1600000"/>
    <x v="80"/>
    <x v="1"/>
    <s v="pagado"/>
    <s v="pagado"/>
    <x v="0"/>
    <x v="0"/>
  </r>
  <r>
    <n v="3000003144"/>
    <d v="2025-06-13T00:00:00"/>
    <n v="3409708.93"/>
    <s v="GEREZ ALICIA ELEUTERIA SAN MIGUEL DE TUCUMAN 14"/>
    <x v="520"/>
    <n v="3409708.93"/>
    <x v="82"/>
    <x v="2"/>
    <s v="pagado"/>
    <s v="pagado"/>
    <x v="0"/>
    <x v="0"/>
  </r>
  <r>
    <n v="3000003145"/>
    <d v="2025-06-13T00:00:00"/>
    <n v="3533592.22"/>
    <s v="SANTILLI CARLOS MIGUEL SAN MIGUEL DE TUCUMAN 14"/>
    <x v="521"/>
    <n v="3533592.22"/>
    <x v="82"/>
    <x v="2"/>
    <s v="pagado"/>
    <s v="pagado"/>
    <x v="0"/>
    <x v="0"/>
  </r>
  <r>
    <n v="3000003146"/>
    <d v="2025-06-13T00:00:00"/>
    <n v="31798200"/>
    <s v="LATCOMEX SA CAPITAL FEDERAL 00"/>
    <x v="522"/>
    <n v="31798200"/>
    <x v="82"/>
    <x v="2"/>
    <s v="pagado"/>
    <s v="pagado"/>
    <x v="0"/>
    <x v="0"/>
  </r>
  <r>
    <n v="3000003148"/>
    <d v="2025-06-13T00:00:00"/>
    <n v="4851099.5999999996"/>
    <s v="VIDES HECTOR FERNANDO VILLA LA TRINIDAD 14"/>
    <x v="523"/>
    <n v="4851099.5999999996"/>
    <x v="82"/>
    <x v="2"/>
    <s v="pagado"/>
    <s v="pagado"/>
    <x v="0"/>
    <x v="0"/>
  </r>
  <r>
    <n v="3000003149"/>
    <d v="2025-06-13T00:00:00"/>
    <n v="4967307.03"/>
    <s v="Sanchez Jose Mauricio San Miguel de Tucuman 14"/>
    <x v="524"/>
    <n v="4967307.03"/>
    <x v="82"/>
    <x v="2"/>
    <s v="pagado"/>
    <s v="pagado"/>
    <x v="0"/>
    <x v="0"/>
  </r>
  <r>
    <n v="3000003150"/>
    <d v="2025-06-13T00:00:00"/>
    <n v="3713118.49"/>
    <s v="MOYANO JUAN VICTOR TUCUMAN 14"/>
    <x v="525"/>
    <n v="3713118.49"/>
    <x v="82"/>
    <x v="2"/>
    <s v="pagado"/>
    <s v="pagado"/>
    <x v="0"/>
    <x v="0"/>
  </r>
  <r>
    <n v="3000003151"/>
    <d v="2025-06-13T00:00:00"/>
    <n v="3410663.1"/>
    <s v="Racedo Martin MONTEROS 14"/>
    <x v="526"/>
    <n v="3410663.1"/>
    <x v="82"/>
    <x v="2"/>
    <s v="pagado"/>
    <s v="pagado"/>
    <x v="0"/>
    <x v="0"/>
  </r>
  <r>
    <n v="3000003152"/>
    <d v="2025-06-13T00:00:00"/>
    <n v="5675483.3499999996"/>
    <s v="PERATO LUIS ALBERTO BANDA DEL RIO SALI 14"/>
    <x v="527"/>
    <n v="5675483.3499999996"/>
    <x v="82"/>
    <x v="2"/>
    <s v="pagado"/>
    <s v="pagado"/>
    <x v="0"/>
    <x v="0"/>
  </r>
  <r>
    <n v="3000003153"/>
    <d v="2025-06-13T00:00:00"/>
    <n v="5813690.2999999998"/>
    <s v="GOMEZ JUANA ROSA VILLA LA TRINIDAD 14"/>
    <x v="528"/>
    <n v="5813690.2999999998"/>
    <x v="82"/>
    <x v="2"/>
    <s v="pagado"/>
    <s v="pagado"/>
    <x v="0"/>
    <x v="0"/>
  </r>
  <r>
    <n v="3000003154"/>
    <d v="2025-06-13T00:00:00"/>
    <n v="9314352.7899999991"/>
    <s v="ALVAREZ RENE JOSE MARIA BELLA VISTA 14"/>
    <x v="529"/>
    <n v="9314352.7899999991"/>
    <x v="82"/>
    <x v="2"/>
    <s v="pagado"/>
    <s v="pagado"/>
    <x v="0"/>
    <x v="0"/>
  </r>
  <r>
    <n v="3000003155"/>
    <d v="2025-06-13T00:00:00"/>
    <n v="7000000"/>
    <s v="MG SERVICIOS AGROPECUARIOS SASTAFI VIEJO 14"/>
    <x v="530"/>
    <n v="7000000"/>
    <x v="82"/>
    <x v="2"/>
    <s v="pagado"/>
    <s v="pagado"/>
    <x v="0"/>
    <x v="0"/>
  </r>
  <r>
    <n v="3000003155"/>
    <d v="2025-06-13T00:00:00"/>
    <n v="5000000"/>
    <s v="MG SERVICIOS AGROPECUARIOS SASTAFI VIEJO 14"/>
    <x v="531"/>
    <n v="5000000"/>
    <x v="82"/>
    <x v="2"/>
    <s v="pagado"/>
    <s v="pagado"/>
    <x v="0"/>
    <x v="0"/>
  </r>
  <r>
    <n v="3000003155"/>
    <d v="2025-06-13T00:00:00"/>
    <n v="10000000"/>
    <s v="MG SERVICIOS AGROPECUARIOS SASTAFI VIEJO 14"/>
    <x v="532"/>
    <n v="10000000"/>
    <x v="82"/>
    <x v="2"/>
    <s v="pagado"/>
    <s v="pagado"/>
    <x v="0"/>
    <x v="0"/>
  </r>
  <r>
    <n v="3000003155"/>
    <d v="2025-06-13T00:00:00"/>
    <n v="30000000"/>
    <s v="MG SERVICIOS AGROPECUARIOS SASTAFI VIEJO 14"/>
    <x v="533"/>
    <n v="30000000"/>
    <x v="82"/>
    <x v="2"/>
    <s v="pagado"/>
    <s v="pagado"/>
    <x v="0"/>
    <x v="0"/>
  </r>
  <r>
    <n v="3000003155"/>
    <d v="2025-06-13T00:00:00"/>
    <n v="35678329.469999999"/>
    <s v="MG SERVICIOS AGROPECUARIOS SASTAFI VIEJO 14"/>
    <x v="534"/>
    <n v="35678329.469999999"/>
    <x v="82"/>
    <x v="2"/>
    <s v="pagado"/>
    <s v="pagado"/>
    <x v="0"/>
    <x v="0"/>
  </r>
  <r>
    <n v="3000003192"/>
    <d v="2025-06-17T00:00:00"/>
    <n v="4630820.46"/>
    <s v="BESTANI LEANDRO EXEQUIEL SAN MIGUEL DE TUCUMAN 14"/>
    <x v="535"/>
    <n v="4630820.46"/>
    <x v="82"/>
    <x v="0"/>
    <s v="pagado"/>
    <s v="pagado"/>
    <x v="0"/>
    <x v="0"/>
  </r>
  <r>
    <n v="3000003193"/>
    <d v="2025-06-17T00:00:00"/>
    <n v="10000000"/>
    <s v="RL SOLUCIONES S. A. S. SAN MIGUEL DE TUCUMAN 14"/>
    <x v="536"/>
    <n v="10000000"/>
    <x v="82"/>
    <x v="0"/>
    <s v="pagado"/>
    <s v="pagado"/>
    <x v="0"/>
    <x v="0"/>
  </r>
  <r>
    <n v="3000003193"/>
    <d v="2025-06-17T00:00:00"/>
    <n v="10083327.779999999"/>
    <s v="RL SOLUCIONES S. A. S. SAN MIGUEL DE TUCUMAN 14"/>
    <x v="537"/>
    <n v="10083327.779999999"/>
    <x v="83"/>
    <x v="0"/>
    <s v="pagado"/>
    <s v="pagado"/>
    <x v="0"/>
    <x v="0"/>
  </r>
  <r>
    <n v="3000003194"/>
    <d v="2025-06-17T00:00:00"/>
    <n v="16000000"/>
    <s v="CAPETTA ANTONELLA ANAHI SAN MIGUEL DE TUCUMAN 14"/>
    <x v="538"/>
    <n v="16000000"/>
    <x v="82"/>
    <x v="0"/>
    <s v="pagado"/>
    <s v="pagado"/>
    <x v="0"/>
    <x v="0"/>
  </r>
  <r>
    <n v="3000003194"/>
    <d v="2025-06-17T00:00:00"/>
    <n v="16218247.369999999"/>
    <s v="CAPETTA ANTONELLA ANAHI SAN MIGUEL DE TUCUMAN 14"/>
    <x v="539"/>
    <n v="16218247.369999999"/>
    <x v="83"/>
    <x v="0"/>
    <s v="pagado"/>
    <s v="pagado"/>
    <x v="0"/>
    <x v="0"/>
  </r>
  <r>
    <n v="3000003195"/>
    <d v="2025-06-17T00:00:00"/>
    <n v="11000000"/>
    <s v="TRANSPORTE FRIOS DEL NORTE S.RSAN MIGUEL DE TUCUMAN 14"/>
    <x v="540"/>
    <n v="11000000"/>
    <x v="82"/>
    <x v="0"/>
    <s v="pagado"/>
    <s v="pagado"/>
    <x v="0"/>
    <x v="0"/>
  </r>
  <r>
    <n v="3000003195"/>
    <d v="2025-06-17T00:00:00"/>
    <n v="10053783.98"/>
    <s v="TRANSPORTE FRIOS DEL NORTE S.RSAN MIGUEL DE TUCUMAN 14"/>
    <x v="541"/>
    <n v="10053783.98"/>
    <x v="83"/>
    <x v="0"/>
    <s v="pagado"/>
    <s v="pagado"/>
    <x v="0"/>
    <x v="0"/>
  </r>
  <r>
    <n v="3000003196"/>
    <d v="2025-06-17T00:00:00"/>
    <n v="10000000"/>
    <s v="Silver Freight Logistic SRL CAPITAL FEDERAL 00"/>
    <x v="542"/>
    <n v="10000000"/>
    <x v="82"/>
    <x v="0"/>
    <s v="pagado"/>
    <s v="pagado"/>
    <x v="0"/>
    <x v="0"/>
  </r>
  <r>
    <n v="3000003196"/>
    <d v="2025-06-17T00:00:00"/>
    <n v="10887200"/>
    <s v="Silver Freight Logistic SRL CAPITAL FEDERAL 00"/>
    <x v="543"/>
    <n v="10887200"/>
    <x v="83"/>
    <x v="0"/>
    <s v="pagado"/>
    <s v="pagado"/>
    <x v="0"/>
    <x v="0"/>
  </r>
  <r>
    <n v="3000003197"/>
    <d v="2025-06-17T00:00:00"/>
    <n v="12330887.6"/>
    <s v="BUENOS AIRES COMEX S.R.L. BANFIELD 14"/>
    <x v="544"/>
    <n v="12330887.6"/>
    <x v="82"/>
    <x v="0"/>
    <s v="pagado"/>
    <s v="pagado"/>
    <x v="0"/>
    <x v="0"/>
  </r>
  <r>
    <n v="3000003198"/>
    <d v="2025-06-17T00:00:00"/>
    <n v="5966191.7400000002"/>
    <s v="MOREY SERGIO GUILLERMO LOS GUTIERREZ-ALDERETES 14"/>
    <x v="545"/>
    <n v="5966191.7400000002"/>
    <x v="82"/>
    <x v="0"/>
    <s v="pagado"/>
    <s v="pagado"/>
    <x v="0"/>
    <x v="0"/>
  </r>
  <r>
    <n v="3000003199"/>
    <d v="2025-06-17T00:00:00"/>
    <n v="6980091.1399999997"/>
    <s v="Bustos Sergio Alejandro Banda Rio Sali 14"/>
    <x v="546"/>
    <n v="6980091.1399999997"/>
    <x v="82"/>
    <x v="0"/>
    <s v="pagado"/>
    <s v="pagado"/>
    <x v="0"/>
    <x v="0"/>
  </r>
  <r>
    <n v="3000003200"/>
    <d v="2025-06-17T00:00:00"/>
    <n v="9602807.5899999999"/>
    <s v="Ag Naum SA SAN MIGUEL DE TUCUMAN 14"/>
    <x v="547"/>
    <n v="9602807.5899999999"/>
    <x v="82"/>
    <x v="0"/>
    <s v="pagado"/>
    <s v="pagado"/>
    <x v="0"/>
    <x v="0"/>
  </r>
  <r>
    <n v="3000003201"/>
    <d v="2025-06-17T00:00:00"/>
    <n v="6749707.1799999997"/>
    <s v="JLA ARGENTINA S A GENERAL CABRERA 03"/>
    <x v="548"/>
    <n v="6749707.1799999997"/>
    <x v="82"/>
    <x v="0"/>
    <s v="pagado"/>
    <s v="pagado"/>
    <x v="0"/>
    <x v="0"/>
  </r>
  <r>
    <n v="3000003202"/>
    <d v="2025-06-17T00:00:00"/>
    <n v="20000000"/>
    <s v="Jeblab S.R.L. YERBA BUENA 14"/>
    <x v="549"/>
    <n v="20000000"/>
    <x v="82"/>
    <x v="0"/>
    <s v="pagado"/>
    <s v="pagado"/>
    <x v="0"/>
    <x v="0"/>
  </r>
  <r>
    <n v="3000003202"/>
    <d v="2025-06-17T00:00:00"/>
    <n v="15205593.4"/>
    <s v="Jeblab S.R.L. YERBA BUENA 14"/>
    <x v="550"/>
    <n v="15205593.4"/>
    <x v="83"/>
    <x v="0"/>
    <s v="pagado"/>
    <s v="pagado"/>
    <x v="0"/>
    <x v="0"/>
  </r>
  <r>
    <n v="3000003203"/>
    <d v="2025-06-17T00:00:00"/>
    <n v="8000000"/>
    <s v="MG SERVICIOS AGROPECUARIOS SASTAFI VIEJO 14"/>
    <x v="551"/>
    <n v="8000000"/>
    <x v="82"/>
    <x v="0"/>
    <s v="pagado"/>
    <s v="pagado"/>
    <x v="0"/>
    <x v="0"/>
  </r>
  <r>
    <n v="3000003203"/>
    <d v="2025-06-17T00:00:00"/>
    <n v="7251223.9299999997"/>
    <s v="MG SERVICIOS AGROPECUARIOS SASTAFI VIEJO 14"/>
    <x v="552"/>
    <n v="7251223.9299999997"/>
    <x v="83"/>
    <x v="0"/>
    <s v="pagado"/>
    <s v="pagado"/>
    <x v="0"/>
    <x v="0"/>
  </r>
  <r>
    <n v="3000003204"/>
    <d v="2025-06-17T00:00:00"/>
    <n v="20000000"/>
    <s v="SMART SEGURIDAD SA YERBA BUENA 14"/>
    <x v="553"/>
    <n v="20000000"/>
    <x v="82"/>
    <x v="0"/>
    <s v="pagado"/>
    <s v="pagado"/>
    <x v="0"/>
    <x v="0"/>
  </r>
  <r>
    <n v="3000003204"/>
    <d v="2025-06-17T00:00:00"/>
    <n v="14349218.08"/>
    <s v="SMART SEGURIDAD SA YERBA BUENA 14"/>
    <x v="554"/>
    <n v="14349218.08"/>
    <x v="83"/>
    <x v="0"/>
    <s v="pagado"/>
    <s v="pagado"/>
    <x v="0"/>
    <x v="0"/>
  </r>
  <r>
    <n v="3000003205"/>
    <d v="2025-06-17T00:00:00"/>
    <n v="2835506.02"/>
    <s v="HERECITRUS SRL SAN MIGUEL DE TUCUMAN 14"/>
    <x v="555"/>
    <n v="2835506.02"/>
    <x v="82"/>
    <x v="0"/>
    <s v="pagado"/>
    <s v="pagado"/>
    <x v="0"/>
    <x v="0"/>
  </r>
  <r>
    <n v="3000003206"/>
    <d v="2025-06-17T00:00:00"/>
    <n v="3429507.82"/>
    <s v="JOSE DUMIT SA SAN MIGUEL DE TUCUMAN 14"/>
    <x v="556"/>
    <n v="3429507.82"/>
    <x v="82"/>
    <x v="0"/>
    <s v="pagado"/>
    <s v="pagado"/>
    <x v="0"/>
    <x v="0"/>
  </r>
  <r>
    <n v="3000003207"/>
    <d v="2025-06-17T00:00:00"/>
    <n v="14179847.67"/>
    <s v="CITRAR SRL SAN MIGUEL DE TUCUMAN 14"/>
    <x v="557"/>
    <n v="14179847.67"/>
    <x v="82"/>
    <x v="0"/>
    <s v="pagado"/>
    <s v="pagado"/>
    <x v="0"/>
    <x v="0"/>
  </r>
  <r>
    <n v="3000003191"/>
    <d v="2025-06-17T00:00:00"/>
    <n v="42588420"/>
    <s v="EDET S.A. SAN MIGUEL DE TUCUMAN 14"/>
    <x v="558"/>
    <n v="42588420"/>
    <x v="84"/>
    <x v="1"/>
    <s v="pagado"/>
    <s v="pagado"/>
    <x v="0"/>
    <x v="0"/>
  </r>
  <r>
    <n v="3000003292"/>
    <d v="2025-06-23T00:00:00"/>
    <n v="27787142"/>
    <s v="TUCUMAN PALLET SRL EL MANANTIAL 14"/>
    <x v="559"/>
    <n v="27787142"/>
    <x v="85"/>
    <x v="2"/>
    <s v="pagado"/>
    <s v="pagado"/>
    <x v="0"/>
    <x v="0"/>
  </r>
  <r>
    <n v="3000003294"/>
    <d v="2025-06-23T00:00:00"/>
    <n v="3579105"/>
    <s v="TRUSARELLI CARLOS ALBERTO BANDA DEL RIO SALI 14"/>
    <x v="560"/>
    <n v="3579105"/>
    <x v="85"/>
    <x v="2"/>
    <s v="pagado"/>
    <s v="pagado"/>
    <x v="0"/>
    <x v="0"/>
  </r>
  <r>
    <n v="3000003295"/>
    <d v="2025-06-23T00:00:00"/>
    <n v="8194737.7000000002"/>
    <s v="ROMERO SERVICIOS S. A. S. ALPACHIRI 14"/>
    <x v="561"/>
    <n v="8194737.7000000002"/>
    <x v="85"/>
    <x v="2"/>
    <s v="pagado"/>
    <s v="pagado"/>
    <x v="0"/>
    <x v="0"/>
  </r>
  <r>
    <n v="3000003296"/>
    <d v="2025-06-23T00:00:00"/>
    <n v="10038095.4"/>
    <s v="SEGURIDAD OMEGA SRL SAN FERNANDO DEL VALLE DE CATAMARCA 02"/>
    <x v="562"/>
    <n v="10038095.4"/>
    <x v="86"/>
    <x v="2"/>
    <s v="pagado"/>
    <s v="pagado"/>
    <x v="0"/>
    <x v="0"/>
  </r>
  <r>
    <n v="3000003304"/>
    <d v="2025-06-23T00:00:00"/>
    <n v="7548120.8099999996"/>
    <s v="PAMPLONA SRL SAN MIGUEL DE TUCUMAN 14"/>
    <x v="563"/>
    <n v="7548120.8099999996"/>
    <x v="85"/>
    <x v="2"/>
    <s v="pagado"/>
    <s v="pagado"/>
    <x v="0"/>
    <x v="0"/>
  </r>
  <r>
    <n v="3000003306"/>
    <d v="2025-06-23T00:00:00"/>
    <n v="18435105.66"/>
    <s v="VIRAL IMPORTS SA YERBA BUENA 14"/>
    <x v="564"/>
    <n v="18435105.66"/>
    <x v="86"/>
    <x v="2"/>
    <s v="pagado"/>
    <s v="pagado"/>
    <x v="0"/>
    <x v="0"/>
  </r>
  <r>
    <n v="3000003307"/>
    <d v="2025-06-23T00:00:00"/>
    <n v="5325235.5"/>
    <s v="ANJOR SA CORDOBA 03"/>
    <x v="565"/>
    <n v="5325235.5"/>
    <x v="85"/>
    <x v="2"/>
    <s v="pagado"/>
    <s v="pagado"/>
    <x v="0"/>
    <x v="0"/>
  </r>
  <r>
    <n v="3000003309"/>
    <d v="2025-06-23T00:00:00"/>
    <n v="0"/>
    <s v="invalidado med.EOLIVERA -Vencimiento BCRA"/>
    <x v="566"/>
    <n v="0"/>
    <x v="85"/>
    <x v="2"/>
    <s v="no pagado"/>
    <s v="fuera de fecha"/>
    <x v="0"/>
    <x v="0"/>
  </r>
  <r>
    <n v="3000003310"/>
    <d v="2025-06-23T00:00:00"/>
    <n v="4711555.01"/>
    <s v="Arias Gonzalo Alejandro San Miguel de Tucumán 14"/>
    <x v="567"/>
    <n v="4711555.01"/>
    <x v="85"/>
    <x v="2"/>
    <s v="pagado"/>
    <s v="pagado"/>
    <x v="0"/>
    <x v="0"/>
  </r>
  <r>
    <n v="3000003312"/>
    <d v="2025-06-23T00:00:00"/>
    <n v="3023142.36"/>
    <s v="SLEIMAN JOSE RODOLFO ALDERETES 14"/>
    <x v="568"/>
    <n v="3023142.36"/>
    <x v="85"/>
    <x v="2"/>
    <s v="pagado"/>
    <s v="pagado"/>
    <x v="0"/>
    <x v="0"/>
  </r>
  <r>
    <n v="3000003313"/>
    <d v="2025-06-23T00:00:00"/>
    <n v="13996405.65"/>
    <s v="ACOSTA ROQUE RAMON SAN MIGUEL DE TUCUMAN 14"/>
    <x v="569"/>
    <n v="13996405.65"/>
    <x v="85"/>
    <x v="2"/>
    <s v="pagado"/>
    <s v="pagado"/>
    <x v="0"/>
    <x v="0"/>
  </r>
  <r>
    <n v="3000003314"/>
    <d v="2025-06-23T00:00:00"/>
    <n v="2198231.7799999998"/>
    <s v="GONZALEZ SANTIAGO ROQUE TAFI VIEJO 14"/>
    <x v="570"/>
    <n v="2198231.7799999998"/>
    <x v="85"/>
    <x v="2"/>
    <s v="no pagado"/>
    <s v="fuera de fecha"/>
    <x v="0"/>
    <x v="0"/>
  </r>
  <r>
    <n v="3000003315"/>
    <d v="2025-06-23T00:00:00"/>
    <n v="6957670.3899999997"/>
    <s v="SUAREZ MANUEL RODOLFO ALDERETES 14"/>
    <x v="571"/>
    <n v="6957670.3899999997"/>
    <x v="85"/>
    <x v="2"/>
    <s v="pagado"/>
    <s v="pagado"/>
    <x v="0"/>
    <x v="0"/>
  </r>
  <r>
    <n v="3000003317"/>
    <d v="2025-06-23T00:00:00"/>
    <n v="5723915.6299999999"/>
    <s v="HERRERA RICARDO ALBERTO BANDA DEL RIO SALI 14"/>
    <x v="572"/>
    <n v="5723915.6299999999"/>
    <x v="85"/>
    <x v="2"/>
    <s v="pagado"/>
    <s v="pagado"/>
    <x v="0"/>
    <x v="0"/>
  </r>
  <r>
    <n v="3000003318"/>
    <d v="2025-06-23T00:00:00"/>
    <n v="4592469.97"/>
    <s v="LOBO BENICIO MARTIN ALDERETES 14"/>
    <x v="573"/>
    <n v="4592469.97"/>
    <x v="85"/>
    <x v="2"/>
    <s v="pagado"/>
    <s v="pagado"/>
    <x v="0"/>
    <x v="0"/>
  </r>
  <r>
    <n v="3000003319"/>
    <d v="2025-06-23T00:00:00"/>
    <n v="21294050.120000001"/>
    <s v="CEFAS S.A CIUDAD AUTONOMA DE BUENOS AIRES 01"/>
    <x v="574"/>
    <n v="21294050.120000001"/>
    <x v="87"/>
    <x v="2"/>
    <s v="pagado"/>
    <s v="pagado"/>
    <x v="0"/>
    <x v="0"/>
  </r>
  <r>
    <n v="3000003290"/>
    <d v="2025-06-23T00:00:00"/>
    <n v="219588080"/>
    <s v="EDET S.A. SAN MIGUEL DE TUCUMAN 14"/>
    <x v="575"/>
    <n v="219588080"/>
    <x v="83"/>
    <x v="0"/>
    <s v="pagado"/>
    <s v="pagado"/>
    <x v="0"/>
    <x v="0"/>
  </r>
  <r>
    <n v="3000003356"/>
    <d v="2025-06-24T00:00:00"/>
    <n v="2263590"/>
    <s v="EDET S.A. SAN MIGUEL DE TUCUMAN 14"/>
    <x v="576"/>
    <n v="2263590"/>
    <x v="85"/>
    <x v="0"/>
    <s v="pagado"/>
    <s v="pagado"/>
    <x v="0"/>
    <x v="0"/>
  </r>
  <r>
    <n v="3000003393"/>
    <d v="2025-06-25T00:00:00"/>
    <n v="3203580.11"/>
    <s v="TRANSPORTE MEDINA S.H. CRUZ ALTA 14"/>
    <x v="577"/>
    <n v="3203580.11"/>
    <x v="86"/>
    <x v="0"/>
    <s v="pagado"/>
    <s v="pagado"/>
    <x v="0"/>
    <x v="0"/>
  </r>
  <r>
    <n v="3000003394"/>
    <d v="2025-06-25T00:00:00"/>
    <n v="20874644.699999999"/>
    <s v="AGRO ALIANZA SA TAFI VIEJO 14"/>
    <x v="578"/>
    <n v="20874644.699999999"/>
    <x v="87"/>
    <x v="2"/>
    <s v="pagado"/>
    <s v="pagado"/>
    <x v="0"/>
    <x v="0"/>
  </r>
  <r>
    <n v="3000003395"/>
    <d v="2025-06-25T00:00:00"/>
    <n v="3350566.66"/>
    <s v="MENDEZ, MARTIN ALBERTO SAN MIGUEL DE TUCUMAN 14"/>
    <x v="579"/>
    <n v="3350566.66"/>
    <x v="87"/>
    <x v="2"/>
    <s v="pagado"/>
    <s v="pagado"/>
    <x v="0"/>
    <x v="0"/>
  </r>
  <r>
    <n v="3000003396"/>
    <d v="2025-06-25T00:00:00"/>
    <n v="21074118.09"/>
    <s v="ROMERO SERVICIOS S. A. S. ALPACHIRI 14"/>
    <x v="580"/>
    <n v="21074118.09"/>
    <x v="87"/>
    <x v="2"/>
    <s v="pagado"/>
    <s v="pagado"/>
    <x v="0"/>
    <x v="0"/>
  </r>
  <r>
    <n v="3000003397"/>
    <d v="2025-06-25T00:00:00"/>
    <n v="39978715.689999998"/>
    <s v="PAMPLONA SRL SAN MIGUEL DE TUCUMAN 14"/>
    <x v="581"/>
    <n v="39978715.689999998"/>
    <x v="87"/>
    <x v="2"/>
    <s v="pagado"/>
    <s v="pagado"/>
    <x v="0"/>
    <x v="0"/>
  </r>
  <r>
    <n v="3000003398"/>
    <d v="2025-06-25T00:00:00"/>
    <n v="12536088.23"/>
    <s v="SAUCE HUACHO SERVICIOS S.R.L MONTEROS 14"/>
    <x v="582"/>
    <n v="12536088.23"/>
    <x v="87"/>
    <x v="2"/>
    <s v="pagado"/>
    <s v="pagado"/>
    <x v="0"/>
    <x v="0"/>
  </r>
  <r>
    <n v="3000003399"/>
    <d v="2025-06-25T00:00:00"/>
    <n v="11883729.300000001"/>
    <s v="INSITU S.R.L SAN MIGUEL DE TUCUMAN 14"/>
    <x v="583"/>
    <n v="11883729.300000001"/>
    <x v="87"/>
    <x v="2"/>
    <s v="pagado"/>
    <s v="pagado"/>
    <x v="0"/>
    <x v="0"/>
  </r>
  <r>
    <n v="3000003400"/>
    <d v="2025-06-25T00:00:00"/>
    <n v="4557000"/>
    <s v="MARIN TOMAS LAZARO CAFAYATE - SALTA 09"/>
    <x v="584"/>
    <n v="4557000"/>
    <x v="87"/>
    <x v="2"/>
    <s v="pagado"/>
    <s v="pagado"/>
    <x v="0"/>
    <x v="0"/>
  </r>
  <r>
    <n v="3000003401"/>
    <d v="2025-06-25T00:00:00"/>
    <n v="7694216.2000000002"/>
    <s v="Gonzalez Jose Luis Lastenia 14"/>
    <x v="585"/>
    <n v="7694216.2000000002"/>
    <x v="88"/>
    <x v="2"/>
    <s v="pagado"/>
    <s v="pagado"/>
    <x v="0"/>
    <x v="0"/>
  </r>
  <r>
    <n v="3000003402"/>
    <d v="2025-06-25T00:00:00"/>
    <n v="15309349.109999999"/>
    <s v="D´ANDREA SERGIO FRANCISCO YERBA BUENA 14"/>
    <x v="586"/>
    <n v="15309349.109999999"/>
    <x v="88"/>
    <x v="2"/>
    <s v="pagado"/>
    <s v="pagado"/>
    <x v="0"/>
    <x v="0"/>
  </r>
  <r>
    <n v="3000003403"/>
    <d v="2025-06-25T00:00:00"/>
    <n v="4113417.9"/>
    <s v="PERATO LUIS ALBERTO BANDA DEL RIO SALI 14"/>
    <x v="587"/>
    <n v="4113417.9"/>
    <x v="88"/>
    <x v="2"/>
    <s v="pagado"/>
    <s v="pagado"/>
    <x v="0"/>
    <x v="0"/>
  </r>
  <r>
    <n v="3000003404"/>
    <d v="2025-06-25T00:00:00"/>
    <n v="3764402.17"/>
    <s v="PEDRO GABRIEL ALEJANDRO ALDERETES 14"/>
    <x v="588"/>
    <n v="3764402.17"/>
    <x v="88"/>
    <x v="2"/>
    <s v="pagado"/>
    <s v="pagado"/>
    <x v="0"/>
    <x v="0"/>
  </r>
  <r>
    <n v="3000003405"/>
    <d v="2025-06-25T00:00:00"/>
    <n v="11395701.310000001"/>
    <s v="Vaquera Francisco Alfredo Monteros 14"/>
    <x v="589"/>
    <n v="11395701.310000001"/>
    <x v="88"/>
    <x v="2"/>
    <s v="pagado"/>
    <s v="pagado"/>
    <x v="0"/>
    <x v="0"/>
  </r>
  <r>
    <n v="3000003406"/>
    <d v="2025-06-25T00:00:00"/>
    <n v="9357237.3200000003"/>
    <s v="TRANSPORTE FRIOS DEL NORTE S.RSAN MIGUEL DE TUCUMAN 14"/>
    <x v="590"/>
    <n v="9357237.3200000003"/>
    <x v="88"/>
    <x v="2"/>
    <s v="pagado"/>
    <s v="pagado"/>
    <x v="0"/>
    <x v="0"/>
  </r>
  <r>
    <n v="3000003407"/>
    <d v="2025-06-25T00:00:00"/>
    <n v="14382842.76"/>
    <s v="RL SOLUCIONES S. A. S. SAN MIGUEL DE TUCUMAN 14"/>
    <x v="591"/>
    <n v="14382842.76"/>
    <x v="88"/>
    <x v="2"/>
    <s v="pagado"/>
    <s v="pagado"/>
    <x v="0"/>
    <x v="0"/>
  </r>
  <r>
    <n v="3000003408"/>
    <d v="2025-06-25T00:00:00"/>
    <n v="8292873.4000000004"/>
    <s v="CAPETTA ANTONELLA ANAHI SAN MIGUEL DE TUCUMAN 14"/>
    <x v="592"/>
    <n v="8292873.4000000004"/>
    <x v="88"/>
    <x v="2"/>
    <s v="pagado"/>
    <s v="pagado"/>
    <x v="0"/>
    <x v="0"/>
  </r>
  <r>
    <n v="3000003409"/>
    <d v="2025-06-25T00:00:00"/>
    <n v="4138777.77"/>
    <s v="MAC DONALD MIGUEL ALEJANDRO BANDA DEL RIO SALI 14"/>
    <x v="593"/>
    <n v="4138777.77"/>
    <x v="88"/>
    <x v="2"/>
    <s v="pagado"/>
    <s v="pagado"/>
    <x v="0"/>
    <x v="0"/>
  </r>
  <r>
    <n v="3000003410"/>
    <d v="2025-06-25T00:00:00"/>
    <n v="4231992.71"/>
    <s v="LOGISTICA Y DISTRIBUCION FEDE CAPITAL FEDERAL 00"/>
    <x v="594"/>
    <n v="4231992.71"/>
    <x v="88"/>
    <x v="2"/>
    <s v="pagado"/>
    <s v="pagado"/>
    <x v="0"/>
    <x v="0"/>
  </r>
  <r>
    <n v="3000003411"/>
    <d v="2025-06-25T00:00:00"/>
    <n v="4353550.68"/>
    <s v="FERNANDEZ HECTOR JOSE SIMOCA 14"/>
    <x v="595"/>
    <n v="4353550.68"/>
    <x v="88"/>
    <x v="2"/>
    <s v="pagado"/>
    <s v="pagado"/>
    <x v="0"/>
    <x v="0"/>
  </r>
  <r>
    <n v="3000003412"/>
    <d v="2025-06-25T00:00:00"/>
    <n v="3488147.05"/>
    <s v="Arias Gonzalo Alejandro San Miguel de Tucumán 14"/>
    <x v="596"/>
    <n v="3488147.05"/>
    <x v="88"/>
    <x v="2"/>
    <s v="pagado"/>
    <s v="pagado"/>
    <x v="0"/>
    <x v="0"/>
  </r>
  <r>
    <n v="3000003413"/>
    <d v="2025-06-25T00:00:00"/>
    <n v="6078687.3300000001"/>
    <s v="Bustos Sergio Alejandro Banda Rio Sali 14"/>
    <x v="597"/>
    <n v="6078687.3300000001"/>
    <x v="88"/>
    <x v="2"/>
    <s v="pagado"/>
    <s v="pagado"/>
    <x v="0"/>
    <x v="0"/>
  </r>
  <r>
    <n v="3000003414"/>
    <d v="2025-06-25T00:00:00"/>
    <n v="4253920.29"/>
    <s v="TORRES JUAN RAMON ALDERETES 14"/>
    <x v="598"/>
    <n v="4253920.29"/>
    <x v="88"/>
    <x v="2"/>
    <s v="pagado"/>
    <s v="pagado"/>
    <x v="0"/>
    <x v="0"/>
  </r>
  <r>
    <n v="3000003415"/>
    <d v="2025-06-25T00:00:00"/>
    <n v="8428990.5999999996"/>
    <s v="PERATO CRISTIAN LUIS BANDA DEL RIO SALI 14"/>
    <x v="599"/>
    <n v="8428990.5999999996"/>
    <x v="88"/>
    <x v="2"/>
    <s v="pagado"/>
    <s v="pagado"/>
    <x v="0"/>
    <x v="0"/>
  </r>
  <r>
    <n v="3000003416"/>
    <d v="2025-06-25T00:00:00"/>
    <n v="7865678"/>
    <s v="CEMEVA SAS YERBA BUENA 14"/>
    <x v="600"/>
    <n v="7865678"/>
    <x v="88"/>
    <x v="2"/>
    <s v="pagado"/>
    <s v="pagado"/>
    <x v="0"/>
    <x v="0"/>
  </r>
  <r>
    <n v="3000003417"/>
    <d v="2025-06-25T00:00:00"/>
    <n v="5990114.6299999999"/>
    <s v="VILLAGRA VELEZ ROQUE RICARDO SAN MIGUEL DE TUCUMAN 14"/>
    <x v="601"/>
    <n v="5990114.6299999999"/>
    <x v="88"/>
    <x v="2"/>
    <s v="pagado"/>
    <s v="pagado"/>
    <x v="0"/>
    <x v="0"/>
  </r>
  <r>
    <n v="3000003418"/>
    <d v="2025-06-25T00:00:00"/>
    <n v="19970612.600000001"/>
    <s v="LANCHELA HECTOR ROLANDO CONCEPCION 14"/>
    <x v="602"/>
    <n v="19970612.600000001"/>
    <x v="88"/>
    <x v="2"/>
    <s v="pagado"/>
    <s v="pagado"/>
    <x v="0"/>
    <x v="0"/>
  </r>
  <r>
    <n v="3000003493"/>
    <d v="2025-06-30T00:00:00"/>
    <n v="54814678.590000004"/>
    <s v="COVIL S.A. CEVIL POZO 14"/>
    <x v="603"/>
    <n v="54814678.590000004"/>
    <x v="89"/>
    <x v="2"/>
    <s v="pagado"/>
    <s v="pagado"/>
    <x v="0"/>
    <x v="0"/>
  </r>
  <r>
    <n v="3000003493"/>
    <d v="2025-06-30T00:00:00"/>
    <n v="1133271.3999999999"/>
    <s v="COVIL S.A. CEVIL POZO 14"/>
    <x v="604"/>
    <n v="1133271.3999999999"/>
    <x v="89"/>
    <x v="2"/>
    <s v="pagado"/>
    <s v="pagado"/>
    <x v="0"/>
    <x v="0"/>
  </r>
  <r>
    <n v="3000003493"/>
    <d v="2025-06-30T00:00:00"/>
    <n v="2732562.03"/>
    <s v="COVIL S.A. CEVIL POZO 14"/>
    <x v="605"/>
    <n v="2732562.03"/>
    <x v="89"/>
    <x v="2"/>
    <s v="pagado"/>
    <s v="pagado"/>
    <x v="0"/>
    <x v="0"/>
  </r>
  <r>
    <n v="3000003493"/>
    <d v="2025-06-30T00:00:00"/>
    <n v="7070542.9000000004"/>
    <s v="COVIL S.A. CEVIL POZO 14"/>
    <x v="606"/>
    <n v="7070542.9000000004"/>
    <x v="89"/>
    <x v="2"/>
    <s v="pagado"/>
    <s v="pagado"/>
    <x v="0"/>
    <x v="0"/>
  </r>
  <r>
    <n v="3000003493"/>
    <d v="2025-06-30T00:00:00"/>
    <n v="2343060.31"/>
    <s v="COVIL S.A. CEVIL POZO 14"/>
    <x v="607"/>
    <n v="2343060.31"/>
    <x v="89"/>
    <x v="2"/>
    <s v="pagado"/>
    <s v="pagado"/>
    <x v="0"/>
    <x v="0"/>
  </r>
  <r>
    <n v="3000003493"/>
    <d v="2025-06-30T00:00:00"/>
    <n v="872386.75"/>
    <s v="COVIL S.A. CEVIL POZO 14"/>
    <x v="608"/>
    <n v="872386.75"/>
    <x v="89"/>
    <x v="2"/>
    <s v="pagado"/>
    <s v="pagado"/>
    <x v="0"/>
    <x v="0"/>
  </r>
  <r>
    <n v="3000003493"/>
    <d v="2025-06-30T00:00:00"/>
    <n v="444050.81"/>
    <s v="COVIL S.A. CEVIL POZO 14"/>
    <x v="609"/>
    <n v="444050.81"/>
    <x v="90"/>
    <x v="2"/>
    <s v="pagado"/>
    <s v="pagado"/>
    <x v="0"/>
    <x v="0"/>
  </r>
  <r>
    <n v="3000003493"/>
    <d v="2025-06-30T00:00:00"/>
    <n v="1859238.66"/>
    <s v="COVIL S.A. CEVIL POZO 14"/>
    <x v="610"/>
    <n v="1859238.66"/>
    <x v="90"/>
    <x v="2"/>
    <s v="pagado"/>
    <s v="pagado"/>
    <x v="0"/>
    <x v="0"/>
  </r>
  <r>
    <n v="3000003493"/>
    <d v="2025-06-30T00:00:00"/>
    <n v="401930.27"/>
    <s v="COVIL S.A. CEVIL POZO 14"/>
    <x v="611"/>
    <n v="401930.27"/>
    <x v="90"/>
    <x v="2"/>
    <s v="pagado"/>
    <s v="pagado"/>
    <x v="0"/>
    <x v="0"/>
  </r>
  <r>
    <n v="3000003493"/>
    <d v="2025-06-30T00:00:00"/>
    <n v="1548233.05"/>
    <s v="COVIL S.A. CEVIL POZO 14"/>
    <x v="612"/>
    <n v="1548233.05"/>
    <x v="90"/>
    <x v="2"/>
    <s v="pagado"/>
    <s v="pagado"/>
    <x v="0"/>
    <x v="0"/>
  </r>
  <r>
    <n v="3000003493"/>
    <d v="2025-06-30T00:00:00"/>
    <n v="268429.75"/>
    <s v="COVIL S.A. CEVIL POZO 14"/>
    <x v="613"/>
    <n v="268429.75"/>
    <x v="90"/>
    <x v="2"/>
    <s v="pagado"/>
    <s v="pagado"/>
    <x v="0"/>
    <x v="0"/>
  </r>
  <r>
    <n v="3000003493"/>
    <d v="2025-06-30T00:00:00"/>
    <n v="4941397.2"/>
    <s v="COVIL S.A. CEVIL POZO 14"/>
    <x v="614"/>
    <n v="4941397.2"/>
    <x v="90"/>
    <x v="2"/>
    <s v="pagado"/>
    <s v="pagado"/>
    <x v="0"/>
    <x v="0"/>
  </r>
  <r>
    <n v="3000003493"/>
    <d v="2025-06-30T00:00:00"/>
    <n v="833793.9"/>
    <s v="COVIL S.A. CEVIL POZO 14"/>
    <x v="615"/>
    <n v="833793.9"/>
    <x v="90"/>
    <x v="2"/>
    <s v="no pagado"/>
    <s v="fuera de fecha"/>
    <x v="0"/>
    <x v="0"/>
  </r>
  <r>
    <n v="3000003493"/>
    <d v="2025-06-30T00:00:00"/>
    <n v="61573593.240000002"/>
    <s v="COVIL S.A. CEVIL POZO 14"/>
    <x v="616"/>
    <n v="61573593.240000002"/>
    <x v="90"/>
    <x v="2"/>
    <s v="pagado"/>
    <s v="pagado"/>
    <x v="0"/>
    <x v="0"/>
  </r>
  <r>
    <n v="3000003493"/>
    <d v="2025-06-30T00:00:00"/>
    <n v="5746954.3200000003"/>
    <s v="COVIL S.A. CEVIL POZO 14"/>
    <x v="617"/>
    <n v="5746954.3200000003"/>
    <x v="90"/>
    <x v="2"/>
    <s v="pagado"/>
    <s v="pagado"/>
    <x v="0"/>
    <x v="0"/>
  </r>
  <r>
    <n v="3000003493"/>
    <d v="2025-06-30T00:00:00"/>
    <n v="365483.4"/>
    <s v="COVIL S.A. CEVIL POZO 14"/>
    <x v="618"/>
    <n v="365483.4"/>
    <x v="90"/>
    <x v="2"/>
    <s v="pagado"/>
    <s v="pagado"/>
    <x v="0"/>
    <x v="0"/>
  </r>
  <r>
    <n v="3000003493"/>
    <d v="2025-06-30T00:00:00"/>
    <n v="3974983.52"/>
    <s v="COVIL S.A. CEVIL POZO 14"/>
    <x v="619"/>
    <n v="3974983.52"/>
    <x v="90"/>
    <x v="2"/>
    <s v="pagado"/>
    <s v="pagado"/>
    <x v="0"/>
    <x v="0"/>
  </r>
  <r>
    <n v="3000003493"/>
    <d v="2025-06-30T00:00:00"/>
    <n v="38083000.799999997"/>
    <s v="COVIL S.A. CEVIL POZO 14"/>
    <x v="620"/>
    <n v="38083000.799999997"/>
    <x v="90"/>
    <x v="2"/>
    <s v="pagado"/>
    <s v="pagado"/>
    <x v="0"/>
    <x v="0"/>
  </r>
  <r>
    <n v="3000003493"/>
    <d v="2025-06-30T00:00:00"/>
    <n v="18662149.899999999"/>
    <s v="COVIL S.A. CEVIL POZO 14"/>
    <x v="621"/>
    <n v="18662149.899999999"/>
    <x v="90"/>
    <x v="2"/>
    <s v="pagado"/>
    <s v="pagado"/>
    <x v="0"/>
    <x v="0"/>
  </r>
  <r>
    <n v="3000003493"/>
    <d v="2025-06-30T00:00:00"/>
    <n v="8662942.3599999994"/>
    <s v="COVIL S.A. CEVIL POZO 14"/>
    <x v="622"/>
    <n v="8662942.3599999994"/>
    <x v="90"/>
    <x v="2"/>
    <s v="pagado"/>
    <s v="pagado"/>
    <x v="0"/>
    <x v="0"/>
  </r>
  <r>
    <n v="3000003493"/>
    <d v="2025-06-30T00:00:00"/>
    <n v="1117822.3400000001"/>
    <s v="COVIL S.A. CEVIL POZO 14"/>
    <x v="623"/>
    <n v="1117822.3400000001"/>
    <x v="90"/>
    <x v="2"/>
    <s v="pagado"/>
    <s v="pagado"/>
    <x v="0"/>
    <x v="0"/>
  </r>
  <r>
    <n v="3000003493"/>
    <d v="2025-06-30T00:00:00"/>
    <n v="1517147.52"/>
    <s v="COVIL S.A. CEVIL POZO 14"/>
    <x v="624"/>
    <n v="1517147.52"/>
    <x v="90"/>
    <x v="2"/>
    <s v="pagado"/>
    <s v="pagado"/>
    <x v="0"/>
    <x v="0"/>
  </r>
  <r>
    <n v="3000003493"/>
    <d v="2025-06-30T00:00:00"/>
    <n v="3993372.93"/>
    <s v="COVIL S.A. CEVIL POZO 14"/>
    <x v="625"/>
    <n v="3993372.93"/>
    <x v="90"/>
    <x v="2"/>
    <s v="pagado"/>
    <s v="pagado"/>
    <x v="0"/>
    <x v="0"/>
  </r>
  <r>
    <n v="3000003493"/>
    <d v="2025-06-30T00:00:00"/>
    <n v="1912648.4"/>
    <s v="COVIL S.A. CEVIL POZO 14"/>
    <x v="626"/>
    <n v="1912648.4"/>
    <x v="90"/>
    <x v="2"/>
    <s v="pagado"/>
    <s v="pagado"/>
    <x v="0"/>
    <x v="0"/>
  </r>
  <r>
    <n v="3000003493"/>
    <d v="2025-06-30T00:00:00"/>
    <n v="122000000"/>
    <s v="COVIL S.A. CEVIL POZO 14"/>
    <x v="627"/>
    <n v="122000000"/>
    <x v="90"/>
    <x v="2"/>
    <s v="pagado"/>
    <s v="pagado"/>
    <x v="0"/>
    <x v="0"/>
  </r>
  <r>
    <n v="3000003493"/>
    <d v="2025-06-30T00:00:00"/>
    <n v="300000000"/>
    <s v="COVIL S.A. CEVIL POZO 14"/>
    <x v="628"/>
    <n v="300000000"/>
    <x v="90"/>
    <x v="2"/>
    <s v="pagado"/>
    <s v="pagado"/>
    <x v="0"/>
    <x v="0"/>
  </r>
  <r>
    <n v="3000003493"/>
    <d v="2025-06-30T00:00:00"/>
    <n v="50000000"/>
    <s v="COVIL S.A. CEVIL POZO 14"/>
    <x v="629"/>
    <n v="50000000"/>
    <x v="90"/>
    <x v="2"/>
    <s v="pagado"/>
    <s v="pagado"/>
    <x v="0"/>
    <x v="0"/>
  </r>
  <r>
    <n v="3000003493"/>
    <d v="2025-06-30T00:00:00"/>
    <n v="50000000"/>
    <s v="COVIL S.A. CEVIL POZO 14"/>
    <x v="630"/>
    <n v="50000000"/>
    <x v="90"/>
    <x v="2"/>
    <s v="pagado"/>
    <s v="pagado"/>
    <x v="0"/>
    <x v="0"/>
  </r>
  <r>
    <n v="3000003493"/>
    <d v="2025-06-30T00:00:00"/>
    <n v="50000000"/>
    <s v="COVIL S.A. CEVIL POZO 14"/>
    <x v="631"/>
    <n v="50000000"/>
    <x v="90"/>
    <x v="2"/>
    <s v="pagado"/>
    <s v="pagado"/>
    <x v="0"/>
    <x v="0"/>
  </r>
  <r>
    <n v="3000003493"/>
    <d v="2025-06-30T00:00:00"/>
    <n v="50000000"/>
    <s v="COVIL S.A. CEVIL POZO 14"/>
    <x v="632"/>
    <n v="50000000"/>
    <x v="90"/>
    <x v="2"/>
    <s v="pagado"/>
    <s v="pagado"/>
    <x v="0"/>
    <x v="0"/>
  </r>
  <r>
    <n v="3000003493"/>
    <d v="2025-06-30T00:00:00"/>
    <n v="50000000"/>
    <s v="COVIL S.A. CEVIL POZO 14"/>
    <x v="633"/>
    <n v="50000000"/>
    <x v="90"/>
    <x v="2"/>
    <s v="pagado"/>
    <s v="pagado"/>
    <x v="0"/>
    <x v="0"/>
  </r>
  <r>
    <n v="3000003493"/>
    <d v="2025-06-30T00:00:00"/>
    <n v="32467453.350000001"/>
    <s v="COVIL S.A. CEVIL POZO 14"/>
    <x v="634"/>
    <n v="32467453.350000001"/>
    <x v="90"/>
    <x v="2"/>
    <s v="pagado"/>
    <s v="pagado"/>
    <x v="0"/>
    <x v="0"/>
  </r>
  <r>
    <n v="3000003498"/>
    <d v="2025-06-30T00:00:00"/>
    <n v="6158806.5300000003"/>
    <s v="MG SERVICIOS AGROPECUARIOS SASTAFI VIEJO 14"/>
    <x v="635"/>
    <n v="6158806.5300000003"/>
    <x v="90"/>
    <x v="2"/>
    <s v="pagado"/>
    <s v="pagado"/>
    <x v="0"/>
    <x v="0"/>
  </r>
  <r>
    <n v="3000003499"/>
    <d v="2025-06-30T00:00:00"/>
    <n v="4354537.47"/>
    <s v="GYE S.A ROSARIO SUD 12"/>
    <x v="636"/>
    <n v="4354537.47"/>
    <x v="91"/>
    <x v="2"/>
    <s v="pagado"/>
    <s v="pagado"/>
    <x v="0"/>
    <x v="0"/>
  </r>
  <r>
    <n v="3000003500"/>
    <d v="2025-06-30T00:00:00"/>
    <n v="7305998.1799999997"/>
    <s v="TUCUMAN PALLET SRL EL MANANTIAL 14"/>
    <x v="637"/>
    <n v="7305998.1799999997"/>
    <x v="90"/>
    <x v="2"/>
    <s v="pagado"/>
    <s v="pagado"/>
    <x v="0"/>
    <x v="0"/>
  </r>
  <r>
    <n v="3000003501"/>
    <d v="2025-06-30T00:00:00"/>
    <n v="15000000"/>
    <s v="MARTINEZ ZUCCARDI JORGE AGUSTISANTA LUCIA 14"/>
    <x v="638"/>
    <n v="15000000"/>
    <x v="90"/>
    <x v="2"/>
    <s v="pagado"/>
    <s v="pagado"/>
    <x v="0"/>
    <x v="0"/>
  </r>
  <r>
    <n v="3000003501"/>
    <d v="2025-06-30T00:00:00"/>
    <n v="15870968.109999999"/>
    <s v="MARTINEZ ZUCCARDI JORGE AGUSTISANTA LUCIA 14"/>
    <x v="639"/>
    <n v="15870968.109999999"/>
    <x v="91"/>
    <x v="2"/>
    <s v="pagado"/>
    <s v="pagado"/>
    <x v="0"/>
    <x v="0"/>
  </r>
  <r>
    <n v="3000003502"/>
    <d v="2025-06-30T00:00:00"/>
    <n v="9957268.25"/>
    <s v="AGRICOLA MARES S.A FAMAILLA 14"/>
    <x v="640"/>
    <n v="9957268.25"/>
    <x v="90"/>
    <x v="2"/>
    <s v="pagado"/>
    <s v="pagado"/>
    <x v="0"/>
    <x v="0"/>
  </r>
  <r>
    <n v="3000003503"/>
    <d v="2025-06-30T00:00:00"/>
    <n v="6263730.8300000001"/>
    <s v="fyl trans srl SAN MIGUEL DE TUCUMAN 14"/>
    <x v="641"/>
    <n v="6263730.8300000001"/>
    <x v="90"/>
    <x v="2"/>
    <s v="pagado"/>
    <s v="pagado"/>
    <x v="0"/>
    <x v="0"/>
  </r>
  <r>
    <n v="3000003504"/>
    <d v="2025-06-30T00:00:00"/>
    <n v="6586616.4699999997"/>
    <s v="M.A.D Serv y mant eléctri SAN MIGUEL DE TUCUMAN 14"/>
    <x v="642"/>
    <n v="6586616.4699999997"/>
    <x v="90"/>
    <x v="2"/>
    <s v="pagado"/>
    <s v="pagado"/>
    <x v="0"/>
    <x v="0"/>
  </r>
  <r>
    <n v="3000003505"/>
    <d v="2025-06-30T00:00:00"/>
    <n v="10967169.91"/>
    <s v="CAD SOLUTIONS S.A. CAPITAL FEDERAL 00"/>
    <x v="643"/>
    <n v="10967169.91"/>
    <x v="90"/>
    <x v="2"/>
    <s v="pagado"/>
    <s v="pagado"/>
    <x v="0"/>
    <x v="0"/>
  </r>
  <r>
    <n v="3000003506"/>
    <d v="2025-06-30T00:00:00"/>
    <n v="8381553.0800000001"/>
    <s v="Martinez Zuccardi Emma CeciliaSAN MIGUEL DE TUCUMAN 14"/>
    <x v="644"/>
    <n v="8381553.0800000001"/>
    <x v="90"/>
    <x v="2"/>
    <s v="pagado"/>
    <s v="pagado"/>
    <x v="0"/>
    <x v="0"/>
  </r>
  <r>
    <n v="3000003507"/>
    <d v="2025-06-30T00:00:00"/>
    <n v="45000000"/>
    <s v="MG SERVICIOS AGROPECUARIOS SASTAFI VIEJO 14"/>
    <x v="645"/>
    <n v="45000000"/>
    <x v="90"/>
    <x v="2"/>
    <s v="pagado"/>
    <s v="pagado"/>
    <x v="0"/>
    <x v="0"/>
  </r>
  <r>
    <n v="3000003507"/>
    <d v="2025-06-30T00:00:00"/>
    <n v="23000000"/>
    <s v="MG SERVICIOS AGROPECUARIOS SASTAFI VIEJO 14"/>
    <x v="646"/>
    <n v="23000000"/>
    <x v="91"/>
    <x v="2"/>
    <s v="pagado"/>
    <s v="pagado"/>
    <x v="0"/>
    <x v="0"/>
  </r>
  <r>
    <n v="3000003507"/>
    <d v="2025-06-30T00:00:00"/>
    <n v="7000000"/>
    <s v="MG SERVICIOS AGROPECUARIOS SASTAFI VIEJO 14"/>
    <x v="647"/>
    <n v="7000000"/>
    <x v="91"/>
    <x v="2"/>
    <s v="pagado"/>
    <s v="pagado"/>
    <x v="0"/>
    <x v="0"/>
  </r>
  <r>
    <n v="3000003507"/>
    <d v="2025-06-30T00:00:00"/>
    <n v="3415405.07"/>
    <s v="MG SERVICIOS AGROPECUARIOS SASTAFI VIEJO 14"/>
    <x v="648"/>
    <n v="3415405.07"/>
    <x v="91"/>
    <x v="2"/>
    <s v="pagado"/>
    <s v="pagado"/>
    <x v="0"/>
    <x v="0"/>
  </r>
  <r>
    <n v="3000003517"/>
    <d v="2025-07-01T00:00:00"/>
    <n v="4856074.25"/>
    <s v="PERATO CRISTIAN LUIS BANDA DEL RIO SALI 14"/>
    <x v="649"/>
    <n v="4856074.25"/>
    <x v="91"/>
    <x v="2"/>
    <s v="pagado"/>
    <s v="pagado"/>
    <x v="0"/>
    <x v="0"/>
  </r>
  <r>
    <n v="3000003518"/>
    <d v="2025-07-01T00:00:00"/>
    <n v="3233798.57"/>
    <s v="Sereno Carlos Luis Los Gutierrez 14"/>
    <x v="650"/>
    <n v="3233798.57"/>
    <x v="91"/>
    <x v="2"/>
    <s v="pagado"/>
    <s v="pagado"/>
    <x v="0"/>
    <x v="0"/>
  </r>
  <r>
    <n v="3000003519"/>
    <d v="2025-07-01T00:00:00"/>
    <n v="6098541.5499999998"/>
    <s v="Sanchez Jose Mauricio San Miguel de Tucuman 14"/>
    <x v="651"/>
    <n v="6098541.5499999998"/>
    <x v="91"/>
    <x v="2"/>
    <s v="pagado"/>
    <s v="pagado"/>
    <x v="0"/>
    <x v="0"/>
  </r>
  <r>
    <n v="3000003520"/>
    <d v="2025-07-01T00:00:00"/>
    <n v="6866727.3300000001"/>
    <s v="MOREY SERGIO GUILLERMO LOS GUTIERREZ-ALDERETES 14"/>
    <x v="652"/>
    <n v="6866727.3300000001"/>
    <x v="91"/>
    <x v="2"/>
    <s v="pagado"/>
    <s v="pagado"/>
    <x v="0"/>
    <x v="0"/>
  </r>
  <r>
    <n v="3000003521"/>
    <d v="2025-07-01T00:00:00"/>
    <n v="4122092.11"/>
    <s v="Arias Carlos Alberto SAN MIGUEL DE TUCUMAN 14"/>
    <x v="653"/>
    <n v="4122092.11"/>
    <x v="91"/>
    <x v="2"/>
    <s v="pagado"/>
    <s v="pagado"/>
    <x v="0"/>
    <x v="0"/>
  </r>
  <r>
    <n v="3000003522"/>
    <d v="2025-07-01T00:00:00"/>
    <n v="14947995.310000001"/>
    <s v="CAPETTA ANTONELLA ANAHI SAN MIGUEL DE TUCUMAN 14"/>
    <x v="654"/>
    <n v="14947995.310000001"/>
    <x v="91"/>
    <x v="2"/>
    <s v="pagado"/>
    <s v="pagado"/>
    <x v="0"/>
    <x v="0"/>
  </r>
  <r>
    <n v="3000003523"/>
    <d v="2025-07-01T00:00:00"/>
    <n v="8000000"/>
    <s v="RL SOLUCIONES S. A. S. SAN MIGUEL DE TUCUMAN 14"/>
    <x v="655"/>
    <n v="8000000"/>
    <x v="91"/>
    <x v="2"/>
    <s v="pagado"/>
    <s v="pagado"/>
    <x v="0"/>
    <x v="0"/>
  </r>
  <r>
    <n v="3000003523"/>
    <d v="2025-07-01T00:00:00"/>
    <n v="8875156.7300000004"/>
    <s v="RL SOLUCIONES S. A. S. SAN MIGUEL DE TUCUMAN 14"/>
    <x v="656"/>
    <n v="8875156.7300000004"/>
    <x v="92"/>
    <x v="2"/>
    <s v="pagado"/>
    <s v="pagado"/>
    <x v="0"/>
    <x v="0"/>
  </r>
  <r>
    <n v="3000003524"/>
    <d v="2025-07-01T00:00:00"/>
    <n v="20000000"/>
    <s v="TRANSPORTE FRIOS DEL NORTE S.RSAN MIGUEL DE TUCUMAN 14"/>
    <x v="657"/>
    <n v="20000000"/>
    <x v="91"/>
    <x v="2"/>
    <s v="pagado"/>
    <s v="pagado"/>
    <x v="0"/>
    <x v="0"/>
  </r>
  <r>
    <n v="3000003524"/>
    <d v="2025-07-01T00:00:00"/>
    <n v="14715513.439999999"/>
    <s v="TRANSPORTE FRIOS DEL NORTE S.RSAN MIGUEL DE TUCUMAN 14"/>
    <x v="658"/>
    <n v="14715513.439999999"/>
    <x v="92"/>
    <x v="2"/>
    <s v="pagado"/>
    <s v="pagado"/>
    <x v="0"/>
    <x v="0"/>
  </r>
  <r>
    <n v="3000003525"/>
    <d v="2025-07-01T00:00:00"/>
    <n v="8070083.9699999997"/>
    <s v="Terminal 4 S.A. Puerto Nuevo 01"/>
    <x v="659"/>
    <n v="8070083.9699999997"/>
    <x v="91"/>
    <x v="2"/>
    <s v="pagado"/>
    <s v="pagado"/>
    <x v="0"/>
    <x v="0"/>
  </r>
  <r>
    <n v="3000003526"/>
    <d v="2025-07-01T00:00:00"/>
    <n v="12874847.92"/>
    <s v="BONSUR SA CAPITAL FEDERAL 00"/>
    <x v="660"/>
    <n v="12874847.92"/>
    <x v="91"/>
    <x v="2"/>
    <s v="pagado"/>
    <s v="pagado"/>
    <x v="0"/>
    <x v="0"/>
  </r>
  <r>
    <n v="3000003527"/>
    <d v="2025-07-01T00:00:00"/>
    <n v="10000000"/>
    <s v="LATCOMEX SA CAPITAL FEDERAL 00"/>
    <x v="661"/>
    <n v="10000000"/>
    <x v="91"/>
    <x v="2"/>
    <s v="pagado"/>
    <s v="pagado"/>
    <x v="0"/>
    <x v="0"/>
  </r>
  <r>
    <n v="3000003527"/>
    <d v="2025-07-01T00:00:00"/>
    <n v="10170667.92"/>
    <s v="LATCOMEX SA CAPITAL FEDERAL 00"/>
    <x v="662"/>
    <n v="10170667.92"/>
    <x v="92"/>
    <x v="2"/>
    <s v="pagado"/>
    <s v="pagado"/>
    <x v="0"/>
    <x v="0"/>
  </r>
  <r>
    <n v="3000003528"/>
    <d v="2025-07-01T00:00:00"/>
    <n v="10000000"/>
    <s v="D´ANDREA SERGIO FRANCISCO YERBA BUENA 14"/>
    <x v="663"/>
    <n v="10000000"/>
    <x v="91"/>
    <x v="2"/>
    <s v="pagado"/>
    <s v="pagado"/>
    <x v="0"/>
    <x v="0"/>
  </r>
  <r>
    <n v="3000003528"/>
    <d v="2025-07-01T00:00:00"/>
    <n v="8430989.8900000006"/>
    <s v="D´ANDREA SERGIO FRANCISCO YERBA BUENA 14"/>
    <x v="664"/>
    <n v="8430989.8900000006"/>
    <x v="92"/>
    <x v="2"/>
    <s v="pagado"/>
    <s v="pagado"/>
    <x v="0"/>
    <x v="0"/>
  </r>
  <r>
    <n v="3000003529"/>
    <d v="2025-07-01T00:00:00"/>
    <n v="6622806.2800000003"/>
    <s v="GEREZ ALICIA ELEUTERIA SAN MIGUEL DE TUCUMAN 14"/>
    <x v="665"/>
    <n v="6622806.2800000003"/>
    <x v="91"/>
    <x v="2"/>
    <s v="pagado"/>
    <s v="pagado"/>
    <x v="0"/>
    <x v="0"/>
  </r>
  <r>
    <n v="3000003530"/>
    <d v="2025-07-02T00:00:00"/>
    <n v="9020002.0299999993"/>
    <s v="AUAD ANDREA ALEJANDRA SAN MIGUEL DE TUCUMAN 14"/>
    <x v="666"/>
    <n v="9020002.0299999993"/>
    <x v="92"/>
    <x v="2"/>
    <s v="pagado"/>
    <s v="pagado"/>
    <x v="0"/>
    <x v="0"/>
  </r>
  <r>
    <n v="3000003531"/>
    <d v="2025-07-02T00:00:00"/>
    <n v="25615103.690000001"/>
    <s v="EXPORTADORA DEL LITORAL SA SAN PEDRO 01"/>
    <x v="667"/>
    <n v="25615103.690000001"/>
    <x v="92"/>
    <x v="2"/>
    <s v="pagado"/>
    <s v="pagado"/>
    <x v="0"/>
    <x v="0"/>
  </r>
  <r>
    <n v="3000003634"/>
    <d v="2025-07-03T00:00:00"/>
    <n v="5196842.9800000004"/>
    <s v="FICOVIL TUCUMAN"/>
    <x v="668"/>
    <n v="5196842.9800000004"/>
    <x v="93"/>
    <x v="2"/>
    <s v="pagado"/>
    <s v="pagado"/>
    <x v="0"/>
    <x v="0"/>
  </r>
  <r>
    <n v="3000003634"/>
    <d v="2025-07-03T00:00:00"/>
    <n v="46811.51"/>
    <s v="FICOVIL TUCUMAN"/>
    <x v="669"/>
    <n v="46811.51"/>
    <x v="93"/>
    <x v="2"/>
    <s v="pagado"/>
    <s v="pagado"/>
    <x v="0"/>
    <x v="0"/>
  </r>
  <r>
    <n v="3000003634"/>
    <d v="2025-07-03T00:00:00"/>
    <n v="2758609.5"/>
    <s v="FICOVIL TUCUMAN"/>
    <x v="670"/>
    <n v="2758609.5"/>
    <x v="93"/>
    <x v="2"/>
    <s v="pagado"/>
    <s v="pagado"/>
    <x v="0"/>
    <x v="0"/>
  </r>
  <r>
    <n v="3000003634"/>
    <d v="2025-07-03T00:00:00"/>
    <n v="2758609.5"/>
    <s v="FICOVIL TUCUMAN"/>
    <x v="671"/>
    <n v="2758609.5"/>
    <x v="93"/>
    <x v="2"/>
    <s v="pagado"/>
    <s v="pagado"/>
    <x v="0"/>
    <x v="0"/>
  </r>
  <r>
    <n v="3000003634"/>
    <d v="2025-07-03T00:00:00"/>
    <n v="38049786.170000002"/>
    <s v="FICOVIL TUCUMAN"/>
    <x v="672"/>
    <n v="38049786.170000002"/>
    <x v="93"/>
    <x v="2"/>
    <s v="pagado"/>
    <s v="pagado"/>
    <x v="0"/>
    <x v="0"/>
  </r>
  <r>
    <n v="3000003635"/>
    <d v="2025-07-03T00:00:00"/>
    <n v="6829004.1900000004"/>
    <s v="FICODAL TUCUMAN"/>
    <x v="673"/>
    <n v="6829004.1900000004"/>
    <x v="93"/>
    <x v="2"/>
    <s v="pagado"/>
    <s v="pagado"/>
    <x v="0"/>
    <x v="0"/>
  </r>
  <r>
    <n v="3000003635"/>
    <d v="2025-07-03T00:00:00"/>
    <n v="61513.5"/>
    <s v="FICODAL TUCUMAN"/>
    <x v="674"/>
    <n v="61513.5"/>
    <x v="93"/>
    <x v="2"/>
    <s v="pagado"/>
    <s v="pagado"/>
    <x v="0"/>
    <x v="0"/>
  </r>
  <r>
    <n v="3000003635"/>
    <d v="2025-07-03T00:00:00"/>
    <n v="3625000"/>
    <s v="FICODAL TUCUMAN"/>
    <x v="675"/>
    <n v="3625000"/>
    <x v="93"/>
    <x v="2"/>
    <s v="pagado"/>
    <s v="pagado"/>
    <x v="0"/>
    <x v="0"/>
  </r>
  <r>
    <n v="3000003635"/>
    <d v="2025-07-03T00:00:00"/>
    <n v="3625000"/>
    <s v="FICODAL TUCUMAN"/>
    <x v="676"/>
    <n v="3625000"/>
    <x v="93"/>
    <x v="2"/>
    <s v="pagado"/>
    <s v="pagado"/>
    <x v="0"/>
    <x v="0"/>
  </r>
  <r>
    <n v="3000003635"/>
    <d v="2025-07-03T00:00:00"/>
    <n v="50000000"/>
    <s v="FICODAL TUCUMAN"/>
    <x v="677"/>
    <n v="50000000"/>
    <x v="93"/>
    <x v="2"/>
    <s v="pagado"/>
    <s v="pagado"/>
    <x v="0"/>
    <x v="0"/>
  </r>
  <r>
    <n v="3000003636"/>
    <d v="2025-07-03T00:00:00"/>
    <n v="1632161.21"/>
    <s v="FICOPEL TUCUMAN"/>
    <x v="678"/>
    <n v="1632161.21"/>
    <x v="93"/>
    <x v="2"/>
    <s v="pagado"/>
    <s v="pagado"/>
    <x v="0"/>
    <x v="0"/>
  </r>
  <r>
    <n v="3000003636"/>
    <d v="2025-07-03T00:00:00"/>
    <n v="14701.99"/>
    <s v="FICOPEL TUCUMAN"/>
    <x v="679"/>
    <n v="14701.99"/>
    <x v="93"/>
    <x v="2"/>
    <s v="pagado"/>
    <s v="pagado"/>
    <x v="0"/>
    <x v="0"/>
  </r>
  <r>
    <n v="3000003636"/>
    <d v="2025-07-03T00:00:00"/>
    <n v="866390.5"/>
    <s v="FICOPEL TUCUMAN"/>
    <x v="680"/>
    <n v="866390.5"/>
    <x v="93"/>
    <x v="2"/>
    <s v="pagado"/>
    <s v="pagado"/>
    <x v="0"/>
    <x v="0"/>
  </r>
  <r>
    <n v="3000003636"/>
    <d v="2025-07-03T00:00:00"/>
    <n v="866390.5"/>
    <s v="FICOPEL TUCUMAN"/>
    <x v="681"/>
    <n v="866390.5"/>
    <x v="93"/>
    <x v="2"/>
    <s v="pagado"/>
    <s v="pagado"/>
    <x v="0"/>
    <x v="0"/>
  </r>
  <r>
    <n v="3000003636"/>
    <d v="2025-07-03T00:00:00"/>
    <n v="11950213.83"/>
    <s v="FICOPEL TUCUMAN"/>
    <x v="682"/>
    <n v="11950213.83"/>
    <x v="93"/>
    <x v="2"/>
    <s v="pagado"/>
    <s v="pagado"/>
    <x v="0"/>
    <x v="0"/>
  </r>
  <r>
    <n v="3000003637"/>
    <d v="2025-07-03T00:00:00"/>
    <n v="45802777.619999997"/>
    <s v="FICOVIL TUCUMAN"/>
    <x v="683"/>
    <n v="45802777.619999997"/>
    <x v="93"/>
    <x v="2"/>
    <s v="pagado"/>
    <s v="pagado"/>
    <x v="0"/>
    <x v="0"/>
  </r>
  <r>
    <n v="3000003637"/>
    <d v="2025-07-03T00:00:00"/>
    <n v="518336.5"/>
    <s v="FICOVIL TUCUMAN"/>
    <x v="684"/>
    <n v="518336.5"/>
    <x v="93"/>
    <x v="2"/>
    <s v="pagado"/>
    <s v="pagado"/>
    <x v="0"/>
    <x v="0"/>
  </r>
  <r>
    <n v="3000003637"/>
    <d v="2025-07-03T00:00:00"/>
    <n v="32627008.489999998"/>
    <s v="FICOVIL TUCUMAN"/>
    <x v="685"/>
    <n v="32627008.489999998"/>
    <x v="93"/>
    <x v="2"/>
    <s v="pagado"/>
    <s v="pagado"/>
    <x v="0"/>
    <x v="0"/>
  </r>
  <r>
    <n v="3000003637"/>
    <d v="2025-07-03T00:00:00"/>
    <n v="29915816.530000001"/>
    <s v="FICOVIL TUCUMAN"/>
    <x v="686"/>
    <n v="29915816.530000001"/>
    <x v="93"/>
    <x v="2"/>
    <s v="pagado"/>
    <s v="pagado"/>
    <x v="0"/>
    <x v="0"/>
  </r>
  <r>
    <n v="3000003637"/>
    <d v="2025-07-03T00:00:00"/>
    <n v="29915816.52"/>
    <s v="FICOVIL TUCUMAN"/>
    <x v="687"/>
    <n v="29915816.52"/>
    <x v="93"/>
    <x v="2"/>
    <s v="pagado"/>
    <s v="pagado"/>
    <x v="0"/>
    <x v="0"/>
  </r>
  <r>
    <n v="3000003638"/>
    <d v="2025-07-03T00:00:00"/>
    <n v="681129.32"/>
    <s v="FICODAL TUCUMAN"/>
    <x v="688"/>
    <n v="681129.32"/>
    <x v="93"/>
    <x v="2"/>
    <s v="pagado"/>
    <s v="pagado"/>
    <x v="0"/>
    <x v="0"/>
  </r>
  <r>
    <n v="3000003638"/>
    <d v="2025-07-03T00:00:00"/>
    <n v="42874102.289999999"/>
    <s v="FICODAL TUCUMAN"/>
    <x v="689"/>
    <n v="42874102.289999999"/>
    <x v="93"/>
    <x v="2"/>
    <s v="pagado"/>
    <s v="pagado"/>
    <x v="0"/>
    <x v="0"/>
  </r>
  <r>
    <n v="3000003638"/>
    <d v="2025-07-03T00:00:00"/>
    <n v="39311412.149999999"/>
    <s v="FICODAL TUCUMAN"/>
    <x v="690"/>
    <n v="39311412.149999999"/>
    <x v="93"/>
    <x v="2"/>
    <s v="pagado"/>
    <s v="pagado"/>
    <x v="0"/>
    <x v="0"/>
  </r>
  <r>
    <n v="3000003638"/>
    <d v="2025-07-03T00:00:00"/>
    <n v="39311412.149999999"/>
    <s v="FICODAL TUCUMAN"/>
    <x v="691"/>
    <n v="39311412.149999999"/>
    <x v="93"/>
    <x v="2"/>
    <s v="pagado"/>
    <s v="pagado"/>
    <x v="0"/>
    <x v="0"/>
  </r>
  <r>
    <n v="3000003639"/>
    <d v="2025-07-03T00:00:00"/>
    <n v="14385179.029999999"/>
    <s v="FICOPEL TUCUMAN"/>
    <x v="692"/>
    <n v="14385179.029999999"/>
    <x v="93"/>
    <x v="2"/>
    <s v="pagado"/>
    <s v="pagado"/>
    <x v="0"/>
    <x v="0"/>
  </r>
  <r>
    <n v="3000003639"/>
    <d v="2025-07-03T00:00:00"/>
    <n v="162792.82"/>
    <s v="FICOPEL TUCUMAN"/>
    <x v="693"/>
    <n v="162792.82"/>
    <x v="93"/>
    <x v="2"/>
    <s v="pagado"/>
    <s v="pagado"/>
    <x v="0"/>
    <x v="0"/>
  </r>
  <r>
    <n v="3000003639"/>
    <d v="2025-07-03T00:00:00"/>
    <n v="10247093.800000001"/>
    <s v="FICOPEL TUCUMAN"/>
    <x v="694"/>
    <n v="10247093.800000001"/>
    <x v="93"/>
    <x v="2"/>
    <s v="pagado"/>
    <s v="pagado"/>
    <x v="0"/>
    <x v="0"/>
  </r>
  <r>
    <n v="3000003639"/>
    <d v="2025-07-03T00:00:00"/>
    <n v="26913913.91"/>
    <s v="FICOPEL TUCUMAN"/>
    <x v="695"/>
    <n v="26913913.91"/>
    <x v="93"/>
    <x v="2"/>
    <s v="pagado"/>
    <s v="pagado"/>
    <x v="0"/>
    <x v="0"/>
  </r>
  <r>
    <n v="3000003639"/>
    <d v="2025-07-03T00:00:00"/>
    <n v="9395595.6199999992"/>
    <s v="FICOPEL TUCUMAN"/>
    <x v="696"/>
    <n v="9395595.6199999992"/>
    <x v="93"/>
    <x v="2"/>
    <s v="pagado"/>
    <s v="pagado"/>
    <x v="0"/>
    <x v="0"/>
  </r>
  <r>
    <n v="3000003639"/>
    <d v="2025-07-03T00:00:00"/>
    <n v="9395595.6199999992"/>
    <s v="FICOPEL TUCUMAN"/>
    <x v="697"/>
    <n v="9395595.6199999992"/>
    <x v="93"/>
    <x v="2"/>
    <s v="pagado"/>
    <s v="pagado"/>
    <x v="0"/>
    <x v="0"/>
  </r>
  <r>
    <n v="3000003640"/>
    <d v="2025-07-03T00:00:00"/>
    <n v="19613283.219999999"/>
    <s v="FICOPEL TUCUMAN"/>
    <x v="698"/>
    <n v="19613283.219999999"/>
    <x v="93"/>
    <x v="2"/>
    <s v="pagado"/>
    <s v="pagado"/>
    <x v="0"/>
    <x v="0"/>
  </r>
  <r>
    <n v="3000003625"/>
    <d v="2025-07-03T00:00:00"/>
    <n v="0"/>
    <s v="FICOVIL TUCUMAN"/>
    <x v="699"/>
    <n v="0"/>
    <x v="90"/>
    <x v="0"/>
    <s v="no pagado"/>
    <s v="fuera de fecha"/>
    <x v="0"/>
    <x v="0"/>
  </r>
  <r>
    <n v="3000003626"/>
    <d v="2025-07-03T00:00:00"/>
    <n v="0"/>
    <s v="FICODAL TUCUMAN"/>
    <x v="700"/>
    <n v="0"/>
    <x v="90"/>
    <x v="0"/>
    <s v="no pagado"/>
    <s v="fuera de fecha"/>
    <x v="0"/>
    <x v="0"/>
  </r>
  <r>
    <n v="3000003627"/>
    <d v="2025-07-03T00:00:00"/>
    <n v="0"/>
    <s v="FICOPEL TUCUMAN"/>
    <x v="701"/>
    <n v="0"/>
    <x v="90"/>
    <x v="0"/>
    <s v="no pagado"/>
    <s v="fuera de fecha"/>
    <x v="0"/>
    <x v="0"/>
  </r>
  <r>
    <n v="3000003628"/>
    <d v="2025-07-03T00:00:00"/>
    <n v="0"/>
    <s v="FICOVIL TUCUMAN"/>
    <x v="702"/>
    <n v="0"/>
    <x v="90"/>
    <x v="0"/>
    <s v="no pagado"/>
    <s v="fuera de fecha"/>
    <x v="0"/>
    <x v="0"/>
  </r>
  <r>
    <n v="3000003629"/>
    <d v="2025-07-03T00:00:00"/>
    <n v="0"/>
    <s v="FICODAL TUCUMAN"/>
    <x v="703"/>
    <n v="0"/>
    <x v="90"/>
    <x v="0"/>
    <s v="no pagado"/>
    <s v="fuera de fecha"/>
    <x v="0"/>
    <x v="0"/>
  </r>
  <r>
    <n v="3000003630"/>
    <d v="2025-07-03T00:00:00"/>
    <n v="0"/>
    <s v="FICOPEL TUCUMAN"/>
    <x v="704"/>
    <n v="0"/>
    <x v="90"/>
    <x v="0"/>
    <s v="no pagado"/>
    <s v="fuera de fecha"/>
    <x v="0"/>
    <x v="0"/>
  </r>
  <r>
    <n v="3000003631"/>
    <d v="2025-07-03T00:00:00"/>
    <n v="0"/>
    <s v="FICOVIL TUCUMAN"/>
    <x v="705"/>
    <n v="0"/>
    <x v="90"/>
    <x v="0"/>
    <s v="no pagado"/>
    <s v="fuera de fecha"/>
    <x v="0"/>
    <x v="0"/>
  </r>
  <r>
    <n v="3000003632"/>
    <d v="2025-07-03T00:00:00"/>
    <n v="0"/>
    <s v="FICODAL TUCUMAN"/>
    <x v="706"/>
    <n v="0"/>
    <x v="90"/>
    <x v="0"/>
    <s v="no pagado"/>
    <s v="fuera de fecha"/>
    <x v="0"/>
    <x v="0"/>
  </r>
  <r>
    <n v="3000003633"/>
    <d v="2025-07-03T00:00:00"/>
    <n v="0"/>
    <s v="FICOPEL TUCUMAN"/>
    <x v="707"/>
    <n v="0"/>
    <x v="90"/>
    <x v="0"/>
    <s v="no pagado"/>
    <s v="fuera de fecha"/>
    <x v="0"/>
    <x v="0"/>
  </r>
  <r>
    <n v="3000003583"/>
    <d v="2025-07-02T00:00:00"/>
    <n v="1626930.2"/>
    <s v="TRANSPORTE MEDINA S.H."/>
    <x v="708"/>
    <n v="1626930.2"/>
    <x v="92"/>
    <x v="0"/>
    <s v="no pagado"/>
    <s v="fuera de fecha"/>
    <x v="0"/>
    <x v="0"/>
  </r>
  <r>
    <n v="3000003730"/>
    <d v="2025-07-08T00:00:00"/>
    <n v="20000000"/>
    <s v="Jeblab S.R.L. YERBA BUENA 14"/>
    <x v="709"/>
    <n v="20000000"/>
    <x v="94"/>
    <x v="2"/>
    <s v="pagado"/>
    <s v="pagado"/>
    <x v="0"/>
    <x v="0"/>
  </r>
  <r>
    <n v="3000003730"/>
    <d v="2025-07-08T00:00:00"/>
    <n v="14723343.4"/>
    <s v="Jeblab S.R.L. YERBA BUENA 14"/>
    <x v="710"/>
    <n v="14723343.4"/>
    <x v="95"/>
    <x v="2"/>
    <s v="pagado"/>
    <s v="pagado"/>
    <x v="0"/>
    <x v="0"/>
  </r>
  <r>
    <n v="3000003731"/>
    <d v="2025-07-08T00:00:00"/>
    <n v="7354746.9699999997"/>
    <s v="Marchese Grandi Meson y Asoc SAN MIGUEL DE TUCUMAN 14"/>
    <x v="711"/>
    <n v="7354746.9699999997"/>
    <x v="94"/>
    <x v="2"/>
    <s v="pagado"/>
    <s v="pagado"/>
    <x v="0"/>
    <x v="0"/>
  </r>
  <r>
    <n v="3000003732"/>
    <d v="2025-07-08T00:00:00"/>
    <n v="5758114.7300000004"/>
    <s v="NORTE DISTRIBUCIONES S.R.L SAN MIGUEL DE TUCUMAN 14"/>
    <x v="712"/>
    <n v="5758114.7300000004"/>
    <x v="94"/>
    <x v="2"/>
    <s v="pagado"/>
    <s v="pagado"/>
    <x v="0"/>
    <x v="0"/>
  </r>
  <r>
    <n v="3000003733"/>
    <d v="2025-07-08T00:00:00"/>
    <n v="7476575.6299999999"/>
    <s v="CAFELI S.R.L. SAN MIGUEL DE TUCUMAN 14"/>
    <x v="713"/>
    <n v="7476575.6299999999"/>
    <x v="94"/>
    <x v="2"/>
    <s v="pagado"/>
    <s v="pagado"/>
    <x v="0"/>
    <x v="0"/>
  </r>
  <r>
    <n v="3000003734"/>
    <d v="2025-07-08T00:00:00"/>
    <n v="5020319.4000000004"/>
    <s v="SEGURIDAD OMEGA SRL SAN FERNANDO DEL VALLE DE CATAMARCA 02"/>
    <x v="714"/>
    <n v="5020319.4000000004"/>
    <x v="94"/>
    <x v="2"/>
    <s v="pagado"/>
    <s v="pagado"/>
    <x v="0"/>
    <x v="0"/>
  </r>
  <r>
    <n v="3000003735"/>
    <d v="2025-07-08T00:00:00"/>
    <n v="20000000"/>
    <s v="SMART SEGURIDAD SA YERBA BUENA 14"/>
    <x v="715"/>
    <n v="20000000"/>
    <x v="94"/>
    <x v="2"/>
    <s v="pagado"/>
    <s v="pagado"/>
    <x v="0"/>
    <x v="0"/>
  </r>
  <r>
    <n v="3000003735"/>
    <d v="2025-07-08T00:00:00"/>
    <n v="13230697.699999999"/>
    <s v="SMART SEGURIDAD SA YERBA BUENA 14"/>
    <x v="716"/>
    <n v="13230697.699999999"/>
    <x v="95"/>
    <x v="2"/>
    <s v="pagado"/>
    <s v="pagado"/>
    <x v="0"/>
    <x v="0"/>
  </r>
  <r>
    <n v="3000003736"/>
    <d v="2025-07-08T00:00:00"/>
    <n v="24000000"/>
    <s v="M. AMUCHASTEGUI S. R. L. YERBA BUENA 14"/>
    <x v="717"/>
    <n v="24000000"/>
    <x v="94"/>
    <x v="2"/>
    <s v="pagado"/>
    <s v="pagado"/>
    <x v="0"/>
    <x v="0"/>
  </r>
  <r>
    <n v="3000003736"/>
    <d v="2025-07-08T00:00:00"/>
    <n v="24201797.289999999"/>
    <s v="M. AMUCHASTEGUI S. R. L. YERBA BUENA 14"/>
    <x v="718"/>
    <n v="24201797.289999999"/>
    <x v="95"/>
    <x v="2"/>
    <s v="pagado"/>
    <s v="pagado"/>
    <x v="0"/>
    <x v="0"/>
  </r>
  <r>
    <n v="3000003737"/>
    <d v="2025-07-08T00:00:00"/>
    <n v="24000000"/>
    <s v="TRUSARELLI CARLOS ALBERTO BANDA DEL RIO SALI 14"/>
    <x v="719"/>
    <n v="24000000"/>
    <x v="94"/>
    <x v="2"/>
    <s v="pagado"/>
    <s v="pagado"/>
    <x v="0"/>
    <x v="0"/>
  </r>
  <r>
    <n v="3000003737"/>
    <d v="2025-07-08T00:00:00"/>
    <n v="23499662.199999999"/>
    <s v="TRUSARELLI CARLOS ALBERTO BANDA DEL RIO SALI 14"/>
    <x v="720"/>
    <n v="23499662.199999999"/>
    <x v="95"/>
    <x v="2"/>
    <s v="pagado"/>
    <s v="pagado"/>
    <x v="0"/>
    <x v="0"/>
  </r>
  <r>
    <n v="3000003738"/>
    <d v="2025-07-08T00:00:00"/>
    <n v="10000000"/>
    <s v="CAMPOAGRO SRL YERBA BUENA 14"/>
    <x v="721"/>
    <n v="10000000"/>
    <x v="94"/>
    <x v="2"/>
    <s v="pagado"/>
    <s v="pagado"/>
    <x v="0"/>
    <x v="0"/>
  </r>
  <r>
    <n v="3000003738"/>
    <d v="2025-07-08T00:00:00"/>
    <n v="7766457.1500000004"/>
    <s v="CAMPOAGRO SRL YERBA BUENA 14"/>
    <x v="722"/>
    <n v="7766457.1500000004"/>
    <x v="95"/>
    <x v="2"/>
    <s v="pagado"/>
    <s v="pagado"/>
    <x v="0"/>
    <x v="0"/>
  </r>
  <r>
    <n v="3000003739"/>
    <d v="2025-07-08T00:00:00"/>
    <n v="10000000"/>
    <s v="Verde y Sol S.R.L. SAN MIGUEL DE TUCUMAN 14"/>
    <x v="723"/>
    <n v="10000000"/>
    <x v="94"/>
    <x v="2"/>
    <s v="pagado"/>
    <s v="pagado"/>
    <x v="0"/>
    <x v="0"/>
  </r>
  <r>
    <n v="3000003739"/>
    <d v="2025-07-08T00:00:00"/>
    <n v="6764504.54"/>
    <s v="Verde y Sol S.R.L. SAN MIGUEL DE TUCUMAN 14"/>
    <x v="724"/>
    <n v="6764504.54"/>
    <x v="95"/>
    <x v="2"/>
    <s v="pagado"/>
    <s v="pagado"/>
    <x v="0"/>
    <x v="0"/>
  </r>
  <r>
    <n v="3000003740"/>
    <d v="2025-07-08T00:00:00"/>
    <n v="6208715.3499999996"/>
    <s v="fyl trans srl SAN MIGUEL DE TUCUMAN 14"/>
    <x v="725"/>
    <n v="6208715.3499999996"/>
    <x v="94"/>
    <x v="2"/>
    <s v="pagado"/>
    <s v="pagado"/>
    <x v="0"/>
    <x v="0"/>
  </r>
  <r>
    <n v="3000003741"/>
    <d v="2025-07-08T00:00:00"/>
    <n v="20000000"/>
    <s v="MARTINEZ ZUCCARDI JORGE AGUSTISANTA LUCIA 14"/>
    <x v="726"/>
    <n v="20000000"/>
    <x v="94"/>
    <x v="2"/>
    <s v="pagado"/>
    <s v="pagado"/>
    <x v="0"/>
    <x v="0"/>
  </r>
  <r>
    <n v="3000003741"/>
    <d v="2025-07-08T00:00:00"/>
    <n v="15614443.08"/>
    <s v="MARTINEZ ZUCCARDI JORGE AGUSTISANTA LUCIA 14"/>
    <x v="727"/>
    <n v="15614443.08"/>
    <x v="95"/>
    <x v="2"/>
    <s v="pagado"/>
    <s v="pagado"/>
    <x v="0"/>
    <x v="0"/>
  </r>
  <r>
    <n v="3000003742"/>
    <d v="2025-07-08T00:00:00"/>
    <n v="25000000"/>
    <s v="Mudad Francisco Esteban Los Nogales 14"/>
    <x v="728"/>
    <n v="25000000"/>
    <x v="94"/>
    <x v="2"/>
    <s v="pagado"/>
    <s v="pagado"/>
    <x v="0"/>
    <x v="0"/>
  </r>
  <r>
    <n v="3000003742"/>
    <d v="2025-07-08T00:00:00"/>
    <n v="24680603.440000001"/>
    <s v="Mudad Francisco Esteban Los Nogales 14"/>
    <x v="729"/>
    <n v="24680603.440000001"/>
    <x v="95"/>
    <x v="2"/>
    <s v="pagado"/>
    <s v="pagado"/>
    <x v="0"/>
    <x v="0"/>
  </r>
  <r>
    <n v="3000003743"/>
    <d v="2025-07-08T00:00:00"/>
    <n v="15000000"/>
    <s v="MG SERVICIOS AGROPECUARIOS SASTAFI VIEJO 14"/>
    <x v="730"/>
    <n v="15000000"/>
    <x v="94"/>
    <x v="2"/>
    <s v="pagado"/>
    <s v="pagado"/>
    <x v="0"/>
    <x v="0"/>
  </r>
  <r>
    <n v="3000003743"/>
    <d v="2025-07-08T00:00:00"/>
    <n v="15000000"/>
    <s v="MG SERVICIOS AGROPECUARIOS SASTAFI VIEJO 14"/>
    <x v="731"/>
    <n v="15000000"/>
    <x v="94"/>
    <x v="2"/>
    <s v="pagado"/>
    <s v="pagado"/>
    <x v="0"/>
    <x v="0"/>
  </r>
  <r>
    <n v="3000003743"/>
    <d v="2025-07-08T00:00:00"/>
    <n v="15000000"/>
    <s v="MG SERVICIOS AGROPECUARIOS SASTAFI VIEJO 14"/>
    <x v="732"/>
    <n v="15000000"/>
    <x v="95"/>
    <x v="2"/>
    <s v="pagado"/>
    <s v="pagado"/>
    <x v="0"/>
    <x v="0"/>
  </r>
  <r>
    <n v="3000003743"/>
    <d v="2025-07-08T00:00:00"/>
    <n v="15326630.699999999"/>
    <s v="MG SERVICIOS AGROPECUARIOS SASTAFI VIEJO 14"/>
    <x v="733"/>
    <n v="15326630.699999999"/>
    <x v="95"/>
    <x v="2"/>
    <s v="pagado"/>
    <s v="pagado"/>
    <x v="0"/>
    <x v="0"/>
  </r>
  <r>
    <n v="3000003744"/>
    <d v="2025-07-08T00:00:00"/>
    <n v="5633692.1699999999"/>
    <s v="DUN Y BRADSTREET S.A CIUDAD AUTONOMA DE BUENOS AIRES 01"/>
    <x v="734"/>
    <n v="5633692.1699999999"/>
    <x v="94"/>
    <x v="2"/>
    <s v="pagado"/>
    <s v="pagado"/>
    <x v="0"/>
    <x v="0"/>
  </r>
  <r>
    <n v="3000003745"/>
    <d v="2025-07-08T00:00:00"/>
    <n v="7658980"/>
    <s v="Atenor Hnos. S.R.L SAN MIGUEL DE TUCUMAN 14"/>
    <x v="735"/>
    <n v="7658980"/>
    <x v="94"/>
    <x v="2"/>
    <s v="pagado"/>
    <s v="pagado"/>
    <x v="0"/>
    <x v="0"/>
  </r>
  <r>
    <n v="3000003746"/>
    <d v="2025-07-08T00:00:00"/>
    <n v="6217335.1100000003"/>
    <s v="TUCUMAN PALLET SRL EL MANANTIAL 14"/>
    <x v="736"/>
    <n v="6217335.1100000003"/>
    <x v="94"/>
    <x v="2"/>
    <s v="pagado"/>
    <s v="pagado"/>
    <x v="0"/>
    <x v="0"/>
  </r>
  <r>
    <n v="3000003747"/>
    <d v="2025-07-08T00:00:00"/>
    <n v="10000000"/>
    <s v="Asoc. Coop.Fac.Cie.Exac.y Tec.SAN MIGUEL DE TUCUMAN 14"/>
    <x v="737"/>
    <n v="10000000"/>
    <x v="94"/>
    <x v="2"/>
    <s v="pagado"/>
    <s v="pagado"/>
    <x v="0"/>
    <x v="0"/>
  </r>
  <r>
    <n v="3000003747"/>
    <d v="2025-07-08T00:00:00"/>
    <n v="9331743"/>
    <s v="Asoc. Coop.Fac.Cie.Exac.y Tec.SAN MIGUEL DE TUCUMAN 14"/>
    <x v="738"/>
    <n v="9331743"/>
    <x v="95"/>
    <x v="2"/>
    <s v="pagado"/>
    <s v="pagado"/>
    <x v="0"/>
    <x v="0"/>
  </r>
  <r>
    <n v="3000003748"/>
    <d v="2025-07-08T00:00:00"/>
    <n v="22000000"/>
    <s v="CEFAS S.A CIUDAD AUTONOMA DE BUENOS AIRES 01"/>
    <x v="739"/>
    <n v="22000000"/>
    <x v="94"/>
    <x v="2"/>
    <s v="pagado"/>
    <s v="pagado"/>
    <x v="0"/>
    <x v="0"/>
  </r>
  <r>
    <n v="3000003748"/>
    <d v="2025-07-08T00:00:00"/>
    <n v="20944742.699999999"/>
    <s v="CEFAS S.A CIUDAD AUTONOMA DE BUENOS AIRES 01"/>
    <x v="740"/>
    <n v="20944742.699999999"/>
    <x v="95"/>
    <x v="2"/>
    <s v="pagado"/>
    <s v="pagado"/>
    <x v="0"/>
    <x v="0"/>
  </r>
  <r>
    <n v="3000003749"/>
    <d v="2025-07-08T00:00:00"/>
    <n v="13000000"/>
    <s v="CORTEZ CHRISTIE ANA INES YERBA BUENA 14"/>
    <x v="741"/>
    <n v="13000000"/>
    <x v="94"/>
    <x v="2"/>
    <s v="pagado"/>
    <s v="pagado"/>
    <x v="0"/>
    <x v="0"/>
  </r>
  <r>
    <n v="3000003749"/>
    <d v="2025-07-08T00:00:00"/>
    <n v="10211664"/>
    <s v="CORTEZ CHRISTIE ANA INES YERBA BUENA 14"/>
    <x v="742"/>
    <n v="10211664"/>
    <x v="95"/>
    <x v="2"/>
    <s v="pagado"/>
    <s v="pagado"/>
    <x v="0"/>
    <x v="0"/>
  </r>
  <r>
    <n v="3000003750"/>
    <d v="2025-07-08T00:00:00"/>
    <n v="36000000"/>
    <s v="LA MARTINA SERV. AGRICOLAS S.RSAN PABLO 14"/>
    <x v="743"/>
    <n v="36000000"/>
    <x v="94"/>
    <x v="2"/>
    <s v="pagado"/>
    <s v="pagado"/>
    <x v="0"/>
    <x v="0"/>
  </r>
  <r>
    <n v="3000003750"/>
    <d v="2025-07-08T00:00:00"/>
    <n v="30093588.199999999"/>
    <s v="LA MARTINA SERV. AGRICOLAS S.RSAN PABLO 14"/>
    <x v="744"/>
    <n v="30093588.199999999"/>
    <x v="95"/>
    <x v="2"/>
    <s v="pagado"/>
    <s v="pagado"/>
    <x v="0"/>
    <x v="0"/>
  </r>
  <r>
    <n v="3000003751"/>
    <d v="2025-07-08T00:00:00"/>
    <n v="20000000"/>
    <s v="PAMPLONA SRL SAN MIGUEL DE TUCUMAN 14"/>
    <x v="745"/>
    <n v="20000000"/>
    <x v="94"/>
    <x v="2"/>
    <s v="pagado"/>
    <s v="pagado"/>
    <x v="0"/>
    <x v="0"/>
  </r>
  <r>
    <n v="3000003751"/>
    <d v="2025-07-08T00:00:00"/>
    <n v="18158856.329999998"/>
    <s v="PAMPLONA SRL SAN MIGUEL DE TUCUMAN 14"/>
    <x v="746"/>
    <n v="18158856.329999998"/>
    <x v="95"/>
    <x v="2"/>
    <s v="pagado"/>
    <s v="pagado"/>
    <x v="0"/>
    <x v="0"/>
  </r>
  <r>
    <n v="3000003752"/>
    <d v="2025-07-08T00:00:00"/>
    <n v="15000000"/>
    <s v="ROMERO SERVICIOS S. A. S. ALPACHIRI 14"/>
    <x v="747"/>
    <n v="15000000"/>
    <x v="94"/>
    <x v="2"/>
    <s v="pagado"/>
    <s v="pagado"/>
    <x v="0"/>
    <x v="0"/>
  </r>
  <r>
    <n v="3000003752"/>
    <d v="2025-07-08T00:00:00"/>
    <n v="12332042.08"/>
    <s v="ROMERO SERVICIOS S. A. S. ALPACHIRI 14"/>
    <x v="748"/>
    <n v="12332042.08"/>
    <x v="95"/>
    <x v="2"/>
    <s v="pagado"/>
    <s v="pagado"/>
    <x v="0"/>
    <x v="0"/>
  </r>
  <r>
    <n v="3000003753"/>
    <d v="2025-07-08T00:00:00"/>
    <n v="12752756.26"/>
    <s v="SAUCE HUACHO SERVICIOS S.R.L MONTEROS 14"/>
    <x v="749"/>
    <n v="12752756.26"/>
    <x v="94"/>
    <x v="2"/>
    <s v="pagado"/>
    <s v="pagado"/>
    <x v="0"/>
    <x v="0"/>
  </r>
  <r>
    <n v="3000003754"/>
    <d v="2025-07-08T00:00:00"/>
    <n v="10000000"/>
    <s v="MG SERVICIOS AGROPECUARIOS SASTAFI VIEJO 14"/>
    <x v="750"/>
    <n v="10000000"/>
    <x v="94"/>
    <x v="2"/>
    <s v="pagado"/>
    <s v="pagado"/>
    <x v="0"/>
    <x v="0"/>
  </r>
  <r>
    <n v="3000003754"/>
    <d v="2025-07-08T00:00:00"/>
    <n v="10000000"/>
    <s v="MG SERVICIOS AGROPECUARIOS SASTAFI VIEJO 14"/>
    <x v="751"/>
    <n v="10000000"/>
    <x v="94"/>
    <x v="2"/>
    <s v="pagado"/>
    <s v="pagado"/>
    <x v="0"/>
    <x v="0"/>
  </r>
  <r>
    <n v="3000003754"/>
    <d v="2025-07-08T00:00:00"/>
    <n v="10000000"/>
    <s v="MG SERVICIOS AGROPECUARIOS SASTAFI VIEJO 14"/>
    <x v="752"/>
    <n v="10000000"/>
    <x v="94"/>
    <x v="2"/>
    <s v="pagado"/>
    <s v="pagado"/>
    <x v="0"/>
    <x v="0"/>
  </r>
  <r>
    <n v="3000003754"/>
    <d v="2025-07-08T00:00:00"/>
    <n v="10000000"/>
    <s v="MG SERVICIOS AGROPECUARIOS SASTAFI VIEJO 14"/>
    <x v="753"/>
    <n v="10000000"/>
    <x v="94"/>
    <x v="2"/>
    <s v="pagado"/>
    <s v="pagado"/>
    <x v="0"/>
    <x v="0"/>
  </r>
  <r>
    <n v="3000003754"/>
    <d v="2025-07-08T00:00:00"/>
    <n v="20000000"/>
    <s v="MG SERVICIOS AGROPECUARIOS SASTAFI VIEJO 14"/>
    <x v="754"/>
    <n v="20000000"/>
    <x v="95"/>
    <x v="2"/>
    <s v="pagado"/>
    <s v="pagado"/>
    <x v="0"/>
    <x v="0"/>
  </r>
  <r>
    <n v="3000003754"/>
    <d v="2025-07-08T00:00:00"/>
    <n v="23236134.239999998"/>
    <s v="MG SERVICIOS AGROPECUARIOS SASTAFI VIEJO 14"/>
    <x v="755"/>
    <n v="23236134.239999998"/>
    <x v="95"/>
    <x v="2"/>
    <s v="pagado"/>
    <s v="pagado"/>
    <x v="0"/>
    <x v="0"/>
  </r>
  <r>
    <n v="3000003755"/>
    <d v="2025-07-08T00:00:00"/>
    <n v="15939620.75"/>
    <s v="EXPORTADORA DEL LITORAL SA SAN PEDRO 01"/>
    <x v="756"/>
    <n v="15939620.75"/>
    <x v="94"/>
    <x v="2"/>
    <s v="pagado"/>
    <s v="pagado"/>
    <x v="0"/>
    <x v="0"/>
  </r>
  <r>
    <n v="3000003811"/>
    <d v="2025-07-10T00:00:00"/>
    <n v="6710848.5599999996"/>
    <s v="PAEZ LEONEL EXEQUIEL MACIO 14"/>
    <x v="757"/>
    <n v="6710848.5599999996"/>
    <x v="96"/>
    <x v="2"/>
    <s v="pagado"/>
    <s v="pagado"/>
    <x v="0"/>
    <x v="0"/>
  </r>
  <r>
    <n v="3000003812"/>
    <d v="2025-07-10T00:00:00"/>
    <n v="6753755.9000000004"/>
    <s v="HERRERA RICARDO ALBERTO BANDA DEL RIO SALI 14"/>
    <x v="758"/>
    <n v="6753755.9000000004"/>
    <x v="96"/>
    <x v="2"/>
    <s v="pagado"/>
    <s v="pagado"/>
    <x v="0"/>
    <x v="0"/>
  </r>
  <r>
    <n v="3000003813"/>
    <d v="2025-07-10T00:00:00"/>
    <n v="4831229.0199999996"/>
    <s v="VIDES HECTOR FERNANDO VILLA LA TRINIDAD 14"/>
    <x v="759"/>
    <n v="4831229.0199999996"/>
    <x v="96"/>
    <x v="2"/>
    <s v="pagado"/>
    <s v="pagado"/>
    <x v="0"/>
    <x v="0"/>
  </r>
  <r>
    <n v="3000003814"/>
    <d v="2025-07-10T00:00:00"/>
    <n v="17357672.760000002"/>
    <s v="TRANSPORTE FRIOS DEL NORTE S.RSAN MIGUEL DE TUCUMAN 14"/>
    <x v="760"/>
    <n v="17357672.760000002"/>
    <x v="96"/>
    <x v="2"/>
    <s v="pagado"/>
    <s v="pagado"/>
    <x v="0"/>
    <x v="0"/>
  </r>
  <r>
    <n v="3000003815"/>
    <d v="2025-07-10T00:00:00"/>
    <n v="20000000"/>
    <s v="CAPETTA ANTONELLA ANAHI SAN MIGUEL DE TUCUMAN 14"/>
    <x v="761"/>
    <n v="20000000"/>
    <x v="96"/>
    <x v="2"/>
    <s v="pagado"/>
    <s v="pagado"/>
    <x v="0"/>
    <x v="0"/>
  </r>
  <r>
    <n v="3000003815"/>
    <d v="2025-07-10T00:00:00"/>
    <n v="14533641.789999999"/>
    <s v="CAPETTA ANTONELLA ANAHI SAN MIGUEL DE TUCUMAN 14"/>
    <x v="762"/>
    <n v="14533641.789999999"/>
    <x v="96"/>
    <x v="2"/>
    <s v="pagado"/>
    <s v="pagado"/>
    <x v="0"/>
    <x v="0"/>
  </r>
  <r>
    <n v="3000003816"/>
    <d v="2025-07-10T00:00:00"/>
    <n v="0"/>
    <s v="invalidado med.EOLIVERA -Destruido/ Sin uso"/>
    <x v="763"/>
    <n v="0"/>
    <x v="96"/>
    <x v="2"/>
    <s v="no pagado"/>
    <s v="fuera de fecha"/>
    <x v="0"/>
    <x v="0"/>
  </r>
  <r>
    <n v="3000003816"/>
    <d v="2025-07-10T00:00:00"/>
    <n v="10914260.119999999"/>
    <s v="RL SOLUCIONES S. A. S. SAN MIGUEL DE TUCUMAN 14"/>
    <x v="764"/>
    <n v="10914260.119999999"/>
    <x v="96"/>
    <x v="2"/>
    <s v="pagado"/>
    <s v="pagado"/>
    <x v="0"/>
    <x v="0"/>
  </r>
  <r>
    <n v="3000003817"/>
    <d v="2025-07-10T00:00:00"/>
    <n v="4260111.08"/>
    <s v="MAC DONALD MIGUEL ALEJANDRO BANDA DEL RIO SALI 14"/>
    <x v="765"/>
    <n v="4260111.08"/>
    <x v="96"/>
    <x v="2"/>
    <s v="pagado"/>
    <s v="pagado"/>
    <x v="0"/>
    <x v="0"/>
  </r>
  <r>
    <n v="3000003818"/>
    <d v="2025-07-10T00:00:00"/>
    <n v="8466031.1600000001"/>
    <s v="JACQUET NORBERTO SALVADOR SAN JOSE 05"/>
    <x v="766"/>
    <n v="8466031.1600000001"/>
    <x v="96"/>
    <x v="2"/>
    <s v="pagado"/>
    <s v="pagado"/>
    <x v="0"/>
    <x v="0"/>
  </r>
  <r>
    <n v="3000003819"/>
    <d v="2025-07-10T00:00:00"/>
    <n v="0"/>
    <s v="invalidado med.EOLIVERA -Destruido/ Sin uso"/>
    <x v="767"/>
    <n v="0"/>
    <x v="96"/>
    <x v="2"/>
    <s v="no pagado"/>
    <s v="fuera de fecha"/>
    <x v="0"/>
    <x v="0"/>
  </r>
  <r>
    <n v="3000003820"/>
    <d v="2025-07-10T00:00:00"/>
    <n v="7000000"/>
    <s v="D´ANDREA SERGIO FRANCISCO YERBA BUENA 14"/>
    <x v="768"/>
    <n v="7000000"/>
    <x v="96"/>
    <x v="2"/>
    <s v="pagado"/>
    <s v="pagado"/>
    <x v="0"/>
    <x v="0"/>
  </r>
  <r>
    <n v="3000003820"/>
    <d v="2025-07-10T00:00:00"/>
    <n v="8136224.2400000002"/>
    <s v="D´ANDREA SERGIO FRANCISCO YERBA BUENA 14"/>
    <x v="769"/>
    <n v="8136224.2400000002"/>
    <x v="96"/>
    <x v="2"/>
    <s v="pagado"/>
    <s v="pagado"/>
    <x v="0"/>
    <x v="0"/>
  </r>
  <r>
    <n v="3000003900"/>
    <d v="2025-07-14T00:00:00"/>
    <n v="10261641.91"/>
    <s v="VISMA ARGENTINA SA CAPITAL FEDERAL 14"/>
    <x v="770"/>
    <n v="10261641.91"/>
    <x v="97"/>
    <x v="2"/>
    <s v="pagado"/>
    <s v="pagado"/>
    <x v="0"/>
    <x v="0"/>
  </r>
  <r>
    <n v="3000003901"/>
    <d v="2025-07-14T00:00:00"/>
    <n v="30000000"/>
    <s v="GALINDO CONSTRUCCIONES SRL SAN MIGUEL DE TUCUMAN 14"/>
    <x v="771"/>
    <n v="30000000"/>
    <x v="97"/>
    <x v="2"/>
    <s v="pagado"/>
    <s v="pagado"/>
    <x v="0"/>
    <x v="0"/>
  </r>
  <r>
    <n v="3000003901"/>
    <d v="2025-07-14T00:00:00"/>
    <n v="22220964.949999999"/>
    <s v="GALINDO CONSTRUCCIONES SRL SAN MIGUEL DE TUCUMAN 14"/>
    <x v="772"/>
    <n v="22220964.949999999"/>
    <x v="98"/>
    <x v="2"/>
    <s v="pagado"/>
    <s v="pagado"/>
    <x v="0"/>
    <x v="0"/>
  </r>
  <r>
    <n v="3000003902"/>
    <d v="2025-07-14T00:00:00"/>
    <n v="13699381.84"/>
    <s v="PAMPLONA SRL SAN MIGUEL DE TUCUMAN 14"/>
    <x v="773"/>
    <n v="13699381.84"/>
    <x v="97"/>
    <x v="2"/>
    <s v="pagado"/>
    <s v="pagado"/>
    <x v="0"/>
    <x v="0"/>
  </r>
  <r>
    <n v="3000003903"/>
    <d v="2025-07-14T00:00:00"/>
    <n v="7800000"/>
    <s v="MELIAN MASSERA MARIA DE LAS MESAN MIGUEL DE TUCUMAN 14"/>
    <x v="774"/>
    <n v="7800000"/>
    <x v="97"/>
    <x v="2"/>
    <s v="pagado"/>
    <s v="pagado"/>
    <x v="0"/>
    <x v="0"/>
  </r>
  <r>
    <n v="3000003904"/>
    <d v="2025-07-14T00:00:00"/>
    <n v="4353141.97"/>
    <s v="CARAM ERNESTO JOSE SAN MIGUEL DE TUCUMAN 14"/>
    <x v="775"/>
    <n v="4353141.97"/>
    <x v="97"/>
    <x v="2"/>
    <s v="pagado"/>
    <s v="pagado"/>
    <x v="0"/>
    <x v="0"/>
  </r>
  <r>
    <n v="3000003905"/>
    <d v="2025-07-14T00:00:00"/>
    <n v="13488459.039999999"/>
    <s v="CITRAR SRL SAN MIGUEL DE TUCUMAN 14"/>
    <x v="776"/>
    <n v="13488459.039999999"/>
    <x v="97"/>
    <x v="2"/>
    <s v="pagado"/>
    <s v="pagado"/>
    <x v="0"/>
    <x v="0"/>
  </r>
  <r>
    <n v="3000003907"/>
    <d v="2025-07-14T00:00:00"/>
    <n v="6569181.9100000001"/>
    <s v="MANCERA JOSEFINA REMIGIA SAN MIGUEL DE TUCUMAN 14"/>
    <x v="777"/>
    <n v="6569181.9100000001"/>
    <x v="97"/>
    <x v="2"/>
    <s v="pagado"/>
    <s v="pagado"/>
    <x v="0"/>
    <x v="0"/>
  </r>
  <r>
    <n v="3000003908"/>
    <d v="2025-07-14T00:00:00"/>
    <n v="0"/>
    <s v="Anulado"/>
    <x v="778"/>
    <n v="0"/>
    <x v="97"/>
    <x v="2"/>
    <s v="no pagado"/>
    <s v="fuera de fecha"/>
    <x v="0"/>
    <x v="0"/>
  </r>
  <r>
    <n v="3000003908"/>
    <d v="2025-07-14T00:00:00"/>
    <n v="0"/>
    <s v="Anulado"/>
    <x v="779"/>
    <n v="0"/>
    <x v="98"/>
    <x v="2"/>
    <s v="no pagado"/>
    <s v="fuera de fecha"/>
    <x v="0"/>
    <x v="0"/>
  </r>
  <r>
    <n v="3000003909"/>
    <d v="2025-07-14T00:00:00"/>
    <n v="12489750"/>
    <s v="TUCUMAN PALLET SRL EL MANANTIAL 14"/>
    <x v="780"/>
    <n v="12489750"/>
    <x v="97"/>
    <x v="2"/>
    <s v="pagado"/>
    <s v="pagado"/>
    <x v="0"/>
    <x v="0"/>
  </r>
  <r>
    <n v="3000003910"/>
    <d v="2025-07-14T00:00:00"/>
    <n v="6983753.46"/>
    <s v="M.A.D Serv y mant eléctri SAN MIGUEL DE TUCUMAN 14"/>
    <x v="781"/>
    <n v="6983753.46"/>
    <x v="97"/>
    <x v="2"/>
    <s v="pagado"/>
    <s v="pagado"/>
    <x v="0"/>
    <x v="0"/>
  </r>
  <r>
    <n v="3000003965"/>
    <d v="2025-07-16T00:00:00"/>
    <n v="10000000"/>
    <s v="MOLINA JUAN F. Y MOLINA ROQUE Lastenia 14"/>
    <x v="782"/>
    <n v="10000000"/>
    <x v="98"/>
    <x v="2"/>
    <s v="pagado"/>
    <s v="pagado"/>
    <x v="0"/>
    <x v="0"/>
  </r>
  <r>
    <n v="3000003965"/>
    <d v="2025-07-16T00:00:00"/>
    <n v="10713128.49"/>
    <s v="MOLINA JUAN F. Y MOLINA ROQUE Lastenia 14"/>
    <x v="783"/>
    <n v="10713128.49"/>
    <x v="99"/>
    <x v="2"/>
    <s v="pagado"/>
    <s v="pagado"/>
    <x v="0"/>
    <x v="0"/>
  </r>
  <r>
    <n v="3000003966"/>
    <d v="2025-07-16T00:00:00"/>
    <n v="10000000"/>
    <s v="BONSUR SA CAPITAL FEDERAL 00"/>
    <x v="784"/>
    <n v="10000000"/>
    <x v="98"/>
    <x v="2"/>
    <s v="pagado"/>
    <s v="pagado"/>
    <x v="0"/>
    <x v="0"/>
  </r>
  <r>
    <n v="3000003966"/>
    <d v="2025-07-16T00:00:00"/>
    <n v="8034755"/>
    <s v="BONSUR SA CAPITAL FEDERAL 00"/>
    <x v="785"/>
    <n v="8034755"/>
    <x v="99"/>
    <x v="2"/>
    <s v="pagado"/>
    <s v="pagado"/>
    <x v="0"/>
    <x v="0"/>
  </r>
  <r>
    <n v="3000003967"/>
    <d v="2025-07-16T00:00:00"/>
    <n v="12492016.390000001"/>
    <s v="CEMEVA SAS YERBA BUENA 14"/>
    <x v="786"/>
    <n v="12492016.390000001"/>
    <x v="98"/>
    <x v="2"/>
    <s v="pagado"/>
    <s v="pagado"/>
    <x v="0"/>
    <x v="0"/>
  </r>
  <r>
    <n v="3000003968"/>
    <d v="2025-07-16T00:00:00"/>
    <n v="4233015.58"/>
    <s v="JACQUET NORBERTO SALVADOR SAN JOSE 05"/>
    <x v="787"/>
    <n v="4233015.58"/>
    <x v="98"/>
    <x v="2"/>
    <s v="pagado"/>
    <s v="pagado"/>
    <x v="0"/>
    <x v="0"/>
  </r>
  <r>
    <n v="3000003969"/>
    <d v="2025-07-16T00:00:00"/>
    <n v="0"/>
    <s v="invalidado med.EOLIVERA -Destruido/ Sin uso"/>
    <x v="788"/>
    <n v="0"/>
    <x v="98"/>
    <x v="2"/>
    <s v="no pagado"/>
    <s v="fuera de fecha"/>
    <x v="0"/>
    <x v="0"/>
  </r>
  <r>
    <n v="3000003970"/>
    <d v="2025-07-16T00:00:00"/>
    <n v="25000000"/>
    <s v="CAPETTA ANTONELLA ANAHI SAN MIGUEL DE TUCUMAN 14"/>
    <x v="789"/>
    <n v="25000000"/>
    <x v="98"/>
    <x v="2"/>
    <s v="pagado"/>
    <s v="pagado"/>
    <x v="0"/>
    <x v="0"/>
  </r>
  <r>
    <n v="3000003970"/>
    <d v="2025-07-16T00:00:00"/>
    <n v="21218891.469999999"/>
    <s v="CAPETTA ANTONELLA ANAHI SAN MIGUEL DE TUCUMAN 14"/>
    <x v="790"/>
    <n v="21218891.469999999"/>
    <x v="99"/>
    <x v="2"/>
    <s v="pagado"/>
    <s v="pagado"/>
    <x v="0"/>
    <x v="0"/>
  </r>
  <r>
    <n v="3000003971"/>
    <d v="2025-07-16T00:00:00"/>
    <n v="5801867.54"/>
    <s v="TRANSPORTE FRIOS DEL NORTE S.RSAN MIGUEL DE TUCUMAN 14"/>
    <x v="791"/>
    <n v="5801867.54"/>
    <x v="98"/>
    <x v="2"/>
    <s v="pagado"/>
    <s v="pagado"/>
    <x v="0"/>
    <x v="0"/>
  </r>
  <r>
    <n v="3000003972"/>
    <d v="2025-07-16T00:00:00"/>
    <n v="4491060.1900000004"/>
    <s v="Bustos Sergio Alejandro Banda Rio Sali 14"/>
    <x v="792"/>
    <n v="4491060.1900000004"/>
    <x v="98"/>
    <x v="2"/>
    <s v="pagado"/>
    <s v="pagado"/>
    <x v="0"/>
    <x v="0"/>
  </r>
  <r>
    <n v="3000003973"/>
    <d v="2025-07-16T00:00:00"/>
    <n v="5061103.07"/>
    <s v="PERATO LUIS ALBERTO BANDA DEL RIO SALI 14"/>
    <x v="793"/>
    <n v="5061103.07"/>
    <x v="98"/>
    <x v="2"/>
    <s v="pagado"/>
    <s v="pagado"/>
    <x v="0"/>
    <x v="0"/>
  </r>
  <r>
    <n v="3000003974"/>
    <d v="2025-07-16T00:00:00"/>
    <n v="10000000"/>
    <s v="SUAREZ MANUEL RODOLFO ALDERETES 14"/>
    <x v="794"/>
    <n v="10000000"/>
    <x v="98"/>
    <x v="2"/>
    <s v="pagado"/>
    <s v="pagado"/>
    <x v="0"/>
    <x v="0"/>
  </r>
  <r>
    <n v="3000003974"/>
    <d v="2025-07-16T00:00:00"/>
    <n v="9550707.5500000007"/>
    <s v="SUAREZ MANUEL RODOLFO ALDERETES 14"/>
    <x v="795"/>
    <n v="9550707.5500000007"/>
    <x v="99"/>
    <x v="2"/>
    <s v="pagado"/>
    <s v="pagado"/>
    <x v="0"/>
    <x v="0"/>
  </r>
  <r>
    <n v="3000003975"/>
    <d v="2025-07-16T00:00:00"/>
    <n v="13413612.02"/>
    <s v="Terminal 4 S.A. Puerto Nuevo 01"/>
    <x v="796"/>
    <n v="13413612.02"/>
    <x v="98"/>
    <x v="2"/>
    <s v="pagado"/>
    <s v="pagado"/>
    <x v="0"/>
    <x v="0"/>
  </r>
  <r>
    <n v="3000003976"/>
    <d v="2025-07-16T00:00:00"/>
    <n v="10621473.99"/>
    <s v="FERNANDEZ HECTOR JOSE SIMOCA 14"/>
    <x v="797"/>
    <n v="10621473.99"/>
    <x v="98"/>
    <x v="2"/>
    <s v="pagado"/>
    <s v="pagado"/>
    <x v="0"/>
    <x v="0"/>
  </r>
  <r>
    <n v="3000003977"/>
    <d v="2025-07-16T00:00:00"/>
    <n v="10000000"/>
    <s v="PERATO CRISTIAN LUIS BANDA DEL RIO SALI 14"/>
    <x v="798"/>
    <n v="10000000"/>
    <x v="98"/>
    <x v="2"/>
    <s v="pagado"/>
    <s v="pagado"/>
    <x v="0"/>
    <x v="0"/>
  </r>
  <r>
    <n v="3000003977"/>
    <d v="2025-07-16T00:00:00"/>
    <n v="6641609.0599999996"/>
    <s v="PERATO CRISTIAN LUIS BANDA DEL RIO SALI 14"/>
    <x v="799"/>
    <n v="6641609.0599999996"/>
    <x v="99"/>
    <x v="2"/>
    <s v="pagado"/>
    <s v="pagado"/>
    <x v="0"/>
    <x v="0"/>
  </r>
  <r>
    <n v="3000003978"/>
    <d v="2025-07-16T00:00:00"/>
    <n v="4521811.55"/>
    <s v="PEDRO GABRIEL ALEJANDRO ALDERETES 14"/>
    <x v="800"/>
    <n v="4521811.55"/>
    <x v="98"/>
    <x v="2"/>
    <s v="pagado"/>
    <s v="pagado"/>
    <x v="0"/>
    <x v="0"/>
  </r>
  <r>
    <n v="3000003979"/>
    <d v="2025-07-16T00:00:00"/>
    <n v="7632102.7000000002"/>
    <s v="ALVAREZ RENE JOSE MARIA BELLA VISTA 14"/>
    <x v="801"/>
    <n v="7632102.7000000002"/>
    <x v="98"/>
    <x v="2"/>
    <s v="pagado"/>
    <s v="pagado"/>
    <x v="0"/>
    <x v="0"/>
  </r>
  <r>
    <n v="3000003980"/>
    <d v="2025-07-16T00:00:00"/>
    <n v="3955942.8"/>
    <s v="Transportes La Sevillanita S.RALDERETES 14"/>
    <x v="802"/>
    <n v="3955942.8"/>
    <x v="98"/>
    <x v="2"/>
    <s v="pagado"/>
    <s v="pagado"/>
    <x v="0"/>
    <x v="0"/>
  </r>
  <r>
    <n v="3000003981"/>
    <d v="2025-07-16T00:00:00"/>
    <n v="5113517.75"/>
    <s v="TRANSPORTE MEDINA S.H. CRUZ ALTA 14"/>
    <x v="803"/>
    <n v="5113517.75"/>
    <x v="98"/>
    <x v="0"/>
    <s v="pagado"/>
    <s v="pagado"/>
    <x v="0"/>
    <x v="0"/>
  </r>
  <r>
    <n v="3000004017"/>
    <d v="2025-07-17T00:00:00"/>
    <n v="44511430"/>
    <s v="EDET S.A. SAN MIGUEL DE TUCUMAN 14"/>
    <x v="804"/>
    <n v="44511430"/>
    <x v="98"/>
    <x v="0"/>
    <s v="pagado"/>
    <s v="pagado"/>
    <x v="0"/>
    <x v="0"/>
  </r>
  <r>
    <n v="3000004035"/>
    <d v="2025-07-18T00:00:00"/>
    <n v="48913640"/>
    <s v="EDET S.A. SAN MIGUEL DE TUCUMAN 14"/>
    <x v="805"/>
    <n v="48913640"/>
    <x v="99"/>
    <x v="0"/>
    <s v="pagado"/>
    <s v="pagado"/>
    <x v="0"/>
    <x v="0"/>
  </r>
  <r>
    <n v="3000004127"/>
    <d v="2025-07-22T00:00:00"/>
    <n v="189261030"/>
    <s v="EDET S.A. SAN MIGUEL DE TUCUMAN 14"/>
    <x v="806"/>
    <n v="189261030"/>
    <x v="100"/>
    <x v="0"/>
    <s v="pagado"/>
    <s v="pagado"/>
    <x v="0"/>
    <x v="0"/>
  </r>
  <r>
    <n v="3000004145"/>
    <d v="2025-07-22T00:00:00"/>
    <n v="11607857.279999999"/>
    <s v="BUSTOS GUILLERMO DARIO ALDERETES 14"/>
    <x v="807"/>
    <n v="11607857.279999999"/>
    <x v="101"/>
    <x v="0"/>
    <s v="pagado"/>
    <s v="pagado"/>
    <x v="0"/>
    <x v="0"/>
  </r>
  <r>
    <n v="3000004146"/>
    <d v="2025-07-22T00:00:00"/>
    <n v="2916734.73"/>
    <s v="TRANSPORTE MEDINA S.H. CRUZ ALTA 14"/>
    <x v="808"/>
    <n v="2916734.73"/>
    <x v="101"/>
    <x v="0"/>
    <s v="pagado"/>
    <s v="pagado"/>
    <x v="0"/>
    <x v="0"/>
  </r>
  <r>
    <n v="3000004075"/>
    <d v="2025-07-22T00:00:00"/>
    <n v="15115990.58"/>
    <s v="Vaquera Francisco Alfredo Monteros 14"/>
    <x v="809"/>
    <n v="15115990.58"/>
    <x v="100"/>
    <x v="0"/>
    <s v="pagado"/>
    <s v="pagado"/>
    <x v="0"/>
    <x v="0"/>
  </r>
  <r>
    <n v="3000004076"/>
    <d v="2025-07-22T00:00:00"/>
    <n v="5122469.21"/>
    <s v="Arias Carlos Alberto SAN MIGUEL DE TUCUMAN 14"/>
    <x v="810"/>
    <n v="5122469.21"/>
    <x v="100"/>
    <x v="0"/>
    <s v="pagado"/>
    <s v="pagado"/>
    <x v="0"/>
    <x v="0"/>
  </r>
  <r>
    <n v="3000004077"/>
    <d v="2025-07-22T00:00:00"/>
    <n v="5121589.4400000004"/>
    <s v="NARANJO GONZALO JOSE TARUCA PAMPA 14"/>
    <x v="811"/>
    <n v="5121589.4400000004"/>
    <x v="100"/>
    <x v="0"/>
    <s v="pagado"/>
    <s v="pagado"/>
    <x v="0"/>
    <x v="0"/>
  </r>
  <r>
    <n v="3000004078"/>
    <d v="2025-07-22T00:00:00"/>
    <n v="13226597.09"/>
    <s v="SERV.AGROP VILLA PAPADAKIS S.RSALTA 09"/>
    <x v="812"/>
    <n v="13226597.09"/>
    <x v="100"/>
    <x v="0"/>
    <s v="pagado"/>
    <s v="pagado"/>
    <x v="0"/>
    <x v="0"/>
  </r>
  <r>
    <n v="3000004079"/>
    <d v="2025-07-22T00:00:00"/>
    <n v="38157945.75"/>
    <s v="COMPAÑIA INVERSORA DE ENERGIA CIUDAD AUTONOMA BUENOS AIRES 00"/>
    <x v="813"/>
    <n v="38157945.75"/>
    <x v="102"/>
    <x v="0"/>
    <s v="pagado"/>
    <s v="pagado"/>
    <x v="0"/>
    <x v="0"/>
  </r>
  <r>
    <n v="3000004080"/>
    <d v="2025-07-22T00:00:00"/>
    <n v="7637657.4900000002"/>
    <s v="INSITU S.R.L SAN MIGUEL DE TUCUMAN 14"/>
    <x v="814"/>
    <n v="7637657.4900000002"/>
    <x v="100"/>
    <x v="0"/>
    <s v="pagado"/>
    <s v="pagado"/>
    <x v="0"/>
    <x v="0"/>
  </r>
  <r>
    <n v="3000004081"/>
    <d v="2025-07-22T00:00:00"/>
    <n v="5362448.92"/>
    <s v="LABAC S.A. COLON 01"/>
    <x v="815"/>
    <n v="5362448.92"/>
    <x v="103"/>
    <x v="0"/>
    <s v="pagado"/>
    <s v="pagado"/>
    <x v="0"/>
    <x v="0"/>
  </r>
  <r>
    <n v="3000004082"/>
    <d v="2025-07-22T00:00:00"/>
    <n v="18435105.66"/>
    <s v="VIRAL IMPORTS SA YERBA BUENA 14"/>
    <x v="816"/>
    <n v="18435105.66"/>
    <x v="100"/>
    <x v="0"/>
    <s v="pagado"/>
    <s v="pagado"/>
    <x v="0"/>
    <x v="0"/>
  </r>
  <r>
    <n v="3000004083"/>
    <d v="2025-07-22T00:00:00"/>
    <n v="6240742.1100000003"/>
    <s v="PAMPLONA SRL SAN MIGUEL DE TUCUMAN 14"/>
    <x v="817"/>
    <n v="6240742.1100000003"/>
    <x v="100"/>
    <x v="0"/>
    <s v="pagado"/>
    <s v="pagado"/>
    <x v="0"/>
    <x v="0"/>
  </r>
  <r>
    <n v="3000004084"/>
    <d v="2025-07-22T00:00:00"/>
    <n v="2189670.7400000002"/>
    <s v="MG SERVICIOS AGROPECUARIOS SASTAFI VIEJO 14"/>
    <x v="818"/>
    <n v="2189670.7400000002"/>
    <x v="100"/>
    <x v="0"/>
    <s v="pagado"/>
    <s v="pagado"/>
    <x v="0"/>
    <x v="0"/>
  </r>
  <r>
    <n v="3000004085"/>
    <d v="2025-07-22T00:00:00"/>
    <n v="7196152.6200000001"/>
    <s v="ROMERO SERVICIOS S. A. S. ALPACHIRI 14"/>
    <x v="819"/>
    <n v="7196152.6200000001"/>
    <x v="100"/>
    <x v="0"/>
    <s v="pagado"/>
    <s v="pagado"/>
    <x v="0"/>
    <x v="0"/>
  </r>
  <r>
    <n v="3000004086"/>
    <d v="2025-07-22T00:00:00"/>
    <n v="25000000"/>
    <s v="AGROPECUARIA MUNDO NUEVO SRL SAN PABLO 14"/>
    <x v="820"/>
    <n v="25000000"/>
    <x v="100"/>
    <x v="0"/>
    <s v="pagado"/>
    <s v="pagado"/>
    <x v="0"/>
    <x v="0"/>
  </r>
  <r>
    <n v="3000004086"/>
    <d v="2025-07-22T00:00:00"/>
    <n v="26192022.579999998"/>
    <s v="AGROPECUARIA MUNDO NUEVO SRL SAN PABLO 14"/>
    <x v="821"/>
    <n v="26192022.579999998"/>
    <x v="101"/>
    <x v="0"/>
    <s v="pagado"/>
    <s v="pagado"/>
    <x v="0"/>
    <x v="0"/>
  </r>
  <r>
    <n v="3000004128"/>
    <d v="2025-07-22T00:00:00"/>
    <n v="7506500.5099999998"/>
    <s v="MOREY SERGIO GUILLERMO LOS GUTIERREZ-ALDERETES 14"/>
    <x v="822"/>
    <n v="7506500.5099999998"/>
    <x v="101"/>
    <x v="2"/>
    <s v="pagado"/>
    <s v="pagado"/>
    <x v="0"/>
    <x v="0"/>
  </r>
  <r>
    <n v="3000004129"/>
    <d v="2025-07-22T00:00:00"/>
    <n v="7012480.2999999998"/>
    <s v="ABALOS ENZO FEDERICO Villa Mariano Moreno 14"/>
    <x v="823"/>
    <n v="7012480.2999999998"/>
    <x v="101"/>
    <x v="2"/>
    <s v="pagado"/>
    <s v="pagado"/>
    <x v="0"/>
    <x v="0"/>
  </r>
  <r>
    <n v="3000004130"/>
    <d v="2025-07-22T00:00:00"/>
    <n v="11858051.880000001"/>
    <s v="Gonzalez Jose Luis Lastenia 14"/>
    <x v="824"/>
    <n v="11858051.880000001"/>
    <x v="101"/>
    <x v="2"/>
    <s v="pagado"/>
    <s v="pagado"/>
    <x v="0"/>
    <x v="0"/>
  </r>
  <r>
    <n v="3000004131"/>
    <d v="2025-07-22T00:00:00"/>
    <n v="13101023.1"/>
    <s v="LA MARTINA SERV. AGRICOLAS S.RSAN PABLO 14"/>
    <x v="825"/>
    <n v="13101023.1"/>
    <x v="101"/>
    <x v="2"/>
    <s v="pagado"/>
    <s v="pagado"/>
    <x v="0"/>
    <x v="0"/>
  </r>
  <r>
    <n v="3000004132"/>
    <d v="2025-07-22T00:00:00"/>
    <n v="6259914.4400000004"/>
    <s v="ALBERTUS JUAN CARLOS SAN MIGUEL DE TUCUMAN 14"/>
    <x v="826"/>
    <n v="6259914.4400000004"/>
    <x v="101"/>
    <x v="2"/>
    <s v="pagado"/>
    <s v="pagado"/>
    <x v="0"/>
    <x v="0"/>
  </r>
  <r>
    <n v="3000004133"/>
    <d v="2025-07-22T00:00:00"/>
    <n v="5690038.3399999999"/>
    <s v="Arias Gonzalo Alejandro San Miguel de Tucumán 14"/>
    <x v="827"/>
    <n v="5690038.3399999999"/>
    <x v="101"/>
    <x v="2"/>
    <s v="pagado"/>
    <s v="pagado"/>
    <x v="0"/>
    <x v="0"/>
  </r>
  <r>
    <n v="3000004134"/>
    <d v="2025-07-22T00:00:00"/>
    <n v="5814069.0499999998"/>
    <s v="GEREZ ALICIA ELEUTERIA SAN MIGUEL DE TUCUMAN 14"/>
    <x v="828"/>
    <n v="5814069.0499999998"/>
    <x v="101"/>
    <x v="2"/>
    <s v="pagado"/>
    <s v="pagado"/>
    <x v="0"/>
    <x v="0"/>
  </r>
  <r>
    <n v="3000004135"/>
    <d v="2025-07-22T00:00:00"/>
    <n v="9394026.8300000001"/>
    <s v="PERATO CRISTIAN LUIS BANDA DEL RIO SALI 14"/>
    <x v="829"/>
    <n v="9394026.8300000001"/>
    <x v="101"/>
    <x v="2"/>
    <s v="pagado"/>
    <s v="pagado"/>
    <x v="0"/>
    <x v="0"/>
  </r>
  <r>
    <n v="3000004136"/>
    <d v="2025-07-22T00:00:00"/>
    <n v="7618149.7800000003"/>
    <s v="BESTANI LEANDRO EXEQUIEL SAN MIGUEL DE TUCUMAN 14"/>
    <x v="830"/>
    <n v="7618149.7800000003"/>
    <x v="101"/>
    <x v="2"/>
    <s v="pagado"/>
    <s v="pagado"/>
    <x v="0"/>
    <x v="0"/>
  </r>
  <r>
    <n v="3000004137"/>
    <d v="2025-07-22T00:00:00"/>
    <n v="6489570"/>
    <s v="Cia. Azucarera Los Balcanes S.Ingenio La Florida 14"/>
    <x v="831"/>
    <n v="6489570"/>
    <x v="101"/>
    <x v="2"/>
    <s v="pagado"/>
    <s v="pagado"/>
    <x v="0"/>
    <x v="0"/>
  </r>
  <r>
    <n v="3000004138"/>
    <d v="2025-07-22T00:00:00"/>
    <n v="10581942.369999999"/>
    <s v="JACQUET NORBERTO SALVADOR SAN JOSE 05"/>
    <x v="832"/>
    <n v="10581942.369999999"/>
    <x v="101"/>
    <x v="2"/>
    <s v="pagado"/>
    <s v="pagado"/>
    <x v="0"/>
    <x v="0"/>
  </r>
  <r>
    <n v="3000004139"/>
    <d v="2025-07-22T00:00:00"/>
    <n v="7439002.6100000003"/>
    <s v="TRANSPORTE FRIOS DEL NORTE S.RSAN MIGUEL DE TUCUMAN 14"/>
    <x v="833"/>
    <n v="7439002.6100000003"/>
    <x v="101"/>
    <x v="2"/>
    <s v="pagado"/>
    <s v="pagado"/>
    <x v="0"/>
    <x v="0"/>
  </r>
  <r>
    <n v="3000004140"/>
    <d v="2025-07-22T00:00:00"/>
    <n v="16760640.93"/>
    <s v="RL SOLUCIONES S. A. S. SAN MIGUEL DE TUCUMAN 14"/>
    <x v="834"/>
    <n v="16760640.93"/>
    <x v="101"/>
    <x v="2"/>
    <s v="pagado"/>
    <s v="pagado"/>
    <x v="0"/>
    <x v="0"/>
  </r>
  <r>
    <n v="3000004141"/>
    <d v="2025-07-22T00:00:00"/>
    <n v="20883015.079999998"/>
    <s v="CEMEVA SAS YERBA BUENA 14"/>
    <x v="835"/>
    <n v="20883015.079999998"/>
    <x v="101"/>
    <x v="2"/>
    <s v="pagado"/>
    <s v="pagado"/>
    <x v="0"/>
    <x v="0"/>
  </r>
  <r>
    <n v="3000004142"/>
    <d v="2025-07-22T00:00:00"/>
    <n v="25000000"/>
    <s v="CAPETTA ANTONELLA ANAHI SAN MIGUEL DE TUCUMAN 14"/>
    <x v="836"/>
    <n v="25000000"/>
    <x v="101"/>
    <x v="2"/>
    <s v="pagado"/>
    <s v="pagado"/>
    <x v="0"/>
    <x v="0"/>
  </r>
  <r>
    <n v="3000004142"/>
    <d v="2025-07-22T00:00:00"/>
    <n v="24729825.289999999"/>
    <s v="CAPETTA ANTONELLA ANAHI SAN MIGUEL DE TUCUMAN 14"/>
    <x v="837"/>
    <n v="24729825.289999999"/>
    <x v="103"/>
    <x v="2"/>
    <s v="pagado"/>
    <s v="pagado"/>
    <x v="0"/>
    <x v="0"/>
  </r>
  <r>
    <n v="3000004143"/>
    <d v="2025-07-22T00:00:00"/>
    <n v="9099778.7200000007"/>
    <s v="Terminal 4 S.A. Puerto Nuevo 01"/>
    <x v="838"/>
    <n v="9099778.7200000007"/>
    <x v="101"/>
    <x v="2"/>
    <s v="pagado"/>
    <s v="pagado"/>
    <x v="0"/>
    <x v="0"/>
  </r>
  <r>
    <n v="3000004144"/>
    <d v="2025-07-22T00:00:00"/>
    <n v="16015964.869999999"/>
    <s v="Hierronort Salta S.R.L. SAN MIGUEL DE TUCUMAN 14"/>
    <x v="839"/>
    <n v="16015964.869999999"/>
    <x v="101"/>
    <x v="2"/>
    <s v="pagado"/>
    <s v="pagado"/>
    <x v="0"/>
    <x v="0"/>
  </r>
  <r>
    <n v="3000004185"/>
    <d v="2025-07-24T00:00:00"/>
    <n v="50000000"/>
    <s v="MG SERVICIOS AGROPECUARIOS SASTAFI VIEJO 14"/>
    <x v="840"/>
    <n v="50000000"/>
    <x v="103"/>
    <x v="2"/>
    <s v="pagado"/>
    <s v="pagado"/>
    <x v="0"/>
    <x v="0"/>
  </r>
  <r>
    <n v="3000004185"/>
    <d v="2025-07-24T00:00:00"/>
    <n v="12000000"/>
    <s v="MG SERVICIOS AGROPECUARIOS SASTAFI VIEJO 14"/>
    <x v="841"/>
    <n v="12000000"/>
    <x v="104"/>
    <x v="2"/>
    <s v="pagado"/>
    <s v="pagado"/>
    <x v="0"/>
    <x v="0"/>
  </r>
  <r>
    <n v="3000004185"/>
    <d v="2025-07-24T00:00:00"/>
    <n v="4000000"/>
    <s v="MG SERVICIOS AGROPECUARIOS SASTAFI VIEJO 14"/>
    <x v="842"/>
    <n v="4000000"/>
    <x v="104"/>
    <x v="2"/>
    <s v="pagado"/>
    <s v="pagado"/>
    <x v="0"/>
    <x v="0"/>
  </r>
  <r>
    <n v="3000004185"/>
    <d v="2025-07-24T00:00:00"/>
    <n v="20324226.940000001"/>
    <s v="MG SERVICIOS AGROPECUARIOS SASTAFI VIEJO 14"/>
    <x v="843"/>
    <n v="20324226.940000001"/>
    <x v="104"/>
    <x v="2"/>
    <s v="pagado"/>
    <s v="pagado"/>
    <x v="0"/>
    <x v="0"/>
  </r>
  <r>
    <n v="3000004183"/>
    <d v="2025-07-24T00:00:00"/>
    <n v="11000000"/>
    <s v="SAUCE HUACHO SERVICIOS S.R.L MONTEROS 14"/>
    <x v="844"/>
    <n v="11000000"/>
    <x v="103"/>
    <x v="2"/>
    <s v="pagado"/>
    <s v="pagado"/>
    <x v="0"/>
    <x v="0"/>
  </r>
  <r>
    <n v="3000004183"/>
    <d v="2025-07-24T00:00:00"/>
    <n v="10561784.689999999"/>
    <s v="SAUCE HUACHO SERVICIOS S.R.L MONTEROS 14"/>
    <x v="845"/>
    <n v="10561784.689999999"/>
    <x v="104"/>
    <x v="2"/>
    <s v="pagado"/>
    <s v="pagado"/>
    <x v="0"/>
    <x v="0"/>
  </r>
  <r>
    <n v="3000004184"/>
    <d v="2025-07-24T00:00:00"/>
    <n v="20000000"/>
    <s v="ROMERO SERVICIOS S. A. S. ALPACHIRI 14"/>
    <x v="846"/>
    <n v="20000000"/>
    <x v="103"/>
    <x v="2"/>
    <s v="pagado"/>
    <s v="pagado"/>
    <x v="0"/>
    <x v="0"/>
  </r>
  <r>
    <n v="3000004184"/>
    <d v="2025-07-24T00:00:00"/>
    <n v="18589587.239999998"/>
    <s v="ROMERO SERVICIOS S. A. S. ALPACHIRI 14"/>
    <x v="847"/>
    <n v="18589587.239999998"/>
    <x v="104"/>
    <x v="2"/>
    <s v="pagado"/>
    <s v="pagado"/>
    <x v="0"/>
    <x v="0"/>
  </r>
  <r>
    <n v="3000004247"/>
    <d v="2025-07-28T00:00:00"/>
    <n v="15035698.949999999"/>
    <s v="EMPRESA MAYORISTA INDUSTRIAL SSAN MIGUEL DE TUCUMAN 14"/>
    <x v="848"/>
    <n v="15035698.949999999"/>
    <x v="105"/>
    <x v="2"/>
    <s v="pagado"/>
    <s v="pagado"/>
    <x v="0"/>
    <x v="0"/>
  </r>
  <r>
    <n v="3000004248"/>
    <d v="2025-07-28T00:00:00"/>
    <n v="5293576.8"/>
    <s v="ARMERIA ARMAR SAS SAN MIGUEL DE TUCUMAN 14"/>
    <x v="849"/>
    <n v="5293576.8"/>
    <x v="105"/>
    <x v="2"/>
    <s v="pagado"/>
    <s v="pagado"/>
    <x v="0"/>
    <x v="0"/>
  </r>
  <r>
    <n v="3000004249"/>
    <d v="2025-07-28T00:00:00"/>
    <n v="6965375.6699999999"/>
    <s v="Bureau Veritas Arg.S.A. CIUDAD AUTONOMA DE BUENOS AIRES 01"/>
    <x v="850"/>
    <n v="6965375.6699999999"/>
    <x v="105"/>
    <x v="2"/>
    <s v="pagado"/>
    <s v="pagado"/>
    <x v="0"/>
    <x v="0"/>
  </r>
  <r>
    <n v="3000004250"/>
    <d v="2025-07-28T00:00:00"/>
    <n v="27924624"/>
    <s v="CORTEZ CHRISTIE ANA INES YERBA BUENA 14"/>
    <x v="851"/>
    <n v="27924624"/>
    <x v="106"/>
    <x v="2"/>
    <s v="pagado"/>
    <s v="pagado"/>
    <x v="0"/>
    <x v="0"/>
  </r>
  <r>
    <n v="3000004251"/>
    <d v="2025-07-28T00:00:00"/>
    <n v="25346948.370000001"/>
    <s v="Poda Verde SRL SAN MIGUEL DE TUCUMAN 14"/>
    <x v="852"/>
    <n v="25346948.370000001"/>
    <x v="106"/>
    <x v="2"/>
    <s v="pagado"/>
    <s v="pagado"/>
    <x v="0"/>
    <x v="0"/>
  </r>
  <r>
    <n v="3000004252"/>
    <d v="2025-07-28T00:00:00"/>
    <n v="7719986.5199999996"/>
    <s v="PEDRO GABRIEL ALEJANDRO ALDERETES 14"/>
    <x v="853"/>
    <n v="7719986.5199999996"/>
    <x v="106"/>
    <x v="2"/>
    <s v="pagado"/>
    <s v="pagado"/>
    <x v="0"/>
    <x v="0"/>
  </r>
  <r>
    <n v="3000004253"/>
    <d v="2025-07-28T00:00:00"/>
    <n v="5717634.7599999998"/>
    <s v="Arias Carlos Alberto SAN MIGUEL DE TUCUMAN 14"/>
    <x v="854"/>
    <n v="5717634.7599999998"/>
    <x v="106"/>
    <x v="2"/>
    <s v="pagado"/>
    <s v="pagado"/>
    <x v="0"/>
    <x v="0"/>
  </r>
  <r>
    <n v="3000004254"/>
    <d v="2025-07-28T00:00:00"/>
    <n v="6121182.0199999996"/>
    <s v="HERRERA RICARDO ALBERTO BANDA DEL RIO SALI 14"/>
    <x v="855"/>
    <n v="6121182.0199999996"/>
    <x v="106"/>
    <x v="2"/>
    <s v="pagado"/>
    <s v="pagado"/>
    <x v="0"/>
    <x v="0"/>
  </r>
  <r>
    <n v="3000004255"/>
    <d v="2025-07-28T00:00:00"/>
    <n v="8687860.3599999994"/>
    <s v="TRANSPORTE MARIANITA S.R.L SAN MIGUEL DE TUCUMAN 14"/>
    <x v="856"/>
    <n v="8687860.3599999994"/>
    <x v="106"/>
    <x v="2"/>
    <s v="pagado"/>
    <s v="pagado"/>
    <x v="0"/>
    <x v="0"/>
  </r>
  <r>
    <n v="3000004256"/>
    <d v="2025-07-28T00:00:00"/>
    <n v="4404313.99"/>
    <s v="OLEA LUIS ARIEL LOS GUTIERREZ-ALDERETES 14"/>
    <x v="857"/>
    <n v="4404313.99"/>
    <x v="106"/>
    <x v="2"/>
    <s v="pagado"/>
    <s v="pagado"/>
    <x v="0"/>
    <x v="0"/>
  </r>
  <r>
    <n v="3000004257"/>
    <d v="2025-07-28T00:00:00"/>
    <n v="13201996.35"/>
    <s v="ACOSTA ROQUE RAMON SAN MIGUEL DE TUCUMAN 14"/>
    <x v="858"/>
    <n v="13201996.35"/>
    <x v="106"/>
    <x v="2"/>
    <s v="pagado"/>
    <s v="pagado"/>
    <x v="0"/>
    <x v="0"/>
  </r>
  <r>
    <n v="3000004258"/>
    <d v="2025-07-28T00:00:00"/>
    <n v="4566260"/>
    <s v="LOBO BENICIO MARTIN ALDERETES 14"/>
    <x v="859"/>
    <n v="4566260"/>
    <x v="106"/>
    <x v="2"/>
    <s v="pagado"/>
    <s v="pagado"/>
    <x v="0"/>
    <x v="0"/>
  </r>
  <r>
    <n v="3000004259"/>
    <d v="2025-07-28T00:00:00"/>
    <n v="20046117.960000001"/>
    <s v="VIRAL IMPORTS SA YERBA BUENA 14"/>
    <x v="860"/>
    <n v="20046117.960000001"/>
    <x v="107"/>
    <x v="2"/>
    <s v="pagado"/>
    <s v="pagado"/>
    <x v="0"/>
    <x v="0"/>
  </r>
  <r>
    <n v="3000004260"/>
    <d v="2025-07-28T00:00:00"/>
    <n v="14250175.550000001"/>
    <s v="CEFAS S.A CIUDAD AUTONOMA DE BUENOS AIRES 01"/>
    <x v="861"/>
    <n v="14250175.550000001"/>
    <x v="107"/>
    <x v="2"/>
    <s v="pagado"/>
    <s v="pagado"/>
    <x v="0"/>
    <x v="0"/>
  </r>
  <r>
    <n v="3000004288"/>
    <d v="2025-07-29T00:00:00"/>
    <n v="7737056.5999999996"/>
    <s v="ALVAREZ RENE JOSE MARIA BELLA VISTA 14"/>
    <x v="862"/>
    <n v="7737056.5999999996"/>
    <x v="107"/>
    <x v="2"/>
    <s v="pagado"/>
    <s v="pagado"/>
    <x v="0"/>
    <x v="0"/>
  </r>
  <r>
    <n v="3000004289"/>
    <d v="2025-07-29T00:00:00"/>
    <n v="3829588.61"/>
    <s v="GEREZ ALICIA ELEUTERIA SAN MIGUEL DE TUCUMAN 14"/>
    <x v="863"/>
    <n v="3829588.61"/>
    <x v="107"/>
    <x v="2"/>
    <s v="pagado"/>
    <s v="pagado"/>
    <x v="0"/>
    <x v="0"/>
  </r>
  <r>
    <n v="3000004290"/>
    <d v="2025-07-29T00:00:00"/>
    <n v="4027360.32"/>
    <s v="SANTILLI CARLOS MIGUEL SAN MIGUEL DE TUCUMAN 14"/>
    <x v="864"/>
    <n v="4027360.32"/>
    <x v="107"/>
    <x v="2"/>
    <s v="pagado"/>
    <s v="pagado"/>
    <x v="0"/>
    <x v="0"/>
  </r>
  <r>
    <n v="3000004291"/>
    <d v="2025-07-29T00:00:00"/>
    <n v="10522290.970000001"/>
    <s v="FERNANDEZ HECTOR JOSE SIMOCA 14"/>
    <x v="865"/>
    <n v="10522290.970000001"/>
    <x v="107"/>
    <x v="2"/>
    <s v="pagado"/>
    <s v="pagado"/>
    <x v="0"/>
    <x v="0"/>
  </r>
  <r>
    <n v="3000004292"/>
    <d v="2025-07-29T00:00:00"/>
    <n v="6055353.7800000003"/>
    <s v="HERRERA RICARDO ALBERTO BANDA DEL RIO SALI 14"/>
    <x v="866"/>
    <n v="6055353.7800000003"/>
    <x v="107"/>
    <x v="2"/>
    <s v="pagado"/>
    <s v="pagado"/>
    <x v="0"/>
    <x v="0"/>
  </r>
  <r>
    <n v="3000004293"/>
    <d v="2025-07-29T00:00:00"/>
    <n v="5302077.43"/>
    <s v="PAEZ LEONEL EXEQUIEL MACIO 14"/>
    <x v="867"/>
    <n v="5302077.43"/>
    <x v="107"/>
    <x v="2"/>
    <s v="pagado"/>
    <s v="pagado"/>
    <x v="0"/>
    <x v="0"/>
  </r>
  <r>
    <n v="3000004294"/>
    <d v="2025-07-29T00:00:00"/>
    <n v="5468317.8399999999"/>
    <s v="Arias Gonzalo Alejandro San Miguel de Tucumán 14"/>
    <x v="868"/>
    <n v="5468317.8399999999"/>
    <x v="107"/>
    <x v="2"/>
    <s v="pagado"/>
    <s v="pagado"/>
    <x v="0"/>
    <x v="0"/>
  </r>
  <r>
    <n v="3000004295"/>
    <d v="2025-07-29T00:00:00"/>
    <n v="3075986.31"/>
    <s v="CARABAJAL FABIO OMAR ALDERETES 14"/>
    <x v="869"/>
    <n v="3075986.31"/>
    <x v="107"/>
    <x v="2"/>
    <s v="pagado"/>
    <s v="pagado"/>
    <x v="0"/>
    <x v="0"/>
  </r>
  <r>
    <n v="3000004296"/>
    <d v="2025-07-29T00:00:00"/>
    <n v="5269400.38"/>
    <s v="ABALOS ENZO FEDERICO Villa Mariano Moreno 14"/>
    <x v="870"/>
    <n v="5269400.38"/>
    <x v="107"/>
    <x v="2"/>
    <s v="pagado"/>
    <s v="pagado"/>
    <x v="0"/>
    <x v="0"/>
  </r>
  <r>
    <n v="3000004297"/>
    <d v="2025-07-29T00:00:00"/>
    <n v="8928263.0500000007"/>
    <s v="D´ANDREA SERGIO FRANCISCO YERBA BUENA 14"/>
    <x v="871"/>
    <n v="8928263.0500000007"/>
    <x v="107"/>
    <x v="2"/>
    <s v="pagado"/>
    <s v="pagado"/>
    <x v="0"/>
    <x v="0"/>
  </r>
  <r>
    <n v="3000004298"/>
    <d v="2025-07-29T00:00:00"/>
    <n v="9064926.8800000008"/>
    <s v="MOREY SERGIO GUILLERMO LOS GUTIERREZ-ALDERETES 14"/>
    <x v="872"/>
    <n v="9064926.8800000008"/>
    <x v="107"/>
    <x v="2"/>
    <s v="pagado"/>
    <s v="pagado"/>
    <x v="0"/>
    <x v="0"/>
  </r>
  <r>
    <n v="3000004299"/>
    <d v="2025-07-29T00:00:00"/>
    <n v="3113090.53"/>
    <s v="Alcoba Luareano Arnaldo Concepcion 14"/>
    <x v="873"/>
    <n v="3113090.53"/>
    <x v="107"/>
    <x v="2"/>
    <s v="pagado"/>
    <s v="pagado"/>
    <x v="0"/>
    <x v="0"/>
  </r>
  <r>
    <n v="3000004300"/>
    <d v="2025-07-29T00:00:00"/>
    <n v="25000000"/>
    <s v="CAPETTA ANTONELLA ANAHI SAN MIGUEL DE TUCUMAN 14"/>
    <x v="874"/>
    <n v="25000000"/>
    <x v="107"/>
    <x v="2"/>
    <s v="pagado"/>
    <s v="pagado"/>
    <x v="0"/>
    <x v="0"/>
  </r>
  <r>
    <n v="3000004300"/>
    <d v="2025-07-29T00:00:00"/>
    <n v="22086717.969999999"/>
    <s v="CAPETTA ANTONELLA ANAHI SAN MIGUEL DE TUCUMAN 14"/>
    <x v="875"/>
    <n v="22086717.969999999"/>
    <x v="108"/>
    <x v="2"/>
    <s v="pagado"/>
    <s v="pagado"/>
    <x v="0"/>
    <x v="0"/>
  </r>
  <r>
    <n v="3000004301"/>
    <d v="2025-07-29T00:00:00"/>
    <n v="8496549.0700000003"/>
    <s v="CEMEVA SAS YERBA BUENA 14"/>
    <x v="876"/>
    <n v="8496549.0700000003"/>
    <x v="107"/>
    <x v="2"/>
    <s v="pagado"/>
    <s v="pagado"/>
    <x v="0"/>
    <x v="0"/>
  </r>
  <r>
    <n v="3000004302"/>
    <d v="2025-07-29T00:00:00"/>
    <n v="8466031.1500000004"/>
    <s v="RL SOLUCIONES S. A. S. SAN MIGUEL DE TUCUMAN 14"/>
    <x v="877"/>
    <n v="8466031.1500000004"/>
    <x v="107"/>
    <x v="2"/>
    <s v="pagado"/>
    <s v="pagado"/>
    <x v="0"/>
    <x v="0"/>
  </r>
  <r>
    <n v="3000004303"/>
    <d v="2025-07-29T00:00:00"/>
    <n v="4259943.16"/>
    <s v="MAC DONALD MIGUEL ALEJANDRO BANDA DEL RIO SALI 14"/>
    <x v="878"/>
    <n v="4259943.16"/>
    <x v="107"/>
    <x v="2"/>
    <s v="pagado"/>
    <s v="pagado"/>
    <x v="0"/>
    <x v="0"/>
  </r>
  <r>
    <n v="3000004304"/>
    <d v="2025-07-29T00:00:00"/>
    <n v="6349523.3700000001"/>
    <s v="LOGISTICA Y DISTRIBUCION FEDE CAPITAL FEDERAL 00"/>
    <x v="879"/>
    <n v="6349523.3700000001"/>
    <x v="107"/>
    <x v="2"/>
    <s v="pagado"/>
    <s v="pagado"/>
    <x v="0"/>
    <x v="0"/>
  </r>
  <r>
    <n v="3000004305"/>
    <d v="2025-07-29T00:00:00"/>
    <n v="14878005.23"/>
    <s v="TRANSPORTE FRIOS DEL NORTE S.RSAN MIGUEL DE TUCUMAN 14"/>
    <x v="880"/>
    <n v="14878005.23"/>
    <x v="107"/>
    <x v="2"/>
    <s v="pagado"/>
    <s v="pagado"/>
    <x v="0"/>
    <x v="0"/>
  </r>
  <r>
    <n v="3000004306"/>
    <d v="2025-07-29T00:00:00"/>
    <n v="24204600"/>
    <s v="LATCOMEX SA CAPITAL FEDERAL 00"/>
    <x v="881"/>
    <n v="24204600"/>
    <x v="107"/>
    <x v="2"/>
    <s v="pagado"/>
    <s v="pagado"/>
    <x v="0"/>
    <x v="0"/>
  </r>
  <r>
    <n v="3000004307"/>
    <d v="2025-07-29T00:00:00"/>
    <n v="28589441.109999999"/>
    <s v="LANCHELA HECTOR ROLANDO CONCEPCION 14"/>
    <x v="882"/>
    <n v="28589441.109999999"/>
    <x v="107"/>
    <x v="2"/>
    <s v="pagado"/>
    <s v="pagado"/>
    <x v="0"/>
    <x v="0"/>
  </r>
  <r>
    <n v="3000004308"/>
    <d v="2025-07-29T00:00:00"/>
    <n v="10637000"/>
    <s v="Silver Freight Logistic SRL CAPITAL FEDERAL 00"/>
    <x v="883"/>
    <n v="10637000"/>
    <x v="107"/>
    <x v="2"/>
    <s v="pagado"/>
    <s v="pagado"/>
    <x v="0"/>
    <x v="0"/>
  </r>
  <r>
    <n v="3000004416"/>
    <d v="2025-08-04T00:00:00"/>
    <n v="2000000"/>
    <s v="ZYLBERMINC CARLOS MANUEL CAPITAL FEDERAL 00"/>
    <x v="884"/>
    <n v="2000000"/>
    <x v="109"/>
    <x v="2"/>
    <s v="pagado"/>
    <s v="pagado"/>
    <x v="0"/>
    <x v="0"/>
  </r>
  <r>
    <n v="3000004416"/>
    <d v="2025-08-04T00:00:00"/>
    <n v="1500000"/>
    <s v="ZYLBERMINC CARLOS MANUEL CAPITAL FEDERAL 00"/>
    <x v="885"/>
    <n v="1500000"/>
    <x v="110"/>
    <x v="2"/>
    <s v="pagado"/>
    <s v="pagado"/>
    <x v="0"/>
    <x v="0"/>
  </r>
  <r>
    <n v="3000004416"/>
    <d v="2025-08-04T00:00:00"/>
    <n v="1633105"/>
    <s v="ZYLBERMINC CARLOS MANUEL CAPITAL FEDERAL 00"/>
    <x v="886"/>
    <n v="1633105"/>
    <x v="111"/>
    <x v="2"/>
    <s v="pagado"/>
    <s v="pagado"/>
    <x v="0"/>
    <x v="0"/>
  </r>
  <r>
    <n v="3000004417"/>
    <d v="2025-08-04T00:00:00"/>
    <n v="11024516.85"/>
    <s v="FERRO JOSE NICOLAS FAMAILLA 14"/>
    <x v="887"/>
    <n v="11024516.85"/>
    <x v="109"/>
    <x v="2"/>
    <s v="pagado"/>
    <s v="pagado"/>
    <x v="0"/>
    <x v="0"/>
  </r>
  <r>
    <n v="3000004418"/>
    <d v="2025-08-04T00:00:00"/>
    <n v="3940857.2"/>
    <s v="Sergio Scopel SAN MIGUEL DE TUCUMAN 14"/>
    <x v="888"/>
    <n v="3940857.2"/>
    <x v="109"/>
    <x v="2"/>
    <s v="pagado"/>
    <s v="pagado"/>
    <x v="0"/>
    <x v="0"/>
  </r>
  <r>
    <n v="3000004419"/>
    <d v="2025-08-04T00:00:00"/>
    <n v="5743027.8600000003"/>
    <s v="VISMA ARGENTINA SA CAPITAL FEDERAL 14"/>
    <x v="889"/>
    <n v="5743027.8600000003"/>
    <x v="109"/>
    <x v="2"/>
    <s v="pagado"/>
    <s v="pagado"/>
    <x v="0"/>
    <x v="0"/>
  </r>
  <r>
    <n v="3000004420"/>
    <d v="2025-08-04T00:00:00"/>
    <n v="4713247.1900000004"/>
    <s v="POLITUC S.R.L. SAN MIGUEL DE TUCUMAN 14"/>
    <x v="890"/>
    <n v="4713247.1900000004"/>
    <x v="112"/>
    <x v="2"/>
    <s v="pagado"/>
    <s v="pagado"/>
    <x v="0"/>
    <x v="0"/>
  </r>
  <r>
    <n v="3000004421"/>
    <d v="2025-08-04T00:00:00"/>
    <n v="14084891.720000001"/>
    <s v="CEFAS S.A CIUDAD AUTONOMA DE BUENOS AIRES 01"/>
    <x v="891"/>
    <n v="14084891.720000001"/>
    <x v="112"/>
    <x v="2"/>
    <s v="pagado"/>
    <s v="pagado"/>
    <x v="0"/>
    <x v="0"/>
  </r>
  <r>
    <n v="3000004422"/>
    <d v="2025-08-04T00:00:00"/>
    <n v="16044280"/>
    <s v="HELUANE PABLO DARIO SAN MIGUEL DE TUCUMAN 14"/>
    <x v="892"/>
    <n v="16044280"/>
    <x v="113"/>
    <x v="2"/>
    <s v="pagado"/>
    <s v="pagado"/>
    <x v="0"/>
    <x v="0"/>
  </r>
  <r>
    <n v="3000004423"/>
    <d v="2025-08-04T00:00:00"/>
    <n v="8035282.5"/>
    <s v="TUCUMAN PALLET SRL EL MANANTIAL 14"/>
    <x v="893"/>
    <n v="8035282.5"/>
    <x v="113"/>
    <x v="2"/>
    <s v="pagado"/>
    <s v="pagado"/>
    <x v="0"/>
    <x v="0"/>
  </r>
  <r>
    <n v="3000004461"/>
    <d v="2025-08-05T00:00:00"/>
    <n v="16993152.620000001"/>
    <s v="CEMEVA SAS YERBA BUENA 14"/>
    <x v="894"/>
    <n v="16993152.620000001"/>
    <x v="113"/>
    <x v="2"/>
    <s v="pagado"/>
    <s v="pagado"/>
    <x v="0"/>
    <x v="0"/>
  </r>
  <r>
    <n v="3000004462"/>
    <d v="2025-08-05T00:00:00"/>
    <n v="20000000"/>
    <s v="CAPETTA ANTONELLA ANAHI SAN MIGUEL DE TUCUMAN 14"/>
    <x v="895"/>
    <n v="20000000"/>
    <x v="113"/>
    <x v="2"/>
    <s v="pagado"/>
    <s v="pagado"/>
    <x v="0"/>
    <x v="0"/>
  </r>
  <r>
    <n v="3000004462"/>
    <d v="2025-08-05T00:00:00"/>
    <n v="19009118.850000001"/>
    <s v="CAPETTA ANTONELLA ANAHI SAN MIGUEL DE TUCUMAN 14"/>
    <x v="896"/>
    <n v="19009118.850000001"/>
    <x v="114"/>
    <x v="2"/>
    <s v="pagado"/>
    <s v="pagado"/>
    <x v="0"/>
    <x v="0"/>
  </r>
  <r>
    <n v="3000004463"/>
    <d v="2025-08-05T00:00:00"/>
    <n v="4359541.6399999997"/>
    <s v="VILLAGRA VELEZ ROQUE RICARDO SAN MIGUEL DE TUCUMAN 14"/>
    <x v="897"/>
    <n v="4359541.6399999997"/>
    <x v="113"/>
    <x v="2"/>
    <s v="pagado"/>
    <s v="pagado"/>
    <x v="0"/>
    <x v="0"/>
  </r>
  <r>
    <n v="3000004464"/>
    <d v="2025-08-05T00:00:00"/>
    <n v="4269086.9400000004"/>
    <s v="CARTER INTERNACIONAL S. A. S. SAN MIGUEL DE TUCUMAN 14"/>
    <x v="898"/>
    <n v="4269086.9400000004"/>
    <x v="113"/>
    <x v="2"/>
    <s v="pagado"/>
    <s v="pagado"/>
    <x v="0"/>
    <x v="0"/>
  </r>
  <r>
    <n v="3000004465"/>
    <d v="2025-08-05T00:00:00"/>
    <n v="14878173.140000001"/>
    <s v="TRANSPORTE FRIOS DEL NORTE S.RSAN MIGUEL DE TUCUMAN 14"/>
    <x v="899"/>
    <n v="14878173.140000001"/>
    <x v="113"/>
    <x v="2"/>
    <s v="pagado"/>
    <s v="pagado"/>
    <x v="0"/>
    <x v="0"/>
  </r>
  <r>
    <n v="3000004466"/>
    <d v="2025-08-05T00:00:00"/>
    <n v="6390082.6600000001"/>
    <s v="MAC DONALD MIGUEL ALEJANDRO BANDA DEL RIO SALI 14"/>
    <x v="900"/>
    <n v="6390082.6600000001"/>
    <x v="113"/>
    <x v="2"/>
    <s v="pagado"/>
    <s v="pagado"/>
    <x v="0"/>
    <x v="0"/>
  </r>
  <r>
    <n v="3000004467"/>
    <d v="2025-08-05T00:00:00"/>
    <n v="14163345.369999999"/>
    <s v="TRANSPORTE MARIANITA S.R.L SAN MIGUEL DE TUCUMAN 14"/>
    <x v="901"/>
    <n v="14163345.369999999"/>
    <x v="113"/>
    <x v="2"/>
    <s v="pagado"/>
    <s v="pagado"/>
    <x v="0"/>
    <x v="0"/>
  </r>
  <r>
    <n v="3000004468"/>
    <d v="2025-08-05T00:00:00"/>
    <n v="15161549.550000001"/>
    <s v="Vaquera Francisco Alfredo Monteros 14"/>
    <x v="902"/>
    <n v="15161549.550000001"/>
    <x v="113"/>
    <x v="2"/>
    <s v="pagado"/>
    <s v="pagado"/>
    <x v="0"/>
    <x v="0"/>
  </r>
  <r>
    <n v="3000004469"/>
    <d v="2025-08-05T00:00:00"/>
    <n v="4416003.25"/>
    <s v="TORRES JUAN RAMON ALDERETES 14"/>
    <x v="903"/>
    <n v="4416003.25"/>
    <x v="113"/>
    <x v="2"/>
    <s v="pagado"/>
    <s v="pagado"/>
    <x v="0"/>
    <x v="0"/>
  </r>
  <r>
    <n v="3000004470"/>
    <d v="2025-08-05T00:00:00"/>
    <n v="9357744.5800000001"/>
    <s v="SUAREZ MANUEL RODOLFO ALDERETES 14"/>
    <x v="904"/>
    <n v="9357744.5800000001"/>
    <x v="113"/>
    <x v="2"/>
    <s v="pagado"/>
    <s v="pagado"/>
    <x v="0"/>
    <x v="0"/>
  </r>
  <r>
    <n v="3000004471"/>
    <d v="2025-08-05T00:00:00"/>
    <n v="17000000"/>
    <s v="ACOSTA ROQUE RAMON SAN MIGUEL DE TUCUMAN 14"/>
    <x v="905"/>
    <n v="17000000"/>
    <x v="113"/>
    <x v="2"/>
    <s v="pagado"/>
    <s v="pagado"/>
    <x v="0"/>
    <x v="0"/>
  </r>
  <r>
    <n v="3000004471"/>
    <d v="2025-08-05T00:00:00"/>
    <n v="16714517.289999999"/>
    <s v="ACOSTA ROQUE RAMON SAN MIGUEL DE TUCUMAN 14"/>
    <x v="906"/>
    <n v="16714517.289999999"/>
    <x v="114"/>
    <x v="2"/>
    <s v="pagado"/>
    <s v="pagado"/>
    <x v="0"/>
    <x v="0"/>
  </r>
  <r>
    <n v="3000004472"/>
    <d v="2025-08-05T00:00:00"/>
    <n v="11721110.939999999"/>
    <s v="MOYANO JUAN VICTOR TUCUMAN 14"/>
    <x v="907"/>
    <n v="11721110.939999999"/>
    <x v="113"/>
    <x v="2"/>
    <s v="pagado"/>
    <s v="pagado"/>
    <x v="0"/>
    <x v="0"/>
  </r>
  <r>
    <n v="3000004473"/>
    <d v="2025-08-05T00:00:00"/>
    <n v="5802448.8200000003"/>
    <s v="GONZALEZ SANTIAGO ROQUE TAFI VIEJO 14"/>
    <x v="908"/>
    <n v="5802448.8200000003"/>
    <x v="113"/>
    <x v="2"/>
    <s v="pagado"/>
    <s v="pagado"/>
    <x v="0"/>
    <x v="0"/>
  </r>
  <r>
    <n v="3000004474"/>
    <d v="2025-08-05T00:00:00"/>
    <n v="18834275.710000001"/>
    <s v="MOLINA JUAN F. Y MOLINA ROQUE Lastenia 14"/>
    <x v="909"/>
    <n v="18834275.710000001"/>
    <x v="113"/>
    <x v="2"/>
    <s v="pagado"/>
    <s v="pagado"/>
    <x v="0"/>
    <x v="0"/>
  </r>
  <r>
    <n v="3000004475"/>
    <d v="2025-08-05T00:00:00"/>
    <n v="494932.56"/>
    <s v="Barrera Juan Jose San Miguel De Tucuman 14"/>
    <x v="910"/>
    <n v="494932.56"/>
    <x v="113"/>
    <x v="2"/>
    <s v="pagado"/>
    <s v="pagado"/>
    <x v="0"/>
    <x v="0"/>
  </r>
  <r>
    <n v="3000004621"/>
    <d v="2025-08-12T00:00:00"/>
    <n v="25000000"/>
    <s v="ROMERO SERVICIOS S. A. S. ALPACHIRI 14"/>
    <x v="911"/>
    <n v="25000000"/>
    <x v="115"/>
    <x v="2"/>
    <s v="pagado"/>
    <s v="pagado"/>
    <x v="0"/>
    <x v="0"/>
  </r>
  <r>
    <n v="3000004621"/>
    <d v="2025-08-12T00:00:00"/>
    <n v="23343278.77"/>
    <s v="ROMERO SERVICIOS S. A. S. ALPACHIRI 14"/>
    <x v="912"/>
    <n v="23343278.77"/>
    <x v="110"/>
    <x v="2"/>
    <s v="pagado"/>
    <s v="pagado"/>
    <x v="0"/>
    <x v="0"/>
  </r>
  <r>
    <n v="3000004622"/>
    <d v="2025-08-12T00:00:00"/>
    <n v="11000000"/>
    <s v="Verde y Sol S.R.L. SAN MIGUEL DE TUCUMAN 14"/>
    <x v="913"/>
    <n v="11000000"/>
    <x v="115"/>
    <x v="2"/>
    <s v="pagado"/>
    <s v="pagado"/>
    <x v="0"/>
    <x v="0"/>
  </r>
  <r>
    <n v="3000004622"/>
    <d v="2025-08-12T00:00:00"/>
    <n v="10034812.949999999"/>
    <s v="Verde y Sol S.R.L. SAN MIGUEL DE TUCUMAN 14"/>
    <x v="914"/>
    <n v="10034812.949999999"/>
    <x v="110"/>
    <x v="2"/>
    <s v="pagado"/>
    <s v="pagado"/>
    <x v="0"/>
    <x v="0"/>
  </r>
  <r>
    <n v="3000004623"/>
    <d v="2025-08-12T00:00:00"/>
    <n v="20000000"/>
    <s v="Poda Verde SRL SAN MIGUEL DE TUCUMAN 14"/>
    <x v="915"/>
    <n v="20000000"/>
    <x v="115"/>
    <x v="2"/>
    <s v="pagado"/>
    <s v="pagado"/>
    <x v="0"/>
    <x v="0"/>
  </r>
  <r>
    <n v="3000004623"/>
    <d v="2025-08-12T00:00:00"/>
    <n v="17423293.870000001"/>
    <s v="Poda Verde SRL SAN MIGUEL DE TUCUMAN 14"/>
    <x v="916"/>
    <n v="17423293.870000001"/>
    <x v="110"/>
    <x v="2"/>
    <s v="pagado"/>
    <s v="pagado"/>
    <x v="0"/>
    <x v="0"/>
  </r>
  <r>
    <n v="3000004624"/>
    <d v="2025-08-12T00:00:00"/>
    <n v="10000000"/>
    <s v="CAMPOAGRO SRL YERBA BUENA 14"/>
    <x v="917"/>
    <n v="10000000"/>
    <x v="115"/>
    <x v="2"/>
    <s v="pagado"/>
    <s v="pagado"/>
    <x v="0"/>
    <x v="0"/>
  </r>
  <r>
    <n v="3000004624"/>
    <d v="2025-08-12T00:00:00"/>
    <n v="7123598.3499999996"/>
    <s v="CAMPOAGRO SRL YERBA BUENA 14"/>
    <x v="918"/>
    <n v="7123598.3499999996"/>
    <x v="110"/>
    <x v="2"/>
    <s v="pagado"/>
    <s v="pagado"/>
    <x v="0"/>
    <x v="0"/>
  </r>
  <r>
    <n v="3000004625"/>
    <d v="2025-08-12T00:00:00"/>
    <n v="10000000"/>
    <s v="PAMPLONA SRL SAN MIGUEL DE TUCUMAN 14"/>
    <x v="919"/>
    <n v="10000000"/>
    <x v="115"/>
    <x v="2"/>
    <s v="pagado"/>
    <s v="pagado"/>
    <x v="0"/>
    <x v="0"/>
  </r>
  <r>
    <n v="3000004625"/>
    <d v="2025-08-12T00:00:00"/>
    <n v="11482137.98"/>
    <s v="PAMPLONA SRL SAN MIGUEL DE TUCUMAN 14"/>
    <x v="920"/>
    <n v="11482137.98"/>
    <x v="110"/>
    <x v="2"/>
    <s v="pagado"/>
    <s v="pagado"/>
    <x v="0"/>
    <x v="0"/>
  </r>
  <r>
    <n v="3000004633"/>
    <d v="2025-08-12T00:00:00"/>
    <n v="5000000"/>
    <s v="MG SERVICIOS AGROPECUARIOS SASTAFI VIEJO 14"/>
    <x v="921"/>
    <n v="5000000"/>
    <x v="115"/>
    <x v="2"/>
    <s v="pagado"/>
    <s v="pagado"/>
    <x v="0"/>
    <x v="0"/>
  </r>
  <r>
    <n v="3000004633"/>
    <d v="2025-08-12T00:00:00"/>
    <n v="3000000"/>
    <s v="MG SERVICIOS AGROPECUARIOS SASTAFI VIEJO 14"/>
    <x v="922"/>
    <n v="3000000"/>
    <x v="115"/>
    <x v="2"/>
    <s v="pagado"/>
    <s v="pagado"/>
    <x v="0"/>
    <x v="0"/>
  </r>
  <r>
    <n v="3000004633"/>
    <d v="2025-08-12T00:00:00"/>
    <n v="40000000"/>
    <s v="MG SERVICIOS AGROPECUARIOS SASTAFI VIEJO 14"/>
    <x v="923"/>
    <n v="40000000"/>
    <x v="110"/>
    <x v="2"/>
    <s v="pagado"/>
    <s v="pagado"/>
    <x v="0"/>
    <x v="0"/>
  </r>
  <r>
    <n v="3000004633"/>
    <d v="2025-08-12T00:00:00"/>
    <n v="38130377.240000002"/>
    <s v="MG SERVICIOS AGROPECUARIOS SASTAFI VIEJO 14"/>
    <x v="924"/>
    <n v="38130377.240000002"/>
    <x v="116"/>
    <x v="2"/>
    <s v="pagado"/>
    <s v="pagado"/>
    <x v="0"/>
    <x v="0"/>
  </r>
  <r>
    <n v="3000004635"/>
    <d v="2025-08-12T00:00:00"/>
    <n v="10000000"/>
    <s v="ROMERO SERVICIOS S. A. S. ALPACHIRI 14"/>
    <x v="925"/>
    <n v="10000000"/>
    <x v="115"/>
    <x v="2"/>
    <s v="pagado"/>
    <s v="pagado"/>
    <x v="0"/>
    <x v="0"/>
  </r>
  <r>
    <n v="3000004635"/>
    <d v="2025-08-12T00:00:00"/>
    <n v="9804474.1300000008"/>
    <s v="ROMERO SERVICIOS S. A. S. ALPACHIRI 14"/>
    <x v="926"/>
    <n v="9804474.1300000008"/>
    <x v="110"/>
    <x v="2"/>
    <s v="pagado"/>
    <s v="pagado"/>
    <x v="0"/>
    <x v="0"/>
  </r>
  <r>
    <n v="3000004640"/>
    <d v="2025-08-12T00:00:00"/>
    <n v="17000000"/>
    <s v="MG SERVICIOS AGROPECUARIOS SASTAFI VIEJO 14"/>
    <x v="927"/>
    <n v="17000000"/>
    <x v="115"/>
    <x v="2"/>
    <s v="pagado"/>
    <s v="pagado"/>
    <x v="0"/>
    <x v="0"/>
  </r>
  <r>
    <n v="3000004640"/>
    <d v="2025-08-12T00:00:00"/>
    <n v="12000000"/>
    <s v="MG SERVICIOS AGROPECUARIOS SASTAFI VIEJO 14"/>
    <x v="928"/>
    <n v="12000000"/>
    <x v="110"/>
    <x v="2"/>
    <s v="pagado"/>
    <s v="pagado"/>
    <x v="0"/>
    <x v="0"/>
  </r>
  <r>
    <n v="3000004640"/>
    <d v="2025-08-12T00:00:00"/>
    <n v="40000000"/>
    <s v="MG SERVICIOS AGROPECUARIOS SASTAFI VIEJO 14"/>
    <x v="929"/>
    <n v="40000000"/>
    <x v="116"/>
    <x v="2"/>
    <s v="pagado"/>
    <s v="pagado"/>
    <x v="0"/>
    <x v="0"/>
  </r>
  <r>
    <n v="3000004640"/>
    <d v="2025-08-12T00:00:00"/>
    <n v="32950998.350000001"/>
    <s v="MG SERVICIOS AGROPECUARIOS SASTAFI VIEJO 14"/>
    <x v="930"/>
    <n v="32950998.350000001"/>
    <x v="117"/>
    <x v="2"/>
    <s v="pagado"/>
    <s v="pagado"/>
    <x v="0"/>
    <x v="0"/>
  </r>
  <r>
    <n v="3000004620"/>
    <d v="2025-08-12T00:00:00"/>
    <n v="56179595.159999996"/>
    <s v="DECU3 S.R.L. YERBA BUENA 14"/>
    <x v="931"/>
    <n v="56179595.159999996"/>
    <x v="115"/>
    <x v="2"/>
    <s v="pagado"/>
    <s v="pagado"/>
    <x v="0"/>
    <x v="0"/>
  </r>
  <r>
    <n v="3000004626"/>
    <d v="2025-08-12T00:00:00"/>
    <n v="8203044.7800000003"/>
    <s v="MOYANO JUAN MANUEL ORAN 09"/>
    <x v="932"/>
    <n v="8203044.7800000003"/>
    <x v="115"/>
    <x v="2"/>
    <s v="pagado"/>
    <s v="pagado"/>
    <x v="0"/>
    <x v="0"/>
  </r>
  <r>
    <n v="3000004627"/>
    <d v="2025-08-12T00:00:00"/>
    <n v="7764115.8499999996"/>
    <s v="MONTEROS LEMON SAS TAFI VIEJO 14"/>
    <x v="933"/>
    <n v="7764115.8499999996"/>
    <x v="115"/>
    <x v="2"/>
    <s v="pagado"/>
    <s v="pagado"/>
    <x v="0"/>
    <x v="0"/>
  </r>
  <r>
    <n v="3000004628"/>
    <d v="2025-08-12T00:00:00"/>
    <n v="12494485.41"/>
    <s v="TS OASIS SRL BANDA DEL RIO SALI 14"/>
    <x v="934"/>
    <n v="12494485.41"/>
    <x v="115"/>
    <x v="2"/>
    <s v="pagado"/>
    <s v="pagado"/>
    <x v="0"/>
    <x v="0"/>
  </r>
  <r>
    <n v="3000004629"/>
    <d v="2025-08-12T00:00:00"/>
    <n v="9873360.3100000005"/>
    <s v="SMART SEGURIDAD SA YERBA BUENA 14"/>
    <x v="935"/>
    <n v="9873360.3100000005"/>
    <x v="115"/>
    <x v="2"/>
    <s v="pagado"/>
    <s v="pagado"/>
    <x v="0"/>
    <x v="0"/>
  </r>
  <r>
    <n v="3000004630"/>
    <d v="2025-08-12T00:00:00"/>
    <n v="7049695.46"/>
    <s v="Agricola Garcia S.A. SAN MIGUEL DE TUCUMAN 14"/>
    <x v="936"/>
    <n v="7049695.46"/>
    <x v="115"/>
    <x v="2"/>
    <s v="pagado"/>
    <s v="pagado"/>
    <x v="0"/>
    <x v="0"/>
  </r>
  <r>
    <n v="3000004631"/>
    <d v="2025-08-12T00:00:00"/>
    <n v="3946929"/>
    <s v="Transportes Gelvez SA LUJAN DEL CUYO 07"/>
    <x v="937"/>
    <n v="3946929"/>
    <x v="115"/>
    <x v="2"/>
    <s v="pagado"/>
    <s v="pagado"/>
    <x v="0"/>
    <x v="0"/>
  </r>
  <r>
    <n v="3000004632"/>
    <d v="2025-08-12T00:00:00"/>
    <n v="4104639.91"/>
    <s v="CENTRO HIDRAULICO S.A VENADO TUERTO 12"/>
    <x v="938"/>
    <n v="4104639.91"/>
    <x v="115"/>
    <x v="2"/>
    <s v="pagado"/>
    <s v="pagado"/>
    <x v="0"/>
    <x v="0"/>
  </r>
  <r>
    <n v="3000004634"/>
    <d v="2025-08-12T00:00:00"/>
    <n v="6624227"/>
    <s v="Marchese Grandi Meson y Asoc SAN MIGUEL DE TUCUMAN 14"/>
    <x v="939"/>
    <n v="6624227"/>
    <x v="115"/>
    <x v="2"/>
    <s v="pagado"/>
    <s v="pagado"/>
    <x v="0"/>
    <x v="0"/>
  </r>
  <r>
    <n v="3000004636"/>
    <d v="2025-08-12T00:00:00"/>
    <n v="14426000.24"/>
    <s v="SAUCE HUACHO SERVICIOS S.R.L MONTEROS 14"/>
    <x v="940"/>
    <n v="14426000.24"/>
    <x v="115"/>
    <x v="2"/>
    <s v="pagado"/>
    <s v="pagado"/>
    <x v="0"/>
    <x v="0"/>
  </r>
  <r>
    <n v="3000004637"/>
    <d v="2025-08-12T00:00:00"/>
    <n v="5662656.8099999996"/>
    <s v="TORRES JUAN RAMON ALDERETES 14"/>
    <x v="941"/>
    <n v="5662656.8099999996"/>
    <x v="115"/>
    <x v="2"/>
    <s v="pagado"/>
    <s v="pagado"/>
    <x v="0"/>
    <x v="0"/>
  </r>
  <r>
    <n v="3000004638"/>
    <d v="2025-08-12T00:00:00"/>
    <n v="8426925.8499999996"/>
    <s v="FERNANDEZ HECTOR JOSE SIMOCA 14"/>
    <x v="942"/>
    <n v="8426925.8499999996"/>
    <x v="115"/>
    <x v="2"/>
    <s v="pagado"/>
    <s v="pagado"/>
    <x v="0"/>
    <x v="0"/>
  </r>
  <r>
    <n v="3000004639"/>
    <d v="2025-08-12T00:00:00"/>
    <n v="5062829.5"/>
    <s v="PERATO LUIS ALBERTO BANDA DEL RIO SALI 14"/>
    <x v="943"/>
    <n v="5062829.5"/>
    <x v="115"/>
    <x v="2"/>
    <s v="pagado"/>
    <s v="pagado"/>
    <x v="0"/>
    <x v="0"/>
  </r>
  <r>
    <n v="3000004701"/>
    <d v="2025-08-13T00:00:00"/>
    <n v="46240760"/>
    <s v="EDET S.A. SAN MIGUEL DE TUCUMAN 14"/>
    <x v="944"/>
    <n v="46240760"/>
    <x v="110"/>
    <x v="0"/>
    <s v="pagado"/>
    <s v="pagado"/>
    <x v="0"/>
    <x v="0"/>
  </r>
  <r>
    <n v="3000004702"/>
    <d v="2025-08-13T00:00:00"/>
    <n v="8344187.6699999999"/>
    <s v="Mudad Francisco Esteban Los Nogales 14"/>
    <x v="945"/>
    <n v="8344187.6699999999"/>
    <x v="116"/>
    <x v="0"/>
    <s v="pagado"/>
    <s v="pagado"/>
    <x v="0"/>
    <x v="0"/>
  </r>
  <r>
    <n v="3000004703"/>
    <d v="2025-08-13T00:00:00"/>
    <n v="3573850.16"/>
    <s v="MANCERA JOSEFINA REMIGIA SAN MIGUEL DE TUCUMAN 14"/>
    <x v="946"/>
    <n v="3573850.16"/>
    <x v="116"/>
    <x v="0"/>
    <s v="pagado"/>
    <s v="pagado"/>
    <x v="0"/>
    <x v="0"/>
  </r>
  <r>
    <n v="3000004704"/>
    <d v="2025-08-13T00:00:00"/>
    <n v="11077878.75"/>
    <s v="Terminal 4 S.A. Puerto Nuevo 01"/>
    <x v="947"/>
    <n v="11077878.75"/>
    <x v="116"/>
    <x v="0"/>
    <s v="pagado"/>
    <s v="pagado"/>
    <x v="0"/>
    <x v="0"/>
  </r>
  <r>
    <n v="3000004705"/>
    <d v="2025-08-13T00:00:00"/>
    <n v="6389914.7400000002"/>
    <s v="MAC DONALD MIGUEL ALEJANDRO BANDA DEL RIO SALI 14"/>
    <x v="948"/>
    <n v="6389914.7400000002"/>
    <x v="116"/>
    <x v="0"/>
    <s v="pagado"/>
    <s v="pagado"/>
    <x v="0"/>
    <x v="0"/>
  </r>
  <r>
    <n v="3000004706"/>
    <d v="2025-08-13T00:00:00"/>
    <n v="14863126.57"/>
    <s v="CEMEVA SAS YERBA BUENA 14"/>
    <x v="949"/>
    <n v="14863126.57"/>
    <x v="116"/>
    <x v="0"/>
    <s v="pagado"/>
    <s v="pagado"/>
    <x v="0"/>
    <x v="0"/>
  </r>
  <r>
    <n v="3000004707"/>
    <d v="2025-08-13T00:00:00"/>
    <n v="14783241.43"/>
    <s v="RL SOLUCIONES S. A. S. SAN MIGUEL DE TUCUMAN 14"/>
    <x v="950"/>
    <n v="14783241.43"/>
    <x v="116"/>
    <x v="0"/>
    <s v="pagado"/>
    <s v="pagado"/>
    <x v="0"/>
    <x v="0"/>
  </r>
  <r>
    <n v="3000004708"/>
    <d v="2025-08-13T00:00:00"/>
    <n v="24000000"/>
    <s v="CAPETTA ANTONELLA ANAHI SAN MIGUEL DE TUCUMAN 14"/>
    <x v="951"/>
    <n v="24000000"/>
    <x v="116"/>
    <x v="0"/>
    <s v="pagado"/>
    <s v="pagado"/>
    <x v="0"/>
    <x v="0"/>
  </r>
  <r>
    <n v="3000004708"/>
    <d v="2025-08-13T00:00:00"/>
    <n v="20791336.559999999"/>
    <s v="CAPETTA ANTONELLA ANAHI SAN MIGUEL DE TUCUMAN 14"/>
    <x v="952"/>
    <n v="20791336.559999999"/>
    <x v="117"/>
    <x v="0"/>
    <s v="pagado"/>
    <s v="pagado"/>
    <x v="0"/>
    <x v="0"/>
  </r>
  <r>
    <n v="3000004709"/>
    <d v="2025-08-13T00:00:00"/>
    <n v="6716918.2800000003"/>
    <s v="PEDRO GABRIEL ALEJANDRO ALDERETES 14"/>
    <x v="953"/>
    <n v="6716918.2800000003"/>
    <x v="116"/>
    <x v="0"/>
    <s v="pagado"/>
    <s v="pagado"/>
    <x v="0"/>
    <x v="0"/>
  </r>
  <r>
    <n v="3000004710"/>
    <d v="2025-08-13T00:00:00"/>
    <n v="13791313.82"/>
    <s v="Vaquera Francisco Alfredo Monteros 14"/>
    <x v="954"/>
    <n v="13791313.82"/>
    <x v="116"/>
    <x v="0"/>
    <s v="pagado"/>
    <s v="pagado"/>
    <x v="0"/>
    <x v="0"/>
  </r>
  <r>
    <n v="3000004711"/>
    <d v="2025-08-13T00:00:00"/>
    <n v="6672488.6699999999"/>
    <s v="Arias Carlos Alberto SAN MIGUEL DE TUCUMAN 14"/>
    <x v="955"/>
    <n v="6672488.6699999999"/>
    <x v="116"/>
    <x v="0"/>
    <s v="pagado"/>
    <s v="pagado"/>
    <x v="0"/>
    <x v="0"/>
  </r>
  <r>
    <n v="3000004712"/>
    <d v="2025-08-13T00:00:00"/>
    <n v="6805702.7400000002"/>
    <s v="BESTANI LEANDRO EXEQUIEL SAN MIGUEL DE TUCUMAN 14"/>
    <x v="956"/>
    <n v="6805702.7400000002"/>
    <x v="116"/>
    <x v="0"/>
    <s v="pagado"/>
    <s v="pagado"/>
    <x v="0"/>
    <x v="0"/>
  </r>
  <r>
    <n v="3000004835"/>
    <d v="2025-08-20T00:00:00"/>
    <n v="0"/>
    <s v="invalidado med.EOLIVERA -Destruido/ Sin uso"/>
    <x v="957"/>
    <n v="0"/>
    <x v="99"/>
    <x v="2"/>
    <s v="no pagado"/>
    <s v="fuera de fecha"/>
    <x v="0"/>
    <x v="0"/>
  </r>
  <r>
    <n v="3000004834"/>
    <d v="2025-08-20T00:00:00"/>
    <n v="0"/>
    <s v="invalidado med.EOLIVERA -Destruido/ Sin uso"/>
    <x v="958"/>
    <n v="0"/>
    <x v="99"/>
    <x v="2"/>
    <s v="no pagado"/>
    <s v="fuera de fecha"/>
    <x v="0"/>
    <x v="0"/>
  </r>
  <r>
    <n v="3000004836"/>
    <d v="2025-08-20T00:00:00"/>
    <n v="0"/>
    <s v="invalidado med.EOLIVERA -Destruido/ Sin uso"/>
    <x v="959"/>
    <n v="0"/>
    <x v="99"/>
    <x v="2"/>
    <s v="no pagado"/>
    <s v="fuera de fecha"/>
    <x v="0"/>
    <x v="0"/>
  </r>
  <r>
    <n v="3000004837"/>
    <d v="2025-08-20T00:00:00"/>
    <n v="0"/>
    <s v="invalidado med.EOLIVERA -Destruido/ Sin uso"/>
    <x v="960"/>
    <n v="0"/>
    <x v="99"/>
    <x v="2"/>
    <s v="no pagado"/>
    <s v="fuera de fecha"/>
    <x v="0"/>
    <x v="0"/>
  </r>
  <r>
    <n v="3000004838"/>
    <d v="2025-08-20T00:00:00"/>
    <n v="0"/>
    <s v="invalidado med.EOLIVERA -Destruido/ Sin uso"/>
    <x v="961"/>
    <n v="0"/>
    <x v="99"/>
    <x v="2"/>
    <s v="no pagado"/>
    <s v="fuera de fecha"/>
    <x v="0"/>
    <x v="0"/>
  </r>
  <r>
    <n v="3000004839"/>
    <d v="2025-08-20T00:00:00"/>
    <n v="0"/>
    <s v="invalidado med.EOLIVERA -Destruido/ Sin uso"/>
    <x v="962"/>
    <n v="0"/>
    <x v="99"/>
    <x v="2"/>
    <s v="no pagado"/>
    <s v="fuera de fecha"/>
    <x v="0"/>
    <x v="0"/>
  </r>
  <r>
    <n v="3000004840"/>
    <d v="2025-08-20T00:00:00"/>
    <n v="0"/>
    <s v="invalidado med.EOLIVERA -Destruido/ Sin uso"/>
    <x v="963"/>
    <n v="0"/>
    <x v="99"/>
    <x v="2"/>
    <s v="no pagado"/>
    <s v="fuera de fecha"/>
    <x v="0"/>
    <x v="0"/>
  </r>
  <r>
    <n v="3000004840"/>
    <d v="2025-08-20T00:00:00"/>
    <n v="0"/>
    <s v="invalidado med.EOLIVERA -Destruido/ Sin uso"/>
    <x v="964"/>
    <n v="0"/>
    <x v="99"/>
    <x v="2"/>
    <s v="no pagado"/>
    <s v="fuera de fecha"/>
    <x v="0"/>
    <x v="0"/>
  </r>
  <r>
    <n v="3000004841"/>
    <d v="2025-08-20T00:00:00"/>
    <n v="0"/>
    <s v="invalidado med.EOLIVERA -Destruido/ Sin uso"/>
    <x v="965"/>
    <n v="0"/>
    <x v="99"/>
    <x v="2"/>
    <s v="no pagado"/>
    <s v="fuera de fecha"/>
    <x v="0"/>
    <x v="0"/>
  </r>
  <r>
    <n v="3000004842"/>
    <d v="2025-08-20T00:00:00"/>
    <n v="0"/>
    <s v="invalidado med.EOLIVERA -Destruido/ Sin uso"/>
    <x v="966"/>
    <n v="0"/>
    <x v="99"/>
    <x v="2"/>
    <s v="no pagado"/>
    <s v="fuera de fecha"/>
    <x v="0"/>
    <x v="0"/>
  </r>
  <r>
    <n v="3000004843"/>
    <d v="2025-08-20T00:00:00"/>
    <n v="0"/>
    <s v="invalidado med.EOLIVERA -Destruido/ Sin uso"/>
    <x v="967"/>
    <n v="0"/>
    <x v="99"/>
    <x v="2"/>
    <s v="no pagado"/>
    <s v="fuera de fecha"/>
    <x v="0"/>
    <x v="0"/>
  </r>
  <r>
    <n v="3000004843"/>
    <d v="2025-08-20T00:00:00"/>
    <n v="0"/>
    <s v="invalidado med.EOLIVERA -Destruido/ Sin uso"/>
    <x v="968"/>
    <n v="0"/>
    <x v="99"/>
    <x v="2"/>
    <s v="no pagado"/>
    <s v="fuera de fecha"/>
    <x v="0"/>
    <x v="0"/>
  </r>
  <r>
    <n v="3000004844"/>
    <d v="2025-08-20T00:00:00"/>
    <n v="0"/>
    <s v="invalidado med.EOLIVERA -Destruido/ Sin uso"/>
    <x v="969"/>
    <n v="0"/>
    <x v="99"/>
    <x v="2"/>
    <s v="no pagado"/>
    <s v="fuera de fecha"/>
    <x v="0"/>
    <x v="0"/>
  </r>
  <r>
    <n v="3000004845"/>
    <d v="2025-08-20T00:00:00"/>
    <n v="0"/>
    <s v="invalidado med.EOLIVERA -Destruido/ Sin uso"/>
    <x v="970"/>
    <n v="0"/>
    <x v="99"/>
    <x v="2"/>
    <s v="no pagado"/>
    <s v="fuera de fecha"/>
    <x v="0"/>
    <x v="0"/>
  </r>
  <r>
    <n v="3000004846"/>
    <d v="2025-08-20T00:00:00"/>
    <n v="0"/>
    <s v="invalidado med.EOLIVERA -Destruido/ Sin uso"/>
    <x v="971"/>
    <n v="0"/>
    <x v="99"/>
    <x v="2"/>
    <s v="no pagado"/>
    <s v="fuera de fecha"/>
    <x v="0"/>
    <x v="0"/>
  </r>
  <r>
    <n v="3000004847"/>
    <d v="2025-08-20T00:00:00"/>
    <n v="0"/>
    <s v="invalidado med.EOLIVERA -Destruido/ Sin uso"/>
    <x v="972"/>
    <n v="0"/>
    <x v="99"/>
    <x v="2"/>
    <s v="no pagado"/>
    <s v="fuera de fecha"/>
    <x v="0"/>
    <x v="0"/>
  </r>
  <r>
    <n v="3000004848"/>
    <d v="2025-08-20T00:00:00"/>
    <n v="0"/>
    <s v="invalidado med.EOLIVERA -Destruido/ Sin uso"/>
    <x v="973"/>
    <n v="0"/>
    <x v="99"/>
    <x v="2"/>
    <s v="no pagado"/>
    <s v="fuera de fecha"/>
    <x v="0"/>
    <x v="0"/>
  </r>
  <r>
    <n v="3000004849"/>
    <d v="2025-08-20T00:00:00"/>
    <n v="0"/>
    <s v="invalidado med.EOLIVERA -Destruido/ Sin uso"/>
    <x v="974"/>
    <n v="0"/>
    <x v="99"/>
    <x v="2"/>
    <s v="no pagado"/>
    <s v="fuera de fecha"/>
    <x v="0"/>
    <x v="0"/>
  </r>
  <r>
    <n v="3000004850"/>
    <d v="2025-08-20T00:00:00"/>
    <n v="0"/>
    <s v="invalidado med.EOLIVERA -Destruido/ Sin uso"/>
    <x v="975"/>
    <n v="0"/>
    <x v="99"/>
    <x v="2"/>
    <s v="no pagado"/>
    <s v="fuera de fecha"/>
    <x v="0"/>
    <x v="0"/>
  </r>
  <r>
    <n v="3000004851"/>
    <d v="2025-08-20T00:00:00"/>
    <n v="0"/>
    <s v="invalidado med.EOLIVERA -Destruido/ Sin uso"/>
    <x v="976"/>
    <n v="0"/>
    <x v="99"/>
    <x v="2"/>
    <s v="no pagado"/>
    <s v="fuera de fecha"/>
    <x v="0"/>
    <x v="0"/>
  </r>
  <r>
    <n v="3000004852"/>
    <d v="2025-08-20T00:00:00"/>
    <n v="0"/>
    <s v="invalidado med.EOLIVERA -Destruido/ Sin uso"/>
    <x v="977"/>
    <n v="0"/>
    <x v="99"/>
    <x v="2"/>
    <s v="no pagado"/>
    <s v="fuera de fecha"/>
    <x v="0"/>
    <x v="0"/>
  </r>
  <r>
    <n v="3000004853"/>
    <d v="2025-08-20T00:00:00"/>
    <n v="0"/>
    <s v="invalidado med.EOLIVERA -Destruido/ Sin uso"/>
    <x v="978"/>
    <n v="0"/>
    <x v="99"/>
    <x v="2"/>
    <s v="no pagado"/>
    <s v="fuera de fecha"/>
    <x v="0"/>
    <x v="0"/>
  </r>
  <r>
    <n v="3000004854"/>
    <d v="2025-08-20T00:00:00"/>
    <n v="0"/>
    <s v="invalidado med.EOLIVERA -Destruido/ Sin uso"/>
    <x v="979"/>
    <n v="0"/>
    <x v="99"/>
    <x v="2"/>
    <s v="no pagado"/>
    <s v="fuera de fecha"/>
    <x v="0"/>
    <x v="0"/>
  </r>
  <r>
    <n v="3000004855"/>
    <d v="2025-08-20T00:00:00"/>
    <n v="0"/>
    <s v="invalidado med.EOLIVERA -Destruido/ Sin uso"/>
    <x v="980"/>
    <n v="0"/>
    <x v="99"/>
    <x v="2"/>
    <s v="no pagado"/>
    <s v="fuera de fecha"/>
    <x v="0"/>
    <x v="0"/>
  </r>
  <r>
    <n v="3000004856"/>
    <d v="2025-08-20T00:00:00"/>
    <n v="0"/>
    <s v="invalidado med.EOLIVERA -Destruido/ Sin uso"/>
    <x v="981"/>
    <n v="0"/>
    <x v="99"/>
    <x v="2"/>
    <s v="no pagado"/>
    <s v="fuera de fecha"/>
    <x v="0"/>
    <x v="0"/>
  </r>
  <r>
    <n v="3000004857"/>
    <d v="2025-08-20T00:00:00"/>
    <n v="0"/>
    <s v="invalidado med.EOLIVERA -Destruido/ Sin uso"/>
    <x v="982"/>
    <n v="0"/>
    <x v="99"/>
    <x v="2"/>
    <s v="no pagado"/>
    <s v="fuera de fecha"/>
    <x v="0"/>
    <x v="0"/>
  </r>
  <r>
    <n v="3000004858"/>
    <d v="2025-08-20T00:00:00"/>
    <n v="0"/>
    <s v="invalidado med.EOLIVERA -Destruido/ Sin uso"/>
    <x v="983"/>
    <n v="0"/>
    <x v="99"/>
    <x v="2"/>
    <s v="no pagado"/>
    <s v="fuera de fecha"/>
    <x v="0"/>
    <x v="0"/>
  </r>
  <r>
    <n v="3000004859"/>
    <d v="2025-08-20T00:00:00"/>
    <n v="0"/>
    <s v="invalidado med.EOLIVERA -Destruido/ Sin uso"/>
    <x v="984"/>
    <n v="0"/>
    <x v="99"/>
    <x v="2"/>
    <s v="no pagado"/>
    <s v="fuera de fecha"/>
    <x v="0"/>
    <x v="0"/>
  </r>
  <r>
    <n v="3000004860"/>
    <d v="2025-08-20T00:00:00"/>
    <n v="0"/>
    <s v="invalidado med.EOLIVERA -Destruido/ Sin uso"/>
    <x v="985"/>
    <n v="0"/>
    <x v="99"/>
    <x v="2"/>
    <s v="no pagado"/>
    <s v="fuera de fecha"/>
    <x v="0"/>
    <x v="0"/>
  </r>
  <r>
    <n v="3000004861"/>
    <d v="2025-08-20T00:00:00"/>
    <n v="0"/>
    <s v="invalidado med.EOLIVERA -Destruido/ Sin uso"/>
    <x v="986"/>
    <n v="0"/>
    <x v="99"/>
    <x v="2"/>
    <s v="no pagado"/>
    <s v="fuera de fecha"/>
    <x v="0"/>
    <x v="0"/>
  </r>
  <r>
    <n v="3000004862"/>
    <d v="2025-08-20T00:00:00"/>
    <n v="0"/>
    <s v="invalidado med.EOLIVERA -Destruido/ Sin uso"/>
    <x v="987"/>
    <n v="0"/>
    <x v="99"/>
    <x v="2"/>
    <s v="no pagado"/>
    <s v="fuera de fecha"/>
    <x v="0"/>
    <x v="0"/>
  </r>
  <r>
    <n v="3000004834"/>
    <d v="2025-08-21T00:00:00"/>
    <n v="16325371.470000001"/>
    <s v="CONSTRUNOA S.A.S. ORAN 09"/>
    <x v="988"/>
    <n v="16325371.470000001"/>
    <x v="118"/>
    <x v="2"/>
    <s v="pagado"/>
    <s v="pagado"/>
    <x v="0"/>
    <x v="0"/>
  </r>
  <r>
    <n v="3000004836"/>
    <d v="2025-08-21T00:00:00"/>
    <n v="5716762.7199999997"/>
    <s v="ADLER HASENCLEVER Y ASOCIADOS BUENOS AIRES 01"/>
    <x v="989"/>
    <n v="5716762.7199999997"/>
    <x v="118"/>
    <x v="2"/>
    <s v="pagado"/>
    <s v="pagado"/>
    <x v="0"/>
    <x v="0"/>
  </r>
  <r>
    <n v="3000004837"/>
    <d v="2025-08-21T00:00:00"/>
    <n v="4991502.8499999996"/>
    <s v="MELISAM S A BOULOGNE 01"/>
    <x v="990"/>
    <n v="4991502.8499999996"/>
    <x v="118"/>
    <x v="2"/>
    <s v="pagado"/>
    <s v="pagado"/>
    <x v="0"/>
    <x v="0"/>
  </r>
  <r>
    <n v="3000004838"/>
    <d v="2025-08-21T00:00:00"/>
    <n v="12029850"/>
    <s v="HELUANE PABLO DARIO SAN MIGUEL DE TUCUMAN 14"/>
    <x v="991"/>
    <n v="12029850"/>
    <x v="118"/>
    <x v="2"/>
    <s v="pagado"/>
    <s v="pagado"/>
    <x v="0"/>
    <x v="0"/>
  </r>
  <r>
    <n v="3000004839"/>
    <d v="2025-08-21T00:00:00"/>
    <n v="10803100"/>
    <s v="TUCUMAN PALLET SRL EL MANANTIAL 14"/>
    <x v="992"/>
    <n v="10803100"/>
    <x v="118"/>
    <x v="2"/>
    <s v="pagado"/>
    <s v="pagado"/>
    <x v="0"/>
    <x v="0"/>
  </r>
  <r>
    <n v="3000004840"/>
    <d v="2025-08-21T00:00:00"/>
    <n v="13000000"/>
    <s v="Consultoria en Tecnologia de IBUENOS AIRES 00"/>
    <x v="993"/>
    <n v="13000000"/>
    <x v="118"/>
    <x v="2"/>
    <s v="pagado"/>
    <s v="pagado"/>
    <x v="0"/>
    <x v="0"/>
  </r>
  <r>
    <n v="3000004840"/>
    <d v="2025-08-21T00:00:00"/>
    <n v="13497240.32"/>
    <s v="Consultoria en Tecnologia de IBUENOS AIRES 00"/>
    <x v="994"/>
    <n v="13497240.32"/>
    <x v="119"/>
    <x v="2"/>
    <s v="pagado"/>
    <s v="pagado"/>
    <x v="0"/>
    <x v="0"/>
  </r>
  <r>
    <n v="3000004841"/>
    <d v="2025-08-21T00:00:00"/>
    <n v="9867424"/>
    <s v="CORTEZ CHRISTIE ANA INES YERBA BUENA 14"/>
    <x v="995"/>
    <n v="9867424"/>
    <x v="118"/>
    <x v="2"/>
    <s v="pagado"/>
    <s v="pagado"/>
    <x v="0"/>
    <x v="0"/>
  </r>
  <r>
    <n v="3000004842"/>
    <d v="2025-08-21T00:00:00"/>
    <n v="14280133.869999999"/>
    <s v="CEFAS S.A CIUDAD AUTONOMA DE BUENOS AIRES 01"/>
    <x v="996"/>
    <n v="14280133.869999999"/>
    <x v="118"/>
    <x v="2"/>
    <s v="pagado"/>
    <s v="pagado"/>
    <x v="0"/>
    <x v="0"/>
  </r>
  <r>
    <n v="3000004843"/>
    <d v="2025-08-21T00:00:00"/>
    <n v="12000000"/>
    <s v="SMART SEGURIDAD SA YERBA BUENA 14"/>
    <x v="997"/>
    <n v="12000000"/>
    <x v="118"/>
    <x v="2"/>
    <s v="pagado"/>
    <s v="pagado"/>
    <x v="0"/>
    <x v="0"/>
  </r>
  <r>
    <n v="3000004843"/>
    <d v="2025-08-21T00:00:00"/>
    <n v="12475857.77"/>
    <s v="SMART SEGURIDAD SA YERBA BUENA 14"/>
    <x v="998"/>
    <n v="12475857.77"/>
    <x v="119"/>
    <x v="2"/>
    <s v="pagado"/>
    <s v="pagado"/>
    <x v="0"/>
    <x v="0"/>
  </r>
  <r>
    <n v="3000004844"/>
    <d v="2025-08-21T00:00:00"/>
    <n v="15694378.41"/>
    <s v="CITRAR SRL SAN MIGUEL DE TUCUMAN 14"/>
    <x v="999"/>
    <n v="15694378.41"/>
    <x v="118"/>
    <x v="2"/>
    <s v="pagado"/>
    <s v="pagado"/>
    <x v="0"/>
    <x v="0"/>
  </r>
  <r>
    <n v="3000004845"/>
    <d v="2025-08-21T00:00:00"/>
    <n v="8305667.9199999999"/>
    <s v="LATCOMEX SA CAPITAL FEDERAL 00"/>
    <x v="1000"/>
    <n v="8305667.9199999999"/>
    <x v="118"/>
    <x v="2"/>
    <s v="pagado"/>
    <s v="pagado"/>
    <x v="0"/>
    <x v="0"/>
  </r>
  <r>
    <n v="3000004846"/>
    <d v="2025-08-21T00:00:00"/>
    <n v="2139990.64"/>
    <s v="Exolgan S.A. Dock Sud 01"/>
    <x v="1001"/>
    <n v="2139990.64"/>
    <x v="118"/>
    <x v="2"/>
    <s v="pagado"/>
    <s v="pagado"/>
    <x v="0"/>
    <x v="0"/>
  </r>
  <r>
    <n v="3000004847"/>
    <d v="2025-08-21T00:00:00"/>
    <n v="14941216.560000001"/>
    <s v="CAPETTA ANTONELLA ANAHI SAN MIGUEL DE TUCUMAN 14"/>
    <x v="1002"/>
    <n v="14941216.560000001"/>
    <x v="118"/>
    <x v="2"/>
    <s v="pagado"/>
    <s v="pagado"/>
    <x v="0"/>
    <x v="0"/>
  </r>
  <r>
    <n v="3000004848"/>
    <d v="2025-08-21T00:00:00"/>
    <n v="2129971.58"/>
    <s v="MAC DONALD MIGUEL ALEJANDRO BANDA DEL RIO SALI 14"/>
    <x v="1003"/>
    <n v="2129971.58"/>
    <x v="118"/>
    <x v="2"/>
    <s v="pagado"/>
    <s v="pagado"/>
    <x v="0"/>
    <x v="0"/>
  </r>
  <r>
    <n v="3000004849"/>
    <d v="2025-08-21T00:00:00"/>
    <n v="12699046.73"/>
    <s v="RL SOLUCIONES S. A. S. SAN MIGUEL DE TUCUMAN 14"/>
    <x v="1004"/>
    <n v="12699046.73"/>
    <x v="118"/>
    <x v="2"/>
    <s v="pagado"/>
    <s v="pagado"/>
    <x v="0"/>
    <x v="0"/>
  </r>
  <r>
    <n v="3000004850"/>
    <d v="2025-08-21T00:00:00"/>
    <n v="6389914.7400000002"/>
    <s v="CEMEVA SAS YERBA BUENA 14"/>
    <x v="1005"/>
    <n v="6389914.7400000002"/>
    <x v="118"/>
    <x v="2"/>
    <s v="pagado"/>
    <s v="pagado"/>
    <x v="0"/>
    <x v="0"/>
  </r>
  <r>
    <n v="3000004851"/>
    <d v="2025-08-21T00:00:00"/>
    <n v="2161718.38"/>
    <s v="ABALOS ENZO FEDERICO Villa Mariano Moreno 14"/>
    <x v="1006"/>
    <n v="2161718.38"/>
    <x v="118"/>
    <x v="2"/>
    <s v="no pagado"/>
    <s v="fuera de fecha"/>
    <x v="0"/>
    <x v="0"/>
  </r>
  <r>
    <n v="3000004852"/>
    <d v="2025-08-21T00:00:00"/>
    <n v="7155216.3899999997"/>
    <s v="HERRERA RICARDO ALBERTO BANDA DEL RIO SALI 14"/>
    <x v="1007"/>
    <n v="7155216.3899999997"/>
    <x v="118"/>
    <x v="2"/>
    <s v="pagado"/>
    <s v="pagado"/>
    <x v="0"/>
    <x v="0"/>
  </r>
  <r>
    <n v="3000004853"/>
    <d v="2025-08-21T00:00:00"/>
    <n v="3981049.7"/>
    <s v="Sereno Carlos Luis Los Gutierrez 14"/>
    <x v="1008"/>
    <n v="3981049.7"/>
    <x v="118"/>
    <x v="2"/>
    <s v="pagado"/>
    <s v="pagado"/>
    <x v="0"/>
    <x v="0"/>
  </r>
  <r>
    <n v="3000004854"/>
    <d v="2025-08-21T00:00:00"/>
    <n v="8848360.9199999999"/>
    <s v="SUAREZ MANUEL RODOLFO ALDERETES 14"/>
    <x v="1009"/>
    <n v="8848360.9199999999"/>
    <x v="118"/>
    <x v="2"/>
    <s v="pagado"/>
    <s v="pagado"/>
    <x v="0"/>
    <x v="0"/>
  </r>
  <r>
    <n v="3000004855"/>
    <d v="2025-08-21T00:00:00"/>
    <n v="7216832.25"/>
    <s v="Gonzalez Jose Luis Lastenia 14"/>
    <x v="1010"/>
    <n v="7216832.25"/>
    <x v="118"/>
    <x v="2"/>
    <s v="pagado"/>
    <s v="pagado"/>
    <x v="0"/>
    <x v="0"/>
  </r>
  <r>
    <n v="3000004856"/>
    <d v="2025-08-21T00:00:00"/>
    <n v="11157973.68"/>
    <s v="PERATO CRISTIAN LUIS BANDA DEL RIO SALI 14"/>
    <x v="1011"/>
    <n v="11157973.68"/>
    <x v="118"/>
    <x v="2"/>
    <s v="pagado"/>
    <s v="pagado"/>
    <x v="0"/>
    <x v="0"/>
  </r>
  <r>
    <n v="3000004857"/>
    <d v="2025-08-21T00:00:00"/>
    <n v="5170276.4800000004"/>
    <s v="GEREZ ALICIA ELEUTERIA SAN MIGUEL DE TUCUMAN 14"/>
    <x v="1012"/>
    <n v="5170276.4800000004"/>
    <x v="118"/>
    <x v="2"/>
    <s v="pagado"/>
    <s v="pagado"/>
    <x v="0"/>
    <x v="0"/>
  </r>
  <r>
    <n v="3000004858"/>
    <d v="2025-08-21T00:00:00"/>
    <n v="1968921.02"/>
    <s v="SANTILLI CARLOS MIGUEL SAN MIGUEL DE TUCUMAN 14"/>
    <x v="1013"/>
    <n v="1968921.02"/>
    <x v="118"/>
    <x v="2"/>
    <s v="pagado"/>
    <s v="pagado"/>
    <x v="0"/>
    <x v="0"/>
  </r>
  <r>
    <n v="3000004859"/>
    <d v="2025-08-21T00:00:00"/>
    <n v="3767936.24"/>
    <s v="ALVAREZ RENE JOSE MARIA BELLA VISTA 14"/>
    <x v="1014"/>
    <n v="3767936.24"/>
    <x v="118"/>
    <x v="2"/>
    <s v="pagado"/>
    <s v="pagado"/>
    <x v="0"/>
    <x v="0"/>
  </r>
  <r>
    <n v="3000004860"/>
    <d v="2025-08-21T00:00:00"/>
    <n v="2400997.89"/>
    <s v="Alcoba Luareano Arnaldo Concepcion 14"/>
    <x v="1015"/>
    <n v="2400997.89"/>
    <x v="118"/>
    <x v="2"/>
    <s v="pagado"/>
    <s v="pagado"/>
    <x v="0"/>
    <x v="0"/>
  </r>
  <r>
    <n v="3000004861"/>
    <d v="2025-08-21T00:00:00"/>
    <n v="2776610.24"/>
    <s v="Arias Gonzalo Alejandro San Miguel de Tucumán 14"/>
    <x v="1016"/>
    <n v="2776610.24"/>
    <x v="118"/>
    <x v="2"/>
    <s v="pagado"/>
    <s v="pagado"/>
    <x v="0"/>
    <x v="0"/>
  </r>
  <r>
    <n v="3000004862"/>
    <d v="2025-08-21T00:00:00"/>
    <n v="11721546.68"/>
    <s v="ACOSTA ROQUE RAMON SAN MIGUEL DE TUCUMAN 14"/>
    <x v="1017"/>
    <n v="11721546.68"/>
    <x v="118"/>
    <x v="2"/>
    <s v="pagado"/>
    <s v="pagado"/>
    <x v="0"/>
    <x v="0"/>
  </r>
  <r>
    <n v="3000003969"/>
    <d v="2025-08-21T00:00:00"/>
    <n v="12774443.960000001"/>
    <s v="RL SOLUCIONES S. A. S. SAN MIGUEL DE TUCUMAN 14"/>
    <x v="1018"/>
    <n v="12774443.960000001"/>
    <x v="119"/>
    <x v="2"/>
    <s v="pagado"/>
    <s v="pagado"/>
    <x v="0"/>
    <x v="0"/>
  </r>
  <r>
    <n v="3000003819"/>
    <d v="2025-08-21T00:00:00"/>
    <n v="8343246.1399999997"/>
    <s v="VILLAGRA VELEZ ROQUE RICARDO SAN MIGUEL DE TUCUMAN 14"/>
    <x v="1019"/>
    <n v="8343246.1399999997"/>
    <x v="119"/>
    <x v="2"/>
    <s v="pagado"/>
    <s v="pagado"/>
    <x v="0"/>
    <x v="0"/>
  </r>
  <r>
    <n v="3000003816"/>
    <d v="2025-08-21T00:00:00"/>
    <n v="10000000"/>
    <s v="RL SOLUCIONES S. A. S. SAN MIGUEL DE TUCUMAN 14"/>
    <x v="1020"/>
    <n v="10000000"/>
    <x v="119"/>
    <x v="2"/>
    <s v="pagado"/>
    <s v="pagado"/>
    <x v="0"/>
    <x v="0"/>
  </r>
  <r>
    <n v="3000003309"/>
    <d v="2025-08-21T00:00:00"/>
    <n v="3895201.33"/>
    <s v="Sereno Carlos Luis Los Gutierrez 14"/>
    <x v="1021"/>
    <n v="3895201.33"/>
    <x v="119"/>
    <x v="2"/>
    <s v="pagado"/>
    <s v="pagado"/>
    <x v="0"/>
    <x v="0"/>
  </r>
  <r>
    <n v="3000004896"/>
    <d v="2025-08-21T00:00:00"/>
    <n v="1362379.94"/>
    <s v="TRANSPORTE MEDINA S.H. CRUZ ALTA 14"/>
    <x v="1022"/>
    <n v="1362379.94"/>
    <x v="119"/>
    <x v="0"/>
    <s v="pagado"/>
    <s v="pagado"/>
    <x v="0"/>
    <x v="0"/>
  </r>
  <r>
    <n v="3000004897"/>
    <d v="2025-08-22T00:00:00"/>
    <n v="15620310.99"/>
    <s v="ECOGREEN SRL SAN MIGUEL DE TUCUMAN 14"/>
    <x v="1023"/>
    <n v="15620310.99"/>
    <x v="119"/>
    <x v="0"/>
    <s v="pagado"/>
    <s v="pagado"/>
    <x v="0"/>
    <x v="0"/>
  </r>
  <r>
    <n v="3000004946"/>
    <d v="2025-08-25T00:00:00"/>
    <n v="2500000"/>
    <s v=". Tucumán"/>
    <x v="1024"/>
    <n v="2500000"/>
    <x v="120"/>
    <x v="0"/>
    <s v="pagado"/>
    <s v="pagado"/>
    <x v="0"/>
    <x v="0"/>
  </r>
  <r>
    <n v="3000004946"/>
    <d v="2025-08-25T00:00:00"/>
    <n v="2500000"/>
    <s v=". Tucumán"/>
    <x v="1025"/>
    <n v="2500000"/>
    <x v="120"/>
    <x v="0"/>
    <s v="pagado"/>
    <s v="pagado"/>
    <x v="0"/>
    <x v="0"/>
  </r>
  <r>
    <n v="3000004946"/>
    <d v="2025-08-25T00:00:00"/>
    <n v="2500000"/>
    <s v=". Tucumán"/>
    <x v="1026"/>
    <n v="2500000"/>
    <x v="120"/>
    <x v="0"/>
    <s v="pagado"/>
    <s v="pagado"/>
    <x v="0"/>
    <x v="0"/>
  </r>
  <r>
    <n v="3000004946"/>
    <d v="2025-08-25T00:00:00"/>
    <n v="2500000"/>
    <s v=". Tucumán"/>
    <x v="1027"/>
    <n v="2500000"/>
    <x v="120"/>
    <x v="0"/>
    <s v="pagado"/>
    <s v="pagado"/>
    <x v="0"/>
    <x v="0"/>
  </r>
  <r>
    <n v="3000004946"/>
    <d v="2025-08-25T00:00:00"/>
    <n v="2500000"/>
    <s v=". Tucumán"/>
    <x v="1028"/>
    <n v="2500000"/>
    <x v="121"/>
    <x v="0"/>
    <s v="pagado"/>
    <s v="pagado"/>
    <x v="0"/>
    <x v="0"/>
  </r>
  <r>
    <n v="3000004946"/>
    <d v="2025-08-25T00:00:00"/>
    <n v="2500000"/>
    <s v=". Tucumán"/>
    <x v="1029"/>
    <n v="2500000"/>
    <x v="121"/>
    <x v="0"/>
    <s v="pagado"/>
    <s v="pagado"/>
    <x v="0"/>
    <x v="0"/>
  </r>
  <r>
    <n v="3000004946"/>
    <d v="2025-08-25T00:00:00"/>
    <n v="1500000"/>
    <s v=". Tucumán"/>
    <x v="1030"/>
    <n v="1500000"/>
    <x v="121"/>
    <x v="0"/>
    <s v="pagado"/>
    <s v="pagado"/>
    <x v="0"/>
    <x v="0"/>
  </r>
  <r>
    <n v="3000004947"/>
    <d v="2025-08-25T00:00:00"/>
    <n v="10000000"/>
    <s v="INTERIORES S.R.L. SAN MIGUEL DE TUCUMAN 14"/>
    <x v="1031"/>
    <n v="10000000"/>
    <x v="120"/>
    <x v="0"/>
    <s v="pagado"/>
    <s v="pagado"/>
    <x v="0"/>
    <x v="0"/>
  </r>
  <r>
    <n v="3000004947"/>
    <d v="2025-08-25T00:00:00"/>
    <n v="4000000"/>
    <s v="INTERIORES S.R.L. SAN MIGUEL DE TUCUMAN 14"/>
    <x v="1032"/>
    <n v="4000000"/>
    <x v="122"/>
    <x v="0"/>
    <s v="pagado"/>
    <s v="pagado"/>
    <x v="0"/>
    <x v="0"/>
  </r>
  <r>
    <n v="3000004947"/>
    <d v="2025-08-25T00:00:00"/>
    <n v="3571963.49"/>
    <s v="INTERIORES S.R.L. SAN MIGUEL DE TUCUMAN 14"/>
    <x v="1033"/>
    <n v="3571963.49"/>
    <x v="123"/>
    <x v="0"/>
    <s v="pagado"/>
    <s v="pagado"/>
    <x v="0"/>
    <x v="0"/>
  </r>
  <r>
    <n v="3000004949"/>
    <d v="2025-08-25T00:00:00"/>
    <n v="11000000"/>
    <s v="fyl trans srl SAN MIGUEL DE TUCUMAN 14"/>
    <x v="1034"/>
    <n v="11000000"/>
    <x v="120"/>
    <x v="0"/>
    <s v="pagado"/>
    <s v="pagado"/>
    <x v="0"/>
    <x v="0"/>
  </r>
  <r>
    <n v="3000004949"/>
    <d v="2025-08-25T00:00:00"/>
    <n v="10705170.15"/>
    <s v="fyl trans srl SAN MIGUEL DE TUCUMAN 14"/>
    <x v="1035"/>
    <n v="10705170.15"/>
    <x v="124"/>
    <x v="0"/>
    <s v="pagado"/>
    <s v="pagado"/>
    <x v="0"/>
    <x v="0"/>
  </r>
  <r>
    <n v="3000004950"/>
    <d v="2025-08-25T00:00:00"/>
    <n v="24000000"/>
    <s v="MANCERA JOSEFINA REMIGIA SAN MIGUEL DE TUCUMAN 14"/>
    <x v="1036"/>
    <n v="24000000"/>
    <x v="120"/>
    <x v="0"/>
    <s v="pagado"/>
    <s v="pagado"/>
    <x v="0"/>
    <x v="0"/>
  </r>
  <r>
    <n v="3000004950"/>
    <d v="2025-08-25T00:00:00"/>
    <n v="23526178.670000002"/>
    <s v="MANCERA JOSEFINA REMIGIA SAN MIGUEL DE TUCUMAN 14"/>
    <x v="1037"/>
    <n v="23526178.670000002"/>
    <x v="124"/>
    <x v="0"/>
    <s v="pagado"/>
    <s v="pagado"/>
    <x v="0"/>
    <x v="0"/>
  </r>
  <r>
    <n v="3000004951"/>
    <d v="2025-08-25T00:00:00"/>
    <n v="23000000"/>
    <s v="MENDEZ, MARTIN ALBERTO SAN MIGUEL DE TUCUMAN 14"/>
    <x v="1038"/>
    <n v="23000000"/>
    <x v="120"/>
    <x v="0"/>
    <s v="pagado"/>
    <s v="pagado"/>
    <x v="0"/>
    <x v="0"/>
  </r>
  <r>
    <n v="3000004951"/>
    <d v="2025-08-25T00:00:00"/>
    <n v="23637958.870000001"/>
    <s v="MENDEZ, MARTIN ALBERTO SAN MIGUEL DE TUCUMAN 14"/>
    <x v="1039"/>
    <n v="23637958.870000001"/>
    <x v="124"/>
    <x v="0"/>
    <s v="pagado"/>
    <s v="pagado"/>
    <x v="0"/>
    <x v="0"/>
  </r>
  <r>
    <n v="3000004960"/>
    <d v="2025-08-25T00:00:00"/>
    <n v="16000000"/>
    <s v="CEFAS S.A CIUDAD AUTONOMA DE BUENOS AIRES 01"/>
    <x v="1040"/>
    <n v="16000000"/>
    <x v="120"/>
    <x v="0"/>
    <s v="pagado"/>
    <s v="pagado"/>
    <x v="0"/>
    <x v="0"/>
  </r>
  <r>
    <n v="3000004960"/>
    <d v="2025-08-25T00:00:00"/>
    <n v="15608527.07"/>
    <s v="CEFAS S.A CIUDAD AUTONOMA DE BUENOS AIRES 01"/>
    <x v="1041"/>
    <n v="15608527.07"/>
    <x v="124"/>
    <x v="0"/>
    <s v="pagado"/>
    <s v="pagado"/>
    <x v="0"/>
    <x v="0"/>
  </r>
  <r>
    <n v="3000004961"/>
    <d v="2025-08-25T00:00:00"/>
    <n v="15000000"/>
    <s v="EXCELENCIA OPERACIONAL SRL CIUDAD AUTONOMA DE BUENOS AIRES 00"/>
    <x v="1042"/>
    <n v="15000000"/>
    <x v="120"/>
    <x v="0"/>
    <s v="pagado"/>
    <s v="pagado"/>
    <x v="0"/>
    <x v="0"/>
  </r>
  <r>
    <n v="3000004961"/>
    <d v="2025-08-25T00:00:00"/>
    <n v="14838594.6"/>
    <s v="EXCELENCIA OPERACIONAL SRL CIUDAD AUTONOMA DE BUENOS AIRES 00"/>
    <x v="1043"/>
    <n v="14838594.6"/>
    <x v="124"/>
    <x v="0"/>
    <s v="pagado"/>
    <s v="pagado"/>
    <x v="0"/>
    <x v="0"/>
  </r>
  <r>
    <n v="3000004963"/>
    <d v="2025-08-25T00:00:00"/>
    <n v="25000000"/>
    <s v="LATCOMEX SA CAPITAL FEDERAL 00"/>
    <x v="1044"/>
    <n v="25000000"/>
    <x v="120"/>
    <x v="0"/>
    <s v="pagado"/>
    <s v="pagado"/>
    <x v="0"/>
    <x v="0"/>
  </r>
  <r>
    <n v="3000004963"/>
    <d v="2025-08-25T00:00:00"/>
    <n v="24833000"/>
    <s v="LATCOMEX SA CAPITAL FEDERAL 00"/>
    <x v="1045"/>
    <n v="24833000"/>
    <x v="124"/>
    <x v="0"/>
    <s v="pagado"/>
    <s v="pagado"/>
    <x v="0"/>
    <x v="0"/>
  </r>
  <r>
    <n v="3000004948"/>
    <d v="2025-08-25T00:00:00"/>
    <n v="5156858.4000000004"/>
    <s v="ARMERIA ARMAR SAS SAN MIGUEL DE TUCUMAN 14"/>
    <x v="1046"/>
    <n v="5156858.4000000004"/>
    <x v="120"/>
    <x v="0"/>
    <s v="pagado"/>
    <s v="pagado"/>
    <x v="0"/>
    <x v="0"/>
  </r>
  <r>
    <n v="3000004952"/>
    <d v="2025-08-25T00:00:00"/>
    <n v="15136442.539999999"/>
    <s v="HERECITRUS SRL SAN MIGUEL DE TUCUMAN 14"/>
    <x v="1047"/>
    <n v="15136442.539999999"/>
    <x v="120"/>
    <x v="0"/>
    <s v="pagado"/>
    <s v="pagado"/>
    <x v="0"/>
    <x v="0"/>
  </r>
  <r>
    <n v="3000004953"/>
    <d v="2025-08-25T00:00:00"/>
    <n v="9008164.7100000009"/>
    <s v="JABULISSA S.R.L YERBA BUENA 14"/>
    <x v="1048"/>
    <n v="9008164.7100000009"/>
    <x v="120"/>
    <x v="0"/>
    <s v="pagado"/>
    <s v="pagado"/>
    <x v="0"/>
    <x v="0"/>
  </r>
  <r>
    <n v="3000004954"/>
    <d v="2025-08-25T00:00:00"/>
    <n v="15844400.58"/>
    <s v="NOBEN SRL SAN MIGUEL DE TUCUMAN 14"/>
    <x v="1049"/>
    <n v="15844400.58"/>
    <x v="120"/>
    <x v="0"/>
    <s v="pagado"/>
    <s v="pagado"/>
    <x v="0"/>
    <x v="0"/>
  </r>
  <r>
    <n v="3000004955"/>
    <d v="2025-08-25T00:00:00"/>
    <n v="3497234.05"/>
    <s v="MG SERVICIOS AGROPECUARIOS SASTAFI VIEJO 14"/>
    <x v="1050"/>
    <n v="3497234.05"/>
    <x v="120"/>
    <x v="0"/>
    <s v="pagado"/>
    <s v="pagado"/>
    <x v="0"/>
    <x v="0"/>
  </r>
  <r>
    <n v="3000004956"/>
    <d v="2025-08-25T00:00:00"/>
    <n v="7460417.5599999996"/>
    <s v="ROMERO SERVICIOS S. A. S. ALPACHIRI 14"/>
    <x v="1051"/>
    <n v="7460417.5599999996"/>
    <x v="120"/>
    <x v="0"/>
    <s v="pagado"/>
    <s v="pagado"/>
    <x v="0"/>
    <x v="0"/>
  </r>
  <r>
    <n v="3000004957"/>
    <d v="2025-08-25T00:00:00"/>
    <n v="13789931.4"/>
    <s v="TEKNOS TECHNOLOGY GROUP SA CAPITAL FEDERAL 00"/>
    <x v="1052"/>
    <n v="13789931.4"/>
    <x v="120"/>
    <x v="0"/>
    <s v="pagado"/>
    <s v="pagado"/>
    <x v="0"/>
    <x v="0"/>
  </r>
  <r>
    <n v="3000004958"/>
    <d v="2025-08-25T00:00:00"/>
    <n v="6127680"/>
    <s v="Consultoria en Tecnologia de IBUENOS AIRES 00"/>
    <x v="1053"/>
    <n v="6127680"/>
    <x v="120"/>
    <x v="0"/>
    <s v="pagado"/>
    <s v="pagado"/>
    <x v="0"/>
    <x v="0"/>
  </r>
  <r>
    <n v="3000004959"/>
    <d v="2025-08-25T00:00:00"/>
    <n v="9870000"/>
    <s v="INSITU S.R.L SAN MIGUEL DE TUCUMAN 14"/>
    <x v="1054"/>
    <n v="9870000"/>
    <x v="120"/>
    <x v="0"/>
    <s v="pagado"/>
    <s v="pagado"/>
    <x v="0"/>
    <x v="0"/>
  </r>
  <r>
    <n v="3000004962"/>
    <d v="2025-08-25T00:00:00"/>
    <n v="8266467.2000000002"/>
    <s v="Rotta Domingo Eduardo Cruz Alta 14"/>
    <x v="1055"/>
    <n v="8266467.2000000002"/>
    <x v="120"/>
    <x v="0"/>
    <s v="pagado"/>
    <s v="pagado"/>
    <x v="0"/>
    <x v="0"/>
  </r>
  <r>
    <n v="3000004995"/>
    <d v="2025-08-26T00:00:00"/>
    <n v="9950499.9800000004"/>
    <s v="NARANJO GONZALO JOSE TARUCA PAMPA 14"/>
    <x v="1056"/>
    <n v="9950499.9800000004"/>
    <x v="120"/>
    <x v="0"/>
    <s v="pagado"/>
    <s v="pagado"/>
    <x v="0"/>
    <x v="0"/>
  </r>
  <r>
    <n v="3000004996"/>
    <d v="2025-08-26T00:00:00"/>
    <n v="6286667.6699999999"/>
    <s v="ALVAREZ RENE JOSE MARIA BELLA VISTA 14"/>
    <x v="1057"/>
    <n v="6286667.6699999999"/>
    <x v="120"/>
    <x v="0"/>
    <s v="pagado"/>
    <s v="pagado"/>
    <x v="0"/>
    <x v="0"/>
  </r>
  <r>
    <n v="3000004997"/>
    <d v="2025-08-26T00:00:00"/>
    <n v="3463468.43"/>
    <s v="SUAREZ MIGUEL ANGEL ALDERETES 14"/>
    <x v="1058"/>
    <n v="3463468.43"/>
    <x v="120"/>
    <x v="0"/>
    <s v="pagado"/>
    <s v="pagado"/>
    <x v="0"/>
    <x v="0"/>
  </r>
  <r>
    <n v="3000004998"/>
    <d v="2025-08-26T00:00:00"/>
    <n v="0"/>
    <s v="invalidado med.EOLIVERA -Rechazado"/>
    <x v="1059"/>
    <n v="0"/>
    <x v="120"/>
    <x v="0"/>
    <s v="no pagado"/>
    <s v="fuera de fecha"/>
    <x v="0"/>
    <x v="0"/>
  </r>
  <r>
    <n v="3000004999"/>
    <d v="2025-08-26T00:00:00"/>
    <n v="2404308.73"/>
    <s v="DIOSQUEZ RODOLFO ALFREDO ALDERETES 14"/>
    <x v="1060"/>
    <n v="2404308.73"/>
    <x v="120"/>
    <x v="0"/>
    <s v="pagado"/>
    <s v="pagado"/>
    <x v="0"/>
    <x v="0"/>
  </r>
  <r>
    <n v="3000005000"/>
    <d v="2025-08-26T00:00:00"/>
    <n v="4641089.26"/>
    <s v="Sanchez Jose Mauricio San Miguel de Tucuman 14"/>
    <x v="1061"/>
    <n v="4641089.26"/>
    <x v="120"/>
    <x v="0"/>
    <s v="pagado"/>
    <s v="pagado"/>
    <x v="0"/>
    <x v="0"/>
  </r>
  <r>
    <n v="3000005001"/>
    <d v="2025-08-26T00:00:00"/>
    <n v="15000000"/>
    <s v="LANCHELA HECTOR ROLANDO CONCEPCION 14"/>
    <x v="1062"/>
    <n v="15000000"/>
    <x v="120"/>
    <x v="0"/>
    <s v="pagado"/>
    <s v="pagado"/>
    <x v="0"/>
    <x v="0"/>
  </r>
  <r>
    <n v="3000005001"/>
    <d v="2025-08-26T00:00:00"/>
    <n v="14895880.23"/>
    <s v="LANCHELA HECTOR ROLANDO CONCEPCION 14"/>
    <x v="1063"/>
    <n v="14895880.23"/>
    <x v="124"/>
    <x v="0"/>
    <s v="pagado"/>
    <s v="pagado"/>
    <x v="0"/>
    <x v="0"/>
  </r>
  <r>
    <n v="3000005002"/>
    <d v="2025-08-26T00:00:00"/>
    <n v="8519886.3100000005"/>
    <s v="CEMEVA SAS YERBA BUENA 14"/>
    <x v="1064"/>
    <n v="8519886.3100000005"/>
    <x v="120"/>
    <x v="0"/>
    <s v="pagado"/>
    <s v="pagado"/>
    <x v="0"/>
    <x v="0"/>
  </r>
  <r>
    <n v="3000005003"/>
    <d v="2025-08-26T00:00:00"/>
    <n v="4259943.16"/>
    <s v="MAC DONALD MIGUEL ALEJANDRO BANDA DEL RIO SALI 14"/>
    <x v="1065"/>
    <n v="4259943.16"/>
    <x v="120"/>
    <x v="0"/>
    <s v="pagado"/>
    <s v="pagado"/>
    <x v="0"/>
    <x v="0"/>
  </r>
  <r>
    <n v="3000005004"/>
    <d v="2025-08-26T00:00:00"/>
    <n v="6349523.3700000001"/>
    <s v="VILLAGRA VELEZ ROQUE RICARDO SAN MIGUEL DE TUCUMAN 14"/>
    <x v="1066"/>
    <n v="6349523.3700000001"/>
    <x v="120"/>
    <x v="0"/>
    <s v="pagado"/>
    <s v="pagado"/>
    <x v="0"/>
    <x v="0"/>
  </r>
  <r>
    <n v="3000005005"/>
    <d v="2025-08-26T00:00:00"/>
    <n v="6000000"/>
    <s v="RL SOLUCIONES S. A. S. SAN MIGUEL DE TUCUMAN 14"/>
    <x v="1067"/>
    <n v="6000000"/>
    <x v="120"/>
    <x v="0"/>
    <s v="pagado"/>
    <s v="pagado"/>
    <x v="0"/>
    <x v="0"/>
  </r>
  <r>
    <n v="3000005005"/>
    <d v="2025-08-26T00:00:00"/>
    <n v="6650577.0800000001"/>
    <s v="RL SOLUCIONES S. A. S. SAN MIGUEL DE TUCUMAN 14"/>
    <x v="1068"/>
    <n v="6650577.0800000001"/>
    <x v="124"/>
    <x v="0"/>
    <s v="pagado"/>
    <s v="pagado"/>
    <x v="0"/>
    <x v="0"/>
  </r>
  <r>
    <n v="3000005006"/>
    <d v="2025-08-26T00:00:00"/>
    <n v="3491157.76"/>
    <s v="BRAVO JUAN DOMINGO LAS TALITAS 14"/>
    <x v="1069"/>
    <n v="3491157.76"/>
    <x v="120"/>
    <x v="0"/>
    <s v="pagado"/>
    <s v="pagado"/>
    <x v="0"/>
    <x v="0"/>
  </r>
  <r>
    <n v="3000005007"/>
    <d v="2025-08-26T00:00:00"/>
    <n v="20000000"/>
    <s v="CAPETTA ANTONELLA ANAHI SAN MIGUEL DE TUCUMAN 14"/>
    <x v="1070"/>
    <n v="20000000"/>
    <x v="120"/>
    <x v="0"/>
    <s v="pagado"/>
    <s v="pagado"/>
    <x v="0"/>
    <x v="0"/>
  </r>
  <r>
    <n v="3000005007"/>
    <d v="2025-08-26T00:00:00"/>
    <n v="18339488.41"/>
    <s v="CAPETTA ANTONELLA ANAHI SAN MIGUEL DE TUCUMAN 14"/>
    <x v="1071"/>
    <n v="18339488.41"/>
    <x v="125"/>
    <x v="0"/>
    <s v="pagado"/>
    <s v="pagado"/>
    <x v="0"/>
    <x v="0"/>
  </r>
  <r>
    <n v="3000005008"/>
    <d v="2025-08-26T00:00:00"/>
    <n v="12000000"/>
    <s v="LATCOMEX SA CAPITAL FEDERAL 00"/>
    <x v="1072"/>
    <n v="12000000"/>
    <x v="120"/>
    <x v="0"/>
    <s v="pagado"/>
    <s v="pagado"/>
    <x v="0"/>
    <x v="0"/>
  </r>
  <r>
    <n v="3000005008"/>
    <d v="2025-08-26T00:00:00"/>
    <n v="12916500"/>
    <s v="LATCOMEX SA CAPITAL FEDERAL 00"/>
    <x v="1073"/>
    <n v="12916500"/>
    <x v="124"/>
    <x v="0"/>
    <s v="pagado"/>
    <s v="pagado"/>
    <x v="0"/>
    <x v="0"/>
  </r>
  <r>
    <n v="3000005009"/>
    <d v="2025-08-26T00:00:00"/>
    <n v="11000000"/>
    <s v="Rutas Servicios Integrales SRLCapital Federal 00"/>
    <x v="1074"/>
    <n v="11000000"/>
    <x v="120"/>
    <x v="0"/>
    <s v="pagado"/>
    <s v="pagado"/>
    <x v="0"/>
    <x v="0"/>
  </r>
  <r>
    <n v="3000005009"/>
    <d v="2025-08-26T00:00:00"/>
    <n v="11644543.4"/>
    <s v="Rutas Servicios Integrales SRLCapital Federal 00"/>
    <x v="1075"/>
    <n v="11644543.4"/>
    <x v="124"/>
    <x v="0"/>
    <s v="pagado"/>
    <s v="pagado"/>
    <x v="0"/>
    <x v="0"/>
  </r>
  <r>
    <n v="3000005010"/>
    <d v="2025-08-26T00:00:00"/>
    <n v="10000000"/>
    <s v="FERNANDEZ HECTOR JOSE SIMOCA 14"/>
    <x v="1076"/>
    <n v="10000000"/>
    <x v="120"/>
    <x v="0"/>
    <s v="pagado"/>
    <s v="pagado"/>
    <x v="0"/>
    <x v="0"/>
  </r>
  <r>
    <n v="3000005010"/>
    <d v="2025-08-26T00:00:00"/>
    <n v="5186559.84"/>
    <s v="FERNANDEZ HECTOR JOSE SIMOCA 14"/>
    <x v="1077"/>
    <n v="5186559.84"/>
    <x v="124"/>
    <x v="0"/>
    <s v="pagado"/>
    <s v="pagado"/>
    <x v="0"/>
    <x v="0"/>
  </r>
  <r>
    <n v="3000005011"/>
    <d v="2025-08-26T00:00:00"/>
    <n v="10000000"/>
    <s v="PERATO CRISTIAN LUIS BANDA DEL RIO SALI 14"/>
    <x v="1078"/>
    <n v="10000000"/>
    <x v="120"/>
    <x v="0"/>
    <s v="pagado"/>
    <s v="pagado"/>
    <x v="0"/>
    <x v="0"/>
  </r>
  <r>
    <n v="3000005011"/>
    <d v="2025-08-26T00:00:00"/>
    <n v="5446984.3099999996"/>
    <s v="PERATO CRISTIAN LUIS BANDA DEL RIO SALI 14"/>
    <x v="1079"/>
    <n v="5446984.3099999996"/>
    <x v="124"/>
    <x v="0"/>
    <s v="pagado"/>
    <s v="pagado"/>
    <x v="0"/>
    <x v="0"/>
  </r>
  <r>
    <n v="3000004912"/>
    <d v="2025-08-26T00:00:00"/>
    <n v="225840410"/>
    <s v="EDET S.A. SAN MIGUEL DE TUCUMAN 14"/>
    <x v="1080"/>
    <n v="225840410"/>
    <x v="125"/>
    <x v="2"/>
    <s v="pagado"/>
    <s v="pagado"/>
    <x v="0"/>
    <x v="0"/>
  </r>
  <r>
    <n v="3000005046"/>
    <d v="2025-08-27T00:00:00"/>
    <n v="15784765.289999999"/>
    <s v="PAMPLONA SRL SAN MIGUEL DE TUCUMAN 14"/>
    <x v="1081"/>
    <n v="15784765.289999999"/>
    <x v="120"/>
    <x v="2"/>
    <s v="pagado"/>
    <s v="pagado"/>
    <x v="0"/>
    <x v="0"/>
  </r>
  <r>
    <n v="3000005047"/>
    <d v="2025-08-27T00:00:00"/>
    <n v="12449144.41"/>
    <s v="SAUCE HUACHO SERVICIOS S.R.L MONTEROS 14"/>
    <x v="1082"/>
    <n v="12449144.41"/>
    <x v="120"/>
    <x v="2"/>
    <s v="pagado"/>
    <s v="pagado"/>
    <x v="0"/>
    <x v="0"/>
  </r>
  <r>
    <n v="3000005048"/>
    <d v="2025-08-27T00:00:00"/>
    <n v="17008921.050000001"/>
    <s v="ROMERO SERVICIOS S. A. S. ALPACHIRI 14"/>
    <x v="1083"/>
    <n v="17008921.050000001"/>
    <x v="120"/>
    <x v="2"/>
    <s v="pagado"/>
    <s v="pagado"/>
    <x v="0"/>
    <x v="0"/>
  </r>
  <r>
    <n v="3000005049"/>
    <d v="2025-08-28T00:00:00"/>
    <n v="15000000"/>
    <s v="MG SERVICIOS AGROPECUARIOS SASTAFI VIEJO 14"/>
    <x v="1084"/>
    <n v="15000000"/>
    <x v="124"/>
    <x v="2"/>
    <s v="pagado"/>
    <s v="pagado"/>
    <x v="0"/>
    <x v="0"/>
  </r>
  <r>
    <n v="3000005049"/>
    <d v="2025-08-28T00:00:00"/>
    <n v="13635360"/>
    <s v="MG SERVICIOS AGROPECUARIOS SASTAFI VIEJO 14"/>
    <x v="1085"/>
    <n v="13635360"/>
    <x v="124"/>
    <x v="2"/>
    <s v="pagado"/>
    <s v="pagado"/>
    <x v="0"/>
    <x v="0"/>
  </r>
  <r>
    <n v="3000005049"/>
    <d v="2025-08-28T00:00:00"/>
    <n v="0"/>
    <s v="invalidado med.HJIMENEZ -Vencimiento BCRA"/>
    <x v="1086"/>
    <n v="0"/>
    <x v="126"/>
    <x v="2"/>
    <s v="no pagado"/>
    <s v="fuera de fecha"/>
    <x v="0"/>
    <x v="0"/>
  </r>
  <r>
    <n v="3000005049"/>
    <d v="2025-08-28T00:00:00"/>
    <n v="25000000"/>
    <s v="MG SERVICIOS AGROPECUARIOS SASTAFI VIEJO 14"/>
    <x v="1087"/>
    <n v="25000000"/>
    <x v="126"/>
    <x v="2"/>
    <s v="pagado"/>
    <s v="pagado"/>
    <x v="0"/>
    <x v="0"/>
  </r>
  <r>
    <n v="3000005049"/>
    <d v="2025-08-28T00:00:00"/>
    <n v="31829454.129999999"/>
    <s v="MG SERVICIOS AGROPECUARIOS SASTAFI VIEJO 14"/>
    <x v="1088"/>
    <n v="31829454.129999999"/>
    <x v="126"/>
    <x v="2"/>
    <s v="pagado"/>
    <s v="pagado"/>
    <x v="0"/>
    <x v="0"/>
  </r>
  <r>
    <n v="3000005050"/>
    <d v="2025-08-28T00:00:00"/>
    <n v="290000000"/>
    <s v="NUTRITERRA S.A CHIMBAS 10"/>
    <x v="1089"/>
    <n v="290000000"/>
    <x v="122"/>
    <x v="2"/>
    <s v="pagado"/>
    <s v="pagado"/>
    <x v="0"/>
    <x v="0"/>
  </r>
  <r>
    <n v="3000005050"/>
    <d v="2025-08-28T00:00:00"/>
    <n v="290000000"/>
    <s v="NUTRITERRA S.A CHIMBAS 10"/>
    <x v="1090"/>
    <n v="290000000"/>
    <x v="122"/>
    <x v="2"/>
    <s v="pagado"/>
    <s v="pagado"/>
    <x v="0"/>
    <x v="0"/>
  </r>
  <r>
    <n v="3000005050"/>
    <d v="2025-08-28T00:00:00"/>
    <n v="290000000"/>
    <s v="NUTRITERRA S.A CHIMBAS 10"/>
    <x v="1091"/>
    <n v="290000000"/>
    <x v="122"/>
    <x v="2"/>
    <s v="pagado"/>
    <s v="pagado"/>
    <x v="0"/>
    <x v="0"/>
  </r>
  <r>
    <n v="3000005050"/>
    <d v="2025-08-28T00:00:00"/>
    <n v="290000000"/>
    <s v="NUTRITERRA S.A CHIMBAS 10"/>
    <x v="1092"/>
    <n v="290000000"/>
    <x v="127"/>
    <x v="2"/>
    <s v="pagado"/>
    <s v="pagado"/>
    <x v="0"/>
    <x v="0"/>
  </r>
  <r>
    <n v="3000005050"/>
    <d v="2025-08-28T00:00:00"/>
    <n v="290000000"/>
    <s v="NUTRITERRA S.A CHIMBAS 10"/>
    <x v="1093"/>
    <n v="290000000"/>
    <x v="127"/>
    <x v="2"/>
    <s v="pagado"/>
    <s v="pagado"/>
    <x v="0"/>
    <x v="0"/>
  </r>
  <r>
    <n v="3000005050"/>
    <d v="2025-08-28T00:00:00"/>
    <n v="290000000"/>
    <s v="NUTRITERRA S.A CHIMBAS 10"/>
    <x v="1094"/>
    <n v="290000000"/>
    <x v="127"/>
    <x v="2"/>
    <s v="pagado"/>
    <s v="pagado"/>
    <x v="0"/>
    <x v="0"/>
  </r>
  <r>
    <n v="3000005050"/>
    <d v="2025-08-28T00:00:00"/>
    <n v="290000000"/>
    <s v="NUTRITERRA S.A CHIMBAS 10"/>
    <x v="1095"/>
    <n v="290000000"/>
    <x v="128"/>
    <x v="2"/>
    <s v="pagado"/>
    <s v="pagado"/>
    <x v="0"/>
    <x v="0"/>
  </r>
  <r>
    <n v="3000005050"/>
    <d v="2025-08-28T00:00:00"/>
    <n v="290000000"/>
    <s v="NUTRITERRA S.A CHIMBAS 10"/>
    <x v="1096"/>
    <n v="290000000"/>
    <x v="128"/>
    <x v="2"/>
    <s v="pagado"/>
    <s v="pagado"/>
    <x v="0"/>
    <x v="0"/>
  </r>
  <r>
    <n v="3000005050"/>
    <d v="2025-08-28T00:00:00"/>
    <n v="290000000"/>
    <s v="NUTRITERRA S.A CHIMBAS 10"/>
    <x v="1097"/>
    <n v="290000000"/>
    <x v="128"/>
    <x v="2"/>
    <s v="pagado"/>
    <s v="pagado"/>
    <x v="0"/>
    <x v="0"/>
  </r>
  <r>
    <n v="3000005050"/>
    <d v="2025-08-28T00:00:00"/>
    <n v="290000000"/>
    <s v="NUTRITERRA S.A CHIMBAS 10"/>
    <x v="1098"/>
    <n v="290000000"/>
    <x v="129"/>
    <x v="2"/>
    <s v="pagado"/>
    <s v="pagado"/>
    <x v="0"/>
    <x v="0"/>
  </r>
  <r>
    <n v="3000005050"/>
    <d v="2025-08-28T00:00:00"/>
    <n v="290000000"/>
    <s v="NUTRITERRA S.A CHIMBAS 10"/>
    <x v="1099"/>
    <n v="290000000"/>
    <x v="129"/>
    <x v="2"/>
    <s v="pagado"/>
    <s v="pagado"/>
    <x v="0"/>
    <x v="0"/>
  </r>
  <r>
    <n v="3000005050"/>
    <d v="2025-08-28T00:00:00"/>
    <n v="278717907.69999999"/>
    <s v="NUTRITERRA S.A CHIMBAS 10"/>
    <x v="1100"/>
    <n v="278717907.69999999"/>
    <x v="129"/>
    <x v="2"/>
    <s v="pagado"/>
    <s v="pagado"/>
    <x v="0"/>
    <x v="0"/>
  </r>
  <r>
    <n v="3000005074"/>
    <d v="2025-08-28T00:00:00"/>
    <n v="0"/>
    <s v="invalidado med.HJIMENEZ -Destruido/ Sin uso"/>
    <x v="1101"/>
    <n v="0"/>
    <x v="130"/>
    <x v="2"/>
    <s v="no pagado"/>
    <s v="fuera de fecha"/>
    <x v="0"/>
    <x v="0"/>
  </r>
  <r>
    <n v="3000005133"/>
    <d v="2025-09-01T00:00:00"/>
    <n v="4187334.65"/>
    <s v="SILVA SRL SAN MIGUEL DE TUCUMAN 14"/>
    <x v="1102"/>
    <n v="4187334.65"/>
    <x v="126"/>
    <x v="2"/>
    <s v="pagado"/>
    <s v="pagado"/>
    <x v="0"/>
    <x v="0"/>
  </r>
  <r>
    <n v="3000005134"/>
    <d v="2025-09-01T00:00:00"/>
    <n v="13679155"/>
    <s v="TUCUMAN PALLET SRL EL MANANTIAL 14"/>
    <x v="1103"/>
    <n v="13679155"/>
    <x v="126"/>
    <x v="2"/>
    <s v="pagado"/>
    <s v="pagado"/>
    <x v="0"/>
    <x v="0"/>
  </r>
  <r>
    <n v="3000005135"/>
    <d v="2025-09-01T00:00:00"/>
    <n v="6141982.2999999998"/>
    <s v="SERV.AGROP VILLA PAPADAKIS S.RSALTA 09"/>
    <x v="1104"/>
    <n v="6141982.2999999998"/>
    <x v="126"/>
    <x v="2"/>
    <s v="pagado"/>
    <s v="pagado"/>
    <x v="0"/>
    <x v="0"/>
  </r>
  <r>
    <n v="3000005136"/>
    <d v="2025-09-01T00:00:00"/>
    <n v="7278248.4199999999"/>
    <s v="PAMPLONA SRL SAN MIGUEL DE TUCUMAN 14"/>
    <x v="1105"/>
    <n v="7278248.4199999999"/>
    <x v="126"/>
    <x v="2"/>
    <s v="pagado"/>
    <s v="pagado"/>
    <x v="0"/>
    <x v="0"/>
  </r>
  <r>
    <n v="3000005137"/>
    <d v="2025-09-02T00:00:00"/>
    <n v="27496492.34"/>
    <s v="CONSTRUNOA S.A.S. ORAN 09"/>
    <x v="1106"/>
    <n v="27496492.34"/>
    <x v="121"/>
    <x v="2"/>
    <s v="pagado"/>
    <s v="pagado"/>
    <x v="0"/>
    <x v="0"/>
  </r>
  <r>
    <n v="3000005130"/>
    <d v="2025-09-01T00:00:00"/>
    <n v="6710000"/>
    <s v=". Tucumán"/>
    <x v="1107"/>
    <n v="6710000"/>
    <x v="130"/>
    <x v="0"/>
    <s v="pagado"/>
    <s v="pagado"/>
    <x v="0"/>
    <x v="0"/>
  </r>
  <r>
    <n v="3000005131"/>
    <d v="2025-09-01T00:00:00"/>
    <n v="2090000.1"/>
    <s v=". Tucumán"/>
    <x v="1108"/>
    <n v="2090000.1"/>
    <x v="130"/>
    <x v="0"/>
    <s v="pagado"/>
    <s v="pagado"/>
    <x v="0"/>
    <x v="0"/>
  </r>
  <r>
    <n v="3000005211"/>
    <d v="2025-09-03T00:00:00"/>
    <n v="3802164.91"/>
    <s v="TRANSPORTE MEDINA S.H. CRUZ ALTA 14"/>
    <x v="1109"/>
    <n v="3802164.91"/>
    <x v="121"/>
    <x v="0"/>
    <s v="pagado"/>
    <s v="pagado"/>
    <x v="0"/>
    <x v="0"/>
  </r>
  <r>
    <n v="3000005212"/>
    <d v="2025-09-03T00:00:00"/>
    <n v="21440381.739999998"/>
    <s v="J. SLEIMAN S.R.L SAN MIGUEL DE TUCUMAN 14"/>
    <x v="1110"/>
    <n v="21440381.739999998"/>
    <x v="131"/>
    <x v="0"/>
    <s v="pagado"/>
    <s v="pagado"/>
    <x v="0"/>
    <x v="0"/>
  </r>
  <r>
    <n v="3000005213"/>
    <d v="2025-09-03T00:00:00"/>
    <n v="9928694.3200000003"/>
    <s v="AGROPECUARIA MUNDO NUEVO SRL SAN PABLO 14"/>
    <x v="1111"/>
    <n v="9928694.3200000003"/>
    <x v="131"/>
    <x v="0"/>
    <s v="pagado"/>
    <s v="pagado"/>
    <x v="0"/>
    <x v="0"/>
  </r>
  <r>
    <n v="3000005214"/>
    <d v="2025-09-03T00:00:00"/>
    <n v="21311510.899999999"/>
    <s v="Terminal 4 S.A. Puerto Nuevo 01"/>
    <x v="1112"/>
    <n v="21311510.899999999"/>
    <x v="131"/>
    <x v="0"/>
    <s v="pagado"/>
    <s v="pagado"/>
    <x v="0"/>
    <x v="0"/>
  </r>
  <r>
    <n v="3000005215"/>
    <d v="2025-09-03T00:00:00"/>
    <n v="6333274.7800000003"/>
    <s v="MOREY SERGIO GUILLERMO LOS GUTIERREZ-ALDERETES 14"/>
    <x v="1113"/>
    <n v="6333274.7800000003"/>
    <x v="131"/>
    <x v="0"/>
    <s v="pagado"/>
    <s v="pagado"/>
    <x v="0"/>
    <x v="0"/>
  </r>
  <r>
    <n v="3000005216"/>
    <d v="2025-09-03T00:00:00"/>
    <n v="8183368.6900000004"/>
    <s v="SUAREZ MANUEL RODOLFO ALDERETES 14"/>
    <x v="1114"/>
    <n v="8183368.6900000004"/>
    <x v="131"/>
    <x v="0"/>
    <s v="pagado"/>
    <s v="pagado"/>
    <x v="0"/>
    <x v="0"/>
  </r>
  <r>
    <n v="3000005217"/>
    <d v="2025-09-03T00:00:00"/>
    <n v="5891793.7699999996"/>
    <s v="PAEZ LEONEL EXEQUIEL MACIO 14"/>
    <x v="1115"/>
    <n v="5891793.7699999996"/>
    <x v="131"/>
    <x v="0"/>
    <s v="pagado"/>
    <s v="pagado"/>
    <x v="0"/>
    <x v="0"/>
  </r>
  <r>
    <n v="3000005218"/>
    <d v="2025-09-03T00:00:00"/>
    <n v="9806709.6999999993"/>
    <s v="TRANSPORTE MARIANITA S.R.L SAN MIGUEL DE TUCUMAN 14"/>
    <x v="1116"/>
    <n v="9806709.6999999993"/>
    <x v="131"/>
    <x v="0"/>
    <s v="pagado"/>
    <s v="pagado"/>
    <x v="0"/>
    <x v="0"/>
  </r>
  <r>
    <n v="3000005219"/>
    <d v="2025-09-03T00:00:00"/>
    <n v="7439170.54"/>
    <s v="TRANSPORTE FRIOS DEL NORTE S.RSAN MIGUEL DE TUCUMAN 14"/>
    <x v="1117"/>
    <n v="7439170.54"/>
    <x v="131"/>
    <x v="0"/>
    <s v="pagado"/>
    <s v="pagado"/>
    <x v="0"/>
    <x v="0"/>
  </r>
  <r>
    <n v="3000005220"/>
    <d v="2025-09-03T00:00:00"/>
    <n v="27731984.98"/>
    <s v="CAPETTA ANTONELLA ANAHI SAN MIGUEL DE TUCUMAN 14"/>
    <x v="1118"/>
    <n v="27731984.98"/>
    <x v="131"/>
    <x v="0"/>
    <s v="pagado"/>
    <s v="pagado"/>
    <x v="0"/>
    <x v="0"/>
  </r>
  <r>
    <n v="3000005221"/>
    <d v="2025-09-03T00:00:00"/>
    <n v="6045685.4299999997"/>
    <s v="HERRERA RICARDO ALBERTO BANDA DEL RIO SALI 14"/>
    <x v="1119"/>
    <n v="6045685.4299999997"/>
    <x v="131"/>
    <x v="0"/>
    <s v="pagado"/>
    <s v="pagado"/>
    <x v="0"/>
    <x v="0"/>
  </r>
  <r>
    <n v="3000005222"/>
    <d v="2025-09-03T00:00:00"/>
    <n v="7723981.6500000004"/>
    <s v="Arias Carlos Alberto SAN MIGUEL DE TUCUMAN 14"/>
    <x v="1120"/>
    <n v="7723981.6500000004"/>
    <x v="131"/>
    <x v="0"/>
    <s v="pagado"/>
    <s v="pagado"/>
    <x v="0"/>
    <x v="0"/>
  </r>
  <r>
    <n v="3000005223"/>
    <d v="2025-09-03T00:00:00"/>
    <n v="5624994.2000000002"/>
    <s v="Sanchez Jose Mauricio San Miguel de Tucuman 14"/>
    <x v="1121"/>
    <n v="5624994.2000000002"/>
    <x v="131"/>
    <x v="0"/>
    <s v="pagado"/>
    <s v="pagado"/>
    <x v="0"/>
    <x v="0"/>
  </r>
  <r>
    <n v="3000005224"/>
    <d v="2025-09-03T00:00:00"/>
    <n v="9099752.5800000001"/>
    <s v="PEDRO GABRIEL ALEJANDRO ALDERETES 14"/>
    <x v="1122"/>
    <n v="9099752.5800000001"/>
    <x v="131"/>
    <x v="0"/>
    <s v="pagado"/>
    <s v="pagado"/>
    <x v="0"/>
    <x v="0"/>
  </r>
  <r>
    <n v="3000005225"/>
    <d v="2025-09-03T00:00:00"/>
    <n v="5032785.34"/>
    <s v="PERATO LUIS ALBERTO BANDA DEL RIO SALI 14"/>
    <x v="1123"/>
    <n v="5032785.34"/>
    <x v="131"/>
    <x v="0"/>
    <s v="pagado"/>
    <s v="pagado"/>
    <x v="0"/>
    <x v="0"/>
  </r>
  <r>
    <n v="3000005226"/>
    <d v="2025-09-03T00:00:00"/>
    <n v="7074694.2000000002"/>
    <s v="GEREZ ALICIA ELEUTERIA SAN MIGUEL DE TUCUMAN 14"/>
    <x v="1124"/>
    <n v="7074694.2000000002"/>
    <x v="131"/>
    <x v="0"/>
    <s v="pagado"/>
    <s v="pagado"/>
    <x v="0"/>
    <x v="0"/>
  </r>
  <r>
    <n v="3000005227"/>
    <d v="2025-09-03T00:00:00"/>
    <n v="24916667.920000002"/>
    <s v="LATCOMEX SA CAPITAL FEDERAL 00"/>
    <x v="1125"/>
    <n v="24916667.920000002"/>
    <x v="131"/>
    <x v="0"/>
    <s v="pagado"/>
    <s v="pagado"/>
    <x v="0"/>
    <x v="0"/>
  </r>
  <r>
    <n v="3000005228"/>
    <d v="2025-09-03T00:00:00"/>
    <n v="15214656.74"/>
    <s v="Vaquera Francisco Alfredo Monteros 14"/>
    <x v="1126"/>
    <n v="15214656.74"/>
    <x v="131"/>
    <x v="0"/>
    <s v="pagado"/>
    <s v="pagado"/>
    <x v="0"/>
    <x v="0"/>
  </r>
  <r>
    <n v="3000005229"/>
    <d v="2025-09-03T00:00:00"/>
    <n v="17312014.640000001"/>
    <s v="LA MARTINA SERV. AGRICOLAS S.RSAN PABLO 14"/>
    <x v="1127"/>
    <n v="17312014.640000001"/>
    <x v="131"/>
    <x v="0"/>
    <s v="pagado"/>
    <s v="pagado"/>
    <x v="0"/>
    <x v="0"/>
  </r>
  <r>
    <n v="3000005230"/>
    <d v="2025-09-03T00:00:00"/>
    <n v="6498336.6500000004"/>
    <s v="Cia. Azucarera Los Balcanes S.Ingenio La Florida 14"/>
    <x v="1128"/>
    <n v="6498336.6500000004"/>
    <x v="131"/>
    <x v="0"/>
    <s v="pagado"/>
    <s v="pagado"/>
    <x v="0"/>
    <x v="0"/>
  </r>
  <r>
    <n v="3000005232"/>
    <d v="2025-09-03T00:00:00"/>
    <n v="5065682.33"/>
    <s v="BUSTOS GUILLERMO DARIO ALDERETES 14"/>
    <x v="1129"/>
    <n v="5065682.33"/>
    <x v="131"/>
    <x v="0"/>
    <s v="pagado"/>
    <s v="pagado"/>
    <x v="0"/>
    <x v="0"/>
  </r>
  <r>
    <n v="3000005361"/>
    <d v="2025-09-09T00:00:00"/>
    <n v="18773007.870000001"/>
    <s v="ECOGREEN SRL SAN MIGUEL DE TUCUMAN 14"/>
    <x v="1130"/>
    <n v="18773007.870000001"/>
    <x v="132"/>
    <x v="0"/>
    <s v="pagado"/>
    <s v="pagado"/>
    <x v="0"/>
    <x v="0"/>
  </r>
  <r>
    <n v="3000005363"/>
    <d v="2025-09-09T00:00:00"/>
    <n v="13203161.15"/>
    <s v="BUSTOS GUILLERMO DARIO ALDERETES 14"/>
    <x v="1131"/>
    <n v="13203161.15"/>
    <x v="132"/>
    <x v="0"/>
    <s v="pagado"/>
    <s v="pagado"/>
    <x v="0"/>
    <x v="0"/>
  </r>
  <r>
    <n v="3000005301"/>
    <d v="2025-09-08T00:00:00"/>
    <n v="11573870.220000001"/>
    <s v="SAUCE HUACHO SERVICIOS S.R.L MONTEROS 14"/>
    <x v="1132"/>
    <n v="11573870.220000001"/>
    <x v="133"/>
    <x v="0"/>
    <s v="pagado"/>
    <s v="pagado"/>
    <x v="0"/>
    <x v="0"/>
  </r>
  <r>
    <n v="3000005302"/>
    <d v="2025-09-08T00:00:00"/>
    <n v="21000000"/>
    <s v="PAMPLONA SRL SAN MIGUEL DE TUCUMAN 14"/>
    <x v="1133"/>
    <n v="21000000"/>
    <x v="133"/>
    <x v="0"/>
    <s v="pagado"/>
    <s v="pagado"/>
    <x v="0"/>
    <x v="0"/>
  </r>
  <r>
    <n v="3000005302"/>
    <d v="2025-09-08T00:00:00"/>
    <n v="20057852.82"/>
    <s v="PAMPLONA SRL SAN MIGUEL DE TUCUMAN 14"/>
    <x v="1134"/>
    <n v="20057852.82"/>
    <x v="132"/>
    <x v="0"/>
    <s v="pagado"/>
    <s v="pagado"/>
    <x v="0"/>
    <x v="0"/>
  </r>
  <r>
    <n v="3000005303"/>
    <d v="2025-09-08T00:00:00"/>
    <n v="10000000"/>
    <s v="ROMERO SERVICIOS S. A. S. ALPACHIRI 14"/>
    <x v="1135"/>
    <n v="10000000"/>
    <x v="133"/>
    <x v="0"/>
    <s v="pagado"/>
    <s v="pagado"/>
    <x v="0"/>
    <x v="0"/>
  </r>
  <r>
    <n v="3000005303"/>
    <d v="2025-09-08T00:00:00"/>
    <n v="8559089.25"/>
    <s v="ROMERO SERVICIOS S. A. S. ALPACHIRI 14"/>
    <x v="1136"/>
    <n v="8559089.25"/>
    <x v="132"/>
    <x v="0"/>
    <s v="pagado"/>
    <s v="pagado"/>
    <x v="0"/>
    <x v="0"/>
  </r>
  <r>
    <n v="3000005304"/>
    <d v="2025-09-08T00:00:00"/>
    <n v="10000000"/>
    <s v="CAMPOAGRO SRL YERBA BUENA 14"/>
    <x v="1137"/>
    <n v="10000000"/>
    <x v="133"/>
    <x v="0"/>
    <s v="pagado"/>
    <s v="pagado"/>
    <x v="0"/>
    <x v="0"/>
  </r>
  <r>
    <n v="3000005304"/>
    <d v="2025-09-08T00:00:00"/>
    <n v="8363150.1799999997"/>
    <s v="CAMPOAGRO SRL YERBA BUENA 14"/>
    <x v="1138"/>
    <n v="8363150.1799999997"/>
    <x v="132"/>
    <x v="0"/>
    <s v="pagado"/>
    <s v="pagado"/>
    <x v="0"/>
    <x v="0"/>
  </r>
  <r>
    <n v="3000005305"/>
    <d v="2025-09-08T00:00:00"/>
    <n v="20000000"/>
    <s v="Jeblab S.R.L. YERBA BUENA 14"/>
    <x v="1139"/>
    <n v="20000000"/>
    <x v="133"/>
    <x v="0"/>
    <s v="pagado"/>
    <s v="pagado"/>
    <x v="0"/>
    <x v="0"/>
  </r>
  <r>
    <n v="3000005305"/>
    <d v="2025-09-08T00:00:00"/>
    <n v="19545843.399999999"/>
    <s v="Jeblab S.R.L. YERBA BUENA 14"/>
    <x v="1140"/>
    <n v="19545843.399999999"/>
    <x v="132"/>
    <x v="0"/>
    <s v="pagado"/>
    <s v="pagado"/>
    <x v="0"/>
    <x v="0"/>
  </r>
  <r>
    <n v="3000005306"/>
    <d v="2025-09-08T00:00:00"/>
    <n v="11503132"/>
    <s v="CANEVARO JOSE MARIA CONCEPCION 14"/>
    <x v="1141"/>
    <n v="11503132"/>
    <x v="133"/>
    <x v="0"/>
    <s v="pagado"/>
    <s v="pagado"/>
    <x v="0"/>
    <x v="0"/>
  </r>
  <r>
    <n v="3000005307"/>
    <d v="2025-09-08T00:00:00"/>
    <n v="20000000"/>
    <s v="MENDEZ, MARTIN ALBERTO SAN MIGUEL DE TUCUMAN 14"/>
    <x v="1142"/>
    <n v="20000000"/>
    <x v="133"/>
    <x v="0"/>
    <s v="pagado"/>
    <s v="pagado"/>
    <x v="0"/>
    <x v="0"/>
  </r>
  <r>
    <n v="3000005307"/>
    <d v="2025-09-08T00:00:00"/>
    <n v="18077652.120000001"/>
    <s v="MENDEZ, MARTIN ALBERTO SAN MIGUEL DE TUCUMAN 14"/>
    <x v="1143"/>
    <n v="18077652.120000001"/>
    <x v="132"/>
    <x v="0"/>
    <s v="pagado"/>
    <s v="pagado"/>
    <x v="0"/>
    <x v="0"/>
  </r>
  <r>
    <n v="3000005308"/>
    <d v="2025-09-08T00:00:00"/>
    <n v="20000000"/>
    <s v="Mudad Francisco Esteban Los Nogales 14"/>
    <x v="1144"/>
    <n v="20000000"/>
    <x v="133"/>
    <x v="0"/>
    <s v="pagado"/>
    <s v="pagado"/>
    <x v="0"/>
    <x v="0"/>
  </r>
  <r>
    <n v="3000005308"/>
    <d v="2025-09-08T00:00:00"/>
    <n v="17275610.27"/>
    <s v="Mudad Francisco Esteban Los Nogales 14"/>
    <x v="1145"/>
    <n v="17275610.27"/>
    <x v="132"/>
    <x v="0"/>
    <s v="pagado"/>
    <s v="pagado"/>
    <x v="0"/>
    <x v="0"/>
  </r>
  <r>
    <n v="3000005309"/>
    <d v="2025-09-08T00:00:00"/>
    <n v="7983579.1900000004"/>
    <s v="CITRAR SRL SAN MIGUEL DE TUCUMAN 14"/>
    <x v="1146"/>
    <n v="7983579.1900000004"/>
    <x v="133"/>
    <x v="0"/>
    <s v="pagado"/>
    <s v="pagado"/>
    <x v="0"/>
    <x v="0"/>
  </r>
  <r>
    <n v="3000005310"/>
    <d v="2025-09-08T00:00:00"/>
    <n v="16000000"/>
    <s v="HELUANE PABLO DARIO SAN MIGUEL DE TUCUMAN 14"/>
    <x v="1147"/>
    <n v="16000000"/>
    <x v="133"/>
    <x v="0"/>
    <s v="pagado"/>
    <s v="pagado"/>
    <x v="0"/>
    <x v="0"/>
  </r>
  <r>
    <n v="3000005310"/>
    <d v="2025-09-08T00:00:00"/>
    <n v="16174974.5"/>
    <s v="HELUANE PABLO DARIO SAN MIGUEL DE TUCUMAN 14"/>
    <x v="1148"/>
    <n v="16174974.5"/>
    <x v="132"/>
    <x v="0"/>
    <s v="pagado"/>
    <s v="pagado"/>
    <x v="0"/>
    <x v="0"/>
  </r>
  <r>
    <n v="3000005311"/>
    <d v="2025-09-08T00:00:00"/>
    <n v="15975394.789999999"/>
    <s v="CAFELI S.R.L. SAN MIGUEL DE TUCUMAN 14"/>
    <x v="1149"/>
    <n v="15975394.789999999"/>
    <x v="133"/>
    <x v="0"/>
    <s v="pagado"/>
    <s v="pagado"/>
    <x v="0"/>
    <x v="0"/>
  </r>
  <r>
    <n v="3000005312"/>
    <d v="2025-09-08T00:00:00"/>
    <n v="9984661.5600000005"/>
    <s v="Verde y Sol S.R.L. SAN MIGUEL DE TUCUMAN 14"/>
    <x v="1150"/>
    <n v="9984661.5600000005"/>
    <x v="133"/>
    <x v="0"/>
    <s v="pagado"/>
    <s v="pagado"/>
    <x v="0"/>
    <x v="0"/>
  </r>
  <r>
    <n v="3000005313"/>
    <d v="2025-09-08T00:00:00"/>
    <n v="5944942.2699999996"/>
    <s v="Astori Estructuras S.A. Bº Palmar 03"/>
    <x v="1151"/>
    <n v="5944942.2699999996"/>
    <x v="133"/>
    <x v="0"/>
    <s v="pagado"/>
    <s v="pagado"/>
    <x v="0"/>
    <x v="0"/>
  </r>
  <r>
    <n v="3000005314"/>
    <d v="2025-09-08T00:00:00"/>
    <n v="16000000"/>
    <s v="FERNANDEZ LILIA CRISTINA CONCEPCION 14"/>
    <x v="1152"/>
    <n v="16000000"/>
    <x v="133"/>
    <x v="0"/>
    <s v="pagado"/>
    <s v="pagado"/>
    <x v="0"/>
    <x v="0"/>
  </r>
  <r>
    <n v="3000005314"/>
    <d v="2025-09-08T00:00:00"/>
    <n v="16506264"/>
    <s v="FERNANDEZ LILIA CRISTINA CONCEPCION 14"/>
    <x v="1153"/>
    <n v="16506264"/>
    <x v="132"/>
    <x v="0"/>
    <s v="pagado"/>
    <s v="pagado"/>
    <x v="0"/>
    <x v="0"/>
  </r>
  <r>
    <n v="3000005315"/>
    <d v="2025-09-08T00:00:00"/>
    <n v="10000000"/>
    <s v="CANEVARO GISELLE LILIAN San Miguel De Tucuman 14"/>
    <x v="1154"/>
    <n v="10000000"/>
    <x v="133"/>
    <x v="0"/>
    <s v="pagado"/>
    <s v="pagado"/>
    <x v="0"/>
    <x v="0"/>
  </r>
  <r>
    <n v="3000005315"/>
    <d v="2025-09-08T00:00:00"/>
    <n v="6253132"/>
    <s v="CANEVARO GISELLE LILIAN San Miguel De Tucuman 14"/>
    <x v="1155"/>
    <n v="6253132"/>
    <x v="132"/>
    <x v="0"/>
    <s v="pagado"/>
    <s v="pagado"/>
    <x v="0"/>
    <x v="0"/>
  </r>
  <r>
    <n v="3000005316"/>
    <d v="2025-09-08T00:00:00"/>
    <n v="15910960.800000001"/>
    <s v="CANEVARO PRISCILA JANET SAN MIGUEL DE TUCUMAN 14"/>
    <x v="1156"/>
    <n v="15910960.800000001"/>
    <x v="133"/>
    <x v="0"/>
    <s v="pagado"/>
    <s v="pagado"/>
    <x v="0"/>
    <x v="0"/>
  </r>
  <r>
    <n v="3000005317"/>
    <d v="2025-09-08T00:00:00"/>
    <n v="1084986.3999999999"/>
    <s v="SERVICOM S.R.L SAN MIGUEL DE TUCUMAN 14"/>
    <x v="1157"/>
    <n v="1084986.3999999999"/>
    <x v="133"/>
    <x v="0"/>
    <s v="pagado"/>
    <s v="pagado"/>
    <x v="0"/>
    <x v="0"/>
  </r>
  <r>
    <n v="3000005318"/>
    <d v="2025-09-08T00:00:00"/>
    <n v="11000000"/>
    <s v="RL SOLUCIONES S. A. S. SAN MIGUEL DE TUCUMAN 14"/>
    <x v="1158"/>
    <n v="11000000"/>
    <x v="133"/>
    <x v="0"/>
    <s v="pagado"/>
    <s v="pagado"/>
    <x v="0"/>
    <x v="0"/>
  </r>
  <r>
    <n v="3000005318"/>
    <d v="2025-09-08T00:00:00"/>
    <n v="10053777.210000001"/>
    <s v="RL SOLUCIONES S. A. S. SAN MIGUEL DE TUCUMAN 14"/>
    <x v="1159"/>
    <n v="10053777.210000001"/>
    <x v="132"/>
    <x v="0"/>
    <s v="pagado"/>
    <s v="pagado"/>
    <x v="0"/>
    <x v="0"/>
  </r>
  <r>
    <n v="3000005319"/>
    <d v="2025-09-08T00:00:00"/>
    <n v="4233183.5"/>
    <s v="VILLAGRA VELEZ ROQUE RICARDO SAN MIGUEL DE TUCUMAN 14"/>
    <x v="1160"/>
    <n v="4233183.5"/>
    <x v="133"/>
    <x v="0"/>
    <s v="pagado"/>
    <s v="pagado"/>
    <x v="0"/>
    <x v="0"/>
  </r>
  <r>
    <n v="3000005320"/>
    <d v="2025-09-08T00:00:00"/>
    <n v="7859452.5499999998"/>
    <s v="LANCHELA HECTOR ROLANDO CONCEPCION 14"/>
    <x v="1161"/>
    <n v="7859452.5499999998"/>
    <x v="133"/>
    <x v="0"/>
    <s v="pagado"/>
    <s v="pagado"/>
    <x v="0"/>
    <x v="0"/>
  </r>
  <r>
    <n v="3000005321"/>
    <d v="2025-09-08T00:00:00"/>
    <n v="3926843"/>
    <s v="SANTI NASSAR MAXIMILIANO JESUSSAN MIGUEL DE TUCUMAN 14"/>
    <x v="1162"/>
    <n v="3926843"/>
    <x v="133"/>
    <x v="0"/>
    <s v="pagado"/>
    <s v="pagado"/>
    <x v="0"/>
    <x v="0"/>
  </r>
  <r>
    <n v="3000005322"/>
    <d v="2025-09-08T00:00:00"/>
    <n v="15000000"/>
    <s v="MG SERVICIOS AGROPECUARIOS SASTAFI VIEJO 14"/>
    <x v="1163"/>
    <n v="15000000"/>
    <x v="133"/>
    <x v="0"/>
    <s v="pagado"/>
    <s v="pagado"/>
    <x v="0"/>
    <x v="0"/>
  </r>
  <r>
    <n v="3000005322"/>
    <d v="2025-09-08T00:00:00"/>
    <n v="7000000"/>
    <s v="MG SERVICIOS AGROPECUARIOS SASTAFI VIEJO 14"/>
    <x v="1164"/>
    <n v="7000000"/>
    <x v="133"/>
    <x v="0"/>
    <s v="pagado"/>
    <s v="pagado"/>
    <x v="0"/>
    <x v="0"/>
  </r>
  <r>
    <n v="3000005322"/>
    <d v="2025-09-08T00:00:00"/>
    <n v="4000000"/>
    <s v="MG SERVICIOS AGROPECUARIOS SASTAFI VIEJO 14"/>
    <x v="1165"/>
    <n v="4000000"/>
    <x v="133"/>
    <x v="0"/>
    <s v="pagado"/>
    <s v="pagado"/>
    <x v="0"/>
    <x v="0"/>
  </r>
  <r>
    <n v="3000005322"/>
    <d v="2025-09-08T00:00:00"/>
    <n v="4000000"/>
    <s v="MG SERVICIOS AGROPECUARIOS SASTAFI VIEJO 14"/>
    <x v="1166"/>
    <n v="4000000"/>
    <x v="133"/>
    <x v="0"/>
    <s v="pagado"/>
    <s v="pagado"/>
    <x v="0"/>
    <x v="0"/>
  </r>
  <r>
    <n v="3000005322"/>
    <d v="2025-09-08T00:00:00"/>
    <n v="35000000"/>
    <s v="MG SERVICIOS AGROPECUARIOS SASTAFI VIEJO 14"/>
    <x v="1167"/>
    <n v="35000000"/>
    <x v="132"/>
    <x v="0"/>
    <s v="pagado"/>
    <s v="pagado"/>
    <x v="0"/>
    <x v="0"/>
  </r>
  <r>
    <n v="3000005322"/>
    <d v="2025-09-08T00:00:00"/>
    <n v="42579298.479999997"/>
    <s v="MG SERVICIOS AGROPECUARIOS SASTAFI VIEJO 14"/>
    <x v="1168"/>
    <n v="42579298.479999997"/>
    <x v="111"/>
    <x v="0"/>
    <s v="pagado"/>
    <s v="pagado"/>
    <x v="0"/>
    <x v="0"/>
  </r>
  <r>
    <n v="3000005323"/>
    <d v="2025-09-08T00:00:00"/>
    <n v="4000000"/>
    <s v="MG SERVICIOS AGROPECUARIOS SASTAFI VIEJO 14"/>
    <x v="1169"/>
    <n v="4000000"/>
    <x v="133"/>
    <x v="0"/>
    <s v="pagado"/>
    <s v="pagado"/>
    <x v="0"/>
    <x v="0"/>
  </r>
  <r>
    <n v="3000005323"/>
    <d v="2025-09-08T00:00:00"/>
    <n v="2000000"/>
    <s v="MG SERVICIOS AGROPECUARIOS SASTAFI VIEJO 14"/>
    <x v="1170"/>
    <n v="2000000"/>
    <x v="133"/>
    <x v="0"/>
    <s v="pagado"/>
    <s v="pagado"/>
    <x v="0"/>
    <x v="0"/>
  </r>
  <r>
    <n v="3000005323"/>
    <d v="2025-09-08T00:00:00"/>
    <n v="2800000"/>
    <s v="MG SERVICIOS AGROPECUARIOS SASTAFI VIEJO 14"/>
    <x v="1171"/>
    <n v="2800000"/>
    <x v="133"/>
    <x v="0"/>
    <s v="pagado"/>
    <s v="pagado"/>
    <x v="0"/>
    <x v="0"/>
  </r>
  <r>
    <n v="3000005323"/>
    <d v="2025-09-08T00:00:00"/>
    <n v="1400000"/>
    <s v="MG SERVICIOS AGROPECUARIOS SASTAFI VIEJO 14"/>
    <x v="1172"/>
    <n v="1400000"/>
    <x v="133"/>
    <x v="0"/>
    <s v="pagado"/>
    <s v="pagado"/>
    <x v="0"/>
    <x v="0"/>
  </r>
  <r>
    <n v="3000005323"/>
    <d v="2025-09-08T00:00:00"/>
    <n v="1200000"/>
    <s v="MG SERVICIOS AGROPECUARIOS SASTAFI VIEJO 14"/>
    <x v="1173"/>
    <n v="1200000"/>
    <x v="133"/>
    <x v="0"/>
    <s v="pagado"/>
    <s v="pagado"/>
    <x v="0"/>
    <x v="0"/>
  </r>
  <r>
    <n v="3000005323"/>
    <d v="2025-09-08T00:00:00"/>
    <n v="40000000"/>
    <s v="MG SERVICIOS AGROPECUARIOS SASTAFI VIEJO 14"/>
    <x v="1174"/>
    <n v="40000000"/>
    <x v="132"/>
    <x v="0"/>
    <s v="pagado"/>
    <s v="pagado"/>
    <x v="0"/>
    <x v="0"/>
  </r>
  <r>
    <n v="3000005323"/>
    <d v="2025-09-08T00:00:00"/>
    <n v="34653027.520000003"/>
    <s v="MG SERVICIOS AGROPECUARIOS SASTAFI VIEJO 14"/>
    <x v="1175"/>
    <n v="34653027.520000003"/>
    <x v="111"/>
    <x v="0"/>
    <s v="pagado"/>
    <s v="pagado"/>
    <x v="0"/>
    <x v="0"/>
  </r>
  <r>
    <n v="3000005362"/>
    <d v="2025-09-09T00:00:00"/>
    <n v="8617127.2300000004"/>
    <s v="NATURAL GAS SA SAN MIGUEL DE TUCUMAN 14"/>
    <x v="1176"/>
    <n v="8617127.2300000004"/>
    <x v="133"/>
    <x v="2"/>
    <s v="pagado"/>
    <s v="pagado"/>
    <x v="0"/>
    <x v="0"/>
  </r>
  <r>
    <n v="3000005364"/>
    <d v="2025-09-09T00:00:00"/>
    <n v="13682367.92"/>
    <s v="STARB S.A CIUDAD AUTONOMA DE BUENOS AIRES 01"/>
    <x v="1177"/>
    <n v="13682367.92"/>
    <x v="132"/>
    <x v="2"/>
    <s v="pagado"/>
    <s v="pagado"/>
    <x v="0"/>
    <x v="0"/>
  </r>
  <r>
    <n v="3000005365"/>
    <d v="2025-09-09T00:00:00"/>
    <n v="9673396.3699999992"/>
    <s v="Vaquera Francisco Alfredo Monteros 14"/>
    <x v="1178"/>
    <n v="9673396.3699999992"/>
    <x v="132"/>
    <x v="2"/>
    <s v="pagado"/>
    <s v="pagado"/>
    <x v="0"/>
    <x v="0"/>
  </r>
  <r>
    <n v="3000005366"/>
    <d v="2025-09-09T00:00:00"/>
    <n v="6086794.8200000003"/>
    <s v="Sanchez Jose Mauricio San Miguel de Tucuman 14"/>
    <x v="1179"/>
    <n v="6086794.8200000003"/>
    <x v="133"/>
    <x v="2"/>
    <s v="pagado"/>
    <s v="pagado"/>
    <x v="0"/>
    <x v="0"/>
  </r>
  <r>
    <n v="3000005367"/>
    <d v="2025-09-09T00:00:00"/>
    <n v="4570689.91"/>
    <s v="PERATO LUIS ALBERTO BANDA DEL RIO SALI 14"/>
    <x v="1180"/>
    <n v="4570689.91"/>
    <x v="133"/>
    <x v="2"/>
    <s v="pagado"/>
    <s v="pagado"/>
    <x v="0"/>
    <x v="0"/>
  </r>
  <r>
    <n v="3000005368"/>
    <d v="2025-09-09T00:00:00"/>
    <n v="4513341.7699999996"/>
    <s v="Bustos Sergio Alejandro Banda Rio Sali 14"/>
    <x v="1181"/>
    <n v="4513341.7699999996"/>
    <x v="133"/>
    <x v="2"/>
    <s v="pagado"/>
    <s v="pagado"/>
    <x v="0"/>
    <x v="0"/>
  </r>
  <r>
    <n v="3000005369"/>
    <d v="2025-09-09T00:00:00"/>
    <n v="14020968.210000001"/>
    <s v="TORRES JUAN RAMON ALDERETES 14"/>
    <x v="1182"/>
    <n v="14020968.210000001"/>
    <x v="132"/>
    <x v="2"/>
    <s v="pagado"/>
    <s v="pagado"/>
    <x v="0"/>
    <x v="0"/>
  </r>
  <r>
    <n v="3000005370"/>
    <d v="2025-09-09T00:00:00"/>
    <n v="16235350.359999999"/>
    <s v="PERATO CRISTIAN LUIS BANDA DEL RIO SALI 14"/>
    <x v="1183"/>
    <n v="16235350.359999999"/>
    <x v="132"/>
    <x v="2"/>
    <s v="pagado"/>
    <s v="pagado"/>
    <x v="0"/>
    <x v="0"/>
  </r>
  <r>
    <n v="3000005371"/>
    <d v="2025-09-09T00:00:00"/>
    <n v="7734103.5899999999"/>
    <s v="PEDRO GABRIEL ALEJANDRO ALDERETES 14"/>
    <x v="1184"/>
    <n v="7734103.5899999999"/>
    <x v="133"/>
    <x v="2"/>
    <s v="pagado"/>
    <s v="pagado"/>
    <x v="0"/>
    <x v="0"/>
  </r>
  <r>
    <n v="3000005372"/>
    <d v="2025-09-09T00:00:00"/>
    <n v="26312486.77"/>
    <s v="CAPETTA ANTONELLA ANAHI SAN MIGUEL DE TUCUMAN 14"/>
    <x v="1185"/>
    <n v="26312486.77"/>
    <x v="132"/>
    <x v="2"/>
    <s v="pagado"/>
    <s v="pagado"/>
    <x v="0"/>
    <x v="0"/>
  </r>
  <r>
    <n v="3000005373"/>
    <d v="2025-09-09T00:00:00"/>
    <n v="34715345.520000003"/>
    <s v="TRANSPORTE FRIOS DEL NORTE S.RSAN MIGUEL DE TUCUMAN 14"/>
    <x v="1186"/>
    <n v="34715345.520000003"/>
    <x v="132"/>
    <x v="2"/>
    <s v="pagado"/>
    <s v="pagado"/>
    <x v="0"/>
    <x v="0"/>
  </r>
  <r>
    <n v="3000005374"/>
    <d v="2025-09-09T00:00:00"/>
    <n v="4233183.5"/>
    <s v="MAGNONE S. A. CIUDAD AUTONOMA BUENOS AIRES 00"/>
    <x v="1187"/>
    <n v="4233183.5"/>
    <x v="133"/>
    <x v="2"/>
    <s v="pagado"/>
    <s v="pagado"/>
    <x v="0"/>
    <x v="0"/>
  </r>
  <r>
    <n v="3000005375"/>
    <d v="2025-09-09T00:00:00"/>
    <n v="10649857.890000001"/>
    <s v="CEMEVA SAS YERBA BUENA 14"/>
    <x v="1188"/>
    <n v="10649857.890000001"/>
    <x v="132"/>
    <x v="2"/>
    <s v="pagado"/>
    <s v="pagado"/>
    <x v="0"/>
    <x v="0"/>
  </r>
  <r>
    <n v="3000005376"/>
    <d v="2025-09-09T00:00:00"/>
    <n v="4260111.08"/>
    <s v="MAC DONALD MIGUEL ALEJANDRO BANDA DEL RIO SALI 14"/>
    <x v="1189"/>
    <n v="4260111.08"/>
    <x v="133"/>
    <x v="2"/>
    <s v="pagado"/>
    <s v="pagado"/>
    <x v="0"/>
    <x v="0"/>
  </r>
  <r>
    <n v="3000005377"/>
    <d v="2025-09-09T00:00:00"/>
    <n v="7834202.96"/>
    <s v="Sereno Carlos Luis Los Gutierrez 14"/>
    <x v="1190"/>
    <n v="7834202.96"/>
    <x v="133"/>
    <x v="2"/>
    <s v="pagado"/>
    <s v="pagado"/>
    <x v="0"/>
    <x v="0"/>
  </r>
  <r>
    <n v="3000005378"/>
    <d v="2025-09-09T00:00:00"/>
    <n v="11721787.52"/>
    <s v="FERNANDEZ HECTOR JOSE SIMOCA 14"/>
    <x v="1191"/>
    <n v="11721787.52"/>
    <x v="132"/>
    <x v="2"/>
    <s v="pagado"/>
    <s v="pagado"/>
    <x v="0"/>
    <x v="0"/>
  </r>
  <r>
    <n v="3000005379"/>
    <d v="2025-09-09T00:00:00"/>
    <n v="5686402.4199999999"/>
    <s v="MOREY SERGIO GUILLERMO LOS GUTIERREZ-ALDERETES 14"/>
    <x v="1192"/>
    <n v="5686402.4199999999"/>
    <x v="133"/>
    <x v="2"/>
    <s v="pagado"/>
    <s v="pagado"/>
    <x v="0"/>
    <x v="0"/>
  </r>
  <r>
    <n v="3000005380"/>
    <d v="2025-09-09T00:00:00"/>
    <n v="31800379.420000002"/>
    <s v="ACOSTA ROQUE RAMON SAN MIGUEL DE TUCUMAN 14"/>
    <x v="1193"/>
    <n v="31800379.420000002"/>
    <x v="132"/>
    <x v="2"/>
    <s v="pagado"/>
    <s v="pagado"/>
    <x v="0"/>
    <x v="0"/>
  </r>
  <r>
    <n v="3000005509"/>
    <d v="2025-09-15T00:00:00"/>
    <n v="0"/>
    <s v="invalidado med.EOLIVERA -Destruido/ Sin uso"/>
    <x v="1194"/>
    <n v="0"/>
    <x v="122"/>
    <x v="2"/>
    <s v="no pagado"/>
    <s v="fuera de fecha"/>
    <x v="0"/>
    <x v="0"/>
  </r>
  <r>
    <n v="3000005510"/>
    <d v="2025-09-15T00:00:00"/>
    <n v="0"/>
    <s v="invalidado med.EOLIVERA -Destruido/ Sin uso"/>
    <x v="1195"/>
    <n v="0"/>
    <x v="122"/>
    <x v="2"/>
    <s v="no pagado"/>
    <s v="fuera de fecha"/>
    <x v="0"/>
    <x v="0"/>
  </r>
  <r>
    <n v="3000005511"/>
    <d v="2025-09-15T00:00:00"/>
    <n v="0"/>
    <s v="invalidado med.EOLIVERA -Destruido/ Sin uso"/>
    <x v="1196"/>
    <n v="0"/>
    <x v="122"/>
    <x v="2"/>
    <s v="no pagado"/>
    <s v="fuera de fecha"/>
    <x v="0"/>
    <x v="0"/>
  </r>
  <r>
    <n v="3000005512"/>
    <d v="2025-09-15T00:00:00"/>
    <n v="0"/>
    <s v="invalidado med.EOLIVERA -Destruido/ Sin uso"/>
    <x v="1197"/>
    <n v="0"/>
    <x v="122"/>
    <x v="2"/>
    <s v="no pagado"/>
    <s v="fuera de fecha"/>
    <x v="0"/>
    <x v="0"/>
  </r>
  <r>
    <n v="3000005513"/>
    <d v="2025-09-15T00:00:00"/>
    <n v="0"/>
    <s v="invalidado med.EOLIVERA -Destruido/ Sin uso"/>
    <x v="1198"/>
    <n v="0"/>
    <x v="122"/>
    <x v="2"/>
    <s v="no pagado"/>
    <s v="fuera de fecha"/>
    <x v="0"/>
    <x v="0"/>
  </r>
  <r>
    <n v="3000005514"/>
    <d v="2025-09-15T00:00:00"/>
    <n v="0"/>
    <s v="invalidado med.EOLIVERA -Destruido/ Sin uso"/>
    <x v="1199"/>
    <n v="0"/>
    <x v="122"/>
    <x v="2"/>
    <s v="no pagado"/>
    <s v="fuera de fecha"/>
    <x v="0"/>
    <x v="0"/>
  </r>
  <r>
    <n v="3000005515"/>
    <d v="2025-09-15T00:00:00"/>
    <n v="0"/>
    <s v="invalidado med.EOLIVERA -Destruido/ Sin uso"/>
    <x v="1200"/>
    <n v="0"/>
    <x v="122"/>
    <x v="2"/>
    <s v="no pagado"/>
    <s v="fuera de fecha"/>
    <x v="0"/>
    <x v="0"/>
  </r>
  <r>
    <n v="3000005516"/>
    <d v="2025-09-15T00:00:00"/>
    <n v="0"/>
    <s v="invalidado med.EOLIVERA -Destruido/ Sin uso"/>
    <x v="1201"/>
    <n v="0"/>
    <x v="122"/>
    <x v="2"/>
    <s v="no pagado"/>
    <s v="fuera de fecha"/>
    <x v="0"/>
    <x v="0"/>
  </r>
  <r>
    <n v="3000005517"/>
    <d v="2025-09-15T00:00:00"/>
    <n v="0"/>
    <s v="invalidado med.EOLIVERA -Destruido/ Sin uso"/>
    <x v="1202"/>
    <n v="0"/>
    <x v="122"/>
    <x v="2"/>
    <s v="no pagado"/>
    <s v="fuera de fecha"/>
    <x v="0"/>
    <x v="0"/>
  </r>
  <r>
    <n v="3000005518"/>
    <d v="2025-09-15T00:00:00"/>
    <n v="0"/>
    <s v="invalidado med.EOLIVERA -Destruido/ Sin uso"/>
    <x v="1203"/>
    <n v="0"/>
    <x v="122"/>
    <x v="2"/>
    <s v="no pagado"/>
    <s v="fuera de fecha"/>
    <x v="0"/>
    <x v="0"/>
  </r>
  <r>
    <n v="3000005519"/>
    <d v="2025-09-15T00:00:00"/>
    <n v="0"/>
    <s v="invalidado med.EOLIVERA -Destruido/ Sin uso"/>
    <x v="1204"/>
    <n v="0"/>
    <x v="134"/>
    <x v="2"/>
    <s v="no pagado"/>
    <s v="fuera de fecha"/>
    <x v="0"/>
    <x v="0"/>
  </r>
  <r>
    <n v="3000005520"/>
    <d v="2025-09-15T00:00:00"/>
    <n v="0"/>
    <s v="invalidado med.EOLIVERA -Destruido/ Sin uso"/>
    <x v="1205"/>
    <n v="0"/>
    <x v="134"/>
    <x v="2"/>
    <s v="no pagado"/>
    <s v="fuera de fecha"/>
    <x v="0"/>
    <x v="0"/>
  </r>
  <r>
    <n v="3000005521"/>
    <d v="2025-09-15T00:00:00"/>
    <n v="0"/>
    <s v="invalidado med.EOLIVERA -Destruido/ Sin uso"/>
    <x v="1206"/>
    <n v="0"/>
    <x v="134"/>
    <x v="2"/>
    <s v="no pagado"/>
    <s v="fuera de fecha"/>
    <x v="0"/>
    <x v="0"/>
  </r>
  <r>
    <n v="3000005522"/>
    <d v="2025-09-15T00:00:00"/>
    <n v="0"/>
    <s v="invalidado med.EOLIVERA -Destruido/ Sin uso"/>
    <x v="1207"/>
    <n v="0"/>
    <x v="134"/>
    <x v="2"/>
    <s v="no pagado"/>
    <s v="fuera de fecha"/>
    <x v="0"/>
    <x v="0"/>
  </r>
  <r>
    <n v="3000005523"/>
    <d v="2025-09-15T00:00:00"/>
    <n v="0"/>
    <s v="invalidado med.EOLIVERA -Destruido/ Sin uso"/>
    <x v="1208"/>
    <n v="0"/>
    <x v="134"/>
    <x v="2"/>
    <s v="no pagado"/>
    <s v="fuera de fecha"/>
    <x v="0"/>
    <x v="0"/>
  </r>
  <r>
    <n v="3000005526"/>
    <d v="2025-09-16T00:00:00"/>
    <n v="0"/>
    <s v="invalidado med.EOLIVERA -Destruido/ Sin uso"/>
    <x v="1209"/>
    <n v="0"/>
    <x v="134"/>
    <x v="2"/>
    <s v="no pagado"/>
    <s v="fuera de fecha"/>
    <x v="0"/>
    <x v="0"/>
  </r>
  <r>
    <n v="3000005509"/>
    <d v="2025-09-16T00:00:00"/>
    <n v="4590664.0199999996"/>
    <s v="ALVAREZ RENE JOSE MARIA BELLA VISTA 14"/>
    <x v="1210"/>
    <n v="4590664.0199999996"/>
    <x v="122"/>
    <x v="2"/>
    <s v="pagado"/>
    <s v="pagado"/>
    <x v="0"/>
    <x v="0"/>
  </r>
  <r>
    <n v="3000005510"/>
    <d v="2025-09-16T00:00:00"/>
    <n v="5982581.9000000004"/>
    <s v="HERRERA RICARDO ALBERTO BANDA DEL RIO SALI 14"/>
    <x v="1211"/>
    <n v="5982581.9000000004"/>
    <x v="122"/>
    <x v="2"/>
    <s v="pagado"/>
    <s v="pagado"/>
    <x v="0"/>
    <x v="0"/>
  </r>
  <r>
    <n v="3000005511"/>
    <d v="2025-09-16T00:00:00"/>
    <n v="9688063.8300000001"/>
    <s v="SLEIMAN JOSE RODOLFO ALDERETES 14"/>
    <x v="1212"/>
    <n v="9688063.8300000001"/>
    <x v="122"/>
    <x v="2"/>
    <s v="pagado"/>
    <s v="pagado"/>
    <x v="0"/>
    <x v="0"/>
  </r>
  <r>
    <n v="3000005512"/>
    <d v="2025-09-16T00:00:00"/>
    <n v="4614731.25"/>
    <s v="BESTANI JUAN JOSE SAN MIGUEL DE TUCUMAN 14"/>
    <x v="1213"/>
    <n v="4614731.25"/>
    <x v="122"/>
    <x v="2"/>
    <s v="pagado"/>
    <s v="pagado"/>
    <x v="0"/>
    <x v="0"/>
  </r>
  <r>
    <n v="3000005513"/>
    <d v="2025-09-16T00:00:00"/>
    <n v="4121380.98"/>
    <s v="Rojas Antonio Domingo ALDERETES 14"/>
    <x v="1214"/>
    <n v="4121380.98"/>
    <x v="122"/>
    <x v="2"/>
    <s v="pagado"/>
    <s v="pagado"/>
    <x v="0"/>
    <x v="0"/>
  </r>
  <r>
    <n v="3000005514"/>
    <d v="2025-09-16T00:00:00"/>
    <n v="9847046.5199999996"/>
    <s v="TRANSPORTE MARIANITA S.R.L SAN MIGUEL DE TUCUMAN 14"/>
    <x v="1215"/>
    <n v="9847046.5199999996"/>
    <x v="122"/>
    <x v="2"/>
    <s v="pagado"/>
    <s v="pagado"/>
    <x v="0"/>
    <x v="0"/>
  </r>
  <r>
    <n v="3000005515"/>
    <d v="2025-09-16T00:00:00"/>
    <n v="5835884.9500000002"/>
    <s v="PEREZ CURBELO HNOS SRL SAN MIGUEL DE TUCUMAN 14"/>
    <x v="1216"/>
    <n v="5835884.9500000002"/>
    <x v="122"/>
    <x v="2"/>
    <s v="pagado"/>
    <s v="pagado"/>
    <x v="0"/>
    <x v="0"/>
  </r>
  <r>
    <n v="3000005516"/>
    <d v="2025-09-16T00:00:00"/>
    <n v="12234810"/>
    <s v="PABLO Y FERNANDO TACCHELLA S.RSAN MIGUEL DE TUCUMAN 14"/>
    <x v="1217"/>
    <n v="12234810"/>
    <x v="122"/>
    <x v="2"/>
    <s v="pagado"/>
    <s v="pagado"/>
    <x v="0"/>
    <x v="0"/>
  </r>
  <r>
    <n v="3000005517"/>
    <d v="2025-09-16T00:00:00"/>
    <n v="8738855"/>
    <s v="GRUPO LIVECA SAS SAN RAMON DE LA NUEVA ORAN 09"/>
    <x v="1218"/>
    <n v="8738855"/>
    <x v="122"/>
    <x v="2"/>
    <s v="pagado"/>
    <s v="pagado"/>
    <x v="0"/>
    <x v="0"/>
  </r>
  <r>
    <n v="3000005518"/>
    <d v="2025-09-16T00:00:00"/>
    <n v="9526924.4600000009"/>
    <s v="Barbera, Walter Sergio SAN MIGUEL DE TUCUMAN 14"/>
    <x v="1219"/>
    <n v="9526924.4600000009"/>
    <x v="122"/>
    <x v="2"/>
    <s v="pagado"/>
    <s v="pagado"/>
    <x v="0"/>
    <x v="0"/>
  </r>
  <r>
    <n v="3000005519"/>
    <d v="2025-09-16T00:00:00"/>
    <n v="12411341.130000001"/>
    <s v="Arias Carlos Alberto SAN MIGUEL DE TUCUMAN 14"/>
    <x v="1220"/>
    <n v="12411341.130000001"/>
    <x v="134"/>
    <x v="2"/>
    <s v="pagado"/>
    <s v="pagado"/>
    <x v="0"/>
    <x v="0"/>
  </r>
  <r>
    <n v="3000005520"/>
    <d v="2025-09-16T00:00:00"/>
    <n v="21677198.129999999"/>
    <s v="MOLINA JUAN F. Y MOLINA ROQUE Lastenia 14"/>
    <x v="1221"/>
    <n v="21677198.129999999"/>
    <x v="134"/>
    <x v="2"/>
    <s v="pagado"/>
    <s v="pagado"/>
    <x v="0"/>
    <x v="0"/>
  </r>
  <r>
    <n v="3000005521"/>
    <d v="2025-09-16T00:00:00"/>
    <n v="14298958.300000001"/>
    <s v="Gonzalez Jose Luis Lastenia 14"/>
    <x v="1222"/>
    <n v="14298958.300000001"/>
    <x v="122"/>
    <x v="2"/>
    <s v="pagado"/>
    <s v="pagado"/>
    <x v="0"/>
    <x v="0"/>
  </r>
  <r>
    <n v="3000005522"/>
    <d v="2025-09-16T00:00:00"/>
    <n v="31409789.780000001"/>
    <s v="CEFAS S.A CIUDAD AUTONOMA DE BUENOS AIRES 01"/>
    <x v="1223"/>
    <n v="31409789.780000001"/>
    <x v="134"/>
    <x v="2"/>
    <s v="pagado"/>
    <s v="pagado"/>
    <x v="0"/>
    <x v="0"/>
  </r>
  <r>
    <n v="3000005523"/>
    <d v="2025-09-16T00:00:00"/>
    <n v="17999651.25"/>
    <s v="TUCUMAN PALLET SRL EL MANANTIAL 14"/>
    <x v="1224"/>
    <n v="17999651.25"/>
    <x v="134"/>
    <x v="2"/>
    <s v="pagado"/>
    <s v="pagado"/>
    <x v="0"/>
    <x v="0"/>
  </r>
  <r>
    <n v="3000005526"/>
    <d v="2025-09-16T00:00:00"/>
    <n v="42698510"/>
    <s v="EDET S.A. SAN MIGUEL DE TUCUMAN 14"/>
    <x v="1225"/>
    <n v="42698510"/>
    <x v="134"/>
    <x v="2"/>
    <s v="pagado"/>
    <s v="pagado"/>
    <x v="0"/>
    <x v="0"/>
  </r>
  <r>
    <n v="3000005524"/>
    <d v="2025-09-15T00:00:00"/>
    <n v="3411180.16"/>
    <s v="TRANSPORTE MEDINA S.H. CRUZ ALTA 14"/>
    <x v="1226"/>
    <n v="3411180.16"/>
    <x v="135"/>
    <x v="0"/>
    <s v="pagado"/>
    <s v="pagado"/>
    <x v="0"/>
    <x v="0"/>
  </r>
  <r>
    <n v="3000005525"/>
    <d v="2025-09-15T00:00:00"/>
    <n v="560000"/>
    <s v="ZUCCHI MARIO RODOLFO YERBA BUENA 14"/>
    <x v="1227"/>
    <n v="560000"/>
    <x v="135"/>
    <x v="0"/>
    <s v="pagado"/>
    <s v="pagado"/>
    <x v="0"/>
    <x v="0"/>
  </r>
  <r>
    <n v="3000005547"/>
    <d v="2025-09-16T00:00:00"/>
    <n v="7912006.8200000003"/>
    <s v="BESTANI LEANDRO EXEQUIEL SAN MIGUEL DE TUCUMAN 14"/>
    <x v="1228"/>
    <n v="7912006.8200000003"/>
    <x v="136"/>
    <x v="0"/>
    <s v="pagado"/>
    <s v="pagado"/>
    <x v="0"/>
    <x v="0"/>
  </r>
  <r>
    <n v="3000005548"/>
    <d v="2025-09-16T00:00:00"/>
    <n v="11059275.869999999"/>
    <s v="MULET WALTER HUMBERTO SAN MIGUEL DE TUCUMAN 14"/>
    <x v="1229"/>
    <n v="11059275.869999999"/>
    <x v="136"/>
    <x v="0"/>
    <s v="pagado"/>
    <s v="pagado"/>
    <x v="0"/>
    <x v="0"/>
  </r>
  <r>
    <n v="3000005549"/>
    <d v="2025-09-16T00:00:00"/>
    <n v="9990532.3399999999"/>
    <s v="Expreso Bisonte S.R.L. BANDA DEL RIO SALI 14"/>
    <x v="1230"/>
    <n v="9990532.3399999999"/>
    <x v="136"/>
    <x v="0"/>
    <s v="pagado"/>
    <s v="pagado"/>
    <x v="0"/>
    <x v="0"/>
  </r>
  <r>
    <n v="3000005550"/>
    <d v="2025-09-16T00:00:00"/>
    <n v="20750079.300000001"/>
    <s v="Terminal 4 S.A. Puerto Nuevo 01"/>
    <x v="1231"/>
    <n v="20750079.300000001"/>
    <x v="136"/>
    <x v="0"/>
    <s v="pagado"/>
    <s v="pagado"/>
    <x v="0"/>
    <x v="0"/>
  </r>
  <r>
    <n v="3000005551"/>
    <d v="2025-09-16T00:00:00"/>
    <n v="6469841.8899999997"/>
    <s v="RL SOLUCIONES S. A. S. SAN MIGUEL DE TUCUMAN 14"/>
    <x v="1232"/>
    <n v="6469841.8899999997"/>
    <x v="136"/>
    <x v="0"/>
    <s v="pagado"/>
    <s v="pagado"/>
    <x v="0"/>
    <x v="0"/>
  </r>
  <r>
    <n v="3000005552"/>
    <d v="2025-09-16T00:00:00"/>
    <n v="39674680.590000004"/>
    <s v="TRANSPORTE FRIOS DEL NORTE S.RSAN MIGUEL DE TUCUMAN 14"/>
    <x v="1233"/>
    <n v="39674680.590000004"/>
    <x v="136"/>
    <x v="0"/>
    <s v="pagado"/>
    <s v="pagado"/>
    <x v="0"/>
    <x v="0"/>
  </r>
  <r>
    <n v="3000005553"/>
    <d v="2025-09-16T00:00:00"/>
    <n v="40522417.560000002"/>
    <s v="CAPETTA ANTONELLA ANAHI SAN MIGUEL DE TUCUMAN 14"/>
    <x v="1234"/>
    <n v="40522417.560000002"/>
    <x v="136"/>
    <x v="0"/>
    <s v="pagado"/>
    <s v="pagado"/>
    <x v="0"/>
    <x v="0"/>
  </r>
  <r>
    <n v="3000005554"/>
    <d v="2025-09-16T00:00:00"/>
    <n v="27642956.039999999"/>
    <s v="CEMEVA SAS YERBA BUENA 14"/>
    <x v="1235"/>
    <n v="27642956.039999999"/>
    <x v="136"/>
    <x v="0"/>
    <s v="pagado"/>
    <s v="pagado"/>
    <x v="0"/>
    <x v="0"/>
  </r>
  <r>
    <n v="3000005592"/>
    <d v="2025-09-17T00:00:00"/>
    <n v="1019239.5"/>
    <s v="Fondo Fijo Administracion CitrNO TIENE"/>
    <x v="1236"/>
    <n v="1019239.5"/>
    <x v="134"/>
    <x v="0"/>
    <s v="pagado"/>
    <s v="pagado"/>
    <x v="0"/>
    <x v="0"/>
  </r>
  <r>
    <n v="3000005672"/>
    <d v="2025-09-22T00:00:00"/>
    <n v="242843650"/>
    <s v="EDET S.A. SAN MIGUEL DE TUCUMAN 14"/>
    <x v="1237"/>
    <n v="242843650"/>
    <x v="136"/>
    <x v="2"/>
    <s v="pagado"/>
    <s v="pagado"/>
    <x v="0"/>
    <x v="0"/>
  </r>
  <r>
    <n v="3000005673"/>
    <d v="2025-09-22T00:00:00"/>
    <n v="32420399.239999998"/>
    <s v="PAMPLONA SRL SAN MIGUEL DE TUCUMAN 14"/>
    <x v="1238"/>
    <n v="32420399.239999998"/>
    <x v="137"/>
    <x v="2"/>
    <s v="pagado"/>
    <s v="pagado"/>
    <x v="0"/>
    <x v="0"/>
  </r>
  <r>
    <n v="3000005674"/>
    <d v="2025-09-22T00:00:00"/>
    <n v="9933870.9199999999"/>
    <s v="ROMERO SERVICIOS S. A. S. ALPACHIRI 14"/>
    <x v="1239"/>
    <n v="9933870.9199999999"/>
    <x v="137"/>
    <x v="2"/>
    <s v="pagado"/>
    <s v="pagado"/>
    <x v="0"/>
    <x v="0"/>
  </r>
  <r>
    <n v="3000005675"/>
    <d v="2025-09-22T00:00:00"/>
    <n v="5000000"/>
    <s v="MG SERVICIOS AGROPECUARIOS SASTAFI VIEJO 14"/>
    <x v="1240"/>
    <n v="5000000"/>
    <x v="137"/>
    <x v="2"/>
    <s v="pagado"/>
    <s v="pagado"/>
    <x v="0"/>
    <x v="0"/>
  </r>
  <r>
    <n v="3000005675"/>
    <d v="2025-09-22T00:00:00"/>
    <n v="5115362.1100000003"/>
    <s v="MG SERVICIOS AGROPECUARIOS SASTAFI VIEJO 14"/>
    <x v="1241"/>
    <n v="5115362.1100000003"/>
    <x v="137"/>
    <x v="2"/>
    <s v="pagado"/>
    <s v="pagado"/>
    <x v="0"/>
    <x v="0"/>
  </r>
  <r>
    <n v="3000005676"/>
    <d v="2025-09-22T00:00:00"/>
    <n v="4817716.3600000003"/>
    <s v="PIQUE JUAN MANUEL San Miguel De Tucuman 14"/>
    <x v="1242"/>
    <n v="4817716.3600000003"/>
    <x v="137"/>
    <x v="2"/>
    <s v="pagado"/>
    <s v="pagado"/>
    <x v="0"/>
    <x v="0"/>
  </r>
  <r>
    <n v="3000005677"/>
    <d v="2025-09-22T00:00:00"/>
    <n v="26497240.32"/>
    <s v="Consultoria en Tecnologia de IBUENOS AIRES 00"/>
    <x v="1243"/>
    <n v="26497240.32"/>
    <x v="137"/>
    <x v="2"/>
    <s v="pagado"/>
    <s v="pagado"/>
    <x v="0"/>
    <x v="0"/>
  </r>
  <r>
    <n v="3000005678"/>
    <d v="2025-09-22T00:00:00"/>
    <n v="5064378.8"/>
    <s v="TODOLANDIA SRL SAN MIGUEL DE TUCUMAN 14"/>
    <x v="1244"/>
    <n v="5064378.8"/>
    <x v="137"/>
    <x v="2"/>
    <s v="pagado"/>
    <s v="pagado"/>
    <x v="0"/>
    <x v="0"/>
  </r>
  <r>
    <n v="3000005679"/>
    <d v="2025-09-22T00:00:00"/>
    <n v="7126916.9500000002"/>
    <s v="Marchese Grandi Meson y Asoc SAN MIGUEL DE TUCUMAN 14"/>
    <x v="1245"/>
    <n v="7126916.9500000002"/>
    <x v="137"/>
    <x v="2"/>
    <s v="pagado"/>
    <s v="pagado"/>
    <x v="0"/>
    <x v="0"/>
  </r>
  <r>
    <n v="3000005680"/>
    <d v="2025-09-22T00:00:00"/>
    <n v="1770060"/>
    <s v="EDET S.A. SAN MIGUEL DE TUCUMAN 14"/>
    <x v="1246"/>
    <n v="1770060"/>
    <x v="137"/>
    <x v="2"/>
    <s v="pagado"/>
    <s v="pagado"/>
    <x v="0"/>
    <x v="0"/>
  </r>
  <r>
    <n v="3000005681"/>
    <d v="2025-09-22T00:00:00"/>
    <n v="6536406.8399999999"/>
    <s v="FERNANDEZ HECTOR JOSE SIMOCA 14"/>
    <x v="1247"/>
    <n v="6536406.8399999999"/>
    <x v="138"/>
    <x v="2"/>
    <s v="pagado"/>
    <s v="pagado"/>
    <x v="0"/>
    <x v="0"/>
  </r>
  <r>
    <n v="3000005682"/>
    <d v="2025-09-22T00:00:00"/>
    <n v="3534056.23"/>
    <s v="MOREY SERGIO GUILLERMO LOS GUTIERREZ-ALDERETES 14"/>
    <x v="1248"/>
    <n v="3534056.23"/>
    <x v="138"/>
    <x v="2"/>
    <s v="pagado"/>
    <s v="pagado"/>
    <x v="0"/>
    <x v="0"/>
  </r>
  <r>
    <n v="3000005683"/>
    <d v="2025-09-22T00:00:00"/>
    <n v="3217507.5"/>
    <s v="PEDRO GABRIEL ALEJANDRO ALDERETES 14"/>
    <x v="1249"/>
    <n v="3217507.5"/>
    <x v="138"/>
    <x v="2"/>
    <s v="pagado"/>
    <s v="pagado"/>
    <x v="0"/>
    <x v="0"/>
  </r>
  <r>
    <n v="3000005684"/>
    <d v="2025-09-22T00:00:00"/>
    <n v="5426927.2000000002"/>
    <s v="NARANJO GONZALO JOSE TARUCA PAMPA 14"/>
    <x v="1250"/>
    <n v="5426927.2000000002"/>
    <x v="138"/>
    <x v="2"/>
    <s v="pagado"/>
    <s v="pagado"/>
    <x v="0"/>
    <x v="0"/>
  </r>
  <r>
    <n v="3000005685"/>
    <d v="2025-09-22T00:00:00"/>
    <n v="9614647.4900000002"/>
    <s v="MOYANO JUAN VICTOR TUCUMAN 14"/>
    <x v="1251"/>
    <n v="9614647.4900000002"/>
    <x v="138"/>
    <x v="2"/>
    <s v="pagado"/>
    <s v="pagado"/>
    <x v="0"/>
    <x v="0"/>
  </r>
  <r>
    <n v="3000005686"/>
    <d v="2025-09-22T00:00:00"/>
    <n v="4817398.68"/>
    <s v="SAUCE HUACHO SERVICIOS S.R.L MONTEROS 14"/>
    <x v="1252"/>
    <n v="4817398.68"/>
    <x v="138"/>
    <x v="2"/>
    <s v="pagado"/>
    <s v="pagado"/>
    <x v="0"/>
    <x v="0"/>
  </r>
  <r>
    <n v="3000005687"/>
    <d v="2025-09-22T00:00:00"/>
    <n v="9395488.7400000002"/>
    <s v="ROMERO SERVICIOS S. A. S. ALPACHIRI 14"/>
    <x v="1253"/>
    <n v="9395488.7400000002"/>
    <x v="138"/>
    <x v="2"/>
    <s v="pagado"/>
    <s v="pagado"/>
    <x v="0"/>
    <x v="0"/>
  </r>
  <r>
    <n v="3000005688"/>
    <d v="2025-09-22T00:00:00"/>
    <n v="23236477.52"/>
    <s v="PAMPLONA SRL SAN MIGUEL DE TUCUMAN 14"/>
    <x v="1254"/>
    <n v="23236477.52"/>
    <x v="138"/>
    <x v="2"/>
    <s v="pagado"/>
    <s v="pagado"/>
    <x v="0"/>
    <x v="0"/>
  </r>
  <r>
    <n v="3000005689"/>
    <d v="2025-09-22T00:00:00"/>
    <n v="33739733.549999997"/>
    <s v="MG SERVICIOS AGROPECUARIOS SASTAFI VIEJO 14"/>
    <x v="1255"/>
    <n v="33739733.549999997"/>
    <x v="138"/>
    <x v="2"/>
    <s v="pagado"/>
    <s v="pagado"/>
    <x v="0"/>
    <x v="0"/>
  </r>
  <r>
    <n v="3000005690"/>
    <d v="2025-09-22T00:00:00"/>
    <n v="32086562.510000002"/>
    <s v="LA MARTINA SERV. AGRICOLAS S.RSAN PABLO 14"/>
    <x v="1256"/>
    <n v="32086562.510000002"/>
    <x v="138"/>
    <x v="2"/>
    <s v="pagado"/>
    <s v="pagado"/>
    <x v="0"/>
    <x v="0"/>
  </r>
  <r>
    <n v="3000005691"/>
    <d v="2025-09-22T00:00:00"/>
    <n v="3726540"/>
    <s v="HELUANE PABLO DARIO SAN MIGUEL DE TUCUMAN 14"/>
    <x v="1257"/>
    <n v="3726540"/>
    <x v="138"/>
    <x v="2"/>
    <s v="pagado"/>
    <s v="pagado"/>
    <x v="0"/>
    <x v="0"/>
  </r>
  <r>
    <n v="3000005692"/>
    <d v="2025-09-22T00:00:00"/>
    <n v="4818493.51"/>
    <s v="NORTE DISTRIBUCIONES S.R.L SAN MIGUEL DE TUCUMAN 14"/>
    <x v="1258"/>
    <n v="4818493.51"/>
    <x v="138"/>
    <x v="2"/>
    <s v="pagado"/>
    <s v="pagado"/>
    <x v="0"/>
    <x v="0"/>
  </r>
  <r>
    <n v="3000005693"/>
    <d v="2025-09-22T00:00:00"/>
    <n v="4198880.12"/>
    <s v="Hierronort Salta S.R.L. SAN MIGUEL DE TUCUMAN 14"/>
    <x v="1259"/>
    <n v="4198880.12"/>
    <x v="138"/>
    <x v="2"/>
    <s v="pagado"/>
    <s v="pagado"/>
    <x v="0"/>
    <x v="0"/>
  </r>
  <r>
    <n v="3000005694"/>
    <d v="2025-09-22T00:00:00"/>
    <n v="6269531.9000000004"/>
    <s v="EMPRESA MAYORISTA INDUSTRIAL SSAN MIGUEL DE TUCUMAN 14"/>
    <x v="1260"/>
    <n v="6269531.9000000004"/>
    <x v="138"/>
    <x v="2"/>
    <s v="pagado"/>
    <s v="pagado"/>
    <x v="0"/>
    <x v="0"/>
  </r>
  <r>
    <n v="3000005779"/>
    <d v="2025-09-25T00:00:00"/>
    <n v="1257492.74"/>
    <s v="PALAVECINO LUIS IGNACIO San Miguel De Tucuman 14"/>
    <x v="1261"/>
    <n v="1257492.74"/>
    <x v="139"/>
    <x v="0"/>
    <s v="pagado"/>
    <s v="pagado"/>
    <x v="0"/>
    <x v="0"/>
  </r>
  <r>
    <n v="3000005737"/>
    <d v="2025-09-23T00:00:00"/>
    <n v="9471982.5299999993"/>
    <s v="CAPITAN CORTES SACIFIYA Puerto Nuevo 01"/>
    <x v="1262"/>
    <n v="9471982.5299999993"/>
    <x v="138"/>
    <x v="0"/>
    <s v="pagado"/>
    <s v="pagado"/>
    <x v="0"/>
    <x v="0"/>
  </r>
  <r>
    <n v="3000005738"/>
    <d v="2025-09-23T00:00:00"/>
    <n v="10000000"/>
    <s v="Terminal 4 S.A. Puerto Nuevo 01"/>
    <x v="1263"/>
    <n v="10000000"/>
    <x v="138"/>
    <x v="0"/>
    <s v="pagado"/>
    <s v="pagado"/>
    <x v="0"/>
    <x v="0"/>
  </r>
  <r>
    <n v="3000005738"/>
    <d v="2025-09-23T00:00:00"/>
    <n v="9581257.5700000003"/>
    <s v="Terminal 4 S.A. Puerto Nuevo 01"/>
    <x v="1264"/>
    <n v="9581257.5700000003"/>
    <x v="140"/>
    <x v="0"/>
    <s v="pagado"/>
    <s v="pagado"/>
    <x v="0"/>
    <x v="0"/>
  </r>
  <r>
    <n v="3000005739"/>
    <d v="2025-09-23T00:00:00"/>
    <n v="20000000"/>
    <s v="BUENOS AIRES COMEX S.R.L. BANFIELD 14"/>
    <x v="1265"/>
    <n v="20000000"/>
    <x v="138"/>
    <x v="0"/>
    <s v="pagado"/>
    <s v="pagado"/>
    <x v="0"/>
    <x v="0"/>
  </r>
  <r>
    <n v="3000005739"/>
    <d v="2025-09-23T00:00:00"/>
    <n v="17856629.920000002"/>
    <s v="BUENOS AIRES COMEX S.R.L. BANFIELD 14"/>
    <x v="1266"/>
    <n v="17856629.920000002"/>
    <x v="140"/>
    <x v="0"/>
    <s v="pagado"/>
    <s v="pagado"/>
    <x v="0"/>
    <x v="0"/>
  </r>
  <r>
    <n v="3000005740"/>
    <d v="2025-09-23T00:00:00"/>
    <n v="20000000"/>
    <s v="BONSUR SA CAPITAL FEDERAL 00"/>
    <x v="1267"/>
    <n v="20000000"/>
    <x v="138"/>
    <x v="0"/>
    <s v="pagado"/>
    <s v="pagado"/>
    <x v="0"/>
    <x v="0"/>
  </r>
  <r>
    <n v="3000005740"/>
    <d v="2025-09-23T00:00:00"/>
    <n v="18258717.920000002"/>
    <s v="BONSUR SA CAPITAL FEDERAL 00"/>
    <x v="1268"/>
    <n v="18258717.920000002"/>
    <x v="140"/>
    <x v="0"/>
    <s v="pagado"/>
    <s v="pagado"/>
    <x v="0"/>
    <x v="0"/>
  </r>
  <r>
    <n v="3000005741"/>
    <d v="2025-09-23T00:00:00"/>
    <n v="8663282.2799999993"/>
    <s v="CAPETTA ANTONELLA ANAHI SAN MIGUEL DE TUCUMAN 14"/>
    <x v="1269"/>
    <n v="8663282.2799999993"/>
    <x v="138"/>
    <x v="0"/>
    <s v="pagado"/>
    <s v="pagado"/>
    <x v="0"/>
    <x v="0"/>
  </r>
  <r>
    <n v="3000005742"/>
    <d v="2025-09-23T00:00:00"/>
    <n v="6389914.7300000004"/>
    <s v="CEMEVA SAS YERBA BUENA 14"/>
    <x v="1270"/>
    <n v="6389914.7300000004"/>
    <x v="138"/>
    <x v="0"/>
    <s v="pagado"/>
    <s v="pagado"/>
    <x v="0"/>
    <x v="0"/>
  </r>
  <r>
    <n v="3000005743"/>
    <d v="2025-09-23T00:00:00"/>
    <n v="4233015.58"/>
    <s v="RL SOLUCIONES S. A. S. SAN MIGUEL DE TUCUMAN 14"/>
    <x v="1271"/>
    <n v="4233015.58"/>
    <x v="138"/>
    <x v="0"/>
    <s v="pagado"/>
    <s v="pagado"/>
    <x v="0"/>
    <x v="0"/>
  </r>
  <r>
    <n v="3000005744"/>
    <d v="2025-09-23T00:00:00"/>
    <n v="4259943.16"/>
    <s v="MAC DONALD MIGUEL ALEJANDRO BANDA DEL RIO SALI 14"/>
    <x v="1272"/>
    <n v="4259943.16"/>
    <x v="138"/>
    <x v="0"/>
    <s v="pagado"/>
    <s v="pagado"/>
    <x v="0"/>
    <x v="0"/>
  </r>
  <r>
    <n v="3000005814"/>
    <d v="2025-09-26T00:00:00"/>
    <n v="32600000"/>
    <s v="HORMECO S.R.L SAN MIGUEL DE TUCUMAN 14"/>
    <x v="1273"/>
    <n v="32600000"/>
    <x v="141"/>
    <x v="0"/>
    <s v="pagado"/>
    <s v="pagado"/>
    <x v="0"/>
    <x v="0"/>
  </r>
  <r>
    <n v="3000005814"/>
    <d v="2025-09-26T00:00:00"/>
    <n v="32799830"/>
    <s v="HORMECO S.R.L SAN MIGUEL DE TUCUMAN 14"/>
    <x v="1274"/>
    <n v="32799830"/>
    <x v="142"/>
    <x v="0"/>
    <s v="pagado"/>
    <s v="pagado"/>
    <x v="0"/>
    <x v="0"/>
  </r>
  <r>
    <n v="3000005876"/>
    <d v="2025-09-30T00:00:00"/>
    <n v="4259943.16"/>
    <s v="CEMEVA SAS YERBA BUENA 14"/>
    <x v="1275"/>
    <n v="4259943.16"/>
    <x v="123"/>
    <x v="0"/>
    <s v="pagado"/>
    <s v="pagado"/>
    <x v="0"/>
    <x v="0"/>
  </r>
  <r>
    <n v="3000005877"/>
    <d v="2025-09-30T00:00:00"/>
    <n v="26088934.899999999"/>
    <s v="CAPETTA ANTONELLA ANAHI SAN MIGUEL DE TUCUMAN 14"/>
    <x v="1276"/>
    <n v="26088934.899999999"/>
    <x v="123"/>
    <x v="0"/>
    <s v="pagado"/>
    <s v="pagado"/>
    <x v="0"/>
    <x v="0"/>
  </r>
  <r>
    <n v="3000005878"/>
    <d v="2025-09-30T00:00:00"/>
    <n v="13044234.859999999"/>
    <s v="SUAREZ MANUEL RODOLFO ALDERETES 14"/>
    <x v="1277"/>
    <n v="13044234.859999999"/>
    <x v="123"/>
    <x v="0"/>
    <s v="pagado"/>
    <s v="pagado"/>
    <x v="0"/>
    <x v="0"/>
  </r>
  <r>
    <n v="3000005879"/>
    <d v="2025-09-30T00:00:00"/>
    <n v="6888474.1399999997"/>
    <s v="PERATO CRISTIAN LUIS BANDA DEL RIO SALI 14"/>
    <x v="1278"/>
    <n v="6888474.1399999997"/>
    <x v="123"/>
    <x v="0"/>
    <s v="pagado"/>
    <s v="pagado"/>
    <x v="0"/>
    <x v="0"/>
  </r>
  <r>
    <n v="3000005880"/>
    <d v="2025-09-30T00:00:00"/>
    <n v="7116719.2800000003"/>
    <s v="PAEZ LEONEL EXEQUIEL MACIO 14"/>
    <x v="1279"/>
    <n v="7116719.2800000003"/>
    <x v="123"/>
    <x v="0"/>
    <s v="pagado"/>
    <s v="pagado"/>
    <x v="0"/>
    <x v="0"/>
  </r>
  <r>
    <n v="3000005881"/>
    <d v="2025-09-30T00:00:00"/>
    <n v="11890892.92"/>
    <s v="TRANSURSINO S.R.L RIO GRANDE 24"/>
    <x v="1280"/>
    <n v="11890892.92"/>
    <x v="123"/>
    <x v="0"/>
    <s v="pagado"/>
    <s v="pagado"/>
    <x v="0"/>
    <x v="0"/>
  </r>
  <r>
    <n v="3000005882"/>
    <d v="2025-09-30T00:00:00"/>
    <n v="14246830"/>
    <s v="Terminal 4 S.A. Puerto Nuevo 01"/>
    <x v="1281"/>
    <n v="14246830"/>
    <x v="123"/>
    <x v="0"/>
    <s v="pagado"/>
    <s v="pagado"/>
    <x v="0"/>
    <x v="0"/>
  </r>
  <r>
    <n v="3000005883"/>
    <d v="2025-09-30T00:00:00"/>
    <n v="26696250"/>
    <s v="LATCOMEX SA CAPITAL FEDERAL 00"/>
    <x v="1282"/>
    <n v="26696250"/>
    <x v="123"/>
    <x v="0"/>
    <s v="pagado"/>
    <s v="pagado"/>
    <x v="0"/>
    <x v="0"/>
  </r>
  <r>
    <n v="3000005884"/>
    <d v="2025-09-30T00:00:00"/>
    <n v="5360525.8"/>
    <s v="Aislantes Tecnopor SRL SAN MIGUEL DE TUCUMAN 14"/>
    <x v="1283"/>
    <n v="5360525.8"/>
    <x v="143"/>
    <x v="0"/>
    <s v="pagado"/>
    <s v="pagado"/>
    <x v="0"/>
    <x v="0"/>
  </r>
  <r>
    <n v="3000005839"/>
    <d v="2025-09-29T00:00:00"/>
    <n v="10784436.67"/>
    <s v="SELLEI FERNANDO GABRIEL RIO GRANDE 24"/>
    <x v="1284"/>
    <n v="10784436.67"/>
    <x v="144"/>
    <x v="2"/>
    <s v="pagado"/>
    <s v="pagado"/>
    <x v="0"/>
    <x v="0"/>
  </r>
  <r>
    <n v="3000005840"/>
    <d v="2025-09-29T00:00:00"/>
    <n v="19456287.370000001"/>
    <s v="BARBARISI JUAREZ PABLO EMANUELSAN JUAN 10"/>
    <x v="1285"/>
    <n v="19456287.370000001"/>
    <x v="144"/>
    <x v="2"/>
    <s v="pagado"/>
    <s v="pagado"/>
    <x v="0"/>
    <x v="0"/>
  </r>
  <r>
    <n v="3000005841"/>
    <d v="2025-09-29T00:00:00"/>
    <n v="11165473.01"/>
    <s v="ADLER HASENCLEVER Y ASOCIADOS BUENOS AIRES 01"/>
    <x v="1286"/>
    <n v="11165473.01"/>
    <x v="144"/>
    <x v="2"/>
    <s v="pagado"/>
    <s v="pagado"/>
    <x v="0"/>
    <x v="0"/>
  </r>
  <r>
    <n v="3000005842"/>
    <d v="2025-09-29T00:00:00"/>
    <n v="8286164.7400000002"/>
    <s v="Bureau Veritas Arg.S.A. CIUDAD AUTONOMA DE BUENOS AIRES 01"/>
    <x v="1287"/>
    <n v="8286164.7400000002"/>
    <x v="144"/>
    <x v="2"/>
    <s v="pagado"/>
    <s v="pagado"/>
    <x v="0"/>
    <x v="0"/>
  </r>
  <r>
    <n v="3000005843"/>
    <d v="2025-09-29T00:00:00"/>
    <n v="6061971.9100000001"/>
    <s v="VISMA ARGENTINA SA CAPITAL FEDERAL 14"/>
    <x v="1288"/>
    <n v="6061971.9100000001"/>
    <x v="145"/>
    <x v="2"/>
    <s v="pagado"/>
    <s v="pagado"/>
    <x v="0"/>
    <x v="0"/>
  </r>
  <r>
    <n v="3000005844"/>
    <d v="2025-09-29T00:00:00"/>
    <n v="12533136.4"/>
    <s v="TEKNOS TECHNOLOGY GROUP SA CAPITAL FEDERAL 00"/>
    <x v="1289"/>
    <n v="12533136.4"/>
    <x v="145"/>
    <x v="2"/>
    <s v="pagado"/>
    <s v="pagado"/>
    <x v="0"/>
    <x v="0"/>
  </r>
  <r>
    <n v="3000005845"/>
    <d v="2025-09-29T00:00:00"/>
    <n v="13187968.34"/>
    <s v="Hierronort Salta S.R.L. SAN MIGUEL DE TUCUMAN 14"/>
    <x v="1290"/>
    <n v="13187968.34"/>
    <x v="145"/>
    <x v="2"/>
    <s v="pagado"/>
    <s v="pagado"/>
    <x v="0"/>
    <x v="0"/>
  </r>
  <r>
    <n v="3000005846"/>
    <d v="2025-09-29T00:00:00"/>
    <n v="26342163.75"/>
    <s v="TUCUMAN PALLET SRL EL MANANTIAL 14"/>
    <x v="1291"/>
    <n v="26342163.75"/>
    <x v="123"/>
    <x v="2"/>
    <s v="pagado"/>
    <s v="pagado"/>
    <x v="0"/>
    <x v="0"/>
  </r>
  <r>
    <n v="3000005913"/>
    <d v="2025-10-02T00:00:00"/>
    <n v="6367593.4000000004"/>
    <s v="AGROGANADERA DEL NOA CEVIL POZO 14"/>
    <x v="1292"/>
    <n v="6367593.4000000004"/>
    <x v="146"/>
    <x v="0"/>
    <s v="pagado"/>
    <s v="pagado"/>
    <x v="0"/>
    <x v="0"/>
  </r>
  <r>
    <n v="3000005913"/>
    <d v="2025-10-02T00:00:00"/>
    <n v="6243170.75"/>
    <s v="AGROGANADERA DEL NOA CEVIL POZO 14"/>
    <x v="1293"/>
    <n v="6243170.75"/>
    <x v="146"/>
    <x v="0"/>
    <s v="pagado"/>
    <s v="pagado"/>
    <x v="0"/>
    <x v="0"/>
  </r>
  <r>
    <n v="3000005913"/>
    <d v="2025-10-02T00:00:00"/>
    <n v="4948986.3600000003"/>
    <s v="AGROGANADERA DEL NOA CEVIL POZO 14"/>
    <x v="1294"/>
    <n v="4948986.3600000003"/>
    <x v="146"/>
    <x v="0"/>
    <s v="pagado"/>
    <s v="pagado"/>
    <x v="0"/>
    <x v="0"/>
  </r>
  <r>
    <n v="3000005913"/>
    <d v="2025-10-02T00:00:00"/>
    <n v="371468.4"/>
    <s v="AGROGANADERA DEL NOA CEVIL POZO 14"/>
    <x v="1295"/>
    <n v="371468.4"/>
    <x v="146"/>
    <x v="0"/>
    <s v="pagado"/>
    <s v="pagado"/>
    <x v="0"/>
    <x v="0"/>
  </r>
  <r>
    <n v="3000005913"/>
    <d v="2025-10-02T00:00:00"/>
    <n v="480143.4"/>
    <s v="AGROGANADERA DEL NOA CEVIL POZO 14"/>
    <x v="1296"/>
    <n v="480143.4"/>
    <x v="146"/>
    <x v="0"/>
    <s v="pagado"/>
    <s v="pagado"/>
    <x v="0"/>
    <x v="0"/>
  </r>
  <r>
    <n v="3000005913"/>
    <d v="2025-10-02T00:00:00"/>
    <n v="42413652.060000002"/>
    <s v="AGROGANADERA DEL NOA CEVIL POZO 14"/>
    <x v="1297"/>
    <n v="42413652.060000002"/>
    <x v="146"/>
    <x v="0"/>
    <s v="pagado"/>
    <s v="pagado"/>
    <x v="0"/>
    <x v="0"/>
  </r>
  <r>
    <n v="3000005913"/>
    <d v="2025-10-02T00:00:00"/>
    <n v="55919.96"/>
    <s v="AGROGANADERA DEL NOA CEVIL POZO 14"/>
    <x v="1298"/>
    <n v="55919.96"/>
    <x v="146"/>
    <x v="0"/>
    <s v="pagado"/>
    <s v="pagado"/>
    <x v="0"/>
    <x v="0"/>
  </r>
  <r>
    <n v="3000005972"/>
    <d v="2025-10-06T00:00:00"/>
    <n v="11549825.25"/>
    <s v="GEREZ ALICIA ELEUTERIA SAN MIGUEL DE TUCUMAN 14"/>
    <x v="1299"/>
    <n v="11549825.25"/>
    <x v="147"/>
    <x v="2"/>
    <s v="pagado"/>
    <s v="pagado"/>
    <x v="0"/>
    <x v="0"/>
  </r>
  <r>
    <n v="3000005973"/>
    <d v="2025-10-06T00:00:00"/>
    <n v="4547779.1399999997"/>
    <s v="Gonzalez Jose Luis Lastenia 14"/>
    <x v="1300"/>
    <n v="4547779.1399999997"/>
    <x v="147"/>
    <x v="2"/>
    <s v="pagado"/>
    <s v="pagado"/>
    <x v="0"/>
    <x v="0"/>
  </r>
  <r>
    <n v="3000005974"/>
    <d v="2025-10-06T00:00:00"/>
    <n v="10907109.949999999"/>
    <s v="LOS LAURELES SERVICIOS AGRICOLSan Miguel De Tucuman 14"/>
    <x v="1301"/>
    <n v="10907109.949999999"/>
    <x v="147"/>
    <x v="2"/>
    <s v="pagado"/>
    <s v="pagado"/>
    <x v="0"/>
    <x v="0"/>
  </r>
  <r>
    <n v="3000005975"/>
    <d v="2025-10-06T00:00:00"/>
    <n v="3843006.39"/>
    <s v="Medina Juan Edgardo SAN MIGUEL DE TUCUMAN 14"/>
    <x v="1302"/>
    <n v="3843006.39"/>
    <x v="147"/>
    <x v="2"/>
    <s v="pagado"/>
    <s v="pagado"/>
    <x v="0"/>
    <x v="0"/>
  </r>
  <r>
    <n v="3000005976"/>
    <d v="2025-10-06T00:00:00"/>
    <n v="4817233.17"/>
    <s v="ROLCAR S.A SAN MIGUEL DE TUCUMAN 14"/>
    <x v="1303"/>
    <n v="4817233.17"/>
    <x v="147"/>
    <x v="2"/>
    <s v="pagado"/>
    <s v="pagado"/>
    <x v="0"/>
    <x v="0"/>
  </r>
  <r>
    <n v="3000005977"/>
    <d v="2025-10-06T00:00:00"/>
    <n v="4936330"/>
    <s v="TUCUMAN PALLET SRL EL MANANTIAL 14"/>
    <x v="1304"/>
    <n v="4936330"/>
    <x v="147"/>
    <x v="2"/>
    <s v="pagado"/>
    <s v="pagado"/>
    <x v="0"/>
    <x v="0"/>
  </r>
  <r>
    <n v="3000005978"/>
    <d v="2025-10-06T00:00:00"/>
    <n v="6750125.0099999998"/>
    <s v="CONSTRUNOA S.A.S. ORAN 09"/>
    <x v="1305"/>
    <n v="6750125.0099999998"/>
    <x v="147"/>
    <x v="2"/>
    <s v="pagado"/>
    <s v="pagado"/>
    <x v="0"/>
    <x v="0"/>
  </r>
  <r>
    <n v="3000005979"/>
    <d v="2025-10-06T00:00:00"/>
    <n v="4187118.4"/>
    <s v="TEKNOS TECHNOLOGY GROUP SA CAPITAL FEDERAL 00"/>
    <x v="1306"/>
    <n v="4187118.4"/>
    <x v="147"/>
    <x v="2"/>
    <s v="pagado"/>
    <s v="pagado"/>
    <x v="0"/>
    <x v="0"/>
  </r>
  <r>
    <n v="3000005980"/>
    <d v="2025-10-06T00:00:00"/>
    <n v="2675827.6"/>
    <s v="RASUK JORGE LUIS YERBA BUENA 14"/>
    <x v="1307"/>
    <n v="2675827.6"/>
    <x v="148"/>
    <x v="2"/>
    <s v="pagado"/>
    <s v="pagado"/>
    <x v="0"/>
    <x v="0"/>
  </r>
  <r>
    <n v="3000005981"/>
    <d v="2025-10-06T00:00:00"/>
    <n v="8927455"/>
    <s v="Asoc. Coop.Fac.Cie.Exac.y Tec.SAN MIGUEL DE TUCUMAN 14"/>
    <x v="1308"/>
    <n v="8927455"/>
    <x v="148"/>
    <x v="2"/>
    <s v="pagado"/>
    <s v="pagado"/>
    <x v="0"/>
    <x v="0"/>
  </r>
  <r>
    <n v="3000005982"/>
    <d v="2025-10-06T00:00:00"/>
    <n v="6219540.96"/>
    <s v="VISMA ARGENTINA SA CAPITAL FEDERAL 14"/>
    <x v="1309"/>
    <n v="6219540.96"/>
    <x v="148"/>
    <x v="2"/>
    <s v="pagado"/>
    <s v="pagado"/>
    <x v="0"/>
    <x v="0"/>
  </r>
  <r>
    <n v="3000005983"/>
    <d v="2025-10-06T00:00:00"/>
    <n v="3249241.17"/>
    <s v="BME DISENO Y COMUNICACION SAS CAPITAL FEDERAL 00"/>
    <x v="1310"/>
    <n v="3249241.17"/>
    <x v="148"/>
    <x v="2"/>
    <s v="pagado"/>
    <s v="pagado"/>
    <x v="0"/>
    <x v="0"/>
  </r>
  <r>
    <n v="3000005984"/>
    <d v="2025-10-06T00:00:00"/>
    <n v="5364410.82"/>
    <s v="NATURAL GAS SA SAN MIGUEL DE TUCUMAN 14"/>
    <x v="1311"/>
    <n v="5364410.82"/>
    <x v="148"/>
    <x v="2"/>
    <s v="pagado"/>
    <s v="pagado"/>
    <x v="0"/>
    <x v="0"/>
  </r>
  <r>
    <n v="3000005985"/>
    <d v="2025-10-06T00:00:00"/>
    <n v="15000000"/>
    <s v="DECU3 S.R.L. YERBA BUENA 14"/>
    <x v="1312"/>
    <n v="15000000"/>
    <x v="147"/>
    <x v="2"/>
    <s v="pagado"/>
    <s v="pagado"/>
    <x v="0"/>
    <x v="0"/>
  </r>
  <r>
    <n v="3000005985"/>
    <d v="2025-10-06T00:00:00"/>
    <n v="16587377.57"/>
    <s v="DECU3 S.R.L. YERBA BUENA 14"/>
    <x v="1313"/>
    <n v="16587377.57"/>
    <x v="148"/>
    <x v="2"/>
    <s v="pagado"/>
    <s v="pagado"/>
    <x v="0"/>
    <x v="0"/>
  </r>
  <r>
    <n v="3000006046"/>
    <d v="2025-10-07T00:00:00"/>
    <n v="1377457.24"/>
    <s v="TRANSPORTE MEDINA S.H. CRUZ ALTA 14"/>
    <x v="1314"/>
    <n v="1377457.24"/>
    <x v="148"/>
    <x v="0"/>
    <s v="pagado"/>
    <s v="pagado"/>
    <x v="0"/>
    <x v="0"/>
  </r>
  <r>
    <n v="3000004998"/>
    <d v="2025-10-08T00:00:00"/>
    <n v="3373338.49"/>
    <s v="PALAVECINO LUIS IGNACIO San Miguel De Tucuman 14"/>
    <x v="1315"/>
    <n v="3373338.49"/>
    <x v="149"/>
    <x v="0"/>
    <s v="pagado"/>
    <s v="pagado"/>
    <x v="0"/>
    <x v="0"/>
  </r>
  <r>
    <n v="3000006027"/>
    <d v="2025-10-07T00:00:00"/>
    <n v="13977893.039999999"/>
    <s v="LANCHELA HECTOR ROLANDO CONCEPCION 14"/>
    <x v="1316"/>
    <n v="13977893.039999999"/>
    <x v="149"/>
    <x v="0"/>
    <s v="pagado"/>
    <s v="pagado"/>
    <x v="0"/>
    <x v="0"/>
  </r>
  <r>
    <n v="3000006028"/>
    <d v="2025-10-07T00:00:00"/>
    <n v="7154270.8200000003"/>
    <s v="TRANSPORTE MARIANITA S.R.L SAN MIGUEL DE TUCUMAN 14"/>
    <x v="1317"/>
    <n v="7154270.8200000003"/>
    <x v="149"/>
    <x v="0"/>
    <s v="pagado"/>
    <s v="pagado"/>
    <x v="0"/>
    <x v="0"/>
  </r>
  <r>
    <n v="3000006029"/>
    <d v="2025-10-07T00:00:00"/>
    <n v="4803648.68"/>
    <s v="Arias Carlos Alberto SAN MIGUEL DE TUCUMAN 14"/>
    <x v="1318"/>
    <n v="4803648.68"/>
    <x v="149"/>
    <x v="0"/>
    <s v="pagado"/>
    <s v="pagado"/>
    <x v="0"/>
    <x v="0"/>
  </r>
  <r>
    <n v="3000006030"/>
    <d v="2025-10-07T00:00:00"/>
    <n v="2488253.4"/>
    <s v="MOYANO JUAN VICTOR TUCUMAN 14"/>
    <x v="1319"/>
    <n v="2488253.4"/>
    <x v="149"/>
    <x v="0"/>
    <s v="pagado"/>
    <s v="pagado"/>
    <x v="0"/>
    <x v="0"/>
  </r>
  <r>
    <n v="3000006031"/>
    <d v="2025-10-07T00:00:00"/>
    <n v="2306666.87"/>
    <s v="HERRERA RICARDO ALBERTO BANDA DEL RIO SALI 14"/>
    <x v="1320"/>
    <n v="2306666.87"/>
    <x v="149"/>
    <x v="0"/>
    <s v="pagado"/>
    <s v="pagado"/>
    <x v="0"/>
    <x v="0"/>
  </r>
  <r>
    <n v="3000006032"/>
    <d v="2025-10-07T00:00:00"/>
    <n v="3295120.79"/>
    <s v="Rojas Antonio Domingo ALDERETES 14"/>
    <x v="1321"/>
    <n v="3295120.79"/>
    <x v="149"/>
    <x v="0"/>
    <s v="pagado"/>
    <s v="pagado"/>
    <x v="0"/>
    <x v="0"/>
  </r>
  <r>
    <n v="3000006033"/>
    <d v="2025-10-07T00:00:00"/>
    <n v="6601836.8399999999"/>
    <s v="VIDES GUSTAVO ENRIQUE LA TRINIDAD 14"/>
    <x v="1322"/>
    <n v="6601836.8399999999"/>
    <x v="149"/>
    <x v="0"/>
    <s v="pagado"/>
    <s v="pagado"/>
    <x v="0"/>
    <x v="0"/>
  </r>
  <r>
    <n v="3000006034"/>
    <d v="2025-10-07T00:00:00"/>
    <n v="2454017.13"/>
    <s v="TORRES JUAN RAMON ALDERETES 14"/>
    <x v="1323"/>
    <n v="2454017.13"/>
    <x v="149"/>
    <x v="0"/>
    <s v="pagado"/>
    <s v="pagado"/>
    <x v="0"/>
    <x v="0"/>
  </r>
  <r>
    <n v="3000006035"/>
    <d v="2025-10-07T00:00:00"/>
    <n v="2479667.54"/>
    <s v="TRANSPORTE FRIOS DEL NORTE S.RSAN MIGUEL DE TUCUMAN 14"/>
    <x v="1324"/>
    <n v="2479667.54"/>
    <x v="149"/>
    <x v="0"/>
    <s v="pagado"/>
    <s v="pagado"/>
    <x v="0"/>
    <x v="0"/>
  </r>
  <r>
    <n v="3000006036"/>
    <d v="2025-10-07T00:00:00"/>
    <n v="15560571.51"/>
    <s v="MERCATOR TRANSPORT ARGENTINA SBUENOS AIRES 01"/>
    <x v="1325"/>
    <n v="15560571.51"/>
    <x v="149"/>
    <x v="0"/>
    <s v="pagado"/>
    <s v="pagado"/>
    <x v="0"/>
    <x v="0"/>
  </r>
  <r>
    <n v="3000006037"/>
    <d v="2025-10-07T00:00:00"/>
    <n v="4260111.08"/>
    <s v="MAC DONALD MIGUEL ALEJANDRO BANDA DEL RIO SALI 14"/>
    <x v="1326"/>
    <n v="4260111.08"/>
    <x v="149"/>
    <x v="0"/>
    <s v="pagado"/>
    <s v="pagado"/>
    <x v="0"/>
    <x v="0"/>
  </r>
  <r>
    <n v="3000006038"/>
    <d v="2025-10-07T00:00:00"/>
    <n v="12806924.970000001"/>
    <s v="CAPETTA ANTONELLA ANAHI SAN MIGUEL DE TUCUMAN 14"/>
    <x v="1327"/>
    <n v="12806924.970000001"/>
    <x v="149"/>
    <x v="0"/>
    <s v="pagado"/>
    <s v="pagado"/>
    <x v="0"/>
    <x v="0"/>
  </r>
  <r>
    <n v="3000006039"/>
    <d v="2025-10-07T00:00:00"/>
    <n v="2797047.83"/>
    <s v="MOLINA JUAN F. Y MOLINA ROQUE Lastenia 14"/>
    <x v="1328"/>
    <n v="2797047.83"/>
    <x v="149"/>
    <x v="0"/>
    <s v="pagado"/>
    <s v="pagado"/>
    <x v="0"/>
    <x v="0"/>
  </r>
  <r>
    <n v="3000006039"/>
    <d v="2025-10-07T00:00:00"/>
    <n v="4653053.1500000004"/>
    <s v="MOLINA JUAN F. Y MOLINA ROQUE Lastenia 14"/>
    <x v="1329"/>
    <n v="4653053.1500000004"/>
    <x v="150"/>
    <x v="0"/>
    <s v="pagado"/>
    <s v="pagado"/>
    <x v="0"/>
    <x v="0"/>
  </r>
  <r>
    <n v="3000006040"/>
    <d v="2025-10-07T00:00:00"/>
    <n v="4260111.08"/>
    <s v="CEMEVA SAS YERBA BUENA 14"/>
    <x v="1330"/>
    <n v="4260111.08"/>
    <x v="149"/>
    <x v="0"/>
    <s v="pagado"/>
    <s v="pagado"/>
    <x v="0"/>
    <x v="0"/>
  </r>
  <r>
    <n v="3000006041"/>
    <d v="2025-10-07T00:00:00"/>
    <n v="2005336.87"/>
    <s v="Tradelog S.A.U. BUENOS AIRES 01"/>
    <x v="1331"/>
    <n v="2005336.87"/>
    <x v="149"/>
    <x v="0"/>
    <s v="pagado"/>
    <s v="pagado"/>
    <x v="0"/>
    <x v="0"/>
  </r>
  <r>
    <n v="3000006042"/>
    <d v="2025-10-07T00:00:00"/>
    <n v="4076730.07"/>
    <s v="Cia. Azucarera Los Balcanes S.Ingenio La Florida 14"/>
    <x v="1332"/>
    <n v="4076730.07"/>
    <x v="149"/>
    <x v="0"/>
    <s v="pagado"/>
    <s v="pagado"/>
    <x v="0"/>
    <x v="0"/>
  </r>
  <r>
    <n v="3000006043"/>
    <d v="2025-10-07T00:00:00"/>
    <n v="8054122.1399999997"/>
    <s v="RL SOLUCIONES S. A. S. SAN MIGUEL DE TUCUMAN 14"/>
    <x v="1333"/>
    <n v="8054122.1399999997"/>
    <x v="149"/>
    <x v="0"/>
    <s v="pagado"/>
    <s v="pagado"/>
    <x v="0"/>
    <x v="0"/>
  </r>
  <r>
    <n v="3000006044"/>
    <d v="2025-10-07T00:00:00"/>
    <n v="4152917.92"/>
    <s v="LATCOMEX SA CAPITAL FEDERAL 00"/>
    <x v="1334"/>
    <n v="4152917.92"/>
    <x v="149"/>
    <x v="0"/>
    <s v="pagado"/>
    <s v="pagado"/>
    <x v="0"/>
    <x v="0"/>
  </r>
  <r>
    <n v="3000006045"/>
    <d v="2025-10-07T00:00:00"/>
    <n v="10395767"/>
    <s v="Terminal 4 S.A. Puerto Nuevo 01"/>
    <x v="1335"/>
    <n v="10395767"/>
    <x v="149"/>
    <x v="0"/>
    <s v="pagado"/>
    <s v="pagado"/>
    <x v="0"/>
    <x v="0"/>
  </r>
  <r>
    <n v="3000005049"/>
    <d v="2025-10-14T00:00:00"/>
    <n v="2900000"/>
    <s v="MG SERVICIOS AGROPECUARIOS SASTAFI VIEJO 14"/>
    <x v="1336"/>
    <n v="2900000"/>
    <x v="151"/>
    <x v="2"/>
    <s v="pagado"/>
    <s v="pagado"/>
    <x v="0"/>
    <x v="0"/>
  </r>
  <r>
    <n v="3000006139"/>
    <d v="2025-10-13T00:00:00"/>
    <n v="6500000"/>
    <s v="ECOGREEN SRL SAN MIGUEL DE TUCUMAN 14"/>
    <x v="1337"/>
    <n v="6500000"/>
    <x v="143"/>
    <x v="0"/>
    <s v="pagado"/>
    <s v="pagado"/>
    <x v="0"/>
    <x v="0"/>
  </r>
  <r>
    <n v="3000006139"/>
    <d v="2025-10-13T00:00:00"/>
    <n v="6500000"/>
    <s v="ECOGREEN SRL SAN MIGUEL DE TUCUMAN 14"/>
    <x v="1338"/>
    <n v="6500000"/>
    <x v="143"/>
    <x v="0"/>
    <s v="pagado"/>
    <s v="pagado"/>
    <x v="0"/>
    <x v="0"/>
  </r>
  <r>
    <n v="3000006139"/>
    <d v="2025-10-13T00:00:00"/>
    <n v="6500000"/>
    <s v="ECOGREEN SRL SAN MIGUEL DE TUCUMAN 14"/>
    <x v="1339"/>
    <n v="6500000"/>
    <x v="143"/>
    <x v="0"/>
    <s v="pagado"/>
    <s v="pagado"/>
    <x v="0"/>
    <x v="0"/>
  </r>
  <r>
    <n v="3000006139"/>
    <d v="2025-10-13T00:00:00"/>
    <n v="6500000"/>
    <s v="ECOGREEN SRL SAN MIGUEL DE TUCUMAN 14"/>
    <x v="1340"/>
    <n v="6500000"/>
    <x v="152"/>
    <x v="0"/>
    <s v="pagado"/>
    <s v="pagado"/>
    <x v="0"/>
    <x v="0"/>
  </r>
  <r>
    <n v="3000006139"/>
    <d v="2025-10-13T00:00:00"/>
    <n v="6529021.4199999999"/>
    <s v="ECOGREEN SRL SAN MIGUEL DE TUCUMAN 14"/>
    <x v="1341"/>
    <n v="6529021.4199999999"/>
    <x v="152"/>
    <x v="0"/>
    <s v="pagado"/>
    <s v="pagado"/>
    <x v="0"/>
    <x v="0"/>
  </r>
  <r>
    <n v="3000006143"/>
    <d v="2025-10-13T00:00:00"/>
    <n v="7033365.29"/>
    <s v="CORTEVA AGRISCIENCE ARGENTINA CIUDAD AUTONOMA DE BUENOS AIRES 01"/>
    <x v="1342"/>
    <n v="7033365.29"/>
    <x v="152"/>
    <x v="0"/>
    <s v="pagado"/>
    <s v="pagado"/>
    <x v="0"/>
    <x v="0"/>
  </r>
  <r>
    <n v="3000006144"/>
    <d v="2025-10-13T00:00:00"/>
    <n v="11796116.9"/>
    <s v="CONSTRUNOA S.A.S. ORAN 09"/>
    <x v="1343"/>
    <n v="11796116.9"/>
    <x v="143"/>
    <x v="0"/>
    <s v="pagado"/>
    <s v="pagado"/>
    <x v="0"/>
    <x v="0"/>
  </r>
  <r>
    <n v="3000006145"/>
    <d v="2025-10-13T00:00:00"/>
    <n v="15448101.4"/>
    <s v="SEGURIDAD OMEGA SRL SAN FERNANDO DEL VALLE DE CATAMARCA 02"/>
    <x v="1344"/>
    <n v="15448101.4"/>
    <x v="143"/>
    <x v="0"/>
    <s v="pagado"/>
    <s v="pagado"/>
    <x v="0"/>
    <x v="0"/>
  </r>
  <r>
    <n v="3000006146"/>
    <d v="2025-10-13T00:00:00"/>
    <n v="4624515.1900000004"/>
    <s v="NATURAL GAS SA SAN MIGUEL DE TUCUMAN 14"/>
    <x v="1345"/>
    <n v="4624515.1900000004"/>
    <x v="143"/>
    <x v="0"/>
    <s v="pagado"/>
    <s v="pagado"/>
    <x v="0"/>
    <x v="0"/>
  </r>
  <r>
    <n v="3000006147"/>
    <d v="2025-10-13T00:00:00"/>
    <n v="39545843.399999999"/>
    <s v="Jeblab S.R.L. YERBA BUENA 14"/>
    <x v="1346"/>
    <n v="39545843.399999999"/>
    <x v="143"/>
    <x v="0"/>
    <s v="pagado"/>
    <s v="pagado"/>
    <x v="0"/>
    <x v="0"/>
  </r>
  <r>
    <n v="3000006148"/>
    <d v="2025-10-13T00:00:00"/>
    <n v="5643710.7199999997"/>
    <s v="Transportes La Sevillanita S.RALDERETES 14"/>
    <x v="1347"/>
    <n v="5643710.7199999997"/>
    <x v="152"/>
    <x v="0"/>
    <s v="pagado"/>
    <s v="pagado"/>
    <x v="0"/>
    <x v="0"/>
  </r>
  <r>
    <n v="3000006149"/>
    <d v="2025-10-13T00:00:00"/>
    <n v="20564157.75"/>
    <s v="SMART SEGURIDAD SA YERBA BUENA 14"/>
    <x v="1348"/>
    <n v="20564157.75"/>
    <x v="143"/>
    <x v="0"/>
    <s v="pagado"/>
    <s v="pagado"/>
    <x v="0"/>
    <x v="0"/>
  </r>
  <r>
    <n v="3000006150"/>
    <d v="2025-10-13T00:00:00"/>
    <n v="11232013.4"/>
    <s v="SERV.AGROP VILLA PAPADAKIS S.RSALTA 09"/>
    <x v="1349"/>
    <n v="11232013.4"/>
    <x v="143"/>
    <x v="0"/>
    <s v="pagado"/>
    <s v="pagado"/>
    <x v="0"/>
    <x v="0"/>
  </r>
  <r>
    <n v="3000006151"/>
    <d v="2025-10-13T00:00:00"/>
    <n v="25000000"/>
    <s v="MG SERVICIOS AGROPECUARIOS SASTAFI VIEJO 14"/>
    <x v="1350"/>
    <n v="25000000"/>
    <x v="143"/>
    <x v="0"/>
    <s v="pagado"/>
    <s v="pagado"/>
    <x v="0"/>
    <x v="0"/>
  </r>
  <r>
    <n v="3000006151"/>
    <d v="2025-10-13T00:00:00"/>
    <n v="7354847"/>
    <s v="MG SERVICIOS AGROPECUARIOS SASTAFI VIEJO 14"/>
    <x v="1351"/>
    <n v="7354847"/>
    <x v="143"/>
    <x v="0"/>
    <s v="pagado"/>
    <s v="pagado"/>
    <x v="0"/>
    <x v="0"/>
  </r>
  <r>
    <n v="3000006151"/>
    <d v="2025-10-13T00:00:00"/>
    <n v="3522329"/>
    <s v="MG SERVICIOS AGROPECUARIOS SASTAFI VIEJO 14"/>
    <x v="1352"/>
    <n v="3522329"/>
    <x v="152"/>
    <x v="0"/>
    <s v="pagado"/>
    <s v="pagado"/>
    <x v="0"/>
    <x v="0"/>
  </r>
  <r>
    <n v="3000006151"/>
    <d v="2025-10-13T00:00:00"/>
    <n v="2200000"/>
    <s v="MG SERVICIOS AGROPECUARIOS SASTAFI VIEJO 14"/>
    <x v="1353"/>
    <n v="2200000"/>
    <x v="152"/>
    <x v="0"/>
    <s v="pagado"/>
    <s v="pagado"/>
    <x v="0"/>
    <x v="0"/>
  </r>
  <r>
    <n v="3000006151"/>
    <d v="2025-10-13T00:00:00"/>
    <n v="40000000"/>
    <s v="MG SERVICIOS AGROPECUARIOS SASTAFI VIEJO 14"/>
    <x v="1354"/>
    <n v="40000000"/>
    <x v="152"/>
    <x v="0"/>
    <s v="pagado"/>
    <s v="pagado"/>
    <x v="0"/>
    <x v="0"/>
  </r>
  <r>
    <n v="3000006151"/>
    <d v="2025-10-13T00:00:00"/>
    <n v="43738239.719999999"/>
    <s v="MG SERVICIOS AGROPECUARIOS SASTAFI VIEJO 14"/>
    <x v="1355"/>
    <n v="43738239.719999999"/>
    <x v="151"/>
    <x v="0"/>
    <s v="pagado"/>
    <s v="pagado"/>
    <x v="0"/>
    <x v="0"/>
  </r>
  <r>
    <n v="3000006152"/>
    <d v="2025-10-13T00:00:00"/>
    <n v="13452203.939999999"/>
    <s v="Verde y Sol S.R.L. SAN MIGUEL DE TUCUMAN 14"/>
    <x v="1356"/>
    <n v="13452203.939999999"/>
    <x v="152"/>
    <x v="0"/>
    <s v="pagado"/>
    <s v="pagado"/>
    <x v="0"/>
    <x v="0"/>
  </r>
  <r>
    <n v="3000006153"/>
    <d v="2025-10-13T00:00:00"/>
    <n v="19288256"/>
    <s v="CAMPOAGRO SRL YERBA BUENA 14"/>
    <x v="1357"/>
    <n v="19288256"/>
    <x v="152"/>
    <x v="0"/>
    <s v="pagado"/>
    <s v="pagado"/>
    <x v="0"/>
    <x v="0"/>
  </r>
  <r>
    <n v="3000006154"/>
    <d v="2025-10-13T00:00:00"/>
    <n v="10000000"/>
    <s v="CAFELI S.R.L. SAN MIGUEL DE TUCUMAN 14"/>
    <x v="1358"/>
    <n v="10000000"/>
    <x v="143"/>
    <x v="0"/>
    <s v="pagado"/>
    <s v="pagado"/>
    <x v="0"/>
    <x v="0"/>
  </r>
  <r>
    <n v="3000006154"/>
    <d v="2025-10-13T00:00:00"/>
    <n v="9971314.4000000004"/>
    <s v="CAFELI S.R.L. SAN MIGUEL DE TUCUMAN 14"/>
    <x v="1359"/>
    <n v="9971314.4000000004"/>
    <x v="152"/>
    <x v="0"/>
    <s v="pagado"/>
    <s v="pagado"/>
    <x v="0"/>
    <x v="0"/>
  </r>
  <r>
    <n v="3000006155"/>
    <d v="2025-10-13T00:00:00"/>
    <n v="11569191.08"/>
    <s v="Barbera, Walter Sergio SAN MIGUEL DE TUCUMAN 14"/>
    <x v="1360"/>
    <n v="11569191.08"/>
    <x v="143"/>
    <x v="0"/>
    <s v="pagado"/>
    <s v="pagado"/>
    <x v="0"/>
    <x v="0"/>
  </r>
  <r>
    <n v="3000006156"/>
    <d v="2025-10-13T00:00:00"/>
    <n v="4563271.5999999996"/>
    <s v="DUBANIS ANA JOSEFINA SAN MIGUEL DE TUCUMAN 14"/>
    <x v="1361"/>
    <n v="4563271.5999999996"/>
    <x v="152"/>
    <x v="0"/>
    <s v="pagado"/>
    <s v="pagado"/>
    <x v="0"/>
    <x v="0"/>
  </r>
  <r>
    <n v="3000005049"/>
    <d v="2025-10-14T00:00:00"/>
    <n v="2900000"/>
    <s v="MG SERVICIOS AGROPECUARIOS SASTAFI VIEJO 14"/>
    <x v="1336"/>
    <n v="2900000"/>
    <x v="151"/>
    <x v="2"/>
    <s v="pagado"/>
    <s v="pagado"/>
    <x v="0"/>
    <x v="0"/>
  </r>
  <r>
    <n v="3000006198"/>
    <d v="2025-10-15T00:00:00"/>
    <n v="7068164.5099999998"/>
    <s v="SANTILLI CARLOS MIGUEL SAN MIGUEL DE TUCUMAN 14"/>
    <x v="1362"/>
    <n v="7068164.5099999998"/>
    <x v="127"/>
    <x v="2"/>
    <s v="pagado"/>
    <s v="pagado"/>
    <x v="0"/>
    <x v="0"/>
  </r>
  <r>
    <n v="3000006199"/>
    <d v="2025-10-15T00:00:00"/>
    <n v="2845827.42"/>
    <s v="STARB S.A CIUDAD AUTONOMA DE BUENOS AIRES 01"/>
    <x v="1363"/>
    <n v="2845827.42"/>
    <x v="127"/>
    <x v="2"/>
    <s v="pagado"/>
    <s v="pagado"/>
    <x v="0"/>
    <x v="0"/>
  </r>
  <r>
    <n v="3000006200"/>
    <d v="2025-10-15T00:00:00"/>
    <n v="6514497.2400000002"/>
    <s v="CEMEVA SAS YERBA BUENA 14"/>
    <x v="1364"/>
    <n v="6514497.2400000002"/>
    <x v="127"/>
    <x v="2"/>
    <s v="pagado"/>
    <s v="pagado"/>
    <x v="0"/>
    <x v="0"/>
  </r>
  <r>
    <n v="3000006201"/>
    <d v="2025-10-15T00:00:00"/>
    <n v="9581060.7699999996"/>
    <s v="ACOSTA ROQUE RAMON SAN MIGUEL DE TUCUMAN 14"/>
    <x v="1365"/>
    <n v="9581060.7699999996"/>
    <x v="127"/>
    <x v="2"/>
    <s v="pagado"/>
    <s v="pagado"/>
    <x v="0"/>
    <x v="0"/>
  </r>
  <r>
    <n v="3000006202"/>
    <d v="2025-10-15T00:00:00"/>
    <n v="5352312.47"/>
    <s v="MULET WALTER HUMBERTO SAN MIGUEL DE TUCUMAN 14"/>
    <x v="1366"/>
    <n v="5352312.47"/>
    <x v="127"/>
    <x v="2"/>
    <s v="pagado"/>
    <s v="pagado"/>
    <x v="0"/>
    <x v="0"/>
  </r>
  <r>
    <n v="3000006203"/>
    <d v="2025-10-15T00:00:00"/>
    <n v="2798259.39"/>
    <s v="Sanchez Jose Mauricio San Miguel de Tucuman 14"/>
    <x v="1367"/>
    <n v="2798259.39"/>
    <x v="127"/>
    <x v="2"/>
    <s v="pagado"/>
    <s v="pagado"/>
    <x v="0"/>
    <x v="0"/>
  </r>
  <r>
    <n v="3000006204"/>
    <d v="2025-10-15T00:00:00"/>
    <n v="1797467.75"/>
    <s v="LANCHELA HECTOR ROLANDO CONCEPCION 14"/>
    <x v="1368"/>
    <n v="1797467.75"/>
    <x v="127"/>
    <x v="2"/>
    <s v="pagado"/>
    <s v="pagado"/>
    <x v="0"/>
    <x v="0"/>
  </r>
  <r>
    <n v="3000006205"/>
    <d v="2025-10-15T00:00:00"/>
    <n v="0"/>
    <s v="invalidado med.EOLIVERA -Vencimiento BCRA"/>
    <x v="1369"/>
    <n v="0"/>
    <x v="127"/>
    <x v="2"/>
    <s v="no pagado"/>
    <s v="fuera de fecha"/>
    <x v="0"/>
    <x v="0"/>
  </r>
  <r>
    <n v="3000006206"/>
    <d v="2025-10-15T00:00:00"/>
    <n v="4259943.16"/>
    <s v="MAC DONALD MIGUEL ALEJANDRO BANDA DEL RIO SALI 14"/>
    <x v="1370"/>
    <n v="4259943.16"/>
    <x v="127"/>
    <x v="2"/>
    <s v="pagado"/>
    <s v="pagado"/>
    <x v="0"/>
    <x v="0"/>
  </r>
  <r>
    <n v="3000006207"/>
    <d v="2025-10-15T00:00:00"/>
    <n v="2116507.79"/>
    <s v="JACQUET NORBERTO SALVADOR SAN JOSE 05"/>
    <x v="1371"/>
    <n v="2116507.79"/>
    <x v="127"/>
    <x v="2"/>
    <s v="pagado"/>
    <s v="pagado"/>
    <x v="0"/>
    <x v="0"/>
  </r>
  <r>
    <n v="3000006208"/>
    <d v="2025-10-15T00:00:00"/>
    <n v="10672297.539999999"/>
    <s v="CAPETTA ANTONELLA ANAHI SAN MIGUEL DE TUCUMAN 14"/>
    <x v="1372"/>
    <n v="10672297.539999999"/>
    <x v="127"/>
    <x v="2"/>
    <s v="pagado"/>
    <s v="pagado"/>
    <x v="0"/>
    <x v="0"/>
  </r>
  <r>
    <n v="3000006209"/>
    <d v="2025-10-15T00:00:00"/>
    <n v="3623280.53"/>
    <s v="ARGENTINA CARGO SRL CAPTAL FEDERAL 00"/>
    <x v="1373"/>
    <n v="3623280.53"/>
    <x v="127"/>
    <x v="2"/>
    <s v="pagado"/>
    <s v="pagado"/>
    <x v="0"/>
    <x v="0"/>
  </r>
  <r>
    <n v="3000006244"/>
    <d v="2025-10-16T00:00:00"/>
    <n v="171839244.43000001"/>
    <s v="M. AMUCHASTEGUI S. R. L. YERBA BUENA 14"/>
    <x v="1374"/>
    <n v="171839244.43000001"/>
    <x v="127"/>
    <x v="2"/>
    <s v="pagado"/>
    <s v="pagado"/>
    <x v="0"/>
    <x v="0"/>
  </r>
  <r>
    <n v="3000006245"/>
    <d v="2025-10-16T00:00:00"/>
    <n v="87931427.349999994"/>
    <s v="ROMERO SERVICIOS S. A. S. ALPACHIRI 14"/>
    <x v="1375"/>
    <n v="87931427.349999994"/>
    <x v="127"/>
    <x v="2"/>
    <s v="pagado"/>
    <s v="pagado"/>
    <x v="0"/>
    <x v="0"/>
  </r>
  <r>
    <n v="3000006246"/>
    <d v="2025-10-16T00:00:00"/>
    <n v="75061784.799999997"/>
    <s v="PAMPLONA SRL SAN MIGUEL DE TUCUMAN 14"/>
    <x v="1376"/>
    <n v="75061784.799999997"/>
    <x v="127"/>
    <x v="2"/>
    <s v="pagado"/>
    <s v="pagado"/>
    <x v="0"/>
    <x v="0"/>
  </r>
  <r>
    <n v="3000006247"/>
    <d v="2025-10-16T00:00:00"/>
    <n v="138632171.44"/>
    <s v="Poda Verde SRL SAN MIGUEL DE TUCUMAN 14"/>
    <x v="1377"/>
    <n v="138632171.44"/>
    <x v="127"/>
    <x v="2"/>
    <s v="pagado"/>
    <s v="pagado"/>
    <x v="0"/>
    <x v="0"/>
  </r>
  <r>
    <n v="3000006248"/>
    <d v="2025-10-16T00:00:00"/>
    <n v="298086429.85000002"/>
    <s v="CATALANA DE SERVICIOS SRL YERBA BUENA 14"/>
    <x v="1378"/>
    <n v="298086429.85000002"/>
    <x v="127"/>
    <x v="2"/>
    <s v="pagado"/>
    <s v="pagado"/>
    <x v="0"/>
    <x v="0"/>
  </r>
  <r>
    <n v="3000006273"/>
    <d v="2025-10-17T00:00:00"/>
    <n v="31694880"/>
    <s v="EDET S.A. SAN MIGUEL DE TUCUMAN 14"/>
    <x v="1379"/>
    <n v="31694880"/>
    <x v="127"/>
    <x v="2"/>
    <s v="pagado"/>
    <s v="pagado"/>
    <x v="0"/>
    <x v="0"/>
  </r>
  <r>
    <n v="3000006304"/>
    <d v="2025-10-20T00:00:00"/>
    <n v="6000000"/>
    <s v="EL SOL MATERIALES SA SAN MIGUEL DE TUCUMAN 14"/>
    <x v="1380"/>
    <n v="6000000"/>
    <x v="153"/>
    <x v="0"/>
    <s v="pagado"/>
    <s v="pagado"/>
    <x v="0"/>
    <x v="0"/>
  </r>
  <r>
    <n v="3000006304"/>
    <d v="2025-10-20T00:00:00"/>
    <n v="5812371.8399999999"/>
    <s v="EL SOL MATERIALES SA SAN MIGUEL DE TUCUMAN 14"/>
    <x v="1381"/>
    <n v="5812371.8399999999"/>
    <x v="154"/>
    <x v="0"/>
    <s v="pagado"/>
    <s v="pagado"/>
    <x v="0"/>
    <x v="0"/>
  </r>
  <r>
    <n v="3000006302"/>
    <d v="2025-10-20T00:00:00"/>
    <n v="4744204.99"/>
    <s v="NALBANDIAN ALEXIS MARIANO CORDOBA 03"/>
    <x v="1382"/>
    <n v="4744204.99"/>
    <x v="155"/>
    <x v="0"/>
    <s v="pagado"/>
    <s v="pagado"/>
    <x v="0"/>
    <x v="0"/>
  </r>
  <r>
    <n v="3000006303"/>
    <d v="2025-10-20T00:00:00"/>
    <n v="14563011.199999999"/>
    <s v="LOGISTICA INTERNACIONAL S.A SAN MIGUEL DE TUCUMAN 14"/>
    <x v="1383"/>
    <n v="14563011.199999999"/>
    <x v="155"/>
    <x v="0"/>
    <s v="pagado"/>
    <s v="pagado"/>
    <x v="0"/>
    <x v="0"/>
  </r>
  <r>
    <n v="3000006305"/>
    <d v="2025-10-20T00:00:00"/>
    <n v="8203044.7800000003"/>
    <s v="MOYANO JUAN MANUEL ORAN 09"/>
    <x v="1384"/>
    <n v="8203044.7800000003"/>
    <x v="155"/>
    <x v="0"/>
    <s v="pagado"/>
    <s v="pagado"/>
    <x v="0"/>
    <x v="0"/>
  </r>
  <r>
    <n v="3000006306"/>
    <d v="2025-10-20T00:00:00"/>
    <n v="6460059.4000000004"/>
    <s v="CAD SOLUTIONS S.A. CAPITAL FEDERAL 00"/>
    <x v="1385"/>
    <n v="6460059.4000000004"/>
    <x v="156"/>
    <x v="0"/>
    <s v="pagado"/>
    <s v="pagado"/>
    <x v="0"/>
    <x v="0"/>
  </r>
  <r>
    <n v="3000006307"/>
    <d v="2025-10-20T00:00:00"/>
    <n v="12677933.4"/>
    <s v="GRUPO LIVECA SAS SAN RAMON DE LA NUEVA ORAN 09"/>
    <x v="1386"/>
    <n v="12677933.4"/>
    <x v="155"/>
    <x v="0"/>
    <s v="pagado"/>
    <s v="pagado"/>
    <x v="0"/>
    <x v="0"/>
  </r>
  <r>
    <n v="3000006308"/>
    <d v="2025-10-20T00:00:00"/>
    <n v="3926463.35"/>
    <s v="FAGALDE CECILIA MARIA SAN MIGUEL DE TUCUMAN 14"/>
    <x v="1387"/>
    <n v="3926463.35"/>
    <x v="156"/>
    <x v="0"/>
    <s v="pagado"/>
    <s v="pagado"/>
    <x v="0"/>
    <x v="0"/>
  </r>
  <r>
    <n v="3000006309"/>
    <d v="2025-10-20T00:00:00"/>
    <n v="9110594"/>
    <s v="Consultoria en Tecnologia de IBUENOS AIRES 00"/>
    <x v="1388"/>
    <n v="9110594"/>
    <x v="157"/>
    <x v="0"/>
    <s v="pagado"/>
    <s v="pagado"/>
    <x v="0"/>
    <x v="0"/>
  </r>
  <r>
    <n v="3000006332"/>
    <d v="2025-10-21T00:00:00"/>
    <n v="6372777.7300000004"/>
    <s v="LA MARTINA SERV. AGRICOLAS S.RSAN PABLO 14"/>
    <x v="1389"/>
    <n v="6372777.7300000004"/>
    <x v="156"/>
    <x v="0"/>
    <s v="pagado"/>
    <s v="pagado"/>
    <x v="0"/>
    <x v="0"/>
  </r>
  <r>
    <n v="3000006333"/>
    <d v="2025-10-21T00:00:00"/>
    <n v="13682200"/>
    <s v="STARB S.A CIUDAD AUTONOMA DE BUENOS AIRES 01"/>
    <x v="1390"/>
    <n v="13682200"/>
    <x v="157"/>
    <x v="0"/>
    <s v="pagado"/>
    <s v="pagado"/>
    <x v="0"/>
    <x v="0"/>
  </r>
  <r>
    <n v="3000006334"/>
    <d v="2025-10-21T00:00:00"/>
    <n v="3686155.2"/>
    <s v="Terminal 4 S.A. Puerto Nuevo 01"/>
    <x v="1391"/>
    <n v="3686155.2"/>
    <x v="156"/>
    <x v="0"/>
    <s v="pagado"/>
    <s v="pagado"/>
    <x v="0"/>
    <x v="0"/>
  </r>
  <r>
    <n v="3000006335"/>
    <d v="2025-10-21T00:00:00"/>
    <n v="14360387.92"/>
    <s v="BONSUR SA CAPITAL FEDERAL 00"/>
    <x v="1392"/>
    <n v="14360387.92"/>
    <x v="157"/>
    <x v="0"/>
    <s v="pagado"/>
    <s v="pagado"/>
    <x v="0"/>
    <x v="0"/>
  </r>
  <r>
    <n v="3000006336"/>
    <d v="2025-10-21T00:00:00"/>
    <n v="10582538.939999999"/>
    <s v="RL SOLUCIONES S. A. S. SAN MIGUEL DE TUCUMAN 14"/>
    <x v="1393"/>
    <n v="10582538.939999999"/>
    <x v="157"/>
    <x v="0"/>
    <s v="pagado"/>
    <s v="pagado"/>
    <x v="0"/>
    <x v="0"/>
  </r>
  <r>
    <n v="3000006371"/>
    <d v="2025-10-22T00:00:00"/>
    <n v="223592290"/>
    <s v="EDET S.A."/>
    <x v="1394"/>
    <n v="223592290"/>
    <x v="157"/>
    <x v="2"/>
    <s v="pagado"/>
    <s v="pagado"/>
    <x v="0"/>
    <x v="0"/>
  </r>
  <r>
    <n v="3000006432"/>
    <d v="2025-10-27T00:00:00"/>
    <n v="33959386.719999999"/>
    <s v="PAMPLONA SRL SAN MIGUEL DE TUCUMAN 14"/>
    <x v="1395"/>
    <n v="33959386.719999999"/>
    <x v="158"/>
    <x v="0"/>
    <s v="pagado"/>
    <s v="pagado"/>
    <x v="0"/>
    <x v="0"/>
  </r>
  <r>
    <n v="3000006433"/>
    <d v="2025-10-27T00:00:00"/>
    <n v="5000000"/>
    <s v="MG SERVICIOS AGROPECUARIOS SASTAFI VIEJO 14"/>
    <x v="1396"/>
    <n v="5000000"/>
    <x v="159"/>
    <x v="0"/>
    <s v="pagado"/>
    <s v="pagado"/>
    <x v="0"/>
    <x v="0"/>
  </r>
  <r>
    <n v="3000006433"/>
    <d v="2025-10-27T00:00:00"/>
    <n v="3656576.68"/>
    <s v="MG SERVICIOS AGROPECUARIOS SASTAFI VIEJO 14"/>
    <x v="1397"/>
    <n v="3656576.68"/>
    <x v="158"/>
    <x v="0"/>
    <s v="pagado"/>
    <s v="pagado"/>
    <x v="0"/>
    <x v="0"/>
  </r>
  <r>
    <n v="3000006434"/>
    <d v="2025-10-27T00:00:00"/>
    <n v="28372980.059999999"/>
    <s v="M. AMUCHASTEGUI S. R. L. YERBA BUENA 14"/>
    <x v="1398"/>
    <n v="28372980.059999999"/>
    <x v="158"/>
    <x v="0"/>
    <s v="pagado"/>
    <s v="pagado"/>
    <x v="0"/>
    <x v="0"/>
  </r>
  <r>
    <n v="3000006435"/>
    <d v="2025-10-27T00:00:00"/>
    <n v="8863912.5"/>
    <s v="TRUSARELLI CARLOS ALBERTO BANDA DEL RIO SALI 14"/>
    <x v="1399"/>
    <n v="8863912.5"/>
    <x v="159"/>
    <x v="0"/>
    <s v="pagado"/>
    <s v="pagado"/>
    <x v="0"/>
    <x v="0"/>
  </r>
  <r>
    <n v="3000006436"/>
    <d v="2025-10-27T00:00:00"/>
    <n v="24737036.289999999"/>
    <s v="EXCELENCIA OPERACIONAL SRL CIUDAD AUTONOMA DE BUENOS AIRES 00"/>
    <x v="1400"/>
    <n v="24737036.289999999"/>
    <x v="158"/>
    <x v="0"/>
    <s v="pagado"/>
    <s v="pagado"/>
    <x v="0"/>
    <x v="0"/>
  </r>
  <r>
    <n v="3000006437"/>
    <d v="2025-10-27T00:00:00"/>
    <n v="4606966.46"/>
    <s v="PETROARSA S.A SAN MIGUEL DE TUCUMAN 14"/>
    <x v="1401"/>
    <n v="4606966.46"/>
    <x v="159"/>
    <x v="0"/>
    <s v="pagado"/>
    <s v="pagado"/>
    <x v="0"/>
    <x v="0"/>
  </r>
  <r>
    <n v="3000006438"/>
    <d v="2025-10-27T00:00:00"/>
    <n v="6217907.2199999997"/>
    <s v="DELTACOM SA DON TORCUATO 01"/>
    <x v="1402"/>
    <n v="6217907.2199999997"/>
    <x v="159"/>
    <x v="0"/>
    <s v="pagado"/>
    <s v="pagado"/>
    <x v="0"/>
    <x v="0"/>
  </r>
  <r>
    <n v="3000006439"/>
    <d v="2025-10-27T00:00:00"/>
    <n v="6547079.1799999997"/>
    <s v="ACEROS NAVARRO SRL LASTENIA 14"/>
    <x v="1403"/>
    <n v="6547079.1799999997"/>
    <x v="159"/>
    <x v="0"/>
    <s v="pagado"/>
    <s v="pagado"/>
    <x v="0"/>
    <x v="0"/>
  </r>
  <r>
    <n v="3000006440"/>
    <d v="2025-10-27T00:00:00"/>
    <n v="20568691.829999998"/>
    <s v="ROMERO SERVICIOS S. A. S. ALPACHIRI 14"/>
    <x v="1404"/>
    <n v="20568691.829999998"/>
    <x v="159"/>
    <x v="0"/>
    <s v="pagado"/>
    <s v="pagado"/>
    <x v="0"/>
    <x v="0"/>
  </r>
  <r>
    <n v="3000006441"/>
    <d v="2025-10-27T00:00:00"/>
    <n v="8236900"/>
    <s v="PABLO Y FERNANDO TACCHELLA S.RSAN MIGUEL DE TUCUMAN 14"/>
    <x v="1405"/>
    <n v="8236900"/>
    <x v="159"/>
    <x v="0"/>
    <s v="pagado"/>
    <s v="pagado"/>
    <x v="0"/>
    <x v="0"/>
  </r>
  <r>
    <n v="3000006442"/>
    <d v="2025-10-27T00:00:00"/>
    <n v="10000000"/>
    <s v="CAFELI S.R.L. SAN MIGUEL DE TUCUMAN 14"/>
    <x v="1406"/>
    <n v="10000000"/>
    <x v="159"/>
    <x v="0"/>
    <s v="pagado"/>
    <s v="pagado"/>
    <x v="0"/>
    <x v="0"/>
  </r>
  <r>
    <n v="3000006442"/>
    <d v="2025-10-27T00:00:00"/>
    <n v="8284175"/>
    <s v="CAFELI S.R.L. SAN MIGUEL DE TUCUMAN 14"/>
    <x v="1407"/>
    <n v="8284175"/>
    <x v="158"/>
    <x v="0"/>
    <s v="pagado"/>
    <s v="pagado"/>
    <x v="0"/>
    <x v="0"/>
  </r>
  <r>
    <n v="3000006443"/>
    <d v="2025-10-27T00:00:00"/>
    <n v="38830372"/>
    <s v="AMERICANA COMERCIALIZACION S.RSAN MIGUEL DE TUCUMAN 14"/>
    <x v="1408"/>
    <n v="38830372"/>
    <x v="158"/>
    <x v="0"/>
    <s v="pagado"/>
    <s v="pagado"/>
    <x v="0"/>
    <x v="0"/>
  </r>
  <r>
    <n v="3000006444"/>
    <d v="2025-10-27T00:00:00"/>
    <n v="5129536.38"/>
    <s v="SERV.AGROP VILLA PAPADAKIS S.RSALTA 09"/>
    <x v="1409"/>
    <n v="5129536.38"/>
    <x v="159"/>
    <x v="0"/>
    <s v="pagado"/>
    <s v="pagado"/>
    <x v="0"/>
    <x v="0"/>
  </r>
  <r>
    <n v="3000006445"/>
    <d v="2025-10-27T00:00:00"/>
    <n v="269068089.81"/>
    <s v="CATALANA DE SERVICIOS SRL YERBA BUENA 14"/>
    <x v="1410"/>
    <n v="269068089.81"/>
    <x v="159"/>
    <x v="0"/>
    <s v="pagado"/>
    <s v="pagado"/>
    <x v="0"/>
    <x v="0"/>
  </r>
  <r>
    <n v="3000006523"/>
    <d v="2025-10-29T00:00:00"/>
    <n v="2604978.9500000002"/>
    <s v="Fondo Fijo Administracion CitrNO TIENE"/>
    <x v="1411"/>
    <n v="2604978.9500000002"/>
    <x v="160"/>
    <x v="0"/>
    <s v="pagado"/>
    <s v="pagado"/>
    <x v="0"/>
    <x v="0"/>
  </r>
  <r>
    <n v="3000006603"/>
    <d v="2025-11-03T00:00:00"/>
    <n v="4471244.1500000004"/>
    <s v="NORTE DISTRIBUCIONES S.R.L SAN MIGUEL DE TUCUMAN 14"/>
    <x v="1412"/>
    <n v="4471244.1500000004"/>
    <x v="153"/>
    <x v="2"/>
    <s v="pagado"/>
    <s v="pagado"/>
    <x v="0"/>
    <x v="0"/>
  </r>
  <r>
    <n v="3000006604"/>
    <d v="2025-11-03T00:00:00"/>
    <n v="5506197.9500000002"/>
    <s v="CONSTRUNOA S.A.S. ORAN 09"/>
    <x v="1413"/>
    <n v="5506197.9500000002"/>
    <x v="153"/>
    <x v="2"/>
    <s v="pagado"/>
    <s v="pagado"/>
    <x v="0"/>
    <x v="0"/>
  </r>
  <r>
    <n v="3000006605"/>
    <d v="2025-11-03T00:00:00"/>
    <n v="38039625"/>
    <s v="Siner S.A. Los Pocitos - T.Viejo 14"/>
    <x v="1414"/>
    <n v="38039625"/>
    <x v="161"/>
    <x v="2"/>
    <s v="pagado"/>
    <s v="pagado"/>
    <x v="0"/>
    <x v="0"/>
  </r>
  <r>
    <n v="3000006605"/>
    <d v="2025-11-03T00:00:00"/>
    <n v="38042804.490000002"/>
    <s v="Siner S.A. Los Pocitos - T.Viejo 14"/>
    <x v="1415"/>
    <n v="38042804.490000002"/>
    <x v="162"/>
    <x v="2"/>
    <s v="pagado"/>
    <s v="pagado"/>
    <x v="0"/>
    <x v="0"/>
  </r>
  <r>
    <n v="3000006632"/>
    <d v="2025-11-04T00:00:00"/>
    <n v="9093781.1500000004"/>
    <s v="Establecimiento Minero Sofia SElena 03"/>
    <x v="1416"/>
    <n v="9093781.1500000004"/>
    <x v="153"/>
    <x v="0"/>
    <s v="pagado"/>
    <s v="pagado"/>
    <x v="0"/>
    <x v="0"/>
  </r>
  <r>
    <n v="3000006633"/>
    <d v="2025-11-04T00:00:00"/>
    <n v="2281959.06"/>
    <s v="Expreso Bisonte S.R.L. BANDA DEL RIO SALI 14"/>
    <x v="1417"/>
    <n v="2281959.06"/>
    <x v="163"/>
    <x v="0"/>
    <s v="pagado"/>
    <s v="pagado"/>
    <x v="0"/>
    <x v="0"/>
  </r>
  <r>
    <n v="3000006634"/>
    <d v="2025-11-04T00:00:00"/>
    <n v="1004615.39"/>
    <s v="MOYANO JUAN VICTOR TUCUMAN 14"/>
    <x v="1418"/>
    <n v="1004615.39"/>
    <x v="163"/>
    <x v="0"/>
    <s v="pagado"/>
    <s v="pagado"/>
    <x v="0"/>
    <x v="0"/>
  </r>
  <r>
    <n v="3000006635"/>
    <d v="2025-11-04T00:00:00"/>
    <n v="4260111.08"/>
    <s v="CEMEVA SAS YERBA BUENA 14"/>
    <x v="1419"/>
    <n v="4260111.08"/>
    <x v="163"/>
    <x v="0"/>
    <s v="pagado"/>
    <s v="pagado"/>
    <x v="0"/>
    <x v="0"/>
  </r>
  <r>
    <n v="3000006636"/>
    <d v="2025-11-04T00:00:00"/>
    <n v="10797909.710000001"/>
    <s v="CAPETTA ANTONELLA ANAHI SAN MIGUEL DE TUCUMAN 14"/>
    <x v="1420"/>
    <n v="10797909.710000001"/>
    <x v="163"/>
    <x v="0"/>
    <s v="pagado"/>
    <s v="pagado"/>
    <x v="0"/>
    <x v="0"/>
  </r>
  <r>
    <n v="3000006637"/>
    <d v="2025-11-04T00:00:00"/>
    <n v="2116675.71"/>
    <s v="VILLAGRA VELEZ ROQUE RICARDO SAN MIGUEL DE TUCUMAN 14"/>
    <x v="1421"/>
    <n v="2116675.71"/>
    <x v="163"/>
    <x v="0"/>
    <s v="pagado"/>
    <s v="pagado"/>
    <x v="0"/>
    <x v="0"/>
  </r>
  <r>
    <n v="3000006638"/>
    <d v="2025-11-04T00:00:00"/>
    <n v="2116675.71"/>
    <s v="RL SOLUCIONES S. A. S. SAN MIGUEL DE TUCUMAN 14"/>
    <x v="1422"/>
    <n v="2116675.71"/>
    <x v="163"/>
    <x v="0"/>
    <s v="pagado"/>
    <s v="pagado"/>
    <x v="0"/>
    <x v="0"/>
  </r>
  <r>
    <n v="3000006639"/>
    <d v="2025-11-04T00:00:00"/>
    <n v="2130139.5"/>
    <s v="MAC DONALD MIGUEL ALEJANDRO BANDA DEL RIO SALI 14"/>
    <x v="1423"/>
    <n v="2130139.5"/>
    <x v="163"/>
    <x v="0"/>
    <s v="pagado"/>
    <s v="pagado"/>
    <x v="0"/>
    <x v="0"/>
  </r>
  <r>
    <n v="3000006640"/>
    <d v="2025-11-04T00:00:00"/>
    <n v="2479835.46"/>
    <s v="TRANSPORTE FRIOS DEL NORTE S.RSAN MIGUEL DE TUCUMAN 14"/>
    <x v="1424"/>
    <n v="2479835.46"/>
    <x v="163"/>
    <x v="0"/>
    <s v="pagado"/>
    <s v="pagado"/>
    <x v="0"/>
    <x v="0"/>
  </r>
  <r>
    <n v="3000006641"/>
    <d v="2025-11-04T00:00:00"/>
    <n v="2817243.4"/>
    <s v="Silver Freight Logistic SRL CAPITAL FEDERAL 00"/>
    <x v="1425"/>
    <n v="2817243.4"/>
    <x v="163"/>
    <x v="0"/>
    <s v="pagado"/>
    <s v="pagado"/>
    <x v="0"/>
    <x v="0"/>
  </r>
  <r>
    <n v="3000006642"/>
    <d v="2025-11-05T00:00:00"/>
    <n v="531975.6"/>
    <s v="BRUBERTURAS SAS CORDOBA 03"/>
    <x v="1426"/>
    <n v="531975.6"/>
    <x v="164"/>
    <x v="0"/>
    <s v="pagado"/>
    <s v="pagado"/>
    <x v="0"/>
    <x v="0"/>
  </r>
  <r>
    <n v="3000006737"/>
    <d v="2025-11-10T00:00:00"/>
    <n v="4389249.3"/>
    <s v="CAFELI S.R.L. SAN MIGUEL DE TUCUMAN 14"/>
    <x v="1427"/>
    <n v="4389249.3"/>
    <x v="164"/>
    <x v="0"/>
    <s v="pagado"/>
    <s v="pagado"/>
    <x v="0"/>
    <x v="0"/>
  </r>
  <r>
    <n v="3000006738"/>
    <d v="2025-11-10T00:00:00"/>
    <n v="21785811"/>
    <s v="CAMPOAGRO SRL YERBA BUENA 14"/>
    <x v="1428"/>
    <n v="21785811"/>
    <x v="164"/>
    <x v="0"/>
    <s v="pagado"/>
    <s v="pagado"/>
    <x v="0"/>
    <x v="0"/>
  </r>
  <r>
    <n v="3000006739"/>
    <d v="2025-11-10T00:00:00"/>
    <n v="2009038.5"/>
    <s v="M.A.D Serv y mant eléctri SAN MIGUEL DE TUCUMAN 14"/>
    <x v="1429"/>
    <n v="2009038.5"/>
    <x v="164"/>
    <x v="0"/>
    <s v="pagado"/>
    <s v="pagado"/>
    <x v="0"/>
    <x v="0"/>
  </r>
  <r>
    <n v="3000006740"/>
    <d v="2025-11-10T00:00:00"/>
    <n v="39545843.399999999"/>
    <s v="Jeblab S.R.L. YERBA BUENA 14"/>
    <x v="1430"/>
    <n v="39545843.399999999"/>
    <x v="164"/>
    <x v="0"/>
    <s v="pagado"/>
    <s v="pagado"/>
    <x v="0"/>
    <x v="0"/>
  </r>
  <r>
    <n v="3000006741"/>
    <d v="2025-11-10T00:00:00"/>
    <n v="9920667.9900000002"/>
    <s v="ZYMO SA SAN MIGUEL DE TUCUMAN 00"/>
    <x v="1431"/>
    <n v="9920667.9900000002"/>
    <x v="164"/>
    <x v="0"/>
    <s v="pagado"/>
    <s v="pagado"/>
    <x v="0"/>
    <x v="0"/>
  </r>
  <r>
    <n v="3000006742"/>
    <d v="2025-11-10T00:00:00"/>
    <n v="6646368.8399999999"/>
    <s v="RODRIGO HEREDIA PUIG LASTENIA 14"/>
    <x v="1432"/>
    <n v="6646368.8399999999"/>
    <x v="164"/>
    <x v="0"/>
    <s v="pagado"/>
    <s v="pagado"/>
    <x v="0"/>
    <x v="0"/>
  </r>
  <r>
    <n v="3000006743"/>
    <d v="2025-11-10T00:00:00"/>
    <n v="11332905.9"/>
    <s v="SOLUCIONES RANDSTAD S.A ROSARIO 12"/>
    <x v="1433"/>
    <n v="11332905.9"/>
    <x v="164"/>
    <x v="0"/>
    <s v="pagado"/>
    <s v="pagado"/>
    <x v="0"/>
    <x v="0"/>
  </r>
  <r>
    <n v="3000006744"/>
    <d v="2025-11-10T00:00:00"/>
    <n v="257392138.49000001"/>
    <s v="CATALANA DE SERVICIOS SRL YERBA BUENA 14"/>
    <x v="1434"/>
    <n v="257392138.49000001"/>
    <x v="164"/>
    <x v="0"/>
    <s v="pagado"/>
    <s v="pagado"/>
    <x v="0"/>
    <x v="0"/>
  </r>
  <r>
    <n v="3000006765"/>
    <d v="2025-11-11T00:00:00"/>
    <n v="16617614.359999999"/>
    <s v="TRUSARELLI CARLOS ALBERTO BANDA DEL RIO SALI 14"/>
    <x v="1435"/>
    <n v="16617614.359999999"/>
    <x v="165"/>
    <x v="0"/>
    <s v="pagado"/>
    <s v="pagado"/>
    <x v="0"/>
    <x v="0"/>
  </r>
  <r>
    <n v="3000006767"/>
    <d v="2025-11-11T00:00:00"/>
    <n v="30711064.57"/>
    <s v="M. AMUCHASTEGUI S. R. L. YERBA BUENA 14"/>
    <x v="1436"/>
    <n v="30711064.57"/>
    <x v="164"/>
    <x v="0"/>
    <s v="pagado"/>
    <s v="pagado"/>
    <x v="0"/>
    <x v="0"/>
  </r>
  <r>
    <n v="3000006768"/>
    <d v="2025-11-11T00:00:00"/>
    <n v="2064992.85"/>
    <s v="SANTILLI CARLOS MIGUEL SAN MIGUEL DE TUCUMAN 14"/>
    <x v="1437"/>
    <n v="2064992.85"/>
    <x v="165"/>
    <x v="0"/>
    <s v="pagado"/>
    <s v="pagado"/>
    <x v="0"/>
    <x v="0"/>
  </r>
  <r>
    <n v="3000006769"/>
    <d v="2025-11-11T00:00:00"/>
    <n v="2845626.36"/>
    <s v="BESTANI LEANDRO EXEQUIEL SAN MIGUEL DE TUCUMAN 14"/>
    <x v="1438"/>
    <n v="2845626.36"/>
    <x v="165"/>
    <x v="0"/>
    <s v="pagado"/>
    <s v="pagado"/>
    <x v="0"/>
    <x v="0"/>
  </r>
  <r>
    <n v="3000006770"/>
    <d v="2025-11-11T00:00:00"/>
    <n v="3121289.61"/>
    <s v="MERCATOR TRANSPORT ARGENTINA SBUENOS AIRES 01"/>
    <x v="1439"/>
    <n v="3121289.61"/>
    <x v="165"/>
    <x v="0"/>
    <s v="pagado"/>
    <s v="pagado"/>
    <x v="0"/>
    <x v="0"/>
  </r>
  <r>
    <n v="3000006771"/>
    <d v="2025-11-11T00:00:00"/>
    <n v="2220197.81"/>
    <s v="Exolgan S.A. Dock Sud 01"/>
    <x v="1440"/>
    <n v="2220197.81"/>
    <x v="165"/>
    <x v="0"/>
    <s v="pagado"/>
    <s v="pagado"/>
    <x v="0"/>
    <x v="0"/>
  </r>
  <r>
    <n v="3000006772"/>
    <d v="2025-11-11T00:00:00"/>
    <n v="19048570.100000001"/>
    <s v="RL SOLUCIONES S. A. S. SAN MIGUEL DE TUCUMAN 14"/>
    <x v="1441"/>
    <n v="19048570.100000001"/>
    <x v="165"/>
    <x v="0"/>
    <s v="pagado"/>
    <s v="pagado"/>
    <x v="0"/>
    <x v="0"/>
  </r>
  <r>
    <n v="3000006773"/>
    <d v="2025-11-11T00:00:00"/>
    <n v="2116507.79"/>
    <s v="VILLAGRA VELEZ ROQUE RICARDO SAN MIGUEL DE TUCUMAN 14"/>
    <x v="1442"/>
    <n v="2116507.79"/>
    <x v="165"/>
    <x v="0"/>
    <s v="pagado"/>
    <s v="pagado"/>
    <x v="0"/>
    <x v="0"/>
  </r>
  <r>
    <n v="3000006774"/>
    <d v="2025-11-11T00:00:00"/>
    <n v="10649857.9"/>
    <s v="MAC DONALD MIGUEL ALEJANDRO BANDA DEL RIO SALI 14"/>
    <x v="1443"/>
    <n v="10649857.9"/>
    <x v="165"/>
    <x v="0"/>
    <s v="pagado"/>
    <s v="pagado"/>
    <x v="0"/>
    <x v="0"/>
  </r>
  <r>
    <n v="3000006775"/>
    <d v="2025-11-11T00:00:00"/>
    <n v="2129971.58"/>
    <s v="CEMEVA SAS YERBA BUENA 14"/>
    <x v="1444"/>
    <n v="2129971.58"/>
    <x v="165"/>
    <x v="0"/>
    <s v="pagado"/>
    <s v="pagado"/>
    <x v="0"/>
    <x v="0"/>
  </r>
  <r>
    <n v="3000006776"/>
    <d v="2025-11-11T00:00:00"/>
    <n v="4190982.71"/>
    <s v="JACQUET NORBERTO SALVADOR SAN JOSE 05"/>
    <x v="1445"/>
    <n v="4190982.71"/>
    <x v="165"/>
    <x v="0"/>
    <s v="pagado"/>
    <s v="pagado"/>
    <x v="0"/>
    <x v="0"/>
  </r>
  <r>
    <n v="3000006777"/>
    <d v="2025-11-11T00:00:00"/>
    <n v="8537838.0299999993"/>
    <s v="CAPETTA ANTONELLA ANAHI SAN MIGUEL DE TUCUMAN 14"/>
    <x v="1446"/>
    <n v="8537838.0299999993"/>
    <x v="165"/>
    <x v="0"/>
    <s v="pagado"/>
    <s v="pagado"/>
    <x v="0"/>
    <x v="0"/>
  </r>
  <r>
    <n v="3000006778"/>
    <d v="2025-11-11T00:00:00"/>
    <n v="12521110.18"/>
    <s v="DHL Express (Arg.) S.A. CAPITAL FEDERAL 00"/>
    <x v="1447"/>
    <n v="12521110.18"/>
    <x v="165"/>
    <x v="0"/>
    <s v="pagado"/>
    <s v="pagado"/>
    <x v="0"/>
    <x v="0"/>
  </r>
  <r>
    <n v="3000006779"/>
    <d v="2025-11-11T00:00:00"/>
    <n v="1018807.64"/>
    <s v="PAMPLONA SRL SAN MIGUEL DE TUCUMAN 14"/>
    <x v="1448"/>
    <n v="1018807.64"/>
    <x v="165"/>
    <x v="0"/>
    <s v="pagado"/>
    <s v="pagado"/>
    <x v="0"/>
    <x v="0"/>
  </r>
  <r>
    <n v="3000006780"/>
    <d v="2025-11-11T00:00:00"/>
    <n v="7994703.4400000004"/>
    <s v="SAUCE HUACHO SERVICIOS S.R.L MONTEROS 14"/>
    <x v="1449"/>
    <n v="7994703.4400000004"/>
    <x v="165"/>
    <x v="0"/>
    <s v="pagado"/>
    <s v="pagado"/>
    <x v="0"/>
    <x v="0"/>
  </r>
  <r>
    <n v="3000006781"/>
    <d v="2025-11-11T00:00:00"/>
    <n v="1506749.02"/>
    <s v="TRANSPORTE MEDINA S.H. CRUZ ALTA 14"/>
    <x v="1450"/>
    <n v="1506749.02"/>
    <x v="165"/>
    <x v="0"/>
    <s v="pagado"/>
    <s v="pagado"/>
    <x v="0"/>
    <x v="0"/>
  </r>
  <r>
    <n v="3000006861"/>
    <d v="2025-11-17T00:00:00"/>
    <n v="25981987.07"/>
    <s v="EDET S.A. SAN MIGUEL DE TUCUMAN 14"/>
    <x v="1451"/>
    <n v="25981987.07"/>
    <x v="128"/>
    <x v="2"/>
    <s v="pagado"/>
    <s v="pagado"/>
    <x v="0"/>
    <x v="0"/>
  </r>
  <r>
    <n v="3000006892"/>
    <d v="2025-11-17T00:00:00"/>
    <n v="17748951.82"/>
    <s v="Establecimiento Minero Sofia SElena 03"/>
    <x v="1452"/>
    <n v="17748951.82"/>
    <x v="166"/>
    <x v="2"/>
    <s v="pagado"/>
    <s v="pagado"/>
    <x v="0"/>
    <x v="0"/>
  </r>
  <r>
    <n v="3000006893"/>
    <d v="2025-11-17T00:00:00"/>
    <n v="7473752"/>
    <s v="Asoc. Coop.Fac.Cie.Exac.y Tec.SAN MIGUEL DE TUCUMAN 14"/>
    <x v="1453"/>
    <n v="7473752"/>
    <x v="166"/>
    <x v="2"/>
    <s v="pagado"/>
    <s v="pagado"/>
    <x v="0"/>
    <x v="0"/>
  </r>
  <r>
    <n v="3000006894"/>
    <d v="2025-11-17T00:00:00"/>
    <n v="7169433.54"/>
    <s v="CATALANA DE SERVICIOS SRL YERBA BUENA 14"/>
    <x v="1454"/>
    <n v="7169433.54"/>
    <x v="166"/>
    <x v="2"/>
    <s v="pagado"/>
    <s v="pagado"/>
    <x v="0"/>
    <x v="0"/>
  </r>
  <r>
    <n v="3000006895"/>
    <d v="2025-11-17T00:00:00"/>
    <n v="4643387.4000000004"/>
    <s v="Produccion S.A. SAN MIGUEL DE TUCUMAN 14"/>
    <x v="1455"/>
    <n v="4643387.4000000004"/>
    <x v="166"/>
    <x v="2"/>
    <s v="pagado"/>
    <s v="pagado"/>
    <x v="0"/>
    <x v="0"/>
  </r>
  <r>
    <n v="3000006896"/>
    <d v="2025-11-17T00:00:00"/>
    <n v="5790244.4900000002"/>
    <s v="J. SLEIMAN S.R.L SAN MIGUEL DE TUCUMAN 14"/>
    <x v="1456"/>
    <n v="5790244.4900000002"/>
    <x v="166"/>
    <x v="2"/>
    <s v="pagado"/>
    <s v="pagado"/>
    <x v="0"/>
    <x v="0"/>
  </r>
  <r>
    <n v="3000006897"/>
    <d v="2025-11-17T00:00:00"/>
    <n v="9646544.2400000002"/>
    <s v="VERON MARIANA BEATRIZ NUEVA ESPERANZA 13"/>
    <x v="1457"/>
    <n v="9646544.2400000002"/>
    <x v="166"/>
    <x v="2"/>
    <s v="pagado"/>
    <s v="pagado"/>
    <x v="0"/>
    <x v="0"/>
  </r>
  <r>
    <n v="3000006923"/>
    <d v="2025-11-18T00:00:00"/>
    <n v="7000000"/>
    <s v="ECOGREEN SRL SAN MIGUEL DE TUCUMAN 14"/>
    <x v="1458"/>
    <n v="7000000"/>
    <x v="166"/>
    <x v="0"/>
    <s v="pagado"/>
    <s v="pagado"/>
    <x v="0"/>
    <x v="0"/>
  </r>
  <r>
    <n v="3000006923"/>
    <d v="2025-11-18T00:00:00"/>
    <n v="7000000"/>
    <s v="ECOGREEN SRL SAN MIGUEL DE TUCUMAN 14"/>
    <x v="1459"/>
    <n v="7000000"/>
    <x v="166"/>
    <x v="0"/>
    <s v="pagado"/>
    <s v="pagado"/>
    <x v="0"/>
    <x v="0"/>
  </r>
  <r>
    <n v="3000006923"/>
    <d v="2025-11-18T00:00:00"/>
    <n v="6794043.9699999997"/>
    <s v="ECOGREEN SRL SAN MIGUEL DE TUCUMAN 14"/>
    <x v="1460"/>
    <n v="6794043.9699999997"/>
    <x v="166"/>
    <x v="0"/>
    <s v="pagado"/>
    <s v="pagado"/>
    <x v="0"/>
    <x v="0"/>
  </r>
  <r>
    <n v="3000006924"/>
    <d v="2025-11-18T00:00:00"/>
    <n v="12699046.73"/>
    <s v="RL SOLUCIONES S. A. S. SAN MIGUEL DE TUCUMAN 14"/>
    <x v="1461"/>
    <n v="12699046.73"/>
    <x v="142"/>
    <x v="0"/>
    <s v="pagado"/>
    <s v="pagado"/>
    <x v="0"/>
    <x v="0"/>
  </r>
  <r>
    <n v="3000006925"/>
    <d v="2025-11-18T00:00:00"/>
    <n v="4259943.16"/>
    <s v="MAC DONALD MIGUEL ALEJANDRO BANDA DEL RIO SALI 14"/>
    <x v="1462"/>
    <n v="4259943.16"/>
    <x v="142"/>
    <x v="0"/>
    <s v="pagado"/>
    <s v="pagado"/>
    <x v="0"/>
    <x v="0"/>
  </r>
  <r>
    <n v="3000006926"/>
    <d v="2025-11-18T00:00:00"/>
    <n v="4259943.16"/>
    <s v="CEMEVA SAS YERBA BUENA 14"/>
    <x v="1463"/>
    <n v="4259943.16"/>
    <x v="142"/>
    <x v="0"/>
    <s v="pagado"/>
    <s v="pagado"/>
    <x v="0"/>
    <x v="0"/>
  </r>
  <r>
    <n v="3000006927"/>
    <d v="2025-11-18T00:00:00"/>
    <n v="2116507.79"/>
    <s v="VILLAGRA VELEZ ROQUE RICARDO SAN MIGUEL DE TUCUMAN 14"/>
    <x v="1464"/>
    <n v="2116507.79"/>
    <x v="142"/>
    <x v="0"/>
    <s v="pagado"/>
    <s v="pagado"/>
    <x v="0"/>
    <x v="0"/>
  </r>
  <r>
    <n v="3000006928"/>
    <d v="2025-11-18T00:00:00"/>
    <n v="12806757.050000001"/>
    <s v="CAPETTA ANTONELLA ANAHI SAN MIGUEL DE TUCUMAN 14"/>
    <x v="1465"/>
    <n v="12806757.050000001"/>
    <x v="142"/>
    <x v="0"/>
    <s v="pagado"/>
    <s v="pagado"/>
    <x v="0"/>
    <x v="0"/>
  </r>
  <r>
    <n v="3000006929"/>
    <d v="2025-11-18T00:00:00"/>
    <n v="7214150.79"/>
    <s v="CONTROL UNION NORTE S.A YERBA BUENA 14"/>
    <x v="1466"/>
    <n v="7214150.79"/>
    <x v="142"/>
    <x v="0"/>
    <s v="pagado"/>
    <s v="pagado"/>
    <x v="0"/>
    <x v="0"/>
  </r>
  <r>
    <n v="3000006930"/>
    <d v="2025-11-18T00:00:00"/>
    <n v="13879757.4"/>
    <s v="Terminal 4 S.A. Puerto Nuevo 01"/>
    <x v="1467"/>
    <n v="13879757.4"/>
    <x v="142"/>
    <x v="0"/>
    <s v="pagado"/>
    <s v="pagado"/>
    <x v="0"/>
    <x v="0"/>
  </r>
  <r>
    <n v="3000006962"/>
    <d v="2025-11-20T00:00:00"/>
    <n v="154825260"/>
    <s v="EDET S.A. SAN MIGUEL DE TUCUMAN 14"/>
    <x v="1468"/>
    <n v="154825260"/>
    <x v="142"/>
    <x v="2"/>
    <s v="pagado"/>
    <s v="pagado"/>
    <x v="0"/>
    <x v="0"/>
  </r>
  <r>
    <n v="3000007007"/>
    <d v="2025-11-25T00:00:00"/>
    <n v="8939507.4000000004"/>
    <s v="TEKNOS TECHNOLOGY GROUP SA CAPITAL FEDERAL 00"/>
    <x v="1469"/>
    <n v="8939507.4000000004"/>
    <x v="167"/>
    <x v="2"/>
    <s v="pagado"/>
    <s v="pagado"/>
    <x v="0"/>
    <x v="0"/>
  </r>
  <r>
    <n v="3000007008"/>
    <d v="2025-11-25T00:00:00"/>
    <n v="4249728"/>
    <s v="CITRUSIMON S.A.S SAN MIGUEL DE TUCUMAN 14"/>
    <x v="1470"/>
    <n v="4249728"/>
    <x v="167"/>
    <x v="2"/>
    <s v="pagado"/>
    <s v="pagado"/>
    <x v="0"/>
    <x v="0"/>
  </r>
  <r>
    <n v="3000007009"/>
    <d v="2025-11-25T00:00:00"/>
    <n v="28490204.57"/>
    <s v="Consultoria en Tecnologia de IBUENOS AIRES 00"/>
    <x v="1471"/>
    <n v="28490204.57"/>
    <x v="167"/>
    <x v="2"/>
    <s v="pagado"/>
    <s v="pagado"/>
    <x v="0"/>
    <x v="0"/>
  </r>
  <r>
    <n v="3000007010"/>
    <d v="2025-11-25T00:00:00"/>
    <n v="4190802"/>
    <s v="M.A.D Serv y mant eléctri SAN MIGUEL DE TUCUMAN 14"/>
    <x v="1472"/>
    <n v="4190802"/>
    <x v="167"/>
    <x v="2"/>
    <s v="pagado"/>
    <s v="pagado"/>
    <x v="0"/>
    <x v="0"/>
  </r>
  <r>
    <n v="3000007011"/>
    <d v="2025-11-25T00:00:00"/>
    <n v="3964795.28"/>
    <s v="RASUK JORGE LUIS YERBA BUENA 14"/>
    <x v="1473"/>
    <n v="3964795.28"/>
    <x v="167"/>
    <x v="2"/>
    <s v="pagado"/>
    <s v="pagado"/>
    <x v="0"/>
    <x v="0"/>
  </r>
  <r>
    <n v="3000007012"/>
    <d v="2025-11-25T00:00:00"/>
    <n v="22019418.219999999"/>
    <s v="CONSTRUNOA S.A.S. ORAN 09"/>
    <x v="1474"/>
    <n v="22019418.219999999"/>
    <x v="167"/>
    <x v="2"/>
    <s v="pagado"/>
    <s v="pagado"/>
    <x v="0"/>
    <x v="0"/>
  </r>
  <r>
    <n v="3000007013"/>
    <d v="2025-11-25T00:00:00"/>
    <n v="4977844.2"/>
    <s v="CAMPOAGRO SRL YERBA BUENA 14"/>
    <x v="1475"/>
    <n v="4977844.2"/>
    <x v="167"/>
    <x v="2"/>
    <s v="pagado"/>
    <s v="pagado"/>
    <x v="0"/>
    <x v="0"/>
  </r>
  <r>
    <n v="3000007014"/>
    <d v="2025-11-25T00:00:00"/>
    <n v="24394399.27"/>
    <s v="ROMERO SERVICIOS S. A. S. ALPACHIRI 14"/>
    <x v="1476"/>
    <n v="24394399.27"/>
    <x v="167"/>
    <x v="2"/>
    <s v="pagado"/>
    <s v="pagado"/>
    <x v="0"/>
    <x v="0"/>
  </r>
  <r>
    <n v="3000007015"/>
    <d v="2025-11-25T00:00:00"/>
    <n v="20035776.559999999"/>
    <s v="PAMPLONA SRL SAN MIGUEL DE TUCUMAN 14"/>
    <x v="1477"/>
    <n v="20035776.559999999"/>
    <x v="167"/>
    <x v="2"/>
    <s v="pagado"/>
    <s v="pagado"/>
    <x v="0"/>
    <x v="0"/>
  </r>
  <r>
    <n v="3000007016"/>
    <d v="2025-11-25T00:00:00"/>
    <n v="39490309.859999999"/>
    <s v="TRUSARELLI CARLOS ALBERTO BANDA DEL RIO SALI 14"/>
    <x v="1478"/>
    <n v="39490309.859999999"/>
    <x v="167"/>
    <x v="2"/>
    <s v="pagado"/>
    <s v="pagado"/>
    <x v="0"/>
    <x v="0"/>
  </r>
  <r>
    <n v="3000007017"/>
    <d v="2025-11-25T00:00:00"/>
    <n v="232695124.11000001"/>
    <s v="CATALANA DE SERVICIOS SRL YERBA BUENA 14"/>
    <x v="1479"/>
    <n v="232695124.11000001"/>
    <x v="167"/>
    <x v="2"/>
    <s v="pagado"/>
    <s v="pagado"/>
    <x v="0"/>
    <x v="0"/>
  </r>
  <r>
    <n v="3000007018"/>
    <d v="2025-11-25T00:00:00"/>
    <n v="15915466.189999999"/>
    <s v="Establecimiento Minero Sofia SElena 03"/>
    <x v="1480"/>
    <n v="15915466.189999999"/>
    <x v="168"/>
    <x v="2"/>
    <s v="pagado"/>
    <s v="pagado"/>
    <x v="0"/>
    <x v="0"/>
  </r>
  <r>
    <n v="3000007019"/>
    <d v="2025-11-25T00:00:00"/>
    <n v="32131914.460000001"/>
    <s v="DECU3 S.R.L. YERBA BUENA 14"/>
    <x v="1481"/>
    <n v="32131914.460000001"/>
    <x v="167"/>
    <x v="2"/>
    <s v="pagado"/>
    <s v="pagado"/>
    <x v="0"/>
    <x v="0"/>
  </r>
  <r>
    <n v="3000007020"/>
    <d v="2025-11-25T00:00:00"/>
    <n v="5416505.7800000003"/>
    <s v="Refrigeracion Norte S.R.L. SAN MIGUEL DE TUCUMAN 14"/>
    <x v="1482"/>
    <n v="5416505.7800000003"/>
    <x v="167"/>
    <x v="2"/>
    <s v="pagado"/>
    <s v="pagado"/>
    <x v="0"/>
    <x v="0"/>
  </r>
  <r>
    <n v="3000007021"/>
    <d v="2025-11-25T00:00:00"/>
    <n v="5674825.6799999997"/>
    <s v="A.F.Gentile Tucumán S.A. SAN MIGUEL DE TUCUMAN 14"/>
    <x v="1483"/>
    <n v="5674825.6799999997"/>
    <x v="167"/>
    <x v="2"/>
    <s v="pagado"/>
    <s v="pagado"/>
    <x v="0"/>
    <x v="0"/>
  </r>
  <r>
    <n v="3000007022"/>
    <d v="2025-11-25T00:00:00"/>
    <n v="4017666.5"/>
    <s v="Cia. Azucarera Los Balcanes S.Ingenio La Florida 14"/>
    <x v="1484"/>
    <n v="4017666.5"/>
    <x v="167"/>
    <x v="2"/>
    <s v="pagado"/>
    <s v="pagado"/>
    <x v="0"/>
    <x v="0"/>
  </r>
  <r>
    <n v="3000007023"/>
    <d v="2025-11-25T00:00:00"/>
    <n v="14941216.560000001"/>
    <s v="CAPETTA ANTONELLA ANAHI SAN MIGUEL DE TUCUMAN 14"/>
    <x v="1485"/>
    <n v="14941216.560000001"/>
    <x v="167"/>
    <x v="2"/>
    <s v="pagado"/>
    <s v="pagado"/>
    <x v="0"/>
    <x v="0"/>
  </r>
  <r>
    <n v="3000007024"/>
    <d v="2025-11-25T00:00:00"/>
    <n v="2116675.71"/>
    <s v="LOGISTICA Y DISTRIBUCION FEDE CAPITAL FEDERAL 00"/>
    <x v="1486"/>
    <n v="2116675.71"/>
    <x v="167"/>
    <x v="2"/>
    <s v="pagado"/>
    <s v="pagado"/>
    <x v="0"/>
    <x v="0"/>
  </r>
  <r>
    <n v="3000007025"/>
    <d v="2025-11-25T00:00:00"/>
    <n v="6323502.0700000003"/>
    <s v="PETROARSA S.A SAN MIGUEL DE TUCUMAN 14"/>
    <x v="1487"/>
    <n v="6323502.0700000003"/>
    <x v="167"/>
    <x v="2"/>
    <s v="pagado"/>
    <s v="pagado"/>
    <x v="0"/>
    <x v="0"/>
  </r>
  <r>
    <n v="3000007026"/>
    <d v="2025-11-25T00:00:00"/>
    <n v="4259943.16"/>
    <s v="MAC DONALD MIGUEL ALEJANDRO BANDA DEL RIO SALI 14"/>
    <x v="1488"/>
    <n v="4259943.16"/>
    <x v="167"/>
    <x v="2"/>
    <s v="pagado"/>
    <s v="pagado"/>
    <x v="0"/>
    <x v="0"/>
  </r>
  <r>
    <n v="3000007027"/>
    <d v="2025-11-25T00:00:00"/>
    <n v="4233015.58"/>
    <s v="JACQUET NORBERTO SALVADOR SAN JOSE 05"/>
    <x v="1489"/>
    <n v="4233015.58"/>
    <x v="167"/>
    <x v="2"/>
    <s v="pagado"/>
    <s v="pagado"/>
    <x v="0"/>
    <x v="0"/>
  </r>
  <r>
    <n v="3000007028"/>
    <d v="2025-11-25T00:00:00"/>
    <n v="6906900"/>
    <s v="Silver Freight Logistic SRL CAPITAL FEDERAL 00"/>
    <x v="1490"/>
    <n v="6906900"/>
    <x v="167"/>
    <x v="2"/>
    <s v="pagado"/>
    <s v="pagado"/>
    <x v="0"/>
    <x v="0"/>
  </r>
  <r>
    <n v="3000007029"/>
    <d v="2025-11-25T00:00:00"/>
    <n v="1416155.23"/>
    <s v="RL SOLUCIONES S. A. S. SAN MIGUEL DE TUCUMAN 14"/>
    <x v="1491"/>
    <n v="1416155.23"/>
    <x v="167"/>
    <x v="2"/>
    <s v="pagado"/>
    <s v="pagado"/>
    <x v="0"/>
    <x v="0"/>
  </r>
  <r>
    <n v="3000007031"/>
    <d v="2025-11-26T00:00:00"/>
    <n v="2957550"/>
    <s v="EDET S.A. SAN MIGUEL DE TUCUMAN 14"/>
    <x v="1492"/>
    <n v="2957550"/>
    <x v="169"/>
    <x v="2"/>
    <s v="pagado"/>
    <s v="pagado"/>
    <x v="0"/>
    <x v="0"/>
  </r>
  <r>
    <n v="3000007070"/>
    <d v="2025-11-27T00:00:00"/>
    <n v="35799705"/>
    <s v="Siner S.A. Los Pocitos - T.Viejo 14"/>
    <x v="1493"/>
    <n v="35799705"/>
    <x v="170"/>
    <x v="0"/>
    <s v="pagado"/>
    <s v="pagado"/>
    <x v="0"/>
    <x v="0"/>
  </r>
  <r>
    <n v="3000007070"/>
    <d v="2025-11-27T00:00:00"/>
    <n v="35813360.630000003"/>
    <s v="Siner S.A. Los Pocitos - T.Viejo 14"/>
    <x v="1494"/>
    <n v="35813360.630000003"/>
    <x v="171"/>
    <x v="0"/>
    <s v="pagado"/>
    <s v="pagado"/>
    <x v="0"/>
    <x v="0"/>
  </r>
  <r>
    <n v="3000007116"/>
    <d v="2025-12-01T00:00:00"/>
    <n v="7953819.8600000003"/>
    <s v="Libreria San Pablo S.R.L. SAN MIGUEL DE TUCUMAN 14"/>
    <x v="1495"/>
    <n v="7953819.8600000003"/>
    <x v="154"/>
    <x v="0"/>
    <s v="pagado"/>
    <s v="pagado"/>
    <x v="0"/>
    <x v="0"/>
  </r>
  <r>
    <n v="3000007117"/>
    <d v="2025-12-01T00:00:00"/>
    <n v="8575630"/>
    <s v="Buloneria Reginato S.R.L SAN MIGUEL DE TUCUMAN 14"/>
    <x v="1496"/>
    <n v="8575630"/>
    <x v="154"/>
    <x v="0"/>
    <s v="pagado"/>
    <s v="pagado"/>
    <x v="0"/>
    <x v="0"/>
  </r>
  <r>
    <n v="3000007118"/>
    <d v="2025-12-01T00:00:00"/>
    <n v="10449918.32"/>
    <s v="SMART SEGURIDAD SA YERBA BUENA 14"/>
    <x v="1497"/>
    <n v="10449918.32"/>
    <x v="154"/>
    <x v="0"/>
    <s v="pagado"/>
    <s v="pagado"/>
    <x v="0"/>
    <x v="0"/>
  </r>
  <r>
    <n v="3000007119"/>
    <d v="2025-12-01T00:00:00"/>
    <n v="9868180"/>
    <s v="TUCUMAN PALLET SRL EL MANANTIAL 14"/>
    <x v="1498"/>
    <n v="9868180"/>
    <x v="154"/>
    <x v="0"/>
    <s v="pagado"/>
    <s v="pagado"/>
    <x v="0"/>
    <x v="0"/>
  </r>
  <r>
    <n v="3000007150"/>
    <d v="2025-12-03T00:00:00"/>
    <n v="2501590.2599999998"/>
    <s v="AGROGANADERA DEL NOA CEVIL POZO 14"/>
    <x v="1499"/>
    <n v="2501590.2599999998"/>
    <x v="172"/>
    <x v="0"/>
    <s v="pagado"/>
    <s v="pagado"/>
    <x v="0"/>
    <x v="0"/>
  </r>
  <r>
    <n v="3000007150"/>
    <d v="2025-12-03T00:00:00"/>
    <n v="2837277.53"/>
    <s v="AGROGANADERA DEL NOA CEVIL POZO 14"/>
    <x v="1500"/>
    <n v="2837277.53"/>
    <x v="172"/>
    <x v="0"/>
    <s v="pagado"/>
    <s v="pagado"/>
    <x v="0"/>
    <x v="0"/>
  </r>
  <r>
    <n v="3000007150"/>
    <d v="2025-12-03T00:00:00"/>
    <n v="2770188.59"/>
    <s v="AGROGANADERA DEL NOA CEVIL POZO 14"/>
    <x v="1501"/>
    <n v="2770188.59"/>
    <x v="172"/>
    <x v="0"/>
    <s v="pagado"/>
    <s v="pagado"/>
    <x v="0"/>
    <x v="0"/>
  </r>
  <r>
    <n v="3000007150"/>
    <d v="2025-12-03T00:00:00"/>
    <n v="21393190.530000001"/>
    <s v="AGROGANADERA DEL NOA CEVIL POZO 14"/>
    <x v="1502"/>
    <n v="21393190.530000001"/>
    <x v="173"/>
    <x v="0"/>
    <s v="pagado"/>
    <s v="pagado"/>
    <x v="0"/>
    <x v="0"/>
  </r>
  <r>
    <n v="3000007150"/>
    <d v="2025-12-03T00:00:00"/>
    <n v="5192070"/>
    <s v="AGROGANADERA DEL NOA CEVIL POZO 14"/>
    <x v="1503"/>
    <n v="5192070"/>
    <x v="172"/>
    <x v="0"/>
    <s v="pagado"/>
    <s v="pagado"/>
    <x v="0"/>
    <x v="0"/>
  </r>
  <r>
    <n v="3000007150"/>
    <d v="2025-12-03T00:00:00"/>
    <n v="6441349.8799999999"/>
    <s v="AGROGANADERA DEL NOA CEVIL POZO 14"/>
    <x v="1504"/>
    <n v="6441349.8799999999"/>
    <x v="172"/>
    <x v="0"/>
    <s v="pagado"/>
    <s v="pagado"/>
    <x v="0"/>
    <x v="0"/>
  </r>
  <r>
    <n v="3000007150"/>
    <d v="2025-12-03T00:00:00"/>
    <n v="3727019.63"/>
    <s v="AGROGANADERA DEL NOA CEVIL POZO 14"/>
    <x v="1505"/>
    <n v="3727019.63"/>
    <x v="172"/>
    <x v="0"/>
    <s v="pagado"/>
    <s v="pagado"/>
    <x v="0"/>
    <x v="0"/>
  </r>
  <r>
    <n v="3000007150"/>
    <d v="2025-12-03T00:00:00"/>
    <n v="3063742.04"/>
    <s v="AGROGANADERA DEL NOA CEVIL POZO 14"/>
    <x v="1506"/>
    <n v="3063742.04"/>
    <x v="172"/>
    <x v="0"/>
    <s v="pagado"/>
    <s v="pagado"/>
    <x v="0"/>
    <x v="0"/>
  </r>
  <r>
    <n v="3000007150"/>
    <d v="2025-12-03T00:00:00"/>
    <n v="2366630"/>
    <s v="AGROGANADERA DEL NOA CEVIL POZO 14"/>
    <x v="1507"/>
    <n v="2366630"/>
    <x v="172"/>
    <x v="0"/>
    <s v="pagado"/>
    <s v="pagado"/>
    <x v="0"/>
    <x v="0"/>
  </r>
  <r>
    <n v="3000007150"/>
    <d v="2025-12-03T00:00:00"/>
    <n v="8251343.4000000004"/>
    <s v="AGROGANADERA DEL NOA CEVIL POZO 14"/>
    <x v="1508"/>
    <n v="8251343.4000000004"/>
    <x v="172"/>
    <x v="0"/>
    <s v="pagado"/>
    <s v="pagado"/>
    <x v="0"/>
    <x v="0"/>
  </r>
  <r>
    <n v="3000007150"/>
    <d v="2025-12-03T00:00:00"/>
    <n v="3862482.91"/>
    <s v="AGROGANADERA DEL NOA CEVIL POZO 14"/>
    <x v="1509"/>
    <n v="3862482.91"/>
    <x v="172"/>
    <x v="0"/>
    <s v="pagado"/>
    <s v="pagado"/>
    <x v="0"/>
    <x v="0"/>
  </r>
  <r>
    <n v="3000007150"/>
    <d v="2025-12-03T00:00:00"/>
    <n v="1319222.54"/>
    <s v="AGROGANADERA DEL NOA CEVIL POZO 14"/>
    <x v="1510"/>
    <n v="1319222.54"/>
    <x v="172"/>
    <x v="0"/>
    <s v="pagado"/>
    <s v="pagado"/>
    <x v="0"/>
    <x v="0"/>
  </r>
  <r>
    <n v="3000007181"/>
    <d v="2025-12-04T00:00:00"/>
    <n v="8056319.5999999996"/>
    <s v="Terminal 4 S.A. Puerto Nuevo 01"/>
    <x v="1511"/>
    <n v="8056319.5999999996"/>
    <x v="174"/>
    <x v="0"/>
    <s v="pagado"/>
    <s v="pagado"/>
    <x v="0"/>
    <x v="0"/>
  </r>
  <r>
    <n v="3000007182"/>
    <d v="2025-12-04T00:00:00"/>
    <n v="9910633.0299999993"/>
    <s v="Dsv Air &amp; Sea SA BUENOS AIRES 01"/>
    <x v="1512"/>
    <n v="9910633.0299999993"/>
    <x v="174"/>
    <x v="0"/>
    <s v="pagado"/>
    <s v="pagado"/>
    <x v="0"/>
    <x v="0"/>
  </r>
  <r>
    <n v="3000007183"/>
    <d v="2025-12-04T00:00:00"/>
    <n v="4260111.08"/>
    <s v="CEMEVA SAS YERBA BUENA 14"/>
    <x v="1513"/>
    <n v="4260111.08"/>
    <x v="174"/>
    <x v="0"/>
    <s v="pagado"/>
    <s v="pagado"/>
    <x v="0"/>
    <x v="0"/>
  </r>
  <r>
    <n v="3000007184"/>
    <d v="2025-12-04T00:00:00"/>
    <n v="12699214.65"/>
    <s v="RL SOLUCIONES S. A. S. SAN MIGUEL DE TUCUMAN 14"/>
    <x v="1514"/>
    <n v="12699214.65"/>
    <x v="174"/>
    <x v="0"/>
    <s v="pagado"/>
    <s v="pagado"/>
    <x v="0"/>
    <x v="0"/>
  </r>
  <r>
    <n v="3000007185"/>
    <d v="2025-12-04T00:00:00"/>
    <n v="4233183.5"/>
    <s v="JACQUET NORBERTO SALVADOR SAN JOSE 05"/>
    <x v="1515"/>
    <n v="4233183.5"/>
    <x v="174"/>
    <x v="0"/>
    <s v="pagado"/>
    <s v="pagado"/>
    <x v="0"/>
    <x v="0"/>
  </r>
  <r>
    <n v="3000007186"/>
    <d v="2025-12-04T00:00:00"/>
    <n v="15387483.01"/>
    <s v="CAPETTA ANTONELLA ANAHI SAN MIGUEL DE TUCUMAN 14"/>
    <x v="1516"/>
    <n v="15387483.01"/>
    <x v="174"/>
    <x v="0"/>
    <s v="pagado"/>
    <s v="pagado"/>
    <x v="0"/>
    <x v="0"/>
  </r>
  <r>
    <n v="3000007187"/>
    <d v="2025-12-04T00:00:00"/>
    <n v="4260111.08"/>
    <s v="MAC DONALD MIGUEL ALEJANDRO BANDA DEL RIO SALI 14"/>
    <x v="1517"/>
    <n v="4260111.08"/>
    <x v="174"/>
    <x v="0"/>
    <s v="pagado"/>
    <s v="pagado"/>
    <x v="0"/>
    <x v="0"/>
  </r>
  <r>
    <n v="3000007226"/>
    <d v="2025-12-09T00:00:00"/>
    <n v="22000000"/>
    <s v="HORMECO S.R.L SAN MIGUEL DE TUCUMAN 14"/>
    <x v="1518"/>
    <n v="22000000"/>
    <x v="175"/>
    <x v="0"/>
    <s v="pagado"/>
    <s v="pagado"/>
    <x v="0"/>
    <x v="0"/>
  </r>
  <r>
    <n v="3000007226"/>
    <d v="2025-12-09T00:00:00"/>
    <n v="22000000"/>
    <s v="HORMECO S.R.L SAN MIGUEL DE TUCUMAN 14"/>
    <x v="1519"/>
    <n v="22000000"/>
    <x v="176"/>
    <x v="0"/>
    <s v="pagado"/>
    <s v="pagado"/>
    <x v="0"/>
    <x v="0"/>
  </r>
  <r>
    <n v="3000007226"/>
    <d v="2025-12-09T00:00:00"/>
    <n v="21631711.25"/>
    <s v="HORMECO S.R.L SAN MIGUEL DE TUCUMAN 14"/>
    <x v="1520"/>
    <n v="21631711.25"/>
    <x v="177"/>
    <x v="0"/>
    <s v="pagado"/>
    <s v="pagado"/>
    <x v="0"/>
    <x v="0"/>
  </r>
  <r>
    <n v="3000007227"/>
    <d v="2025-12-09T00:00:00"/>
    <n v="6000000"/>
    <s v="ECOGREEN SRL SAN MIGUEL DE TUCUMAN 14"/>
    <x v="1521"/>
    <n v="6000000"/>
    <x v="168"/>
    <x v="0"/>
    <s v="pagado"/>
    <s v="pagado"/>
    <x v="0"/>
    <x v="0"/>
  </r>
  <r>
    <n v="3000007227"/>
    <d v="2025-12-09T00:00:00"/>
    <n v="6000000"/>
    <s v="ECOGREEN SRL SAN MIGUEL DE TUCUMAN 14"/>
    <x v="1522"/>
    <n v="6000000"/>
    <x v="168"/>
    <x v="0"/>
    <s v="pagado"/>
    <s v="pagado"/>
    <x v="0"/>
    <x v="0"/>
  </r>
  <r>
    <n v="3000007227"/>
    <d v="2025-12-09T00:00:00"/>
    <n v="0"/>
    <s v="invalidado med.EOLIVERA -Rechazado"/>
    <x v="1523"/>
    <n v="0"/>
    <x v="168"/>
    <x v="0"/>
    <s v="pagado"/>
    <s v="pagado"/>
    <x v="0"/>
    <x v="0"/>
  </r>
  <r>
    <n v="3000007227"/>
    <d v="2025-12-09T00:00:00"/>
    <n v="5310822.6100000003"/>
    <s v="ECOGREEN SRL SAN MIGUEL DE TUCUMAN 14"/>
    <x v="1524"/>
    <n v="5310822.6100000003"/>
    <x v="168"/>
    <x v="0"/>
    <s v="pagado"/>
    <s v="pagado"/>
    <x v="0"/>
    <x v="0"/>
  </r>
  <r>
    <n v="3000007244"/>
    <d v="2025-12-09T00:00:00"/>
    <n v="3000000"/>
    <s v=". Tucumán"/>
    <x v="1525"/>
    <n v="3000000"/>
    <x v="173"/>
    <x v="0"/>
    <s v="pagado"/>
    <s v="pagado"/>
    <x v="0"/>
    <x v="0"/>
  </r>
  <r>
    <n v="3000007228"/>
    <d v="2025-12-09T00:00:00"/>
    <n v="4259943.16"/>
    <s v="MAC DONALD MIGUEL ALEJANDRO BANDA DEL RIO SALI 14"/>
    <x v="1526"/>
    <n v="4259943.16"/>
    <x v="168"/>
    <x v="0"/>
    <s v="pagado"/>
    <s v="pagado"/>
    <x v="0"/>
    <x v="0"/>
  </r>
  <r>
    <n v="3000007229"/>
    <d v="2025-12-09T00:00:00"/>
    <n v="10797741.789999999"/>
    <s v="CAPETTA ANTONELLA ANAHI SAN MIGUEL DE TUCUMAN 14"/>
    <x v="1527"/>
    <n v="10797741.789999999"/>
    <x v="168"/>
    <x v="0"/>
    <s v="pagado"/>
    <s v="pagado"/>
    <x v="0"/>
    <x v="0"/>
  </r>
  <r>
    <n v="3000007230"/>
    <d v="2025-12-09T00:00:00"/>
    <n v="9918838.0700000003"/>
    <s v="TRANSPORTE FRIOS DEL NORTE S.RSAN MIGUEL DE TUCUMAN 14"/>
    <x v="1528"/>
    <n v="9918838.0700000003"/>
    <x v="168"/>
    <x v="0"/>
    <s v="pagado"/>
    <s v="pagado"/>
    <x v="0"/>
    <x v="0"/>
  </r>
  <r>
    <n v="3000007231"/>
    <d v="2025-12-09T00:00:00"/>
    <n v="4233015.58"/>
    <s v="RL SOLUCIONES S. A. S. SAN MIGUEL DE TUCUMAN 14"/>
    <x v="1529"/>
    <n v="4233015.58"/>
    <x v="168"/>
    <x v="0"/>
    <s v="pagado"/>
    <s v="pagado"/>
    <x v="0"/>
    <x v="0"/>
  </r>
  <r>
    <n v="3000007232"/>
    <d v="2025-12-09T00:00:00"/>
    <n v="6987960"/>
    <s v="CONTROL UNION NORTE S.A YERBA BUENA 14"/>
    <x v="1530"/>
    <n v="6987960"/>
    <x v="168"/>
    <x v="0"/>
    <s v="pagado"/>
    <s v="pagado"/>
    <x v="0"/>
    <x v="0"/>
  </r>
  <r>
    <n v="3000007233"/>
    <d v="2025-12-09T00:00:00"/>
    <n v="11761645.800000001"/>
    <s v="Roda Transformecanica Serv.SRLSAN MIGUEL DE TUCUMAN 14"/>
    <x v="1531"/>
    <n v="11761645.800000001"/>
    <x v="168"/>
    <x v="0"/>
    <s v="pagado"/>
    <s v="pagado"/>
    <x v="0"/>
    <x v="0"/>
  </r>
  <r>
    <n v="3000007234"/>
    <d v="2025-12-09T00:00:00"/>
    <n v="5068380.9000000004"/>
    <s v="VISMA ARGENTINA SA CAPITAL FEDERAL 14"/>
    <x v="1532"/>
    <n v="5068380.9000000004"/>
    <x v="168"/>
    <x v="0"/>
    <s v="pagado"/>
    <s v="pagado"/>
    <x v="0"/>
    <x v="0"/>
  </r>
  <r>
    <n v="3000007235"/>
    <d v="2025-12-09T00:00:00"/>
    <n v="4913173.05"/>
    <s v="Marchese Grandi Meson y Asoc SAN MIGUEL DE TUCUMAN 14"/>
    <x v="1533"/>
    <n v="4913173.05"/>
    <x v="168"/>
    <x v="0"/>
    <s v="pagado"/>
    <s v="pagado"/>
    <x v="0"/>
    <x v="0"/>
  </r>
  <r>
    <n v="3000007236"/>
    <d v="2025-12-09T00:00:00"/>
    <n v="3249241.17"/>
    <s v="BME DISENO Y COMUNICACION SAS CAPITAL FEDERAL 00"/>
    <x v="1534"/>
    <n v="3249241.17"/>
    <x v="168"/>
    <x v="0"/>
    <s v="pagado"/>
    <s v="pagado"/>
    <x v="0"/>
    <x v="0"/>
  </r>
  <r>
    <n v="3000007237"/>
    <d v="2025-12-09T00:00:00"/>
    <n v="9025923.4000000004"/>
    <s v="TEKNOS TECHNOLOGY GROUP SA CAPITAL FEDERAL 00"/>
    <x v="1535"/>
    <n v="9025923.4000000004"/>
    <x v="168"/>
    <x v="0"/>
    <s v="pagado"/>
    <s v="pagado"/>
    <x v="0"/>
    <x v="0"/>
  </r>
  <r>
    <n v="3000007238"/>
    <d v="2025-12-09T00:00:00"/>
    <n v="10090541.4"/>
    <s v="FERRO JOSE NICOLAS FAMAILLA 14"/>
    <x v="1536"/>
    <n v="10090541.4"/>
    <x v="168"/>
    <x v="0"/>
    <s v="pagado"/>
    <s v="pagado"/>
    <x v="0"/>
    <x v="0"/>
  </r>
  <r>
    <n v="3000007239"/>
    <d v="2025-12-09T00:00:00"/>
    <n v="9110594"/>
    <s v="Consultoria en Tecnologia de IBUENOS AIRES 00"/>
    <x v="1537"/>
    <n v="9110594"/>
    <x v="168"/>
    <x v="0"/>
    <s v="pagado"/>
    <s v="pagado"/>
    <x v="0"/>
    <x v="0"/>
  </r>
  <r>
    <n v="3000007240"/>
    <d v="2025-12-09T00:00:00"/>
    <n v="12415377.800000001"/>
    <s v="EL SOL MATERIALES SA SAN MIGUEL DE TUCUMAN 14"/>
    <x v="1538"/>
    <n v="12415377.800000001"/>
    <x v="168"/>
    <x v="0"/>
    <s v="pagado"/>
    <s v="pagado"/>
    <x v="0"/>
    <x v="0"/>
  </r>
  <r>
    <n v="3000007241"/>
    <d v="2025-12-09T00:00:00"/>
    <n v="52125273.729999997"/>
    <s v="Poda Verde SRL SAN MIGUEL DE TUCUMAN 14"/>
    <x v="1539"/>
    <n v="52125273.729999997"/>
    <x v="168"/>
    <x v="0"/>
    <s v="pagado"/>
    <s v="pagado"/>
    <x v="0"/>
    <x v="0"/>
  </r>
  <r>
    <n v="3000007242"/>
    <d v="2025-12-09T00:00:00"/>
    <n v="20452483.57"/>
    <s v="CAMPOAGRO SRL YERBA BUENA 14"/>
    <x v="1540"/>
    <n v="20452483.57"/>
    <x v="168"/>
    <x v="0"/>
    <s v="pagado"/>
    <s v="pagado"/>
    <x v="0"/>
    <x v="0"/>
  </r>
  <r>
    <n v="3000007243"/>
    <d v="2025-12-09T00:00:00"/>
    <n v="199568481.24000001"/>
    <s v="CATALANA DE SERVICIOS SRL YERBA BUENA 14"/>
    <x v="1541"/>
    <n v="199568481.24000001"/>
    <x v="168"/>
    <x v="0"/>
    <s v="pagado"/>
    <s v="pagado"/>
    <x v="0"/>
    <x v="0"/>
  </r>
  <r>
    <n v="3000007292"/>
    <d v="2025-12-11T00:00:00"/>
    <n v="30000000"/>
    <s v="MG SERVICIOS AGROPECUARIOS SASTAFI VIEJO 14"/>
    <x v="1542"/>
    <n v="30000000"/>
    <x v="178"/>
    <x v="0"/>
    <s v="pagado"/>
    <s v="pagado"/>
    <x v="0"/>
    <x v="0"/>
  </r>
  <r>
    <n v="3000007292"/>
    <d v="2025-12-11T00:00:00"/>
    <n v="14561285.220000001"/>
    <s v="MG SERVICIOS AGROPECUARIOS SASTAFI VIEJO 14"/>
    <x v="1543"/>
    <n v="14561285.220000001"/>
    <x v="168"/>
    <x v="0"/>
    <s v="pagado"/>
    <s v="pagado"/>
    <x v="0"/>
    <x v="0"/>
  </r>
  <r>
    <n v="3000007334"/>
    <d v="2025-12-12T00:00:00"/>
    <n v="25698560"/>
    <s v="EDET S.A. SAN MIGUEL DE TUCUMAN 14"/>
    <x v="1544"/>
    <n v="25698560"/>
    <x v="178"/>
    <x v="0"/>
    <s v="pagado"/>
    <s v="pagado"/>
    <x v="0"/>
    <x v="0"/>
  </r>
  <r>
    <n v="3000007335"/>
    <d v="2025-12-12T00:00:00"/>
    <n v="15138130.279999999"/>
    <s v="AGRO BAYER SRL CAPITAL FEDERAL 00"/>
    <x v="1545"/>
    <n v="15138130.279999999"/>
    <x v="178"/>
    <x v="0"/>
    <s v="pagado"/>
    <s v="pagado"/>
    <x v="0"/>
    <x v="0"/>
  </r>
  <r>
    <n v="3000007379"/>
    <d v="2025-12-15T00:00:00"/>
    <n v="7500000"/>
    <s v="CAFELI S.R.L. SAN MIGUEL DE TUCUMAN 14"/>
    <x v="1546"/>
    <n v="7500000"/>
    <x v="179"/>
    <x v="2"/>
    <s v="pagado"/>
    <s v="pagado"/>
    <x v="0"/>
    <x v="0"/>
  </r>
  <r>
    <n v="3000007379"/>
    <d v="2025-12-15T00:00:00"/>
    <n v="7500000"/>
    <s v="CAFELI S.R.L. SAN MIGUEL DE TUCUMAN 14"/>
    <x v="1547"/>
    <n v="7500000"/>
    <x v="179"/>
    <x v="2"/>
    <s v="pagado"/>
    <s v="pagado"/>
    <x v="0"/>
    <x v="0"/>
  </r>
  <r>
    <n v="3000007379"/>
    <d v="2025-12-15T00:00:00"/>
    <n v="7500000"/>
    <s v="CAFELI S.R.L. SAN MIGUEL DE TUCUMAN 14"/>
    <x v="1548"/>
    <n v="7500000"/>
    <x v="180"/>
    <x v="2"/>
    <s v="pagado"/>
    <s v="pagado"/>
    <x v="0"/>
    <x v="0"/>
  </r>
  <r>
    <n v="3000007379"/>
    <d v="2025-12-15T00:00:00"/>
    <n v="7577609.0999999996"/>
    <s v="CAFELI S.R.L. SAN MIGUEL DE TUCUMAN 14"/>
    <x v="1549"/>
    <n v="7577609.0999999996"/>
    <x v="180"/>
    <x v="2"/>
    <s v="pagado"/>
    <s v="pagado"/>
    <x v="0"/>
    <x v="0"/>
  </r>
  <r>
    <n v="3000007371"/>
    <d v="2025-12-15T00:00:00"/>
    <n v="12329601.82"/>
    <s v="Establecimiento Minero Sofia SElena 03"/>
    <x v="1550"/>
    <n v="12329601.82"/>
    <x v="129"/>
    <x v="2"/>
    <s v="pagado"/>
    <s v="pagado"/>
    <x v="0"/>
    <x v="0"/>
  </r>
  <r>
    <n v="3000007372"/>
    <d v="2025-12-15T00:00:00"/>
    <n v="6461513.2000000002"/>
    <s v="RC CONSULTORES S.R.L BARRIO LOS GIGANTES 03"/>
    <x v="1551"/>
    <n v="6461513.2000000002"/>
    <x v="129"/>
    <x v="2"/>
    <s v="pagado"/>
    <s v="pagado"/>
    <x v="0"/>
    <x v="0"/>
  </r>
  <r>
    <n v="3000007373"/>
    <d v="2025-12-15T00:00:00"/>
    <n v="49284747.119999997"/>
    <s v="Jeblab S.R.L. YERBA BUENA 14"/>
    <x v="1552"/>
    <n v="49284747.119999997"/>
    <x v="129"/>
    <x v="2"/>
    <s v="pagado"/>
    <s v="pagado"/>
    <x v="0"/>
    <x v="0"/>
  </r>
  <r>
    <n v="3000007374"/>
    <d v="2025-12-15T00:00:00"/>
    <n v="5067370"/>
    <s v="GRUPO ADAL SRL SAN MIGUEL DE TUCUMAN 14"/>
    <x v="1553"/>
    <n v="5067370"/>
    <x v="129"/>
    <x v="2"/>
    <s v="pagado"/>
    <s v="pagado"/>
    <x v="0"/>
    <x v="0"/>
  </r>
  <r>
    <n v="3000007375"/>
    <d v="2025-12-15T00:00:00"/>
    <n v="17057605"/>
    <s v="GALINDO CONSTRUCCIONES SRL SAN MIGUEL DE TUCUMAN 14"/>
    <x v="1554"/>
    <n v="17057605"/>
    <x v="181"/>
    <x v="2"/>
    <s v="pagado"/>
    <s v="pagado"/>
    <x v="0"/>
    <x v="0"/>
  </r>
  <r>
    <n v="3000007376"/>
    <d v="2025-12-15T00:00:00"/>
    <n v="14830193.33"/>
    <s v="CANDYNORTE SRL SAN PABLO 14"/>
    <x v="1555"/>
    <n v="14830193.33"/>
    <x v="129"/>
    <x v="2"/>
    <s v="pagado"/>
    <s v="pagado"/>
    <x v="0"/>
    <x v="0"/>
  </r>
  <r>
    <n v="3000007377"/>
    <d v="2025-12-15T00:00:00"/>
    <n v="5019561.09"/>
    <s v="MICHELI SOSA MARIA GUADALUPE SAN MIGUEL DE TUCUMAN 14"/>
    <x v="1556"/>
    <n v="5019561.09"/>
    <x v="129"/>
    <x v="2"/>
    <s v="pagado"/>
    <s v="pagado"/>
    <x v="0"/>
    <x v="0"/>
  </r>
  <r>
    <n v="3000007378"/>
    <d v="2025-12-15T00:00:00"/>
    <n v="9863700"/>
    <s v="TUCUMAN PALLET SRL EL MANANTIAL 14"/>
    <x v="1557"/>
    <n v="9863700"/>
    <x v="179"/>
    <x v="2"/>
    <s v="pagado"/>
    <s v="pagado"/>
    <x v="0"/>
    <x v="0"/>
  </r>
  <r>
    <n v="3000007380"/>
    <d v="2025-12-15T00:00:00"/>
    <n v="15773880.84"/>
    <s v="SAN CRISTOBAL SMSG ROSARIO 12"/>
    <x v="1558"/>
    <n v="15773880.84"/>
    <x v="179"/>
    <x v="2"/>
    <s v="pagado"/>
    <s v="pagado"/>
    <x v="0"/>
    <x v="0"/>
  </r>
  <r>
    <n v="3000007381"/>
    <d v="2025-12-15T00:00:00"/>
    <n v="15238103.4"/>
    <s v="POWERFLEET ARGENTINA SA CAPITAL FEDERAL 00"/>
    <x v="1559"/>
    <n v="15238103.4"/>
    <x v="180"/>
    <x v="2"/>
    <s v="pagado"/>
    <s v="pagado"/>
    <x v="0"/>
    <x v="0"/>
  </r>
  <r>
    <n v="3000007382"/>
    <d v="2025-12-15T00:00:00"/>
    <n v="2837393.4"/>
    <s v="COOPTRAR LTDA SAN MIGUEL DE TUCUMAN 14"/>
    <x v="1560"/>
    <n v="2837393.4"/>
    <x v="180"/>
    <x v="2"/>
    <s v="pagado"/>
    <s v="pagado"/>
    <x v="0"/>
    <x v="0"/>
  </r>
  <r>
    <n v="3000007383"/>
    <d v="2025-12-15T00:00:00"/>
    <n v="6003987.5"/>
    <s v="VISMA ARGENTINA SA CAPITAL FEDERAL 14"/>
    <x v="1561"/>
    <n v="6003987.5"/>
    <x v="180"/>
    <x v="2"/>
    <s v="pagado"/>
    <s v="pagado"/>
    <x v="0"/>
    <x v="0"/>
  </r>
  <r>
    <n v="3000007384"/>
    <d v="2025-12-15T00:00:00"/>
    <n v="5235682.05"/>
    <s v="EL SOL MATERIALES SA SAN MIGUEL DE TUCUMAN 14"/>
    <x v="1562"/>
    <n v="5235682.05"/>
    <x v="180"/>
    <x v="2"/>
    <s v="pagado"/>
    <s v="pagado"/>
    <x v="0"/>
    <x v="0"/>
  </r>
  <r>
    <n v="3000006205"/>
    <d v="2025-12-15T00:00:00"/>
    <n v="1361061.93"/>
    <s v="GONZALEZ SANTIAGO ROQUE TAFI VIEJO 14"/>
    <x v="1563"/>
    <n v="1361061.93"/>
    <x v="129"/>
    <x v="2"/>
    <s v="pagado"/>
    <s v="pagado"/>
    <x v="0"/>
    <x v="0"/>
  </r>
  <r>
    <n v="3000007369"/>
    <d v="2025-12-15T00:00:00"/>
    <n v="687000"/>
    <s v=". Tucumán"/>
    <x v="1564"/>
    <n v="687000"/>
    <x v="182"/>
    <x v="0"/>
    <s v="pagado"/>
    <s v="pagado"/>
    <x v="0"/>
    <x v="0"/>
  </r>
  <r>
    <n v="3000007370"/>
    <d v="2025-12-15T00:00:00"/>
    <n v="2831611.26"/>
    <s v="Fondo Fijo Administracion CitrNO TIENE"/>
    <x v="1565"/>
    <n v="2831611.26"/>
    <x v="182"/>
    <x v="0"/>
    <s v="pagado"/>
    <s v="pagado"/>
    <x v="0"/>
    <x v="0"/>
  </r>
  <r>
    <n v="3000007441"/>
    <d v="2025-12-17T00:00:00"/>
    <n v="8290612.7999999998"/>
    <s v="Terminal 4 S.A. Puerto Nuevo 01"/>
    <x v="1566"/>
    <n v="8290612.7999999998"/>
    <x v="183"/>
    <x v="0"/>
    <s v="pagado"/>
    <s v="pagado"/>
    <x v="0"/>
    <x v="0"/>
  </r>
  <r>
    <n v="3000007442"/>
    <d v="2025-12-17T00:00:00"/>
    <n v="4233015.58"/>
    <s v="VILLAGRA VELEZ ROQUE RICARDO SAN MIGUEL DE TUCUMAN 14"/>
    <x v="1567"/>
    <n v="4233015.58"/>
    <x v="183"/>
    <x v="0"/>
    <s v="pagado"/>
    <s v="pagado"/>
    <x v="0"/>
    <x v="0"/>
  </r>
  <r>
    <n v="3000007443"/>
    <d v="2025-12-17T00:00:00"/>
    <n v="7439002.6200000001"/>
    <s v="TRANSPORTE FRIOS DEL NORTE S.RSAN MIGUEL DE TUCUMAN 14"/>
    <x v="1568"/>
    <n v="7439002.6200000001"/>
    <x v="183"/>
    <x v="0"/>
    <s v="pagado"/>
    <s v="pagado"/>
    <x v="0"/>
    <x v="0"/>
  </r>
  <r>
    <n v="3000007444"/>
    <d v="2025-12-17T00:00:00"/>
    <n v="12806757.050000001"/>
    <s v="CAPETTA ANTONELLA ANAHI SAN MIGUEL DE TUCUMAN 14"/>
    <x v="1569"/>
    <n v="12806757.050000001"/>
    <x v="183"/>
    <x v="0"/>
    <s v="pagado"/>
    <s v="pagado"/>
    <x v="0"/>
    <x v="0"/>
  </r>
  <r>
    <n v="3000007445"/>
    <d v="2025-12-17T00:00:00"/>
    <n v="4233015.58"/>
    <s v="JACQUET NORBERTO SALVADOR SAN JOSE 05"/>
    <x v="1570"/>
    <n v="4233015.58"/>
    <x v="183"/>
    <x v="0"/>
    <s v="pagado"/>
    <s v="pagado"/>
    <x v="0"/>
    <x v="0"/>
  </r>
  <r>
    <n v="3000007446"/>
    <d v="2025-12-17T00:00:00"/>
    <n v="19412454.25"/>
    <s v="Transportes La Sevillanita S.RALDERETES 14"/>
    <x v="1571"/>
    <n v="19412454.25"/>
    <x v="183"/>
    <x v="0"/>
    <s v="pagado"/>
    <s v="pagado"/>
    <x v="0"/>
    <x v="0"/>
  </r>
  <r>
    <n v="3000007507"/>
    <d v="2025-12-22T00:00:00"/>
    <n v="14815554.529999999"/>
    <s v="RL SOLUCIONES S. A. S. SAN MIGUEL DE TUCUMAN 14"/>
    <x v="1572"/>
    <n v="14815554.529999999"/>
    <x v="184"/>
    <x v="0"/>
    <s v="pagado"/>
    <s v="pagado"/>
    <x v="0"/>
    <x v="0"/>
  </r>
  <r>
    <n v="3000007508"/>
    <d v="2025-12-22T00:00:00"/>
    <n v="8239407.4000000004"/>
    <s v="CARRASCO JUAN CARLOS BANDA DEL RIO SALI 14"/>
    <x v="1573"/>
    <n v="8239407.4000000004"/>
    <x v="184"/>
    <x v="0"/>
    <s v="pagado"/>
    <s v="pagado"/>
    <x v="0"/>
    <x v="0"/>
  </r>
  <r>
    <n v="3000007509"/>
    <d v="2025-12-22T00:00:00"/>
    <n v="27173334.66"/>
    <s v="Consultoria en Tecnologia de IBUENOS AIRES 00"/>
    <x v="1574"/>
    <n v="27173334.66"/>
    <x v="184"/>
    <x v="0"/>
    <s v="pagado"/>
    <s v="pagado"/>
    <x v="0"/>
    <x v="0"/>
  </r>
  <r>
    <n v="3000007510"/>
    <d v="2025-12-22T00:00:00"/>
    <n v="7400693.4000000004"/>
    <s v="GROUND SAS YERBA BUENA 14"/>
    <x v="1575"/>
    <n v="7400693.4000000004"/>
    <x v="184"/>
    <x v="0"/>
    <s v="pagado"/>
    <s v="pagado"/>
    <x v="0"/>
    <x v="0"/>
  </r>
  <r>
    <n v="3000007511"/>
    <d v="2025-12-22T00:00:00"/>
    <n v="36987408.530000001"/>
    <s v="NOBEN SRL SAN MIGUEL DE TUCUMAN 14"/>
    <x v="1576"/>
    <n v="36987408.530000001"/>
    <x v="184"/>
    <x v="0"/>
    <s v="pagado"/>
    <s v="pagado"/>
    <x v="0"/>
    <x v="0"/>
  </r>
  <r>
    <n v="3000007512"/>
    <d v="2025-12-22T00:00:00"/>
    <n v="13268383.810000001"/>
    <s v="EL SOL MATERIALES SA SAN MIGUEL DE TUCUMAN 14"/>
    <x v="1577"/>
    <n v="13268383.810000001"/>
    <x v="184"/>
    <x v="0"/>
    <s v="pagado"/>
    <s v="pagado"/>
    <x v="0"/>
    <x v="0"/>
  </r>
  <r>
    <n v="3000007513"/>
    <d v="2025-12-22T00:00:00"/>
    <n v="12145106.65"/>
    <s v="PAMPLONA SRL SAN MIGUEL DE TUCUMAN 14"/>
    <x v="1578"/>
    <n v="12145106.65"/>
    <x v="184"/>
    <x v="0"/>
    <s v="pagado"/>
    <s v="pagado"/>
    <x v="0"/>
    <x v="0"/>
  </r>
  <r>
    <n v="3000007514"/>
    <d v="2025-12-22T00:00:00"/>
    <n v="10585510.08"/>
    <s v="ROMERO SERVICIOS S. A. S. ALPACHIRI 14"/>
    <x v="1579"/>
    <n v="10585510.08"/>
    <x v="184"/>
    <x v="0"/>
    <s v="pagado"/>
    <s v="pagado"/>
    <x v="0"/>
    <x v="0"/>
  </r>
  <r>
    <n v="3000007515"/>
    <d v="2025-12-22T00:00:00"/>
    <n v="8748387.8599999994"/>
    <s v="Establecimiento Minero Sofia SElena 03"/>
    <x v="1580"/>
    <n v="8748387.8599999994"/>
    <x v="184"/>
    <x v="0"/>
    <s v="pagado"/>
    <s v="pagado"/>
    <x v="0"/>
    <x v="0"/>
  </r>
  <r>
    <n v="3000007516"/>
    <d v="2025-12-22T00:00:00"/>
    <n v="223718718.72999999"/>
    <s v="CATALANA DE SERVICIOS SRL YERBA BUENA 14"/>
    <x v="1581"/>
    <n v="223718718.72999999"/>
    <x v="184"/>
    <x v="0"/>
    <s v="pagado"/>
    <s v="pagado"/>
    <x v="0"/>
    <x v="0"/>
  </r>
  <r>
    <n v="3000007517"/>
    <d v="2025-12-22T00:00:00"/>
    <n v="6478122.3200000003"/>
    <s v="CAPETTA ANTONELLA ANAHI SAN MIGUEL DE TUCUMAN 14"/>
    <x v="1582"/>
    <n v="6478122.3200000003"/>
    <x v="184"/>
    <x v="0"/>
    <s v="pagado"/>
    <s v="pagado"/>
    <x v="0"/>
    <x v="0"/>
  </r>
  <r>
    <n v="3000007558"/>
    <d v="2025-12-23T00:00:00"/>
    <n v="156310510"/>
    <s v="EDET S.A."/>
    <x v="1583"/>
    <n v="156310510"/>
    <x v="184"/>
    <x v="2"/>
    <s v="pagado"/>
    <s v="pagado"/>
    <x v="0"/>
    <x v="0"/>
  </r>
  <r>
    <n v="3000007590"/>
    <d v="2025-12-26T00:00:00"/>
    <n v="14686396.1"/>
    <s v="AZ AGRICOLAS S.R.L SAN MIGUEL DE TUCUMAN 14"/>
    <x v="1584"/>
    <n v="14686396.1"/>
    <x v="185"/>
    <x v="2"/>
    <s v="pagado"/>
    <s v="pagado"/>
    <x v="0"/>
    <x v="0"/>
  </r>
  <r>
    <n v="3000007591"/>
    <d v="2025-12-26T00:00:00"/>
    <n v="14691201.279999999"/>
    <s v="ADLER HASENCLEVER Y ASOCIADOS BUENOS AIRES 01"/>
    <x v="1585"/>
    <n v="14691201.279999999"/>
    <x v="185"/>
    <x v="2"/>
    <s v="pagado"/>
    <s v="pagado"/>
    <x v="0"/>
    <x v="0"/>
  </r>
  <r>
    <n v="3000007592"/>
    <d v="2025-12-26T00:00:00"/>
    <n v="3050226.7"/>
    <s v="Transportes La Sevillanita S.RALDERETES 14"/>
    <x v="1586"/>
    <n v="3050226.7"/>
    <x v="186"/>
    <x v="2"/>
    <s v="pagado"/>
    <s v="pagado"/>
    <x v="0"/>
    <x v="0"/>
  </r>
  <r>
    <n v="3000007593"/>
    <d v="2025-12-26T00:00:00"/>
    <n v="2243497.88"/>
    <s v="VILLAGRA VELEZ ROQUE RICARDO SAN MIGUEL DE TUCUMAN 14"/>
    <x v="1587"/>
    <n v="2243497.88"/>
    <x v="186"/>
    <x v="2"/>
    <s v="no pagado"/>
    <s v="fuera de fecha"/>
    <x v="0"/>
    <x v="0"/>
  </r>
  <r>
    <n v="3000007594"/>
    <d v="2025-12-26T00:00:00"/>
    <n v="8847001.4299999997"/>
    <s v="JACQUET NORBERTO SALVADOR SAN JOSE 05"/>
    <x v="1588"/>
    <n v="8847001.4299999997"/>
    <x v="186"/>
    <x v="2"/>
    <s v="pagado"/>
    <s v="pagado"/>
    <x v="0"/>
    <x v="0"/>
  </r>
  <r>
    <n v="3000007595"/>
    <d v="2025-12-26T00:00:00"/>
    <n v="6645510.5700000003"/>
    <s v="MAC DONALD MIGUEL ALEJANDRO BANDA DEL RIO SALI 14"/>
    <x v="1589"/>
    <n v="6645510.5700000003"/>
    <x v="186"/>
    <x v="2"/>
    <s v="pagado"/>
    <s v="pagado"/>
    <x v="0"/>
    <x v="0"/>
  </r>
  <r>
    <n v="3000007596"/>
    <d v="2025-12-26T00:00:00"/>
    <n v="9970448.9199999999"/>
    <s v="INTER AMERICAN CARGO GROUP S.ACIUDAD AUTONOMA DE BUENOS AIRES 01"/>
    <x v="1590"/>
    <n v="9970448.9199999999"/>
    <x v="186"/>
    <x v="2"/>
    <s v="pagado"/>
    <s v="pagado"/>
    <x v="0"/>
    <x v="0"/>
  </r>
  <r>
    <n v="3000007597"/>
    <d v="2025-12-26T00:00:00"/>
    <n v="21546048.16"/>
    <s v="RL SOLUCIONES S. A. S. SAN MIGUEL DE TUCUMAN 14"/>
    <x v="1591"/>
    <n v="21546048.16"/>
    <x v="186"/>
    <x v="2"/>
    <s v="pagado"/>
    <s v="pagado"/>
    <x v="0"/>
    <x v="0"/>
  </r>
  <r>
    <n v="3000007598"/>
    <d v="2025-12-26T00:00:00"/>
    <n v="26765484.539999999"/>
    <s v="CAPETTA ANTONELLA ANAHI SAN MIGUEL DE TUCUMAN 14"/>
    <x v="1592"/>
    <n v="26765484.539999999"/>
    <x v="186"/>
    <x v="2"/>
    <s v="pagado"/>
    <s v="pagado"/>
    <x v="0"/>
    <x v="0"/>
  </r>
  <r>
    <n v="3000007599"/>
    <d v="2025-12-26T00:00:00"/>
    <n v="10513790.060000001"/>
    <s v="TRANSPORTE FRIOS DEL NORTE S.RSAN MIGUEL DE TUCUMAN 14"/>
    <x v="1593"/>
    <n v="10513790.060000001"/>
    <x v="186"/>
    <x v="2"/>
    <s v="pagado"/>
    <s v="pagado"/>
    <x v="0"/>
    <x v="0"/>
  </r>
  <r>
    <n v="3000000052"/>
    <d v="2026-01-05T00:00:00"/>
    <n v="7822194.8099999996"/>
    <s v="Establecimiento Minero Sofia SElena 03"/>
    <x v="1594"/>
    <n v="7822194.8099999996"/>
    <x v="187"/>
    <x v="0"/>
    <s v="pagado"/>
    <s v="pagado"/>
    <x v="0"/>
    <x v="0"/>
  </r>
  <r>
    <n v="3000000053"/>
    <d v="2026-01-05T00:00:00"/>
    <n v="4267925.32"/>
    <s v="SERV.AGROP VILLA PAPADAKIS S.RSALTA 09"/>
    <x v="1595"/>
    <n v="4267925.32"/>
    <x v="187"/>
    <x v="0"/>
    <s v="pagado"/>
    <s v="pagado"/>
    <x v="0"/>
    <x v="0"/>
  </r>
  <r>
    <n v="3000000054"/>
    <d v="2026-01-05T00:00:00"/>
    <n v="9203943.4000000004"/>
    <s v="SEGURIDAD OMEGA SRL SAN FERNANDO DEL VALLE DE CATAMARCA 02"/>
    <x v="1596"/>
    <n v="9203943.4000000004"/>
    <x v="187"/>
    <x v="0"/>
    <s v="pagado"/>
    <s v="pagado"/>
    <x v="0"/>
    <x v="0"/>
  </r>
  <r>
    <n v="3000000055"/>
    <d v="2026-01-05T00:00:00"/>
    <n v="17081371.809999999"/>
    <s v="CAMPOAGRO SRL YERBA BUENA 14"/>
    <x v="1597"/>
    <n v="17081371.809999999"/>
    <x v="187"/>
    <x v="0"/>
    <s v="pagado"/>
    <s v="pagado"/>
    <x v="0"/>
    <x v="0"/>
  </r>
  <r>
    <n v="3000000056"/>
    <d v="2026-01-05T00:00:00"/>
    <n v="25000000"/>
    <s v="Poda Verde SRL SAN MIGUEL DE TUCUMAN 14"/>
    <x v="1598"/>
    <n v="25000000"/>
    <x v="187"/>
    <x v="0"/>
    <s v="pagado"/>
    <s v="pagado"/>
    <x v="0"/>
    <x v="0"/>
  </r>
  <r>
    <n v="3000000056"/>
    <d v="2026-01-05T00:00:00"/>
    <n v="21105938.68"/>
    <s v="Poda Verde SRL SAN MIGUEL DE TUCUMAN 14"/>
    <x v="1599"/>
    <n v="21105938.68"/>
    <x v="187"/>
    <x v="0"/>
    <s v="pagado"/>
    <s v="pagado"/>
    <x v="0"/>
    <x v="0"/>
  </r>
  <r>
    <n v="3000000057"/>
    <d v="2026-01-05T00:00:00"/>
    <n v="12282235.4"/>
    <s v="TEKNOS TECHNOLOGY GROUP SA CAPITAL FEDERAL 00"/>
    <x v="1600"/>
    <n v="12282235.4"/>
    <x v="187"/>
    <x v="0"/>
    <s v="pagado"/>
    <s v="pagado"/>
    <x v="0"/>
    <x v="0"/>
  </r>
  <r>
    <n v="3000000058"/>
    <d v="2026-01-05T00:00:00"/>
    <n v="5790385.9000000004"/>
    <s v="HIKARI S.A CIUDAD AUTONOMA DE BUENOS AIRES 01"/>
    <x v="1601"/>
    <n v="5790385.9000000004"/>
    <x v="187"/>
    <x v="0"/>
    <s v="pagado"/>
    <s v="pagado"/>
    <x v="0"/>
    <x v="0"/>
  </r>
  <r>
    <n v="3000000059"/>
    <d v="2026-01-05T00:00:00"/>
    <n v="8065794.2999999998"/>
    <s v="Silver Freight Logistic SRL CAPITAL FEDERAL 00"/>
    <x v="1602"/>
    <n v="8065794.2999999998"/>
    <x v="187"/>
    <x v="0"/>
    <s v="pagado"/>
    <s v="pagado"/>
    <x v="0"/>
    <x v="0"/>
  </r>
  <r>
    <n v="3000000060"/>
    <d v="2026-01-05T00:00:00"/>
    <n v="4356152.75"/>
    <s v="LOGISTICA INTERNACIONAL S.A SAN MIGUEL DE TUCUMAN 14"/>
    <x v="1603"/>
    <n v="4356152.75"/>
    <x v="187"/>
    <x v="0"/>
    <s v="pagado"/>
    <s v="pagado"/>
    <x v="0"/>
    <x v="0"/>
  </r>
  <r>
    <n v="3000000105"/>
    <d v="2026-01-09T00:00:00"/>
    <n v="27643314.600000001"/>
    <s v="GEA Westfalia Separator ArgentCAPITAL FEDERAL 00"/>
    <x v="1604"/>
    <n v="27643314.600000001"/>
    <x v="188"/>
    <x v="0"/>
    <s v="pagado"/>
    <s v="pagado"/>
    <x v="0"/>
    <x v="0"/>
  </r>
  <r>
    <n v="3000000170"/>
    <d v="2026-01-12T00:00:00"/>
    <n v="180000000"/>
    <s v="MG SERVICIOS AGROPECUARIOS SASTAFI VIEJO 14"/>
    <x v="1605"/>
    <n v="180000000"/>
    <x v="189"/>
    <x v="0"/>
    <s v="pagado"/>
    <s v="pagado"/>
    <x v="0"/>
    <x v="0"/>
  </r>
  <r>
    <n v="3000000170"/>
    <d v="2026-01-12T00:00:00"/>
    <n v="30000000"/>
    <s v="MG SERVICIOS AGROPECUARIOS SASTAFI VIEJO 14"/>
    <x v="1606"/>
    <n v="30000000"/>
    <x v="190"/>
    <x v="0"/>
    <s v="pagado"/>
    <s v="pagado"/>
    <x v="0"/>
    <x v="0"/>
  </r>
  <r>
    <n v="3000000170"/>
    <d v="2026-01-12T00:00:00"/>
    <n v="22000000"/>
    <s v="MG SERVICIOS AGROPECUARIOS SASTAFI VIEJO 14"/>
    <x v="1607"/>
    <n v="22000000"/>
    <x v="190"/>
    <x v="0"/>
    <s v="pagado"/>
    <s v="pagado"/>
    <x v="0"/>
    <x v="0"/>
  </r>
  <r>
    <n v="3000000170"/>
    <d v="2026-01-12T00:00:00"/>
    <n v="15000000"/>
    <s v="MG SERVICIOS AGROPECUARIOS SASTAFI VIEJO 14"/>
    <x v="1608"/>
    <n v="15000000"/>
    <x v="189"/>
    <x v="0"/>
    <s v="pagado"/>
    <s v="pagado"/>
    <x v="0"/>
    <x v="0"/>
  </r>
  <r>
    <n v="3000000170"/>
    <d v="2026-01-12T00:00:00"/>
    <n v="15000000"/>
    <s v="MG SERVICIOS AGROPECUARIOS SASTAFI VIEJO 14"/>
    <x v="1609"/>
    <n v="15000000"/>
    <x v="189"/>
    <x v="0"/>
    <s v="pagado"/>
    <s v="pagado"/>
    <x v="0"/>
    <x v="0"/>
  </r>
  <r>
    <n v="3000000170"/>
    <d v="2026-01-12T00:00:00"/>
    <n v="6283909.9400000004"/>
    <s v="MG SERVICIOS AGROPECUARIOS SASTAFI VIEJO 14"/>
    <x v="1610"/>
    <n v="6283909.9400000004"/>
    <x v="190"/>
    <x v="0"/>
    <s v="pagado"/>
    <s v="pagado"/>
    <x v="0"/>
    <x v="0"/>
  </r>
  <r>
    <n v="3000000167"/>
    <d v="2026-01-12T00:00:00"/>
    <n v="7984587.8899999997"/>
    <s v="Consultoria en Tecnologia de IBUENOS AIRES 00"/>
    <x v="1611"/>
    <n v="7984587.8899999997"/>
    <x v="191"/>
    <x v="0"/>
    <s v="pagado"/>
    <s v="pagado"/>
    <x v="0"/>
    <x v="0"/>
  </r>
  <r>
    <n v="3000000168"/>
    <d v="2026-01-12T00:00:00"/>
    <n v="6943987.5"/>
    <s v="HIKARI S.A CIUDAD AUTONOMA DE BUENOS AIRES 01"/>
    <x v="1612"/>
    <n v="6943987.5"/>
    <x v="190"/>
    <x v="0"/>
    <s v="pagado"/>
    <s v="pagado"/>
    <x v="0"/>
    <x v="0"/>
  </r>
  <r>
    <n v="3000000169"/>
    <d v="2026-01-12T00:00:00"/>
    <n v="5050299.0199999996"/>
    <s v="NORTE DISTRIBUCIONES S.R.L SAN MIGUEL DE TUCUMAN 14"/>
    <x v="1613"/>
    <n v="5050299.0199999996"/>
    <x v="190"/>
    <x v="0"/>
    <s v="pagado"/>
    <s v="pagado"/>
    <x v="0"/>
    <x v="0"/>
  </r>
  <r>
    <n v="3000000171"/>
    <d v="2026-01-12T00:00:00"/>
    <n v="5608563.4000000004"/>
    <s v="AG SUSTENTABLE SAS CABA 00"/>
    <x v="1614"/>
    <n v="5608563.4000000004"/>
    <x v="170"/>
    <x v="0"/>
    <s v="pagado"/>
    <s v="pagado"/>
    <x v="0"/>
    <x v="0"/>
  </r>
  <r>
    <n v="3000000172"/>
    <d v="2026-01-12T00:00:00"/>
    <n v="9496593.4000000004"/>
    <s v="SEPULVEDA MONTAJES S.R.L. SAN ISIDRO DE LULES 14"/>
    <x v="1615"/>
    <n v="9496593.4000000004"/>
    <x v="189"/>
    <x v="0"/>
    <s v="pagado"/>
    <s v="pagado"/>
    <x v="0"/>
    <x v="0"/>
  </r>
  <r>
    <n v="3000000173"/>
    <d v="2026-01-12T00:00:00"/>
    <n v="14212748.4"/>
    <s v="GEOTECNOLOGIA S.R.L SAN MIGUEL DE TUCUMAN 14"/>
    <x v="1616"/>
    <n v="14212748.4"/>
    <x v="189"/>
    <x v="0"/>
    <s v="pagado"/>
    <s v="pagado"/>
    <x v="0"/>
    <x v="0"/>
  </r>
  <r>
    <n v="3000000174"/>
    <d v="2026-01-12T00:00:00"/>
    <n v="14524218.029999999"/>
    <s v="OLEIROS S.A OLIVOS 01"/>
    <x v="1617"/>
    <n v="14524218.029999999"/>
    <x v="190"/>
    <x v="0"/>
    <s v="pagado"/>
    <s v="pagado"/>
    <x v="0"/>
    <x v="0"/>
  </r>
  <r>
    <n v="3000000218"/>
    <d v="2026-01-14T00:00:00"/>
    <n v="10513957.99"/>
    <s v="TRANSPORTE FRIOS DEL NORTE S.RSAN MIGUEL DE TUCUMAN 14"/>
    <x v="1618"/>
    <n v="10513957.99"/>
    <x v="170"/>
    <x v="0"/>
    <s v="pagado"/>
    <s v="pagado"/>
    <x v="0"/>
    <x v="0"/>
  </r>
  <r>
    <n v="3000000219"/>
    <d v="2026-01-14T00:00:00"/>
    <n v="6773476.4000000004"/>
    <s v="MAC DONALD MIGUEL ALEJANDRO BANDA DEL RIO SALI 14"/>
    <x v="1619"/>
    <n v="6773476.4000000004"/>
    <x v="170"/>
    <x v="0"/>
    <s v="pagado"/>
    <s v="pagado"/>
    <x v="0"/>
    <x v="0"/>
  </r>
  <r>
    <n v="3000000220"/>
    <d v="2026-01-14T00:00:00"/>
    <n v="8974159.4199999999"/>
    <s v="JACQUET NORBERTO SALVADOR SAN JOSE 05"/>
    <x v="1620"/>
    <n v="8974159.4199999999"/>
    <x v="170"/>
    <x v="0"/>
    <s v="pagado"/>
    <s v="pagado"/>
    <x v="0"/>
    <x v="0"/>
  </r>
  <r>
    <n v="3000000221"/>
    <d v="2026-01-14T00:00:00"/>
    <n v="8973991.5"/>
    <s v="RL SOLUCIONES S. A. S. SAN MIGUEL DE TUCUMAN 14"/>
    <x v="1621"/>
    <n v="8973991.5"/>
    <x v="170"/>
    <x v="0"/>
    <s v="pagado"/>
    <s v="pagado"/>
    <x v="0"/>
    <x v="0"/>
  </r>
  <r>
    <n v="3000000222"/>
    <d v="2026-01-14T00:00:00"/>
    <n v="13145224.51"/>
    <s v="CEMEVA SAS YERBA BUENA 14"/>
    <x v="1622"/>
    <n v="13145224.51"/>
    <x v="170"/>
    <x v="0"/>
    <s v="pagado"/>
    <s v="pagado"/>
    <x v="0"/>
    <x v="0"/>
  </r>
  <r>
    <n v="3000000223"/>
    <d v="2026-01-14T00:00:00"/>
    <n v="25360825.710000001"/>
    <s v="CAPETTA ANTONELLA ANAHI SAN MIGUEL DE TUCUMAN 14"/>
    <x v="1623"/>
    <n v="25360825.710000001"/>
    <x v="170"/>
    <x v="0"/>
    <s v="pagado"/>
    <s v="pagado"/>
    <x v="0"/>
    <x v="0"/>
  </r>
  <r>
    <n v="3000000301"/>
    <d v="2026-01-19T00:00:00"/>
    <n v="12000000"/>
    <s v="RL SOLUCIONES S. A. S. SAN MIGUEL DE TUCUMAN 14"/>
    <x v="1624"/>
    <n v="12000000"/>
    <x v="192"/>
    <x v="0"/>
    <s v="pagado"/>
    <s v="pagado"/>
    <x v="0"/>
    <x v="0"/>
  </r>
  <r>
    <n v="3000000301"/>
    <d v="2026-01-19T00:00:00"/>
    <n v="12551486.539999999"/>
    <s v="RL SOLUCIONES S. A. S. SAN MIGUEL DE TUCUMAN 14"/>
    <x v="1625"/>
    <n v="12551486.539999999"/>
    <x v="162"/>
    <x v="0"/>
    <s v="pagado"/>
    <s v="pagado"/>
    <x v="0"/>
    <x v="0"/>
  </r>
  <r>
    <n v="3000000302"/>
    <d v="2026-01-19T00:00:00"/>
    <n v="22000000"/>
    <s v="Jeblab S.R.L. YERBA BUENA 14"/>
    <x v="1626"/>
    <n v="22000000"/>
    <x v="192"/>
    <x v="0"/>
    <s v="pagado"/>
    <s v="pagado"/>
    <x v="0"/>
    <x v="0"/>
  </r>
  <r>
    <n v="3000000302"/>
    <d v="2026-01-19T00:00:00"/>
    <n v="22368343.399999999"/>
    <s v="Jeblab S.R.L. YERBA BUENA 14"/>
    <x v="1627"/>
    <n v="22368343.399999999"/>
    <x v="162"/>
    <x v="0"/>
    <s v="pagado"/>
    <s v="pagado"/>
    <x v="0"/>
    <x v="0"/>
  </r>
  <r>
    <n v="3000000303"/>
    <d v="2026-01-19T00:00:00"/>
    <n v="20000000"/>
    <s v="Sirena Juan Jose SAN MIGUEL DE TUCUMAN 14"/>
    <x v="1628"/>
    <n v="20000000"/>
    <x v="192"/>
    <x v="0"/>
    <s v="pagado"/>
    <s v="pagado"/>
    <x v="0"/>
    <x v="0"/>
  </r>
  <r>
    <n v="3000000303"/>
    <d v="2026-01-19T00:00:00"/>
    <n v="19919277.050000001"/>
    <s v="Sirena Juan Jose SAN MIGUEL DE TUCUMAN 14"/>
    <x v="1629"/>
    <n v="19919277.050000001"/>
    <x v="162"/>
    <x v="0"/>
    <s v="pagado"/>
    <s v="pagado"/>
    <x v="0"/>
    <x v="0"/>
  </r>
  <r>
    <n v="3000000289"/>
    <d v="2026-01-19T00:00:00"/>
    <n v="26036820"/>
    <s v="EDET S.A. SAN MIGUEL DE TUCUMAN 14"/>
    <x v="1630"/>
    <n v="26036820"/>
    <x v="193"/>
    <x v="0"/>
    <s v="pagado"/>
    <s v="pagado"/>
    <x v="0"/>
    <x v="0"/>
  </r>
  <r>
    <n v="3000000291"/>
    <d v="2026-01-19T00:00:00"/>
    <n v="3813525"/>
    <s v="LOBO BENICIO MARTIN ALDERETES 14"/>
    <x v="1631"/>
    <n v="3813525"/>
    <x v="192"/>
    <x v="0"/>
    <s v="pagado"/>
    <s v="pagado"/>
    <x v="0"/>
    <x v="0"/>
  </r>
  <r>
    <n v="3000000292"/>
    <d v="2026-01-19T00:00:00"/>
    <n v="10077823.800000001"/>
    <s v="M.A.D Serv y mant eléctri SAN MIGUEL DE TUCUMAN 14"/>
    <x v="1632"/>
    <n v="10077823.800000001"/>
    <x v="192"/>
    <x v="0"/>
    <s v="pagado"/>
    <s v="pagado"/>
    <x v="0"/>
    <x v="0"/>
  </r>
  <r>
    <n v="3000000293"/>
    <d v="2026-01-19T00:00:00"/>
    <n v="3224588.06"/>
    <s v="CAMPOAGRO SRL YERBA BUENA 14"/>
    <x v="1633"/>
    <n v="3224588.06"/>
    <x v="192"/>
    <x v="0"/>
    <s v="pagado"/>
    <s v="pagado"/>
    <x v="0"/>
    <x v="0"/>
  </r>
  <r>
    <n v="3000000294"/>
    <d v="2026-01-19T00:00:00"/>
    <n v="5545687.6100000003"/>
    <s v="RASUK JORGE LUIS YERBA BUENA 14"/>
    <x v="1634"/>
    <n v="5545687.6100000003"/>
    <x v="192"/>
    <x v="0"/>
    <s v="pagado"/>
    <s v="pagado"/>
    <x v="0"/>
    <x v="0"/>
  </r>
  <r>
    <n v="3000000295"/>
    <d v="2026-01-19T00:00:00"/>
    <n v="16771520.5"/>
    <s v="INDUSTRIAS CONTARDO SAIYC SAN JUSTO 01"/>
    <x v="1635"/>
    <n v="16771520.5"/>
    <x v="192"/>
    <x v="0"/>
    <s v="pagado"/>
    <s v="pagado"/>
    <x v="0"/>
    <x v="0"/>
  </r>
  <r>
    <n v="3000000296"/>
    <d v="2026-01-19T00:00:00"/>
    <n v="5984978.4000000004"/>
    <s v="VISMA ARGENTINA SA CAPITAL FEDERAL 14"/>
    <x v="1636"/>
    <n v="5984978.4000000004"/>
    <x v="192"/>
    <x v="0"/>
    <s v="pagado"/>
    <s v="pagado"/>
    <x v="0"/>
    <x v="0"/>
  </r>
  <r>
    <n v="3000000297"/>
    <d v="2026-01-19T00:00:00"/>
    <n v="17194788.699999999"/>
    <s v="Colombres Federico J. SAN MIGUEL DE TUCUMAN 14"/>
    <x v="1637"/>
    <n v="17194788.699999999"/>
    <x v="192"/>
    <x v="0"/>
    <s v="pagado"/>
    <s v="pagado"/>
    <x v="0"/>
    <x v="0"/>
  </r>
  <r>
    <n v="3000000298"/>
    <d v="2026-01-19T00:00:00"/>
    <n v="10390538.029999999"/>
    <s v="Colombres Federico Jose AdolfoSAN MIGUEL DE TUCUMAN 14"/>
    <x v="1638"/>
    <n v="10390538.029999999"/>
    <x v="192"/>
    <x v="0"/>
    <s v="pagado"/>
    <s v="pagado"/>
    <x v="0"/>
    <x v="0"/>
  </r>
  <r>
    <n v="3000000299"/>
    <d v="2026-01-19T00:00:00"/>
    <n v="8127954.9000000004"/>
    <s v="COLOMBRES GARMENDIA JUAN CRISOYERBA BUENA 14"/>
    <x v="1639"/>
    <n v="8127954.9000000004"/>
    <x v="192"/>
    <x v="0"/>
    <s v="pagado"/>
    <s v="pagado"/>
    <x v="0"/>
    <x v="0"/>
  </r>
  <r>
    <n v="3000000300"/>
    <d v="2026-01-19T00:00:00"/>
    <n v="5760237.8700000001"/>
    <s v="Sergio Scopel SAN MIGUEL DE TUCUMAN 14"/>
    <x v="1640"/>
    <n v="5760237.8700000001"/>
    <x v="192"/>
    <x v="0"/>
    <s v="pagado"/>
    <s v="pagado"/>
    <x v="0"/>
    <x v="0"/>
  </r>
  <r>
    <n v="3000000330"/>
    <d v="2026-01-20T00:00:00"/>
    <n v="4486995.75"/>
    <s v="RL SOLUCIONES S. A. S. SAN MIGUEL DE TUCUMAN 14"/>
    <x v="1641"/>
    <n v="4486995.75"/>
    <x v="176"/>
    <x v="0"/>
    <s v="pagado"/>
    <s v="pagado"/>
    <x v="0"/>
    <x v="0"/>
  </r>
  <r>
    <n v="3000000331"/>
    <d v="2026-01-20T00:00:00"/>
    <n v="4486995.75"/>
    <s v="JACQUET NORBERTO SALVADOR SAN JOSE 05"/>
    <x v="1642"/>
    <n v="4486995.75"/>
    <x v="176"/>
    <x v="0"/>
    <s v="pagado"/>
    <s v="pagado"/>
    <x v="0"/>
    <x v="0"/>
  </r>
  <r>
    <n v="3000000332"/>
    <d v="2026-01-20T00:00:00"/>
    <n v="5256895.03"/>
    <s v="TRANSPORTE FRIOS DEL NORTE S.RSAN MIGUEL DE TUCUMAN 14"/>
    <x v="1643"/>
    <n v="5256895.03"/>
    <x v="176"/>
    <x v="0"/>
    <s v="pagado"/>
    <s v="pagado"/>
    <x v="0"/>
    <x v="0"/>
  </r>
  <r>
    <n v="3000000326"/>
    <d v="2026-01-20T00:00:00"/>
    <n v="25000000"/>
    <s v="BONSUR SA CAPITAL FEDERAL 00"/>
    <x v="1644"/>
    <n v="25000000"/>
    <x v="176"/>
    <x v="0"/>
    <s v="pagado"/>
    <s v="pagado"/>
    <x v="0"/>
    <x v="0"/>
  </r>
  <r>
    <n v="3000000326"/>
    <d v="2026-01-20T00:00:00"/>
    <n v="23280050"/>
    <s v="BONSUR SA CAPITAL FEDERAL 00"/>
    <x v="1645"/>
    <n v="23280050"/>
    <x v="194"/>
    <x v="0"/>
    <s v="pagado"/>
    <s v="pagado"/>
    <x v="0"/>
    <x v="0"/>
  </r>
  <r>
    <n v="3000000325"/>
    <d v="2026-01-20T00:00:00"/>
    <n v="7055961.3499999996"/>
    <s v="Expreso Bisonte S.R.L. BANDA DEL RIO SALI 14"/>
    <x v="1646"/>
    <n v="7055961.3499999996"/>
    <x v="176"/>
    <x v="0"/>
    <s v="pagado"/>
    <s v="pagado"/>
    <x v="0"/>
    <x v="0"/>
  </r>
  <r>
    <n v="3000000327"/>
    <d v="2026-01-20T00:00:00"/>
    <n v="9831266.8000000007"/>
    <s v="Terminal 4 S.A. Puerto Nuevo 01"/>
    <x v="1647"/>
    <n v="9831266.8000000007"/>
    <x v="176"/>
    <x v="0"/>
    <s v="pagado"/>
    <s v="pagado"/>
    <x v="0"/>
    <x v="0"/>
  </r>
  <r>
    <n v="3000000328"/>
    <d v="2026-01-20T00:00:00"/>
    <n v="14613832.859999999"/>
    <s v="INTER AMERICAN CARGO GROUP S.ACIUDAD AUTONOMA DE BUENOS AIRES 01"/>
    <x v="1648"/>
    <n v="14613832.859999999"/>
    <x v="176"/>
    <x v="0"/>
    <s v="pagado"/>
    <s v="pagado"/>
    <x v="0"/>
    <x v="0"/>
  </r>
  <r>
    <n v="3000000329"/>
    <d v="2026-01-20T00:00:00"/>
    <n v="4515538.99"/>
    <s v="MAC DONALD MIGUEL ALEJANDRO BANDA DEL RIO SALI 14"/>
    <x v="1649"/>
    <n v="4515538.99"/>
    <x v="176"/>
    <x v="0"/>
    <s v="pagado"/>
    <s v="pagado"/>
    <x v="0"/>
    <x v="0"/>
  </r>
  <r>
    <n v="3000000355"/>
    <d v="2026-01-21T00:00:00"/>
    <n v="156975000"/>
    <s v="EDET S.A. SAN MIGUEL DE TUCUMAN 14"/>
    <x v="1650"/>
    <n v="156975000"/>
    <x v="192"/>
    <x v="0"/>
    <s v="pagado"/>
    <s v="pagado"/>
    <x v="0"/>
    <x v="0"/>
  </r>
  <r>
    <n v="3000000437"/>
    <d v="2026-01-26T00:00:00"/>
    <n v="9597592.5600000005"/>
    <s v="SEGURIDAD OMEGA SRL"/>
    <x v="1651"/>
    <n v="9597592.5600000005"/>
    <x v="195"/>
    <x v="0"/>
    <s v="pagado"/>
    <s v="pagado"/>
    <x v="0"/>
    <x v="0"/>
  </r>
  <r>
    <n v="3000000438"/>
    <d v="2026-01-26T00:00:00"/>
    <n v="21449825.030000001"/>
    <s v="SMART SEGURIDAD SA"/>
    <x v="1652"/>
    <n v="21449825.030000001"/>
    <x v="195"/>
    <x v="0"/>
    <s v="pagado"/>
    <s v="pagado"/>
    <x v="0"/>
    <x v="0"/>
  </r>
  <r>
    <n v="3000000439"/>
    <d v="2026-01-26T00:00:00"/>
    <n v="3036764.4"/>
    <s v="DIGEX S.R.L."/>
    <x v="1653"/>
    <n v="3036764.4"/>
    <x v="196"/>
    <x v="0"/>
    <s v="pagado"/>
    <s v="pagado"/>
    <x v="0"/>
    <x v="0"/>
  </r>
  <r>
    <n v="3000000440"/>
    <d v="2026-01-26T00:00:00"/>
    <n v="3059020.08"/>
    <s v="Lamontanaro Luis B."/>
    <x v="1654"/>
    <n v="3059020.08"/>
    <x v="196"/>
    <x v="0"/>
    <s v="pagado"/>
    <s v="pagado"/>
    <x v="0"/>
    <x v="0"/>
  </r>
  <r>
    <n v="3000000441"/>
    <d v="2026-01-26T00:00:00"/>
    <n v="256051599.84"/>
    <s v="CATALANA DE SERVICIOS SRL"/>
    <x v="1655"/>
    <n v="256051599.84"/>
    <x v="195"/>
    <x v="0"/>
    <s v="pagado"/>
    <s v="pagado"/>
    <x v="0"/>
    <x v="0"/>
  </r>
  <r>
    <n v="3000000442"/>
    <d v="2026-01-26T00:00:00"/>
    <n v="29747116.050000001"/>
    <s v="PAMPLONA SRL"/>
    <x v="1656"/>
    <n v="29747116.050000001"/>
    <x v="195"/>
    <x v="0"/>
    <s v="pagado"/>
    <s v="pagado"/>
    <x v="0"/>
    <x v="0"/>
  </r>
  <r>
    <n v="3000000443"/>
    <d v="2026-01-26T00:00:00"/>
    <n v="12433472.9"/>
    <s v="ROMERO SERVICIOS S. A. S."/>
    <x v="1657"/>
    <n v="12433472.9"/>
    <x v="195"/>
    <x v="0"/>
    <s v="pagado"/>
    <s v="pagado"/>
    <x v="0"/>
    <x v="0"/>
  </r>
  <r>
    <n v="3000000444"/>
    <d v="2026-01-26T00:00:00"/>
    <n v="13294432.130000001"/>
    <s v="MG SERVICIOS AGROPECUARIOS SAS"/>
    <x v="1658"/>
    <n v="13294432.130000001"/>
    <x v="196"/>
    <x v="0"/>
    <s v="pagado"/>
    <s v="pagado"/>
    <x v="0"/>
    <x v="0"/>
  </r>
  <r>
    <n v="3000000445"/>
    <d v="2026-01-26T00:00:00"/>
    <n v="10690155"/>
    <s v="CITEX SRL"/>
    <x v="1659"/>
    <n v="10690155"/>
    <x v="196"/>
    <x v="0"/>
    <s v="pagado"/>
    <s v="pagado"/>
    <x v="0"/>
    <x v="0"/>
  </r>
  <r>
    <n v="3000000446"/>
    <d v="2026-01-26T00:00:00"/>
    <n v="20362740.280000001"/>
    <s v="CAPETTA ANTONELLA ANAHI"/>
    <x v="1660"/>
    <n v="20362740.280000001"/>
    <x v="196"/>
    <x v="0"/>
    <s v="pagado"/>
    <s v="pagado"/>
    <x v="0"/>
    <x v="0"/>
  </r>
  <r>
    <n v="3000000447"/>
    <d v="2026-01-26T00:00:00"/>
    <n v="2628447.5099999998"/>
    <s v="TRANSPORTE FRIOS DEL NORTE S.R.L"/>
    <x v="1661"/>
    <n v="2628447.5099999998"/>
    <x v="196"/>
    <x v="0"/>
    <s v="pagado"/>
    <s v="pagado"/>
    <x v="0"/>
    <x v="0"/>
  </r>
  <r>
    <n v="3000000448"/>
    <d v="2026-01-26T00:00:00"/>
    <n v="15110549.279999999"/>
    <s v="ADLER HASENCLEVER Y ASOCIADOS SRL"/>
    <x v="1662"/>
    <n v="15110549.279999999"/>
    <x v="196"/>
    <x v="0"/>
    <s v="pagado"/>
    <s v="pagado"/>
    <x v="0"/>
    <x v="0"/>
  </r>
  <r>
    <n v="3000000449"/>
    <d v="2026-01-26T00:00:00"/>
    <n v="13284723.9"/>
    <s v="M.A.D Serv y mant eléctri"/>
    <x v="1663"/>
    <n v="13284723.9"/>
    <x v="197"/>
    <x v="0"/>
    <s v="pagado"/>
    <s v="pagado"/>
    <x v="0"/>
    <x v="0"/>
  </r>
  <r>
    <n v="3000000450"/>
    <d v="2026-01-26T00:00:00"/>
    <n v="9067788"/>
    <s v="TEKNOS TECHNOLOGY GROUP SA"/>
    <x v="1664"/>
    <n v="9067788"/>
    <x v="197"/>
    <x v="0"/>
    <s v="pagado"/>
    <s v="pagado"/>
    <x v="0"/>
    <x v="0"/>
  </r>
  <r>
    <n v="3000000451"/>
    <d v="2026-01-26T00:00:00"/>
    <n v="17748570.359999999"/>
    <s v="Consultoria en Tecnologia de Inform"/>
    <x v="1665"/>
    <n v="17748570.359999999"/>
    <x v="197"/>
    <x v="0"/>
    <s v="pagado"/>
    <s v="pagado"/>
    <x v="0"/>
    <x v="0"/>
  </r>
  <r>
    <n v="3000000453"/>
    <d v="2026-01-26T00:00:00"/>
    <n v="36351559.520000003"/>
    <s v="AGROPECUARIA MUNDO NUEVO SRL"/>
    <x v="1666"/>
    <n v="36351559.520000003"/>
    <x v="195"/>
    <x v="0"/>
    <s v="pagado"/>
    <s v="pagado"/>
    <x v="0"/>
    <x v="0"/>
  </r>
  <r>
    <n v="3000000454"/>
    <d v="2026-01-27T00:00:00"/>
    <n v="19722454.359999999"/>
    <s v="Silver Freight Logistic SRL"/>
    <x v="1667"/>
    <n v="19722454.359999999"/>
    <x v="196"/>
    <x v="0"/>
    <s v="pagado"/>
    <s v="pagado"/>
    <x v="0"/>
    <x v="0"/>
  </r>
  <r>
    <n v="3000000564"/>
    <d v="2026-02-02T00:00:00"/>
    <n v="23775738.850000001"/>
    <s v="Astori Estructuras S.A. Bº Palmar 03"/>
    <x v="1668"/>
    <n v="23775738.850000001"/>
    <x v="198"/>
    <x v="0"/>
    <s v="pagado"/>
    <s v="pagado"/>
    <x v="0"/>
    <x v="0"/>
  </r>
  <r>
    <n v="3000000565"/>
    <d v="2026-02-02T00:00:00"/>
    <n v="7597267"/>
    <s v="Terminal 4 S.A. Puerto Nuevo 01"/>
    <x v="1669"/>
    <n v="7597267"/>
    <x v="199"/>
    <x v="0"/>
    <s v="pagado"/>
    <s v="pagado"/>
    <x v="0"/>
    <x v="0"/>
  </r>
  <r>
    <n v="3000000596"/>
    <d v="2026-02-03T00:00:00"/>
    <n v="11870000"/>
    <s v="HELVETICA SA CAÑADA DE GOMEZ 12"/>
    <x v="1670"/>
    <n v="11870000"/>
    <x v="199"/>
    <x v="0"/>
    <s v="pagado"/>
    <s v="pagado"/>
    <x v="0"/>
    <x v="0"/>
  </r>
  <r>
    <n v="3000000596"/>
    <d v="2026-02-03T00:00:00"/>
    <n v="5275000"/>
    <s v="HELVETICA SA CAÑADA DE GOMEZ 12"/>
    <x v="1671"/>
    <n v="5275000"/>
    <x v="177"/>
    <x v="0"/>
    <s v="pagado"/>
    <s v="pagado"/>
    <x v="0"/>
    <x v="0"/>
  </r>
  <r>
    <n v="3000000596"/>
    <d v="2026-02-03T00:00:00"/>
    <n v="5275000"/>
    <s v="HELVETICA SA CAÑADA DE GOMEZ 12"/>
    <x v="1672"/>
    <n v="5275000"/>
    <x v="200"/>
    <x v="0"/>
    <s v="pagado"/>
    <s v="pagado"/>
    <x v="0"/>
    <x v="0"/>
  </r>
  <r>
    <n v="3000000596"/>
    <d v="2026-02-03T00:00:00"/>
    <n v="5275000"/>
    <s v="HELVETICA SA CAÑADA DE GOMEZ 12"/>
    <x v="1673"/>
    <n v="5275000"/>
    <x v="201"/>
    <x v="0"/>
    <s v="pagado"/>
    <s v="pagado"/>
    <x v="0"/>
    <x v="0"/>
  </r>
  <r>
    <n v="3000000596"/>
    <d v="2026-02-03T00:00:00"/>
    <n v="5275000"/>
    <s v="HELVETICA SA CAÑADA DE GOMEZ 12"/>
    <x v="1674"/>
    <n v="5275000"/>
    <x v="202"/>
    <x v="0"/>
    <s v="pagado"/>
    <s v="pagado"/>
    <x v="0"/>
    <x v="0"/>
  </r>
  <r>
    <n v="3000000596"/>
    <d v="2026-02-03T00:00:00"/>
    <n v="5275000"/>
    <s v="HELVETICA SA CAÑADA DE GOMEZ 12"/>
    <x v="1675"/>
    <n v="5275000"/>
    <x v="203"/>
    <x v="0"/>
    <s v="pagado"/>
    <s v="pagado"/>
    <x v="0"/>
    <x v="0"/>
  </r>
  <r>
    <n v="3000000596"/>
    <d v="2026-02-03T00:00:00"/>
    <n v="5275000"/>
    <s v="HELVETICA SA CAÑADA DE GOMEZ 12"/>
    <x v="1676"/>
    <n v="5275000"/>
    <x v="204"/>
    <x v="0"/>
    <s v="pagado"/>
    <s v="pagado"/>
    <x v="0"/>
    <x v="0"/>
  </r>
  <r>
    <n v="3000000596"/>
    <d v="2026-02-03T00:00:00"/>
    <n v="5275000"/>
    <s v="HELVETICA SA CAÑADA DE GOMEZ 12"/>
    <x v="1677"/>
    <n v="5275000"/>
    <x v="205"/>
    <x v="0"/>
    <s v="pagado"/>
    <s v="pagado"/>
    <x v="0"/>
    <x v="0"/>
  </r>
  <r>
    <n v="3000000596"/>
    <d v="2026-02-03T00:00:00"/>
    <n v="5275000"/>
    <s v="HELVETICA SA CAÑADA DE GOMEZ 12"/>
    <x v="1678"/>
    <n v="5275000"/>
    <x v="206"/>
    <x v="0"/>
    <s v="no pagado"/>
    <s v="en periodo de pago"/>
    <x v="1"/>
    <x v="0"/>
  </r>
  <r>
    <n v="3000000596"/>
    <d v="2026-02-03T00:00:00"/>
    <n v="5278371.3899999997"/>
    <s v="HELVETICA SA CAÑADA DE GOMEZ 12"/>
    <x v="1679"/>
    <n v="5278371.3899999997"/>
    <x v="207"/>
    <x v="0"/>
    <s v="no pagado"/>
    <s v="en periodo de pago"/>
    <x v="1"/>
    <x v="0"/>
  </r>
  <r>
    <n v="3000000590"/>
    <d v="2026-02-03T00:00:00"/>
    <n v="14238071.25"/>
    <s v="Terminal 4 S.A. Puerto Nuevo 01"/>
    <x v="1680"/>
    <n v="14238071.25"/>
    <x v="199"/>
    <x v="0"/>
    <s v="pagado"/>
    <s v="pagado"/>
    <x v="0"/>
    <x v="0"/>
  </r>
  <r>
    <n v="3000000591"/>
    <d v="2026-02-03T00:00:00"/>
    <n v="7153041.7400000002"/>
    <s v="Silver Freight Logistic SRL CAPITAL FEDERAL 00"/>
    <x v="1681"/>
    <n v="7153041.7400000002"/>
    <x v="199"/>
    <x v="0"/>
    <s v="pagado"/>
    <s v="pagado"/>
    <x v="0"/>
    <x v="0"/>
  </r>
  <r>
    <n v="3000000592"/>
    <d v="2026-02-03T00:00:00"/>
    <n v="22435146.670000002"/>
    <s v="RL SOLUCIONES S. A. S. SAN MIGUEL DE TUCUMAN 14"/>
    <x v="1682"/>
    <n v="22435146.670000002"/>
    <x v="208"/>
    <x v="0"/>
    <s v="pagado"/>
    <s v="pagado"/>
    <x v="0"/>
    <x v="0"/>
  </r>
  <r>
    <n v="3000000593"/>
    <d v="2026-02-03T00:00:00"/>
    <n v="8974159.4199999999"/>
    <s v="JACQUET NORBERTO SALVADOR SAN JOSE 05"/>
    <x v="1683"/>
    <n v="8974159.4199999999"/>
    <x v="199"/>
    <x v="0"/>
    <s v="pagado"/>
    <s v="pagado"/>
    <x v="0"/>
    <x v="0"/>
  </r>
  <r>
    <n v="3000000594"/>
    <d v="2026-02-03T00:00:00"/>
    <n v="37544980.119999997"/>
    <s v="BONSUR SA CAPITAL FEDERAL 00"/>
    <x v="1684"/>
    <n v="37544980.119999997"/>
    <x v="208"/>
    <x v="0"/>
    <s v="pagado"/>
    <s v="pagado"/>
    <x v="0"/>
    <x v="0"/>
  </r>
  <r>
    <n v="3000000595"/>
    <d v="2026-02-03T00:00:00"/>
    <n v="17191145.800000001"/>
    <s v="MELISAM S A BOULOGNE 01"/>
    <x v="1685"/>
    <n v="17191145.800000001"/>
    <x v="208"/>
    <x v="0"/>
    <s v="pagado"/>
    <s v="pagado"/>
    <x v="0"/>
    <x v="0"/>
  </r>
  <r>
    <n v="3000000597"/>
    <d v="2026-02-03T00:00:00"/>
    <n v="3000000"/>
    <s v=". TUCUMAN"/>
    <x v="1686"/>
    <n v="3000000"/>
    <x v="209"/>
    <x v="0"/>
    <s v="pagado"/>
    <s v="pagado"/>
    <x v="0"/>
    <x v="0"/>
  </r>
  <r>
    <n v="3000000724"/>
    <d v="2026-02-10T00:00:00"/>
    <n v="85000000"/>
    <s v="CATALANA DE SERVICIOS SRL YERBA BUENA 14"/>
    <x v="1687"/>
    <n v="85000000"/>
    <x v="210"/>
    <x v="0"/>
    <s v="pagado"/>
    <s v="pagado"/>
    <x v="0"/>
    <x v="0"/>
  </r>
  <r>
    <n v="3000000724"/>
    <d v="2026-02-10T00:00:00"/>
    <n v="80020760.019999996"/>
    <s v="CATALANA DE SERVICIOS SRL YERBA BUENA 14"/>
    <x v="1688"/>
    <n v="80020760.019999996"/>
    <x v="211"/>
    <x v="0"/>
    <s v="pagado"/>
    <s v="pagado"/>
    <x v="0"/>
    <x v="0"/>
  </r>
  <r>
    <n v="3000000726"/>
    <d v="2026-02-10T00:00:00"/>
    <n v="5000000"/>
    <s v="CAFELI S.R.L. SAN MIGUEL DE TUCUMAN 14"/>
    <x v="1689"/>
    <n v="5000000"/>
    <x v="210"/>
    <x v="0"/>
    <s v="pagado"/>
    <s v="pagado"/>
    <x v="0"/>
    <x v="0"/>
  </r>
  <r>
    <n v="3000000726"/>
    <d v="2026-02-10T00:00:00"/>
    <n v="5000000"/>
    <s v="CAFELI S.R.L. SAN MIGUEL DE TUCUMAN 14"/>
    <x v="1690"/>
    <n v="5000000"/>
    <x v="210"/>
    <x v="0"/>
    <s v="pagado"/>
    <s v="pagado"/>
    <x v="0"/>
    <x v="0"/>
  </r>
  <r>
    <n v="3000000726"/>
    <d v="2026-02-10T00:00:00"/>
    <n v="11799074.5"/>
    <s v="CAFELI S.R.L. SAN MIGUEL DE TUCUMAN 14"/>
    <x v="1691"/>
    <n v="11799074.5"/>
    <x v="211"/>
    <x v="0"/>
    <s v="pagado"/>
    <s v="pagado"/>
    <x v="0"/>
    <x v="0"/>
  </r>
  <r>
    <n v="3000000727"/>
    <d v="2026-02-10T00:00:00"/>
    <n v="20000000"/>
    <s v="Poda Verde SRL SAN MIGUEL DE TUCUMAN 14"/>
    <x v="1692"/>
    <n v="20000000"/>
    <x v="210"/>
    <x v="0"/>
    <s v="pagado"/>
    <s v="pagado"/>
    <x v="0"/>
    <x v="0"/>
  </r>
  <r>
    <n v="3000000727"/>
    <d v="2026-02-10T00:00:00"/>
    <n v="20176442.02"/>
    <s v="Poda Verde SRL SAN MIGUEL DE TUCUMAN 14"/>
    <x v="1693"/>
    <n v="20176442.02"/>
    <x v="211"/>
    <x v="0"/>
    <s v="pagado"/>
    <s v="pagado"/>
    <x v="0"/>
    <x v="0"/>
  </r>
  <r>
    <n v="3000000728"/>
    <d v="2026-02-10T00:00:00"/>
    <n v="30000000"/>
    <s v="TRUSARELLI CARLOS ALBERTO BANDA DEL RIO SALI 14"/>
    <x v="1694"/>
    <n v="30000000"/>
    <x v="210"/>
    <x v="0"/>
    <s v="pagado"/>
    <s v="pagado"/>
    <x v="0"/>
    <x v="0"/>
  </r>
  <r>
    <n v="3000000728"/>
    <d v="2026-02-10T00:00:00"/>
    <n v="36620633.600000001"/>
    <s v="TRUSARELLI CARLOS ALBERTO BANDA DEL RIO SALI 14"/>
    <x v="1695"/>
    <n v="36620633.600000001"/>
    <x v="211"/>
    <x v="0"/>
    <s v="pagado"/>
    <s v="pagado"/>
    <x v="0"/>
    <x v="0"/>
  </r>
  <r>
    <n v="3000000729"/>
    <d v="2026-02-10T00:00:00"/>
    <n v="12000000"/>
    <s v="MG SERVICIOS AGROPECUARIOS SASTAFI VIEJO 14"/>
    <x v="1696"/>
    <n v="12000000"/>
    <x v="210"/>
    <x v="0"/>
    <s v="pagado"/>
    <s v="pagado"/>
    <x v="0"/>
    <x v="0"/>
  </r>
  <r>
    <n v="3000000729"/>
    <d v="2026-02-10T00:00:00"/>
    <n v="7000000"/>
    <s v="MG SERVICIOS AGROPECUARIOS SASTAFI VIEJO 14"/>
    <x v="1697"/>
    <n v="7000000"/>
    <x v="210"/>
    <x v="0"/>
    <s v="pagado"/>
    <s v="pagado"/>
    <x v="0"/>
    <x v="0"/>
  </r>
  <r>
    <n v="3000000729"/>
    <d v="2026-02-10T00:00:00"/>
    <n v="4500000"/>
    <s v="MG SERVICIOS AGROPECUARIOS SASTAFI VIEJO 14"/>
    <x v="1698"/>
    <n v="4500000"/>
    <x v="210"/>
    <x v="0"/>
    <s v="pagado"/>
    <s v="pagado"/>
    <x v="0"/>
    <x v="0"/>
  </r>
  <r>
    <n v="3000000729"/>
    <d v="2026-02-10T00:00:00"/>
    <n v="120000000"/>
    <s v="MG SERVICIOS AGROPECUARIOS SASTAFI VIEJO 14"/>
    <x v="1699"/>
    <n v="120000000"/>
    <x v="210"/>
    <x v="0"/>
    <s v="pagado"/>
    <s v="pagado"/>
    <x v="0"/>
    <x v="0"/>
  </r>
  <r>
    <n v="3000000729"/>
    <d v="2026-02-10T00:00:00"/>
    <n v="135844373.69"/>
    <s v="MG SERVICIOS AGROPECUARIOS SASTAFI VIEJO 14"/>
    <x v="1700"/>
    <n v="135844373.69"/>
    <x v="211"/>
    <x v="0"/>
    <s v="pagado"/>
    <s v="pagado"/>
    <x v="0"/>
    <x v="0"/>
  </r>
  <r>
    <n v="3000000722"/>
    <d v="2026-02-10T00:00:00"/>
    <n v="6765336.3399999999"/>
    <s v="Marchese Grandi Meson y Asoc SAN MIGUEL DE TUCUMAN 14"/>
    <x v="1701"/>
    <n v="6765336.3399999999"/>
    <x v="210"/>
    <x v="0"/>
    <s v="pagado"/>
    <s v="pagado"/>
    <x v="0"/>
    <x v="0"/>
  </r>
  <r>
    <n v="3000000723"/>
    <d v="2026-02-10T00:00:00"/>
    <n v="8895951.4000000004"/>
    <s v="CARRASCO JUAN CARLOS BANDA DEL RIO SALI 14"/>
    <x v="1702"/>
    <n v="8895951.4000000004"/>
    <x v="210"/>
    <x v="0"/>
    <s v="pagado"/>
    <s v="pagado"/>
    <x v="0"/>
    <x v="0"/>
  </r>
  <r>
    <n v="3000000725"/>
    <d v="2026-02-10T00:00:00"/>
    <n v="30691564.98"/>
    <s v="CAMPOAGRO SRL YERBA BUENA 14"/>
    <x v="1703"/>
    <n v="30691564.98"/>
    <x v="211"/>
    <x v="0"/>
    <s v="pagado"/>
    <s v="pagado"/>
    <x v="0"/>
    <x v="0"/>
  </r>
  <r>
    <n v="3000000730"/>
    <d v="2026-02-10T00:00:00"/>
    <n v="4503359.4000000004"/>
    <s v="CITRUSIMON S.A.S SAN MIGUEL DE TUCUMAN 14"/>
    <x v="1704"/>
    <n v="4503359.4000000004"/>
    <x v="210"/>
    <x v="0"/>
    <s v="pagado"/>
    <s v="pagado"/>
    <x v="0"/>
    <x v="0"/>
  </r>
  <r>
    <n v="3000000731"/>
    <d v="2026-02-10T00:00:00"/>
    <n v="6333148.8899999997"/>
    <s v="NOELIA VERONICA BAZAN RUIZ LAS TALITAS - TUCUMAN 14"/>
    <x v="1705"/>
    <n v="6333148.8899999997"/>
    <x v="210"/>
    <x v="0"/>
    <s v="pagado"/>
    <s v="pagado"/>
    <x v="0"/>
    <x v="0"/>
  </r>
  <r>
    <n v="3000000732"/>
    <d v="2026-02-10T00:00:00"/>
    <n v="5608563.4000000004"/>
    <s v="AG SUSTENTABLE SAS CABA 00"/>
    <x v="1706"/>
    <n v="5608563.4000000004"/>
    <x v="210"/>
    <x v="0"/>
    <s v="pagado"/>
    <s v="pagado"/>
    <x v="0"/>
    <x v="0"/>
  </r>
  <r>
    <n v="3000000733"/>
    <d v="2026-02-10T00:00:00"/>
    <n v="10899983.93"/>
    <s v="SMART SEGURIDAD SA YERBA BUENA 14"/>
    <x v="1707"/>
    <n v="10899983.93"/>
    <x v="210"/>
    <x v="0"/>
    <s v="pagado"/>
    <s v="pagado"/>
    <x v="0"/>
    <x v="0"/>
  </r>
  <r>
    <n v="3000000734"/>
    <d v="2026-02-10T00:00:00"/>
    <n v="13546784.869999999"/>
    <s v="CEMEVA SAS YERBA BUENA 14"/>
    <x v="1708"/>
    <n v="13546784.869999999"/>
    <x v="211"/>
    <x v="0"/>
    <s v="pagado"/>
    <s v="pagado"/>
    <x v="0"/>
    <x v="0"/>
  </r>
  <r>
    <n v="3000000735"/>
    <d v="2026-02-10T00:00:00"/>
    <n v="38463121.780000001"/>
    <s v="CAPETTA ANTONELLA ANAHI SAN MIGUEL DE TUCUMAN 14"/>
    <x v="1709"/>
    <n v="38463121.780000001"/>
    <x v="211"/>
    <x v="0"/>
    <s v="pagado"/>
    <s v="pagado"/>
    <x v="0"/>
    <x v="0"/>
  </r>
  <r>
    <n v="3000000736"/>
    <d v="2026-02-11T00:00:00"/>
    <n v="13150000"/>
    <s v="Siner S.A. Los Pocitos - T.Viejo 14"/>
    <x v="1710"/>
    <n v="13150000"/>
    <x v="212"/>
    <x v="0"/>
    <s v="pagado"/>
    <s v="pagado"/>
    <x v="0"/>
    <x v="0"/>
  </r>
  <r>
    <n v="3000000736"/>
    <d v="2026-02-11T00:00:00"/>
    <n v="13120317.5"/>
    <s v="Siner S.A. Los Pocitos - T.Viejo 14"/>
    <x v="1711"/>
    <n v="13120317.5"/>
    <x v="200"/>
    <x v="0"/>
    <s v="pagado"/>
    <s v="pagado"/>
    <x v="0"/>
    <x v="0"/>
  </r>
  <r>
    <n v="3000000817"/>
    <d v="2026-02-18T00:00:00"/>
    <n v="3551708.4"/>
    <s v="BME DISENO Y COMUNICACION SAS CAPITAL FEDERAL 00"/>
    <x v="1712"/>
    <n v="3551708.4"/>
    <x v="213"/>
    <x v="0"/>
    <s v="pagado"/>
    <s v="pagado"/>
    <x v="0"/>
    <x v="0"/>
  </r>
  <r>
    <n v="3000000818"/>
    <d v="2026-02-18T00:00:00"/>
    <n v="9848493.5199999996"/>
    <s v="Terminal 4 S.A. Puerto Nuevo 01"/>
    <x v="1713"/>
    <n v="9848493.5199999996"/>
    <x v="213"/>
    <x v="0"/>
    <s v="pagado"/>
    <s v="pagado"/>
    <x v="0"/>
    <x v="0"/>
  </r>
  <r>
    <n v="3000000819"/>
    <d v="2026-02-18T00:00:00"/>
    <n v="6773308.4900000002"/>
    <s v="MAC DONALD MIGUEL ALEJANDRO BANDA DEL RIO SALI 14"/>
    <x v="1714"/>
    <n v="6773308.4900000002"/>
    <x v="213"/>
    <x v="0"/>
    <s v="pagado"/>
    <s v="pagado"/>
    <x v="0"/>
    <x v="0"/>
  </r>
  <r>
    <n v="3000000820"/>
    <d v="2026-02-18T00:00:00"/>
    <n v="4515538.99"/>
    <s v="CEMEVA SAS YERBA BUENA 14"/>
    <x v="1715"/>
    <n v="4515538.99"/>
    <x v="213"/>
    <x v="0"/>
    <s v="pagado"/>
    <s v="pagado"/>
    <x v="0"/>
    <x v="0"/>
  </r>
  <r>
    <n v="3000000821"/>
    <d v="2026-02-18T00:00:00"/>
    <n v="18235288.73"/>
    <s v="CAPETTA ANTONELLA ANAHI SAN MIGUEL DE TUCUMAN 14"/>
    <x v="1716"/>
    <n v="18235288.73"/>
    <x v="214"/>
    <x v="0"/>
    <s v="pagado"/>
    <s v="pagado"/>
    <x v="0"/>
    <x v="0"/>
  </r>
  <r>
    <n v="3000000822"/>
    <d v="2026-02-18T00:00:00"/>
    <n v="20191480.879999999"/>
    <s v="RL SOLUCIONES S. A. S. SAN MIGUEL DE TUCUMAN 14"/>
    <x v="1717"/>
    <n v="20191480.879999999"/>
    <x v="214"/>
    <x v="0"/>
    <s v="pagado"/>
    <s v="pagado"/>
    <x v="0"/>
    <x v="0"/>
  </r>
  <r>
    <n v="3000000823"/>
    <d v="2026-02-18T00:00:00"/>
    <n v="44368343.399999999"/>
    <s v="Jeblab S.R.L. YERBA BUENA 14"/>
    <x v="1718"/>
    <n v="44368343.399999999"/>
    <x v="214"/>
    <x v="0"/>
    <s v="pagado"/>
    <s v="pagado"/>
    <x v="0"/>
    <x v="0"/>
  </r>
  <r>
    <n v="3000000824"/>
    <d v="2026-02-18T00:00:00"/>
    <n v="5214080.0999999996"/>
    <s v="Expreso Bisonte S.R.L. BANDA DEL RIO SALI 14"/>
    <x v="1719"/>
    <n v="5214080.0999999996"/>
    <x v="213"/>
    <x v="0"/>
    <s v="pagado"/>
    <s v="pagado"/>
    <x v="0"/>
    <x v="0"/>
  </r>
  <r>
    <n v="3000000825"/>
    <d v="2026-02-18T00:00:00"/>
    <n v="6982588.7800000003"/>
    <s v="CAMPOAGRO SRL YERBA BUENA 14"/>
    <x v="1720"/>
    <n v="6982588.7800000003"/>
    <x v="213"/>
    <x v="0"/>
    <s v="pagado"/>
    <s v="pagado"/>
    <x v="0"/>
    <x v="0"/>
  </r>
  <r>
    <n v="3000000826"/>
    <d v="2026-02-18T00:00:00"/>
    <n v="25314860"/>
    <s v="EDET S.A. SAN MIGUEL DE TUCUMAN 14"/>
    <x v="1721"/>
    <n v="25314860"/>
    <x v="213"/>
    <x v="0"/>
    <s v="pagado"/>
    <s v="pagado"/>
    <x v="0"/>
    <x v="0"/>
  </r>
  <r>
    <n v="3000000922"/>
    <d v="2026-02-23T00:00:00"/>
    <n v="8719172.5199999996"/>
    <s v="MRT S.A. CAPITAL FEDERAL 00"/>
    <x v="1722"/>
    <n v="8719172.5199999996"/>
    <x v="177"/>
    <x v="0"/>
    <s v="pagado"/>
    <s v="pagado"/>
    <x v="0"/>
    <x v="0"/>
  </r>
  <r>
    <n v="3000000923"/>
    <d v="2026-02-23T00:00:00"/>
    <n v="100000000"/>
    <s v="CATALANA DE SERVICIOS SRL YERBA BUENA 14"/>
    <x v="1723"/>
    <n v="100000000"/>
    <x v="177"/>
    <x v="0"/>
    <s v="pagado"/>
    <s v="pagado"/>
    <x v="0"/>
    <x v="0"/>
  </r>
  <r>
    <n v="3000000923"/>
    <d v="2026-02-23T00:00:00"/>
    <n v="112375717.95999999"/>
    <s v="CATALANA DE SERVICIOS SRL YERBA BUENA 14"/>
    <x v="1724"/>
    <n v="112375717.95999999"/>
    <x v="215"/>
    <x v="0"/>
    <s v="pagado"/>
    <s v="pagado"/>
    <x v="0"/>
    <x v="0"/>
  </r>
  <r>
    <n v="3000000924"/>
    <d v="2026-02-23T00:00:00"/>
    <n v="26463187.379999999"/>
    <s v="PAMPLONA SRL SAN MIGUEL DE TUCUMAN 14"/>
    <x v="1725"/>
    <n v="26463187.379999999"/>
    <x v="215"/>
    <x v="0"/>
    <s v="pagado"/>
    <s v="pagado"/>
    <x v="0"/>
    <x v="0"/>
  </r>
  <r>
    <n v="3000000925"/>
    <d v="2026-02-23T00:00:00"/>
    <n v="9568920.6600000001"/>
    <s v="ROMERO SERVICIOS S. A. S. ALPACHIRI 14"/>
    <x v="1726"/>
    <n v="9568920.6600000001"/>
    <x v="177"/>
    <x v="0"/>
    <s v="pagado"/>
    <s v="pagado"/>
    <x v="0"/>
    <x v="0"/>
  </r>
  <r>
    <n v="3000000926"/>
    <d v="2026-02-23T00:00:00"/>
    <n v="13349995.869999999"/>
    <s v="INSITU S.R.L SAN MIGUEL DE TUCUMAN 14"/>
    <x v="1727"/>
    <n v="13349995.869999999"/>
    <x v="177"/>
    <x v="0"/>
    <s v="pagado"/>
    <s v="pagado"/>
    <x v="0"/>
    <x v="0"/>
  </r>
  <r>
    <n v="3000000927"/>
    <d v="2026-02-23T00:00:00"/>
    <n v="10913343.4"/>
    <s v="Deloitte &amp; Co. SA BUENOS AIRES 01"/>
    <x v="1728"/>
    <n v="10913343.4"/>
    <x v="177"/>
    <x v="0"/>
    <s v="pagado"/>
    <s v="pagado"/>
    <x v="0"/>
    <x v="0"/>
  </r>
  <r>
    <n v="3000000928"/>
    <d v="2026-02-23T00:00:00"/>
    <n v="5708969.2800000003"/>
    <s v="RASUK JORGE LUIS YERBA BUENA 14"/>
    <x v="1729"/>
    <n v="5708969.2800000003"/>
    <x v="177"/>
    <x v="0"/>
    <s v="pagado"/>
    <s v="pagado"/>
    <x v="0"/>
    <x v="0"/>
  </r>
  <r>
    <n v="3000000929"/>
    <d v="2026-02-23T00:00:00"/>
    <n v="6046035.9000000004"/>
    <s v="VISMA ARGENTINA SA CAPITAL FEDERAL 14"/>
    <x v="1730"/>
    <n v="6046035.9000000004"/>
    <x v="177"/>
    <x v="0"/>
    <s v="pagado"/>
    <s v="pagado"/>
    <x v="0"/>
    <x v="0"/>
  </r>
  <r>
    <n v="3000000955"/>
    <d v="2026-02-25T00:00:00"/>
    <n v="172055660"/>
    <s v="EDET S.A. SAN MIGUEL DE TUCUMAN 14"/>
    <x v="1731"/>
    <n v="172055660"/>
    <x v="177"/>
    <x v="2"/>
    <s v="pagado"/>
    <s v="pagado"/>
    <x v="0"/>
    <x v="0"/>
  </r>
  <r>
    <n v="3000001015"/>
    <d v="2026-02-27T00:00:00"/>
    <n v="5000000"/>
    <s v="AGROGANADERA DEL NOA CEVIL POZO 14"/>
    <x v="1732"/>
    <n v="5000000"/>
    <x v="216"/>
    <x v="0"/>
    <s v="pagado"/>
    <s v="pagado"/>
    <x v="0"/>
    <x v="0"/>
  </r>
  <r>
    <n v="3000001015"/>
    <d v="2026-02-27T00:00:00"/>
    <n v="5000000"/>
    <s v="AGROGANADERA DEL NOA CEVIL POZO 14"/>
    <x v="1733"/>
    <n v="5000000"/>
    <x v="216"/>
    <x v="0"/>
    <s v="pagado"/>
    <s v="pagado"/>
    <x v="0"/>
    <x v="0"/>
  </r>
  <r>
    <n v="3000001015"/>
    <d v="2026-02-27T00:00:00"/>
    <n v="5164541.66"/>
    <s v="AGROGANADERA DEL NOA CEVIL POZO 14"/>
    <x v="1734"/>
    <n v="5164541.66"/>
    <x v="216"/>
    <x v="0"/>
    <s v="pagado"/>
    <s v="pagado"/>
    <x v="0"/>
    <x v="0"/>
  </r>
  <r>
    <n v="3000001042"/>
    <d v="2026-03-02T00:00:00"/>
    <n v="4257678.87"/>
    <s v="TS OASIS SRL BANDA DEL RIO SALI 14"/>
    <x v="1735"/>
    <n v="4257678.87"/>
    <x v="217"/>
    <x v="0"/>
    <s v="pagado"/>
    <s v="pagado"/>
    <x v="0"/>
    <x v="0"/>
  </r>
  <r>
    <n v="3000001043"/>
    <d v="2026-03-02T00:00:00"/>
    <n v="15545939.09"/>
    <s v="ADLER HASENCLEVER Y ASOCIADOS BUENOS AIRES 01"/>
    <x v="1736"/>
    <n v="15545939.09"/>
    <x v="218"/>
    <x v="0"/>
    <s v="pagado"/>
    <s v="pagado"/>
    <x v="0"/>
    <x v="0"/>
  </r>
  <r>
    <n v="3000001044"/>
    <d v="2026-03-02T00:00:00"/>
    <n v="16207253.939999999"/>
    <s v="Dimater S.A. SAN MIGUEL DE TUCUMAN 14"/>
    <x v="1737"/>
    <n v="16207253.939999999"/>
    <x v="218"/>
    <x v="0"/>
    <s v="pagado"/>
    <s v="pagado"/>
    <x v="0"/>
    <x v="0"/>
  </r>
  <r>
    <n v="3000001045"/>
    <d v="2026-03-02T00:00:00"/>
    <n v="9247855.4000000004"/>
    <s v="TEKNOS TECHNOLOGY GROUP SA CAPITAL FEDERAL 00"/>
    <x v="1738"/>
    <n v="9247855.4000000004"/>
    <x v="217"/>
    <x v="0"/>
    <s v="pagado"/>
    <s v="pagado"/>
    <x v="0"/>
    <x v="0"/>
  </r>
  <r>
    <n v="3000001046"/>
    <d v="2026-03-02T00:00:00"/>
    <n v="5944273.4000000004"/>
    <s v="VISMA ARGENTINA SA CAPITAL FEDERAL 14"/>
    <x v="1739"/>
    <n v="5944273.4000000004"/>
    <x v="217"/>
    <x v="0"/>
    <s v="pagado"/>
    <s v="pagado"/>
    <x v="0"/>
    <x v="0"/>
  </r>
  <r>
    <n v="3000001047"/>
    <d v="2026-03-02T00:00:00"/>
    <n v="14168764.220000001"/>
    <s v="Marchese Grandi Meson y Asoc SAN MIGUEL DE TUCUMAN 14"/>
    <x v="1740"/>
    <n v="14168764.220000001"/>
    <x v="218"/>
    <x v="0"/>
    <s v="pagado"/>
    <s v="pagado"/>
    <x v="0"/>
    <x v="0"/>
  </r>
  <r>
    <n v="3000001048"/>
    <d v="2026-03-02T00:00:00"/>
    <n v="11385095.9"/>
    <s v="Consultoria en Tecnologia de IBUENOS AIRES 00"/>
    <x v="1741"/>
    <n v="11385095.9"/>
    <x v="218"/>
    <x v="0"/>
    <s v="pagado"/>
    <s v="pagado"/>
    <x v="0"/>
    <x v="0"/>
  </r>
  <r>
    <n v="3000001109"/>
    <d v="2026-03-04T00:00:00"/>
    <n v="24000000"/>
    <s v="BONSUR SA CAPITAL FEDERAL 00"/>
    <x v="1742"/>
    <n v="24000000"/>
    <x v="218"/>
    <x v="0"/>
    <s v="pagado"/>
    <s v="pagado"/>
    <x v="0"/>
    <x v="0"/>
  </r>
  <r>
    <n v="3000001109"/>
    <d v="2026-03-04T00:00:00"/>
    <n v="23219117.920000002"/>
    <s v="BONSUR SA CAPITAL FEDERAL 00"/>
    <x v="1743"/>
    <n v="23219117.920000002"/>
    <x v="219"/>
    <x v="0"/>
    <s v="pagado"/>
    <s v="pagado"/>
    <x v="0"/>
    <x v="0"/>
  </r>
  <r>
    <n v="3000001111"/>
    <d v="2026-03-04T00:00:00"/>
    <n v="5000000"/>
    <s v="RL SOLUCIONES S. A. S. SAN MIGUEL DE TUCUMAN 14"/>
    <x v="1744"/>
    <n v="5000000"/>
    <x v="218"/>
    <x v="0"/>
    <s v="pagado"/>
    <s v="pagado"/>
    <x v="0"/>
    <x v="0"/>
  </r>
  <r>
    <n v="3000001111"/>
    <d v="2026-03-04T00:00:00"/>
    <n v="10645663.710000001"/>
    <s v="RL SOLUCIONES S. A. S. SAN MIGUEL DE TUCUMAN 14"/>
    <x v="1745"/>
    <n v="10645663.710000001"/>
    <x v="219"/>
    <x v="0"/>
    <s v="pagado"/>
    <s v="pagado"/>
    <x v="0"/>
    <x v="0"/>
  </r>
  <r>
    <n v="3000001106"/>
    <d v="2026-03-04T00:00:00"/>
    <n v="22312745.579999998"/>
    <s v="Terminal 4 S.A. Puerto Nuevo 01"/>
    <x v="1746"/>
    <n v="22312745.579999998"/>
    <x v="218"/>
    <x v="0"/>
    <s v="pagado"/>
    <s v="pagado"/>
    <x v="0"/>
    <x v="0"/>
  </r>
  <r>
    <n v="3000001108"/>
    <d v="2026-03-04T00:00:00"/>
    <n v="12611263.4"/>
    <s v="Rutas Servicios Integrales SRLCapital Federal 00"/>
    <x v="1747"/>
    <n v="12611263.4"/>
    <x v="218"/>
    <x v="0"/>
    <s v="pagado"/>
    <s v="pagado"/>
    <x v="0"/>
    <x v="0"/>
  </r>
  <r>
    <n v="3000001110"/>
    <d v="2026-03-04T00:00:00"/>
    <n v="11596731.74"/>
    <s v="JACQUET NORBERTO SALVADOR SAN JOSE 05"/>
    <x v="1748"/>
    <n v="11596731.74"/>
    <x v="218"/>
    <x v="0"/>
    <s v="pagado"/>
    <s v="pagado"/>
    <x v="0"/>
    <x v="0"/>
  </r>
  <r>
    <n v="3000001112"/>
    <d v="2026-03-04T00:00:00"/>
    <n v="11580847.17"/>
    <s v="CAPETTA ANTONELLA ANAHI SAN MIGUEL DE TUCUMAN 14"/>
    <x v="1749"/>
    <n v="11580847.17"/>
    <x v="218"/>
    <x v="0"/>
    <s v="pagado"/>
    <s v="pagado"/>
    <x v="0"/>
    <x v="0"/>
  </r>
  <r>
    <n v="3000001231"/>
    <d v="2026-03-10T00:00:00"/>
    <n v="7243773.4500000002"/>
    <s v="LETIS SA SANTA FE 12"/>
    <x v="1750"/>
    <n v="7243773.4500000002"/>
    <x v="220"/>
    <x v="0"/>
    <s v="pagado"/>
    <s v="pagado"/>
    <x v="0"/>
    <x v="0"/>
  </r>
  <r>
    <n v="3000001232"/>
    <d v="2026-03-10T00:00:00"/>
    <n v="4592578.8899999997"/>
    <s v="BERCOVICH COMERCIAL SAS SAN MIGUEL DE TUCUMAN 14"/>
    <x v="1751"/>
    <n v="4592578.8899999997"/>
    <x v="220"/>
    <x v="0"/>
    <s v="pagado"/>
    <s v="pagado"/>
    <x v="0"/>
    <x v="0"/>
  </r>
  <r>
    <n v="3000001233"/>
    <d v="2026-03-10T00:00:00"/>
    <n v="9496593.4000000004"/>
    <s v="SEPULVEDA MONTAJES S.R.L. SAN ISIDRO DE LULES 14"/>
    <x v="1752"/>
    <n v="9496593.4000000004"/>
    <x v="220"/>
    <x v="0"/>
    <s v="pagado"/>
    <s v="pagado"/>
    <x v="0"/>
    <x v="0"/>
  </r>
  <r>
    <n v="3000001234"/>
    <d v="2026-03-10T00:00:00"/>
    <n v="15837686.890000001"/>
    <s v="CAPETTA ANTONELLA ANAHI SAN MIGUEL DE TUCUMAN 14"/>
    <x v="1753"/>
    <n v="15837686.890000001"/>
    <x v="220"/>
    <x v="0"/>
    <s v="pagado"/>
    <s v="pagado"/>
    <x v="0"/>
    <x v="0"/>
  </r>
  <r>
    <n v="3000001235"/>
    <d v="2026-03-10T00:00:00"/>
    <n v="22434978.77"/>
    <s v="RL SOLUCIONES S. A. S. SAN MIGUEL DE TUCUMAN 14"/>
    <x v="1754"/>
    <n v="22434978.77"/>
    <x v="220"/>
    <x v="0"/>
    <s v="pagado"/>
    <s v="pagado"/>
    <x v="0"/>
    <x v="0"/>
  </r>
  <r>
    <n v="3000001265"/>
    <d v="2026-03-12T00:00:00"/>
    <n v="11000000"/>
    <s v="ECOGREEN SRL SAN MIGUEL DE TUCUMAN 14"/>
    <x v="1755"/>
    <n v="11000000"/>
    <x v="221"/>
    <x v="0"/>
    <s v="pagado"/>
    <s v="pagado"/>
    <x v="0"/>
    <x v="0"/>
  </r>
  <r>
    <n v="3000001265"/>
    <d v="2026-03-12T00:00:00"/>
    <n v="11000000"/>
    <s v="ECOGREEN SRL SAN MIGUEL DE TUCUMAN 14"/>
    <x v="1756"/>
    <n v="11000000"/>
    <x v="221"/>
    <x v="0"/>
    <s v="pagado"/>
    <s v="pagado"/>
    <x v="0"/>
    <x v="0"/>
  </r>
  <r>
    <n v="3000001265"/>
    <d v="2026-03-12T00:00:00"/>
    <n v="11098774.199999999"/>
    <s v="ECOGREEN SRL SAN MIGUEL DE TUCUMAN 14"/>
    <x v="1757"/>
    <n v="11098774.199999999"/>
    <x v="221"/>
    <x v="0"/>
    <s v="pagado"/>
    <s v="pagado"/>
    <x v="0"/>
    <x v="0"/>
  </r>
  <r>
    <n v="3000001352"/>
    <d v="2026-03-16T00:00:00"/>
    <n v="1670899.79"/>
    <s v="Fondo Fijo Administracion CitrNO TIENE"/>
    <x v="1758"/>
    <n v="1670899.79"/>
    <x v="222"/>
    <x v="0"/>
    <s v="pagado"/>
    <s v="pagado"/>
    <x v="0"/>
    <x v="0"/>
  </r>
  <r>
    <n v="3000001353"/>
    <d v="2026-03-16T00:00:00"/>
    <n v="1549440.88"/>
    <s v="Fondo Fijo Administracion CitrNO TIENE"/>
    <x v="1759"/>
    <n v="1549440.88"/>
    <x v="223"/>
    <x v="0"/>
    <s v="pagado"/>
    <s v="pagado"/>
    <x v="0"/>
    <x v="0"/>
  </r>
  <r>
    <n v="3000001342"/>
    <d v="2026-03-16T00:00:00"/>
    <n v="22000000"/>
    <s v="Jeblab S.R.L. YERBA BUENA 14"/>
    <x v="1760"/>
    <n v="22000000"/>
    <x v="223"/>
    <x v="0"/>
    <s v="pagado"/>
    <s v="pagado"/>
    <x v="0"/>
    <x v="0"/>
  </r>
  <r>
    <n v="3000001342"/>
    <d v="2026-03-16T00:00:00"/>
    <n v="22368343.399999999"/>
    <s v="Jeblab S.R.L. YERBA BUENA 14"/>
    <x v="1761"/>
    <n v="22368343.399999999"/>
    <x v="224"/>
    <x v="0"/>
    <s v="pagado"/>
    <s v="pagado"/>
    <x v="0"/>
    <x v="0"/>
  </r>
  <r>
    <n v="3000001343"/>
    <d v="2026-03-16T00:00:00"/>
    <n v="20466569.289999999"/>
    <s v="Roda Transformecanica Serv.SRLSAN MIGUEL DE TUCUMAN 14"/>
    <x v="1762"/>
    <n v="20466569.289999999"/>
    <x v="223"/>
    <x v="0"/>
    <s v="pagado"/>
    <s v="pagado"/>
    <x v="0"/>
    <x v="0"/>
  </r>
  <r>
    <n v="3000001344"/>
    <d v="2026-03-16T00:00:00"/>
    <n v="5557213.0199999996"/>
    <s v="Expreso San Jose S.A. SAN MIGUEL DE TUCUMAN 14"/>
    <x v="1763"/>
    <n v="5557213.0199999996"/>
    <x v="223"/>
    <x v="0"/>
    <s v="pagado"/>
    <s v="pagado"/>
    <x v="0"/>
    <x v="0"/>
  </r>
  <r>
    <n v="3000001345"/>
    <d v="2026-03-16T00:00:00"/>
    <n v="4901728.8099999996"/>
    <s v="CAFELI S.R.L. SAN MIGUEL DE TUCUMAN 14"/>
    <x v="1764"/>
    <n v="4901728.8099999996"/>
    <x v="223"/>
    <x v="0"/>
    <s v="pagado"/>
    <s v="pagado"/>
    <x v="0"/>
    <x v="0"/>
  </r>
  <r>
    <n v="3000001346"/>
    <d v="2026-03-16T00:00:00"/>
    <n v="25658700"/>
    <s v="EDET S.A. SAN MIGUEL DE TUCUMAN 14"/>
    <x v="1765"/>
    <n v="25658700"/>
    <x v="224"/>
    <x v="0"/>
    <s v="pagado"/>
    <s v="pagado"/>
    <x v="0"/>
    <x v="0"/>
  </r>
  <r>
    <n v="3000001347"/>
    <d v="2026-03-16T00:00:00"/>
    <n v="30000000"/>
    <s v="M. AMUCHASTEGUI S. R. L. YERBA BUENA 14"/>
    <x v="1766"/>
    <n v="30000000"/>
    <x v="223"/>
    <x v="0"/>
    <s v="pagado"/>
    <s v="pagado"/>
    <x v="0"/>
    <x v="0"/>
  </r>
  <r>
    <n v="3000001347"/>
    <d v="2026-03-16T00:00:00"/>
    <n v="30121126.440000001"/>
    <s v="M. AMUCHASTEGUI S. R. L. YERBA BUENA 14"/>
    <x v="1767"/>
    <n v="30121126.440000001"/>
    <x v="224"/>
    <x v="0"/>
    <s v="pagado"/>
    <s v="pagado"/>
    <x v="0"/>
    <x v="0"/>
  </r>
  <r>
    <n v="3000001348"/>
    <d v="2026-03-16T00:00:00"/>
    <n v="20000000"/>
    <s v="Poda Verde SRL SAN MIGUEL DE TUCUMAN 14"/>
    <x v="1768"/>
    <n v="20000000"/>
    <x v="223"/>
    <x v="0"/>
    <s v="pagado"/>
    <s v="pagado"/>
    <x v="0"/>
    <x v="0"/>
  </r>
  <r>
    <n v="3000001348"/>
    <d v="2026-03-16T00:00:00"/>
    <n v="19699035.510000002"/>
    <s v="Poda Verde SRL SAN MIGUEL DE TUCUMAN 14"/>
    <x v="1769"/>
    <n v="19699035.510000002"/>
    <x v="224"/>
    <x v="0"/>
    <s v="no pagado"/>
    <s v="fuera de fecha"/>
    <x v="0"/>
    <x v="0"/>
  </r>
  <r>
    <n v="3000001349"/>
    <d v="2026-03-16T00:00:00"/>
    <n v="23965867.300000001"/>
    <s v="CAMPOAGRO SRL YERBA BUENA 14"/>
    <x v="1770"/>
    <n v="23965867.300000001"/>
    <x v="223"/>
    <x v="0"/>
    <s v="pagado"/>
    <s v="pagado"/>
    <x v="0"/>
    <x v="0"/>
  </r>
  <r>
    <n v="3000001350"/>
    <d v="2026-03-16T00:00:00"/>
    <n v="170000000"/>
    <s v="MG SERVICIOS AGROPECUARIOS SASTAFI VIEJO 14"/>
    <x v="1771"/>
    <n v="170000000"/>
    <x v="223"/>
    <x v="0"/>
    <s v="pagado"/>
    <s v="pagado"/>
    <x v="0"/>
    <x v="0"/>
  </r>
  <r>
    <n v="3000001350"/>
    <d v="2026-03-16T00:00:00"/>
    <n v="20517619"/>
    <s v="MG SERVICIOS AGROPECUARIOS SASTAFI VIEJO 14"/>
    <x v="1772"/>
    <n v="20517619"/>
    <x v="224"/>
    <x v="0"/>
    <s v="pagado"/>
    <s v="pagado"/>
    <x v="0"/>
    <x v="0"/>
  </r>
  <r>
    <n v="3000001350"/>
    <d v="2026-03-16T00:00:00"/>
    <n v="8316000"/>
    <s v="MG SERVICIOS AGROPECUARIOS SASTAFI VIEJO 14"/>
    <x v="1773"/>
    <n v="8316000"/>
    <x v="224"/>
    <x v="0"/>
    <s v="pagado"/>
    <s v="pagado"/>
    <x v="0"/>
    <x v="0"/>
  </r>
  <r>
    <n v="3000001350"/>
    <d v="2026-03-16T00:00:00"/>
    <n v="7704000"/>
    <s v="MG SERVICIOS AGROPECUARIOS SASTAFI VIEJO 14"/>
    <x v="1774"/>
    <n v="7704000"/>
    <x v="224"/>
    <x v="0"/>
    <s v="pagado"/>
    <s v="pagado"/>
    <x v="0"/>
    <x v="0"/>
  </r>
  <r>
    <n v="3000001350"/>
    <d v="2026-03-16T00:00:00"/>
    <n v="72608590.819999993"/>
    <s v="MG SERVICIOS AGROPECUARIOS SASTAFI VIEJO 14"/>
    <x v="1775"/>
    <n v="72608590.819999993"/>
    <x v="224"/>
    <x v="0"/>
    <s v="pagado"/>
    <s v="pagado"/>
    <x v="0"/>
    <x v="0"/>
  </r>
  <r>
    <n v="3000001351"/>
    <d v="2026-03-16T00:00:00"/>
    <n v="80000000"/>
    <s v="AGROPECUARIA MUNDO NUEVO SRL SAN PABLO 14"/>
    <x v="1776"/>
    <n v="80000000"/>
    <x v="222"/>
    <x v="0"/>
    <s v="pagado"/>
    <s v="pagado"/>
    <x v="0"/>
    <x v="0"/>
  </r>
  <r>
    <n v="3000001351"/>
    <d v="2026-03-16T00:00:00"/>
    <n v="75572794.780000001"/>
    <s v="AGROPECUARIA MUNDO NUEVO SRL SAN PABLO 14"/>
    <x v="1777"/>
    <n v="75572794.780000001"/>
    <x v="223"/>
    <x v="0"/>
    <s v="pagado"/>
    <s v="pagado"/>
    <x v="0"/>
    <x v="0"/>
  </r>
  <r>
    <n v="3000001354"/>
    <d v="2026-03-17T00:00:00"/>
    <n v="100000000"/>
    <s v="CATALANA DE SERVICIOS SRL YERBA BUENA 14"/>
    <x v="1778"/>
    <n v="100000000"/>
    <x v="223"/>
    <x v="0"/>
    <s v="pagado"/>
    <s v="pagado"/>
    <x v="0"/>
    <x v="0"/>
  </r>
  <r>
    <n v="3000001354"/>
    <d v="2026-03-17T00:00:00"/>
    <n v="65247619.82"/>
    <s v="CATALANA DE SERVICIOS SRL YERBA BUENA 14"/>
    <x v="1779"/>
    <n v="65247619.82"/>
    <x v="224"/>
    <x v="0"/>
    <s v="pagado"/>
    <s v="pagado"/>
    <x v="0"/>
    <x v="0"/>
  </r>
  <r>
    <n v="3000001429"/>
    <d v="2026-03-20T00:00:00"/>
    <n v="197261290"/>
    <s v="EDET S.A. SAN MIGUEL DE TUCUMAN 14"/>
    <x v="1780"/>
    <n v="197261290"/>
    <x v="225"/>
    <x v="2"/>
    <s v="pagado"/>
    <s v="pagado"/>
    <x v="0"/>
    <x v="0"/>
  </r>
  <r>
    <n v="3000001390"/>
    <d v="2026-03-18T00:00:00"/>
    <n v="18806192.920000002"/>
    <s v="LATCOMEX SA CAPITAL FEDERAL 00"/>
    <x v="1781"/>
    <n v="18806192.920000002"/>
    <x v="224"/>
    <x v="0"/>
    <s v="pagado"/>
    <s v="pagado"/>
    <x v="0"/>
    <x v="0"/>
  </r>
  <r>
    <n v="3000001391"/>
    <d v="2026-03-18T00:00:00"/>
    <n v="4487163.67"/>
    <s v="LOGISTICA Y DISTRIBUCION FEDE CAPITAL FEDERAL 00"/>
    <x v="1782"/>
    <n v="4487163.67"/>
    <x v="224"/>
    <x v="0"/>
    <s v="pagado"/>
    <s v="pagado"/>
    <x v="0"/>
    <x v="0"/>
  </r>
  <r>
    <n v="3000001392"/>
    <d v="2026-03-18T00:00:00"/>
    <n v="4486995.76"/>
    <s v="JACQUET NORBERTO SALVADOR SAN JOSE 05"/>
    <x v="1783"/>
    <n v="4486995.76"/>
    <x v="224"/>
    <x v="0"/>
    <s v="pagado"/>
    <s v="pagado"/>
    <x v="0"/>
    <x v="0"/>
  </r>
  <r>
    <n v="3000001393"/>
    <d v="2026-03-18T00:00:00"/>
    <n v="6730493.6399999997"/>
    <s v="RL SOLUCIONES S. A. S. SAN MIGUEL DE TUCUMAN 14"/>
    <x v="1784"/>
    <n v="6730493.6399999997"/>
    <x v="224"/>
    <x v="0"/>
    <s v="pagado"/>
    <s v="pagado"/>
    <x v="0"/>
    <x v="0"/>
  </r>
  <r>
    <n v="3000001394"/>
    <d v="2026-03-18T00:00:00"/>
    <n v="28168255.800000001"/>
    <s v="Terminal 4 S.A. Puerto Nuevo 01"/>
    <x v="1785"/>
    <n v="28168255.800000001"/>
    <x v="224"/>
    <x v="0"/>
    <s v="pagado"/>
    <s v="pagado"/>
    <x v="0"/>
    <x v="0"/>
  </r>
  <r>
    <n v="3000001395"/>
    <d v="2026-03-18T00:00:00"/>
    <n v="11058717.779999999"/>
    <s v="Expreso Bisonte S.R.L. BANDA DEL RIO SALI 14"/>
    <x v="1786"/>
    <n v="11058717.779999999"/>
    <x v="224"/>
    <x v="0"/>
    <s v="pagado"/>
    <s v="pagado"/>
    <x v="0"/>
    <x v="0"/>
  </r>
  <r>
    <n v="3000001396"/>
    <d v="2026-03-18T00:00:00"/>
    <n v="27972869.77"/>
    <s v="CAPETTA ANTONELLA ANAHI SAN MIGUEL DE TUCUMAN 14"/>
    <x v="1787"/>
    <n v="27972869.77"/>
    <x v="224"/>
    <x v="0"/>
    <s v="pagado"/>
    <s v="pagado"/>
    <x v="0"/>
    <x v="0"/>
  </r>
  <r>
    <n v="3000001443"/>
    <d v="2026-03-25T00:00:00"/>
    <n v="70000000"/>
    <s v="CATALANA DE SERVICIOS SRL YERBA BUENA 14"/>
    <x v="1788"/>
    <n v="70000000"/>
    <x v="200"/>
    <x v="0"/>
    <s v="pagado"/>
    <s v="pagado"/>
    <x v="0"/>
    <x v="0"/>
  </r>
  <r>
    <n v="3000001443"/>
    <d v="2026-03-25T00:00:00"/>
    <n v="73237662.680000007"/>
    <s v="CATALANA DE SERVICIOS SRL YERBA BUENA 14"/>
    <x v="1789"/>
    <n v="73237662.680000007"/>
    <x v="226"/>
    <x v="0"/>
    <s v="pagado"/>
    <s v="pagado"/>
    <x v="0"/>
    <x v="0"/>
  </r>
  <r>
    <n v="3000001439"/>
    <d v="2026-03-25T00:00:00"/>
    <n v="16625192.5"/>
    <s v="Consultoria en Tecnologia de IBUENOS AIRES 00"/>
    <x v="1790"/>
    <n v="16625192.5"/>
    <x v="200"/>
    <x v="0"/>
    <s v="pagado"/>
    <s v="pagado"/>
    <x v="0"/>
    <x v="0"/>
  </r>
  <r>
    <n v="3000001440"/>
    <d v="2026-03-25T00:00:00"/>
    <n v="6021324.8300000001"/>
    <s v="ROMERO SERVICIOS S. A. S. ALPACHIRI 14"/>
    <x v="1791"/>
    <n v="6021324.8300000001"/>
    <x v="226"/>
    <x v="0"/>
    <s v="pagado"/>
    <s v="pagado"/>
    <x v="0"/>
    <x v="0"/>
  </r>
  <r>
    <n v="3000001441"/>
    <d v="2026-03-25T00:00:00"/>
    <n v="18563869.34"/>
    <s v="PAMPLONA SRL SAN MIGUEL DE TUCUMAN 14"/>
    <x v="1792"/>
    <n v="18563869.34"/>
    <x v="226"/>
    <x v="0"/>
    <s v="pagado"/>
    <s v="pagado"/>
    <x v="0"/>
    <x v="0"/>
  </r>
  <r>
    <n v="3000001442"/>
    <d v="2026-03-25T00:00:00"/>
    <n v="17579717.789999999"/>
    <s v="M. AMUCHASTEGUI S. R. L. YERBA BUENA 14"/>
    <x v="1793"/>
    <n v="17579717.789999999"/>
    <x v="226"/>
    <x v="0"/>
    <s v="pagado"/>
    <s v="pagado"/>
    <x v="0"/>
    <x v="0"/>
  </r>
  <r>
    <n v="3000001444"/>
    <d v="2026-03-25T00:00:00"/>
    <n v="41662283.469999999"/>
    <s v="AGROPECUARIA MUNDO NUEVO SRL SAN PABLO 14"/>
    <x v="1794"/>
    <n v="41662283.469999999"/>
    <x v="226"/>
    <x v="0"/>
    <s v="pagado"/>
    <s v="pagado"/>
    <x v="0"/>
    <x v="0"/>
  </r>
  <r>
    <n v="3000001445"/>
    <d v="2026-03-25T00:00:00"/>
    <n v="6365278.1200000001"/>
    <s v="LOGISTICA INTERNACIONAL S.A SAN MIGUEL DE TUCUMAN 14"/>
    <x v="1795"/>
    <n v="6365278.1200000001"/>
    <x v="200"/>
    <x v="0"/>
    <s v="pagado"/>
    <s v="pagado"/>
    <x v="0"/>
    <x v="0"/>
  </r>
  <r>
    <n v="3000001446"/>
    <d v="2026-03-25T00:00:00"/>
    <n v="6447707.1699999999"/>
    <s v="TODOS RETENES SA CORDOBA 03"/>
    <x v="1796"/>
    <n v="6447707.1699999999"/>
    <x v="200"/>
    <x v="0"/>
    <s v="pagado"/>
    <s v="pagado"/>
    <x v="0"/>
    <x v="0"/>
  </r>
  <r>
    <n v="3000001447"/>
    <d v="2026-03-25T00:00:00"/>
    <n v="13676438.4"/>
    <s v="FERRO JOSE NICOLAS FAMAILLA 14"/>
    <x v="1797"/>
    <n v="13676438.4"/>
    <x v="200"/>
    <x v="0"/>
    <s v="pagado"/>
    <s v="pagado"/>
    <x v="0"/>
    <x v="0"/>
  </r>
  <r>
    <n v="3000001448"/>
    <d v="2026-03-25T00:00:00"/>
    <n v="20365023.18"/>
    <s v="Astori Estructuras S.A. Bº Palmar 03"/>
    <x v="1798"/>
    <n v="20365023.18"/>
    <x v="200"/>
    <x v="0"/>
    <s v="pagado"/>
    <s v="pagado"/>
    <x v="0"/>
    <x v="0"/>
  </r>
  <r>
    <n v="3000001449"/>
    <d v="2026-03-25T00:00:00"/>
    <n v="24970255.57"/>
    <s v="CEMEVA SAS YERBA BUENA 14"/>
    <x v="1799"/>
    <n v="24970255.57"/>
    <x v="200"/>
    <x v="0"/>
    <s v="pagado"/>
    <s v="pagado"/>
    <x v="0"/>
    <x v="0"/>
  </r>
  <r>
    <n v="3000001450"/>
    <d v="2026-03-25T00:00:00"/>
    <n v="7885342.54"/>
    <s v="TRANSPORTE FRIOS DEL NORTE S.RSAN MIGUEL DE TUCUMAN 14"/>
    <x v="1800"/>
    <n v="7885342.54"/>
    <x v="226"/>
    <x v="0"/>
    <s v="pagado"/>
    <s v="pagado"/>
    <x v="0"/>
    <x v="0"/>
  </r>
  <r>
    <n v="3000001451"/>
    <d v="2026-03-25T00:00:00"/>
    <n v="9031077.9800000004"/>
    <s v="MAC DONALD MIGUEL ALEJANDRO BANDA DEL RIO SALI 14"/>
    <x v="1801"/>
    <n v="9031077.9800000004"/>
    <x v="200"/>
    <x v="0"/>
    <s v="pagado"/>
    <s v="pagado"/>
    <x v="0"/>
    <x v="0"/>
  </r>
  <r>
    <n v="3000001452"/>
    <d v="2026-03-25T00:00:00"/>
    <n v="13859450.800000001"/>
    <s v="VILLAGRA VELEZ ROQUE RICARDO SAN MIGUEL DE TUCUMAN 14"/>
    <x v="1802"/>
    <n v="13859450.800000001"/>
    <x v="200"/>
    <x v="0"/>
    <s v="pagado"/>
    <s v="pagado"/>
    <x v="0"/>
    <x v="0"/>
  </r>
  <r>
    <n v="3000001453"/>
    <d v="2026-03-25T00:00:00"/>
    <n v="6730493.6399999997"/>
    <s v="JACQUET NORBERTO SALVADOR SAN JOSE 05"/>
    <x v="1803"/>
    <n v="6730493.6399999997"/>
    <x v="226"/>
    <x v="0"/>
    <s v="pagado"/>
    <s v="pagado"/>
    <x v="0"/>
    <x v="0"/>
  </r>
  <r>
    <n v="3000001454"/>
    <d v="2026-03-25T00:00:00"/>
    <n v="4686675"/>
    <s v="LATCOMEX SA CAPITAL FEDERAL 00"/>
    <x v="1804"/>
    <n v="4686675"/>
    <x v="200"/>
    <x v="0"/>
    <s v="pagado"/>
    <s v="pagado"/>
    <x v="0"/>
    <x v="0"/>
  </r>
  <r>
    <n v="3000007593"/>
    <d v="2026-03-27T00:00:00"/>
    <n v="2243497.88"/>
    <s v="VILLAGRA VELEZ ROQUE RICARDO SAN MIGUEL DE TUCUMAN 14"/>
    <x v="1805"/>
    <n v="2243497.88"/>
    <x v="226"/>
    <x v="2"/>
    <s v="pagado"/>
    <s v="pagado"/>
    <x v="0"/>
    <x v="0"/>
  </r>
  <r>
    <n v="3000001348"/>
    <d v="2026-03-27T00:00:00"/>
    <n v="19699035.510000002"/>
    <s v="Poda Verde SRL SAN MIGUEL DE TUCUMAN 14"/>
    <x v="1806"/>
    <n v="19699035.510000002"/>
    <x v="226"/>
    <x v="0"/>
    <s v="pagado"/>
    <s v="pagado"/>
    <x v="0"/>
    <x v="0"/>
  </r>
  <r>
    <n v="3000001554"/>
    <d v="2026-03-27T00:00:00"/>
    <n v="649200"/>
    <s v=". TUCUMAN"/>
    <x v="1807"/>
    <n v="649200"/>
    <x v="226"/>
    <x v="0"/>
    <s v="pagado"/>
    <s v="pagado"/>
    <x v="0"/>
    <x v="0"/>
  </r>
  <r>
    <n v="3000001696"/>
    <d v="2026-04-06T00:00:00"/>
    <n v="23575430.25"/>
    <s v="Roda Transformecanica Serv.SRLSAN MIGUEL DE TUCUMAN 14"/>
    <x v="1808"/>
    <n v="23575430.25"/>
    <x v="227"/>
    <x v="0"/>
    <s v="pagado"/>
    <s v="pagado"/>
    <x v="0"/>
    <x v="0"/>
  </r>
  <r>
    <n v="3000001697"/>
    <d v="2026-04-06T00:00:00"/>
    <n v="5739462.1500000004"/>
    <s v="VISMA ARGENTINA SA CAPITAL FEDERAL 14"/>
    <x v="1809"/>
    <n v="5739462.1500000004"/>
    <x v="227"/>
    <x v="0"/>
    <s v="pagado"/>
    <s v="pagado"/>
    <x v="0"/>
    <x v="0"/>
  </r>
  <r>
    <n v="3000001698"/>
    <d v="2026-04-06T00:00:00"/>
    <n v="35006943.399999999"/>
    <s v="Consultoria en Tecnologia de IBUENOS AIRES 00"/>
    <x v="1810"/>
    <n v="35006943.399999999"/>
    <x v="227"/>
    <x v="0"/>
    <s v="pagado"/>
    <s v="pagado"/>
    <x v="0"/>
    <x v="0"/>
  </r>
  <r>
    <n v="3000001699"/>
    <d v="2026-04-06T00:00:00"/>
    <n v="9703847.4000000004"/>
    <s v="FERRO JOSE NICOLAS FAMAILLA 14"/>
    <x v="1811"/>
    <n v="9703847.4000000004"/>
    <x v="227"/>
    <x v="0"/>
    <s v="pagado"/>
    <s v="pagado"/>
    <x v="0"/>
    <x v="0"/>
  </r>
  <r>
    <n v="3000001700"/>
    <d v="2026-04-06T00:00:00"/>
    <n v="9118231.4000000004"/>
    <s v="TEKNOS TECHNOLOGY GROUP SA CAPITAL FEDERAL 00"/>
    <x v="1812"/>
    <n v="9118231.4000000004"/>
    <x v="227"/>
    <x v="0"/>
    <s v="pagado"/>
    <s v="pagado"/>
    <x v="0"/>
    <x v="0"/>
  </r>
  <r>
    <n v="3000001701"/>
    <d v="2026-04-06T00:00:00"/>
    <n v="18851123.23"/>
    <s v="CONFECAT S.A SAN FERNANDO DEL VALLE DE CATAMARCA 02"/>
    <x v="1813"/>
    <n v="18851123.23"/>
    <x v="227"/>
    <x v="0"/>
    <s v="pagado"/>
    <s v="pagado"/>
    <x v="0"/>
    <x v="0"/>
  </r>
  <r>
    <n v="3000001702"/>
    <d v="2026-04-06T00:00:00"/>
    <n v="9139264.1799999997"/>
    <s v="Marchese Grandi Meson y Asoc SAN MIGUEL DE TUCUMAN 14"/>
    <x v="1814"/>
    <n v="9139264.1799999997"/>
    <x v="227"/>
    <x v="0"/>
    <s v="pagado"/>
    <s v="pagado"/>
    <x v="0"/>
    <x v="0"/>
  </r>
  <r>
    <n v="3000001766"/>
    <d v="2026-04-08T00:00:00"/>
    <n v="16593343.4"/>
    <s v="Rutas Servicios Integrales SRLCapital Federal 00"/>
    <x v="1815"/>
    <n v="16593343.4"/>
    <x v="228"/>
    <x v="0"/>
    <s v="pagado"/>
    <s v="pagado"/>
    <x v="0"/>
    <x v="0"/>
  </r>
  <r>
    <n v="3000001767"/>
    <d v="2026-04-08T00:00:00"/>
    <n v="19457607.149999999"/>
    <s v="Terminal 4 S.A. Puerto Nuevo 01"/>
    <x v="1816"/>
    <n v="19457607.149999999"/>
    <x v="228"/>
    <x v="0"/>
    <s v="pagado"/>
    <s v="pagado"/>
    <x v="0"/>
    <x v="0"/>
  </r>
  <r>
    <n v="3000001768"/>
    <d v="2026-04-08T00:00:00"/>
    <n v="3996370.85"/>
    <s v="Southatlantic Maritime S.A. BUENOS AIRES 01"/>
    <x v="1817"/>
    <n v="3996370.85"/>
    <x v="228"/>
    <x v="0"/>
    <s v="pagado"/>
    <s v="pagado"/>
    <x v="0"/>
    <x v="0"/>
  </r>
  <r>
    <n v="3000001769"/>
    <d v="2026-04-08T00:00:00"/>
    <n v="2243497.87"/>
    <s v="RL SOLUCIONES S. A. S. SAN MIGUEL DE TUCUMAN 14"/>
    <x v="1818"/>
    <n v="2243497.87"/>
    <x v="228"/>
    <x v="0"/>
    <s v="pagado"/>
    <s v="pagado"/>
    <x v="0"/>
    <x v="0"/>
  </r>
  <r>
    <n v="3000001770"/>
    <d v="2026-04-08T00:00:00"/>
    <n v="2243665.7999999998"/>
    <s v="JACQUET NORBERTO SALVADOR SAN JOSE 05"/>
    <x v="1819"/>
    <n v="2243665.7999999998"/>
    <x v="228"/>
    <x v="0"/>
    <s v="pagado"/>
    <s v="pagado"/>
    <x v="0"/>
    <x v="0"/>
  </r>
  <r>
    <n v="3000001771"/>
    <d v="2026-04-08T00:00:00"/>
    <n v="2040745.01"/>
    <s v="PEDRO GABRIEL ALEJANDRO ALDERETES 14"/>
    <x v="1820"/>
    <n v="2040745.01"/>
    <x v="228"/>
    <x v="0"/>
    <s v="pagado"/>
    <s v="pagado"/>
    <x v="0"/>
    <x v="0"/>
  </r>
  <r>
    <n v="3000001772"/>
    <d v="2026-04-08T00:00:00"/>
    <n v="4290889.25"/>
    <s v="Expreso Bisonte S.R.L. BANDA DEL RIO SALI 14"/>
    <x v="1821"/>
    <n v="4290889.25"/>
    <x v="228"/>
    <x v="0"/>
    <s v="pagado"/>
    <s v="pagado"/>
    <x v="0"/>
    <x v="0"/>
  </r>
  <r>
    <n v="3000001773"/>
    <d v="2026-04-08T00:00:00"/>
    <n v="2527351.7799999998"/>
    <s v="CEMEVA SAS YERBA BUENA 14"/>
    <x v="1822"/>
    <n v="2527351.7799999998"/>
    <x v="228"/>
    <x v="0"/>
    <s v="pagado"/>
    <s v="pagado"/>
    <x v="0"/>
    <x v="0"/>
  </r>
  <r>
    <n v="3000001871"/>
    <d v="2026-04-13T00:00:00"/>
    <n v="1400000"/>
    <s v=". TUCUMAN"/>
    <x v="1823"/>
    <n v="1400000"/>
    <x v="229"/>
    <x v="0"/>
    <s v="pagado"/>
    <s v="pagado"/>
    <x v="0"/>
    <x v="0"/>
  </r>
  <r>
    <n v="3000001943"/>
    <d v="2026-04-14T00:00:00"/>
    <n v="459580.12"/>
    <s v="PEDRO CRISTOFER MAURICIO LOS GUTIERREZ 14"/>
    <x v="1824"/>
    <n v="459580.12"/>
    <x v="230"/>
    <x v="0"/>
    <s v="pagado"/>
    <s v="pagado"/>
    <x v="0"/>
    <x v="0"/>
  </r>
  <r>
    <n v="3000001880"/>
    <d v="2026-04-13T00:00:00"/>
    <n v="44368343.399999999"/>
    <s v="Jeblab S.R.L. YERBA BUENA 14"/>
    <x v="1825"/>
    <n v="44368343.399999999"/>
    <x v="229"/>
    <x v="0"/>
    <s v="pagado"/>
    <s v="pagado"/>
    <x v="0"/>
    <x v="0"/>
  </r>
  <r>
    <n v="3000001881"/>
    <d v="2026-04-13T00:00:00"/>
    <n v="10242029.73"/>
    <s v="SMART SEGURIDAD SA YERBA BUENA 14"/>
    <x v="1826"/>
    <n v="10242029.73"/>
    <x v="229"/>
    <x v="0"/>
    <s v="pagado"/>
    <s v="pagado"/>
    <x v="0"/>
    <x v="0"/>
  </r>
  <r>
    <n v="3000001883"/>
    <d v="2026-04-13T00:00:00"/>
    <n v="6113834.4000000004"/>
    <s v="M.A.D Serv y mant eléctri SAN MIGUEL DE TUCUMAN 14"/>
    <x v="1827"/>
    <n v="6113834.4000000004"/>
    <x v="229"/>
    <x v="0"/>
    <s v="pagado"/>
    <s v="pagado"/>
    <x v="0"/>
    <x v="0"/>
  </r>
  <r>
    <n v="3000001884"/>
    <d v="2026-04-13T00:00:00"/>
    <n v="22548375"/>
    <s v="BONSUR SA CAPITAL FEDERAL 00"/>
    <x v="1828"/>
    <n v="22548375"/>
    <x v="229"/>
    <x v="0"/>
    <s v="pagado"/>
    <s v="pagado"/>
    <x v="0"/>
    <x v="0"/>
  </r>
  <r>
    <n v="3000001885"/>
    <d v="2026-04-13T00:00:00"/>
    <n v="5131056.05"/>
    <s v="CAPETTA ANTONELLA ANAHI SAN MIGUEL DE TUCUMAN 14"/>
    <x v="1829"/>
    <n v="5131056.05"/>
    <x v="229"/>
    <x v="0"/>
    <s v="pagado"/>
    <s v="pagado"/>
    <x v="0"/>
    <x v="0"/>
  </r>
  <r>
    <n v="3000001886"/>
    <d v="2026-04-13T00:00:00"/>
    <n v="10826452.17"/>
    <s v="Poda Verde SRL SAN MIGUEL DE TUCUMAN 14"/>
    <x v="1830"/>
    <n v="10826452.17"/>
    <x v="229"/>
    <x v="0"/>
    <s v="pagado"/>
    <s v="pagado"/>
    <x v="0"/>
    <x v="0"/>
  </r>
  <r>
    <n v="3000001887"/>
    <d v="2026-04-13T00:00:00"/>
    <n v="173851885.88999999"/>
    <s v="CATALANA DE SERVICIOS SRL YERBA BUENA 14"/>
    <x v="1831"/>
    <n v="173851885.88999999"/>
    <x v="229"/>
    <x v="0"/>
    <s v="pagado"/>
    <s v="pagado"/>
    <x v="0"/>
    <x v="0"/>
  </r>
  <r>
    <n v="3000001888"/>
    <d v="2026-04-13T00:00:00"/>
    <n v="21749242.460000001"/>
    <s v="CAMPOAGRO SRL YERBA BUENA 14"/>
    <x v="1832"/>
    <n v="21749242.460000001"/>
    <x v="230"/>
    <x v="0"/>
    <s v="pagado"/>
    <s v="pagado"/>
    <x v="0"/>
    <x v="0"/>
  </r>
  <r>
    <n v="3000001882"/>
    <d v="2026-04-13T00:00:00"/>
    <n v="15085000"/>
    <s v="MG SERVICIOS AGROPECUARIOS SASTAFI VIEJO 14"/>
    <x v="1833"/>
    <n v="15085000"/>
    <x v="229"/>
    <x v="0"/>
    <s v="pagado"/>
    <s v="pagado"/>
    <x v="0"/>
    <x v="0"/>
  </r>
  <r>
    <n v="3000001882"/>
    <d v="2026-04-13T00:00:00"/>
    <n v="12500000"/>
    <s v="MG SERVICIOS AGROPECUARIOS SASTAFI VIEJO 14"/>
    <x v="1834"/>
    <n v="12500000"/>
    <x v="229"/>
    <x v="0"/>
    <s v="pagado"/>
    <s v="pagado"/>
    <x v="0"/>
    <x v="0"/>
  </r>
  <r>
    <n v="3000001882"/>
    <d v="2026-04-13T00:00:00"/>
    <n v="8000000"/>
    <s v="MG SERVICIOS AGROPECUARIOS SASTAFI VIEJO 14"/>
    <x v="1835"/>
    <n v="8000000"/>
    <x v="229"/>
    <x v="0"/>
    <s v="pagado"/>
    <s v="pagado"/>
    <x v="0"/>
    <x v="0"/>
  </r>
  <r>
    <n v="3000001882"/>
    <d v="2026-04-13T00:00:00"/>
    <n v="4619219"/>
    <s v="MG SERVICIOS AGROPECUARIOS SASTAFI VIEJO 14"/>
    <x v="1836"/>
    <n v="4619219"/>
    <x v="229"/>
    <x v="0"/>
    <s v="pagado"/>
    <s v="pagado"/>
    <x v="0"/>
    <x v="0"/>
  </r>
  <r>
    <n v="3000001882"/>
    <d v="2026-04-13T00:00:00"/>
    <n v="2149975"/>
    <s v="MG SERVICIOS AGROPECUARIOS SASTAFI VIEJO 14"/>
    <x v="1837"/>
    <n v="2149975"/>
    <x v="229"/>
    <x v="0"/>
    <s v="pagado"/>
    <s v="pagado"/>
    <x v="0"/>
    <x v="0"/>
  </r>
  <r>
    <n v="3000001882"/>
    <d v="2026-04-13T00:00:00"/>
    <n v="147744535.21000001"/>
    <s v="MG SERVICIOS AGROPECUARIOS SASTAFI VIEJO 14"/>
    <x v="1838"/>
    <n v="147744535.21000001"/>
    <x v="230"/>
    <x v="0"/>
    <s v="pagado"/>
    <s v="pagado"/>
    <x v="0"/>
    <x v="0"/>
  </r>
  <r>
    <n v="3000001890"/>
    <d v="2026-04-13T00:00:00"/>
    <n v="1947595.77"/>
    <s v="AGROGANADERA DEL NOA CEVIL POZO 14"/>
    <x v="1839"/>
    <n v="1947595.77"/>
    <x v="229"/>
    <x v="0"/>
    <s v="pagado"/>
    <s v="pagado"/>
    <x v="0"/>
    <x v="0"/>
  </r>
  <r>
    <n v="3000001890"/>
    <d v="2026-04-13T00:00:00"/>
    <n v="2326904.62"/>
    <s v="AGROGANADERA DEL NOA CEVIL POZO 14"/>
    <x v="1840"/>
    <n v="2326904.62"/>
    <x v="229"/>
    <x v="0"/>
    <s v="pagado"/>
    <s v="pagado"/>
    <x v="0"/>
    <x v="0"/>
  </r>
  <r>
    <n v="3000001890"/>
    <d v="2026-04-13T00:00:00"/>
    <n v="1954667.92"/>
    <s v="AGROGANADERA DEL NOA CEVIL POZO 14"/>
    <x v="1841"/>
    <n v="1954667.92"/>
    <x v="229"/>
    <x v="0"/>
    <s v="no pagado"/>
    <s v="fuera de fecha"/>
    <x v="0"/>
    <x v="0"/>
  </r>
  <r>
    <n v="3000001890"/>
    <d v="2026-04-13T00:00:00"/>
    <n v="3029304.79"/>
    <s v="AGROGANADERA DEL NOA CEVIL POZO 14"/>
    <x v="1842"/>
    <n v="3029304.79"/>
    <x v="229"/>
    <x v="0"/>
    <s v="pagado"/>
    <s v="pagado"/>
    <x v="0"/>
    <x v="0"/>
  </r>
  <r>
    <n v="3000001890"/>
    <d v="2026-04-13T00:00:00"/>
    <n v="3597606.51"/>
    <s v="AGROGANADERA DEL NOA CEVIL POZO 14"/>
    <x v="1843"/>
    <n v="3597606.51"/>
    <x v="229"/>
    <x v="0"/>
    <s v="no pagado"/>
    <s v="fuera de fecha"/>
    <x v="0"/>
    <x v="0"/>
  </r>
  <r>
    <n v="3000001890"/>
    <d v="2026-04-13T00:00:00"/>
    <n v="27269382.5"/>
    <s v="AGROGANADERA DEL NOA CEVIL POZO 14"/>
    <x v="1844"/>
    <n v="27269382.5"/>
    <x v="229"/>
    <x v="0"/>
    <s v="pagado"/>
    <s v="pagado"/>
    <x v="0"/>
    <x v="0"/>
  </r>
  <r>
    <n v="3000001890"/>
    <d v="2026-04-13T00:00:00"/>
    <n v="31651343.399999999"/>
    <s v="AGROGANADERA DEL NOA CEVIL POZO 14"/>
    <x v="1845"/>
    <n v="31651343.399999999"/>
    <x v="229"/>
    <x v="0"/>
    <s v="pagado"/>
    <s v="pagado"/>
    <x v="0"/>
    <x v="0"/>
  </r>
  <r>
    <n v="3000001890"/>
    <d v="2026-04-13T00:00:00"/>
    <n v="3510098.49"/>
    <s v="AGROGANADERA DEL NOA CEVIL POZO 14"/>
    <x v="1846"/>
    <n v="3510098.49"/>
    <x v="229"/>
    <x v="0"/>
    <s v="pagado"/>
    <s v="pagado"/>
    <x v="0"/>
    <x v="0"/>
  </r>
  <r>
    <n v="3000001953"/>
    <d v="2026-04-14T00:00:00"/>
    <n v="12396489.369999999"/>
    <s v="RL SOLUCIONES S. A. S. SAN MIGUEL DE TUCUMAN 14"/>
    <x v="1847"/>
    <n v="12396489.369999999"/>
    <x v="231"/>
    <x v="0"/>
    <s v="pagado"/>
    <s v="pagado"/>
    <x v="0"/>
    <x v="0"/>
  </r>
  <r>
    <n v="3000001952"/>
    <d v="2026-04-14T00:00:00"/>
    <n v="5257062.96"/>
    <s v="TRANSPORTE FRIOS DEL NORTE S.RSAN MIGUEL DE TUCUMAN 14"/>
    <x v="1848"/>
    <n v="5257062.96"/>
    <x v="231"/>
    <x v="0"/>
    <s v="pagado"/>
    <s v="pagado"/>
    <x v="0"/>
    <x v="0"/>
  </r>
  <r>
    <n v="3000001951"/>
    <d v="2026-04-14T00:00:00"/>
    <n v="11312633.49"/>
    <s v="CAPETTA ANTONELLA ANAHI SAN MIGUEL DE TUCUMAN 14"/>
    <x v="1849"/>
    <n v="11312633.49"/>
    <x v="231"/>
    <x v="0"/>
    <s v="pagado"/>
    <s v="pagado"/>
    <x v="0"/>
    <x v="0"/>
  </r>
  <r>
    <n v="3000001950"/>
    <d v="2026-04-14T00:00:00"/>
    <n v="7416248.1600000001"/>
    <s v="VIDES GUSTAVO ENRIQUE LA TRINIDAD 14"/>
    <x v="1850"/>
    <n v="7416248.1600000001"/>
    <x v="231"/>
    <x v="0"/>
    <s v="no pagado"/>
    <s v="fuera de fecha"/>
    <x v="0"/>
    <x v="0"/>
  </r>
  <r>
    <n v="3000001944"/>
    <d v="2026-04-14T00:00:00"/>
    <n v="8499850.9199999999"/>
    <s v="CAFELI S.R.L. SAN MIGUEL DE TUCUMAN 14"/>
    <x v="1851"/>
    <n v="8499850.9199999999"/>
    <x v="232"/>
    <x v="0"/>
    <s v="pagado"/>
    <s v="pagado"/>
    <x v="0"/>
    <x v="0"/>
  </r>
  <r>
    <n v="3000001945"/>
    <d v="2026-04-14T00:00:00"/>
    <n v="19714253.350000001"/>
    <s v="SEGURIDAD OMEGA SRL SAN FERNANDO DEL VALLE DE CATAMARCA 02"/>
    <x v="1852"/>
    <n v="19714253.350000001"/>
    <x v="232"/>
    <x v="0"/>
    <s v="pagado"/>
    <s v="pagado"/>
    <x v="0"/>
    <x v="0"/>
  </r>
  <r>
    <n v="3000001946"/>
    <d v="2026-04-14T00:00:00"/>
    <n v="15277327.029999999"/>
    <s v="ROMERO SERVICIOS S. A. S. ALPACHIRI 14"/>
    <x v="1853"/>
    <n v="15277327.029999999"/>
    <x v="232"/>
    <x v="0"/>
    <s v="pagado"/>
    <s v="pagado"/>
    <x v="0"/>
    <x v="0"/>
  </r>
  <r>
    <n v="3000001947"/>
    <d v="2026-04-14T00:00:00"/>
    <n v="12428257.5"/>
    <s v="PAMPLONA SRL SAN MIGUEL DE TUCUMAN 14"/>
    <x v="1854"/>
    <n v="12428257.5"/>
    <x v="232"/>
    <x v="0"/>
    <s v="pagado"/>
    <s v="pagado"/>
    <x v="0"/>
    <x v="0"/>
  </r>
  <r>
    <n v="3000001948"/>
    <d v="2026-04-14T00:00:00"/>
    <n v="27538833.109999999"/>
    <s v="MG SERVICIOS AGROPECUARIOS SASTAFI VIEJO 14"/>
    <x v="1855"/>
    <n v="27538833.109999999"/>
    <x v="232"/>
    <x v="0"/>
    <s v="pagado"/>
    <s v="pagado"/>
    <x v="0"/>
    <x v="0"/>
  </r>
  <r>
    <n v="3000001949"/>
    <d v="2026-04-14T00:00:00"/>
    <n v="23521840.329999998"/>
    <s v="LA MARTINA SERV. AGRICOLAS S.RSAN PABLO 14"/>
    <x v="1856"/>
    <n v="23521840.329999998"/>
    <x v="232"/>
    <x v="0"/>
    <s v="pagado"/>
    <s v="pagado"/>
    <x v="0"/>
    <x v="0"/>
  </r>
  <r>
    <n v="3000002030"/>
    <d v="2026-04-16T00:00:00"/>
    <n v="23311830.98"/>
    <s v="BONSUR SA CAPITAL FEDERAL 00"/>
    <x v="1857"/>
    <n v="23311830.98"/>
    <x v="233"/>
    <x v="0"/>
    <s v="pagado"/>
    <s v="pagado"/>
    <x v="0"/>
    <x v="0"/>
  </r>
  <r>
    <n v="3000002087"/>
    <d v="2026-04-20T00:00:00"/>
    <n v="2000000"/>
    <s v="Hierronort Salta S.R.L. SAN MIGUEL DE TUCUMAN 14"/>
    <x v="1858"/>
    <n v="2000000"/>
    <x v="234"/>
    <x v="0"/>
    <s v="pagado"/>
    <s v="pagado"/>
    <x v="0"/>
    <x v="0"/>
  </r>
  <r>
    <n v="3000002087"/>
    <d v="2026-04-20T00:00:00"/>
    <n v="2000000"/>
    <s v="Hierronort Salta S.R.L. SAN MIGUEL DE TUCUMAN 14"/>
    <x v="1859"/>
    <n v="2000000"/>
    <x v="235"/>
    <x v="0"/>
    <s v="pagado"/>
    <s v="pagado"/>
    <x v="0"/>
    <x v="0"/>
  </r>
  <r>
    <n v="3000002087"/>
    <d v="2026-04-20T00:00:00"/>
    <n v="2573127.7799999998"/>
    <s v="Hierronort Salta S.R.L. SAN MIGUEL DE TUCUMAN 14"/>
    <x v="1860"/>
    <n v="2573127.7799999998"/>
    <x v="236"/>
    <x v="0"/>
    <s v="pagado"/>
    <s v="pagado"/>
    <x v="0"/>
    <x v="0"/>
  </r>
  <r>
    <n v="3000002088"/>
    <d v="2026-04-20T00:00:00"/>
    <n v="4543274.22"/>
    <s v="PEREZ CURBELO HNOS SRL SAN MIGUEL DE TUCUMAN 14"/>
    <x v="1861"/>
    <n v="4543274.22"/>
    <x v="234"/>
    <x v="0"/>
    <s v="pagado"/>
    <s v="pagado"/>
    <x v="0"/>
    <x v="0"/>
  </r>
  <r>
    <n v="3000002089"/>
    <d v="2026-04-20T00:00:00"/>
    <n v="11327967.66"/>
    <s v="SMART SEGURIDAD SA YERBA BUENA 14"/>
    <x v="1862"/>
    <n v="11327967.66"/>
    <x v="234"/>
    <x v="0"/>
    <s v="pagado"/>
    <s v="pagado"/>
    <x v="0"/>
    <x v="0"/>
  </r>
  <r>
    <n v="3000002090"/>
    <d v="2026-04-20T00:00:00"/>
    <n v="19279785.890000001"/>
    <s v="SEGURIDAD OMEGA SRL SAN FERNANDO DEL VALLE DE CATAMARCA 02"/>
    <x v="1863"/>
    <n v="19279785.890000001"/>
    <x v="234"/>
    <x v="0"/>
    <s v="pagado"/>
    <s v="pagado"/>
    <x v="0"/>
    <x v="0"/>
  </r>
  <r>
    <n v="3000002091"/>
    <d v="2026-04-20T00:00:00"/>
    <n v="189544258.16"/>
    <s v="CATALANA DE SERVICIOS SRL YERBA BUENA 14"/>
    <x v="1864"/>
    <n v="189544258.16"/>
    <x v="234"/>
    <x v="0"/>
    <s v="pagado"/>
    <s v="pagado"/>
    <x v="0"/>
    <x v="0"/>
  </r>
  <r>
    <n v="3000002092"/>
    <d v="2026-04-20T00:00:00"/>
    <n v="5608563.4000000004"/>
    <s v="AG SUSTENTABLE SAS CABA 00"/>
    <x v="1865"/>
    <n v="5608563.4000000004"/>
    <x v="234"/>
    <x v="0"/>
    <s v="pagado"/>
    <s v="pagado"/>
    <x v="0"/>
    <x v="0"/>
  </r>
  <r>
    <n v="3000002093"/>
    <d v="2026-04-20T00:00:00"/>
    <n v="5193980"/>
    <s v="GIL ISABEL CRISTINA SAN MIGUEL DE TUCUMAN 14"/>
    <x v="1866"/>
    <n v="5193980"/>
    <x v="237"/>
    <x v="0"/>
    <s v="pagado"/>
    <s v="pagado"/>
    <x v="0"/>
    <x v="0"/>
  </r>
  <r>
    <n v="3000002136"/>
    <d v="2026-04-21T00:00:00"/>
    <n v="14831765.09"/>
    <s v="SERVICIO INTERNACIONAL DE FLETCAPTAL FEDERAL 00"/>
    <x v="1867"/>
    <n v="14831765.09"/>
    <x v="238"/>
    <x v="0"/>
    <s v="no pagado"/>
    <s v="fuera de fecha"/>
    <x v="0"/>
    <x v="0"/>
  </r>
  <r>
    <n v="3000002137"/>
    <d v="2026-04-21T00:00:00"/>
    <n v="3420636.3"/>
    <s v="PERATO LUIS ALBERTO BANDA DEL RIO SALI 14"/>
    <x v="1868"/>
    <n v="3420636.3"/>
    <x v="238"/>
    <x v="0"/>
    <s v="no pagado"/>
    <s v="fuera de fecha"/>
    <x v="0"/>
    <x v="0"/>
  </r>
  <r>
    <n v="3000002138"/>
    <d v="2026-04-21T00:00:00"/>
    <n v="8567468.9800000004"/>
    <s v="ACOSTA ROQUE RAMON SAN MIGUEL DE TUCUMAN 14"/>
    <x v="1869"/>
    <n v="8567468.9800000004"/>
    <x v="238"/>
    <x v="0"/>
    <s v="pagado"/>
    <s v="pagado"/>
    <x v="0"/>
    <x v="0"/>
  </r>
  <r>
    <n v="3000002139"/>
    <d v="2026-04-21T00:00:00"/>
    <n v="5133802.09"/>
    <s v="FERNANDEZ HECTOR JOSE SIMOCA 14"/>
    <x v="1870"/>
    <n v="5133802.09"/>
    <x v="238"/>
    <x v="0"/>
    <s v="no pagado"/>
    <s v="fuera de fecha"/>
    <x v="0"/>
    <x v="0"/>
  </r>
  <r>
    <n v="3000002140"/>
    <d v="2026-04-21T00:00:00"/>
    <n v="7751298.9699999997"/>
    <s v="GOMEZ JUANA ROSA VILLA LA TRINIDAD 14"/>
    <x v="1871"/>
    <n v="7751298.9699999997"/>
    <x v="238"/>
    <x v="0"/>
    <s v="no pagado"/>
    <s v="fuera de fecha"/>
    <x v="0"/>
    <x v="0"/>
  </r>
  <r>
    <n v="3000002141"/>
    <d v="2026-04-21T00:00:00"/>
    <n v="23905685.699999999"/>
    <s v="CEMEVA SAS YERBA BUENA 14"/>
    <x v="1872"/>
    <n v="23905685.699999999"/>
    <x v="238"/>
    <x v="0"/>
    <s v="no pagado"/>
    <s v="fuera de fecha"/>
    <x v="0"/>
    <x v="0"/>
  </r>
  <r>
    <n v="3000002142"/>
    <d v="2026-04-21T00:00:00"/>
    <n v="6380801.7599999998"/>
    <s v="Gonzalez Jose Luis Lastenia 14"/>
    <x v="1873"/>
    <n v="6380801.7599999998"/>
    <x v="238"/>
    <x v="0"/>
    <s v="no pagado"/>
    <s v="fuera de fecha"/>
    <x v="0"/>
    <x v="0"/>
  </r>
  <r>
    <n v="3000002056"/>
    <d v="2026-04-20T00:00:00"/>
    <n v="30330400"/>
    <s v="EDET S.A. SAN MIGUEL DE TUCUMAN 14"/>
    <x v="1874"/>
    <n v="30330400"/>
    <x v="232"/>
    <x v="0"/>
    <s v="pagado"/>
    <s v="pagado"/>
    <x v="0"/>
    <x v="0"/>
  </r>
  <r>
    <n v="3000002182"/>
    <d v="2026-04-22T00:00:00"/>
    <n v="222414331.91999999"/>
    <s v="EDET S.A. SAN MIGUEL DE TUCUMAN 14"/>
    <x v="1875"/>
    <n v="222414331.91999999"/>
    <x v="238"/>
    <x v="0"/>
    <s v="no pagado"/>
    <s v="fuera de fecha"/>
    <x v="0"/>
    <x v="0"/>
  </r>
  <r>
    <n v="3000002183"/>
    <d v="2026-04-22T00:00:00"/>
    <n v="350514.88"/>
    <s v="ACOSTA ANGEL ALEJANDRO SAN MIGUEL DE TUCUMAN 14"/>
    <x v="1876"/>
    <n v="350514.88"/>
    <x v="237"/>
    <x v="0"/>
    <s v="pagado"/>
    <s v="pagado"/>
    <x v="0"/>
    <x v="0"/>
  </r>
  <r>
    <n v="3000002223"/>
    <d v="2026-04-24T00:00:00"/>
    <n v="6893841.6399999997"/>
    <s v="ROMERO SERVICIOS S. A. S. ALPACHIRI 14"/>
    <x v="1877"/>
    <n v="6893841.6399999997"/>
    <x v="238"/>
    <x v="0"/>
    <s v="pagado"/>
    <s v="pagado"/>
    <x v="0"/>
    <x v="0"/>
  </r>
  <r>
    <n v="3000002224"/>
    <d v="2026-04-24T00:00:00"/>
    <n v="42625439.039999999"/>
    <s v="AGROPECUARIA MUNDO NUEVO SRL SAN PABLO 14"/>
    <x v="1878"/>
    <n v="42625439.039999999"/>
    <x v="238"/>
    <x v="0"/>
    <s v="pagado"/>
    <s v="pagado"/>
    <x v="0"/>
    <x v="0"/>
  </r>
  <r>
    <n v="3000002225"/>
    <d v="2026-04-24T00:00:00"/>
    <n v="26623627.559999999"/>
    <s v="PAMPLONA SRL SAN MIGUEL DE TUCUMAN 14"/>
    <x v="1879"/>
    <n v="26623627.559999999"/>
    <x v="238"/>
    <x v="0"/>
    <s v="pagado"/>
    <s v="pagado"/>
    <x v="0"/>
    <x v="0"/>
  </r>
  <r>
    <n v="3000002296"/>
    <d v="2026-04-27T00:00:00"/>
    <n v="14600000"/>
    <s v="LEGADO DEL NORTE SA LOS VALLISTOS 14"/>
    <x v="1880"/>
    <n v="14600000"/>
    <x v="239"/>
    <x v="0"/>
    <s v="no pagado"/>
    <s v="fuera de fecha"/>
    <x v="0"/>
    <x v="0"/>
  </r>
  <r>
    <n v="3000002296"/>
    <d v="2026-04-27T00:00:00"/>
    <n v="14600000"/>
    <s v="LEGADO DEL NORTE SA LOS VALLISTOS 14"/>
    <x v="1881"/>
    <n v="14600000"/>
    <x v="239"/>
    <x v="0"/>
    <s v="no pagado"/>
    <s v="fuera de fecha"/>
    <x v="0"/>
    <x v="0"/>
  </r>
  <r>
    <n v="3000002296"/>
    <d v="2026-04-27T00:00:00"/>
    <n v="14600000"/>
    <s v="LEGADO DEL NORTE SA LOS VALLISTOS 14"/>
    <x v="1882"/>
    <n v="14600000"/>
    <x v="239"/>
    <x v="0"/>
    <s v="no pagado"/>
    <s v="fuera de fecha"/>
    <x v="0"/>
    <x v="0"/>
  </r>
  <r>
    <n v="3000002296"/>
    <d v="2026-04-27T00:00:00"/>
    <n v="14600000"/>
    <s v="LEGADO DEL NORTE SA LOS VALLISTOS 14"/>
    <x v="1883"/>
    <n v="14600000"/>
    <x v="239"/>
    <x v="0"/>
    <s v="no pagado"/>
    <s v="fuera de fecha"/>
    <x v="0"/>
    <x v="0"/>
  </r>
  <r>
    <n v="3000002296"/>
    <d v="2026-04-27T00:00:00"/>
    <n v="14519180.300000001"/>
    <s v="LEGADO DEL NORTE SA LOS VALLISTOS 14"/>
    <x v="1884"/>
    <n v="14519180.300000001"/>
    <x v="239"/>
    <x v="0"/>
    <s v="no pagado"/>
    <s v="fuera de fecha"/>
    <x v="0"/>
    <x v="0"/>
  </r>
  <r>
    <n v="3000002280"/>
    <d v="2026-04-27T00:00:00"/>
    <n v="4490853.6500000004"/>
    <s v="Astori Estructuras S.A. Bº Palmar 03"/>
    <x v="1885"/>
    <n v="4490853.6500000004"/>
    <x v="239"/>
    <x v="0"/>
    <s v="pagado"/>
    <s v="pagado"/>
    <x v="0"/>
    <x v="0"/>
  </r>
  <r>
    <n v="3000002281"/>
    <d v="2026-04-27T00:00:00"/>
    <n v="10384519.9"/>
    <s v="Inquinat S.A. San Martín 01"/>
    <x v="1886"/>
    <n v="10384519.9"/>
    <x v="239"/>
    <x v="0"/>
    <s v="pagado"/>
    <s v="pagado"/>
    <x v="0"/>
    <x v="0"/>
  </r>
  <r>
    <n v="3000002282"/>
    <d v="2026-04-27T00:00:00"/>
    <n v="4588053.75"/>
    <s v="Autino Hierros S.R.L. SAN MIGUEL DE TUCUMAN 14"/>
    <x v="1887"/>
    <n v="4588053.75"/>
    <x v="239"/>
    <x v="0"/>
    <s v="no pagado"/>
    <s v="fuera de fecha"/>
    <x v="0"/>
    <x v="0"/>
  </r>
  <r>
    <n v="3000002283"/>
    <d v="2026-04-27T00:00:00"/>
    <n v="33111550.079999998"/>
    <s v="ROMERO SERVICIOS S. A. S. ALPACHIRI 14"/>
    <x v="1888"/>
    <n v="33111550.079999998"/>
    <x v="239"/>
    <x v="0"/>
    <s v="pagado"/>
    <s v="pagado"/>
    <x v="0"/>
    <x v="0"/>
  </r>
  <r>
    <n v="3000002284"/>
    <d v="2026-04-27T00:00:00"/>
    <n v="9180648.7300000004"/>
    <s v="PERATO CRISTIAN LUIS BANDA DEL RIO SALI 14"/>
    <x v="1889"/>
    <n v="9180648.7300000004"/>
    <x v="239"/>
    <x v="0"/>
    <s v="pagado"/>
    <s v="pagado"/>
    <x v="0"/>
    <x v="0"/>
  </r>
  <r>
    <n v="3000002285"/>
    <d v="2026-04-27T00:00:00"/>
    <n v="3190003.44"/>
    <s v="HERRERA RICARDO ALBERTO BANDA DEL RIO SALI 14"/>
    <x v="1890"/>
    <n v="3190003.44"/>
    <x v="239"/>
    <x v="0"/>
    <s v="pagado"/>
    <s v="pagado"/>
    <x v="0"/>
    <x v="0"/>
  </r>
  <r>
    <n v="3000002286"/>
    <d v="2026-04-27T00:00:00"/>
    <n v="4074680.69"/>
    <s v="Arias Gonzalo Alejandro San Miguel de Tucumán 14"/>
    <x v="1891"/>
    <n v="4074680.69"/>
    <x v="239"/>
    <x v="0"/>
    <s v="no pagado"/>
    <s v="fuera de fecha"/>
    <x v="0"/>
    <x v="0"/>
  </r>
  <r>
    <n v="3000002287"/>
    <d v="2026-04-27T00:00:00"/>
    <n v="47033595.619999997"/>
    <s v="LA MARTINA SERV. AGRICOLAS S.RSAN PABLO 14"/>
    <x v="1892"/>
    <n v="47033595.619999997"/>
    <x v="239"/>
    <x v="0"/>
    <s v="pagado"/>
    <s v="pagado"/>
    <x v="0"/>
    <x v="0"/>
  </r>
  <r>
    <n v="3000002289"/>
    <d v="2026-04-27T00:00:00"/>
    <n v="3267634.21"/>
    <s v="LANCHELA HECTOR ROLANDO CONCEPCION 14"/>
    <x v="1893"/>
    <n v="3267634.21"/>
    <x v="239"/>
    <x v="0"/>
    <s v="pagado"/>
    <s v="pagado"/>
    <x v="0"/>
    <x v="0"/>
  </r>
  <r>
    <n v="3000002290"/>
    <d v="2026-04-27T00:00:00"/>
    <n v="5530828.9400000004"/>
    <s v="SUAREZ MANUEL RODOLFO ALDERETES 14"/>
    <x v="1894"/>
    <n v="5530828.9400000004"/>
    <x v="239"/>
    <x v="0"/>
    <s v="no pagado"/>
    <s v="fuera de fecha"/>
    <x v="0"/>
    <x v="0"/>
  </r>
  <r>
    <n v="3000002291"/>
    <d v="2026-04-27T00:00:00"/>
    <n v="5011443.46"/>
    <s v="Transportes La Sevillanita S.RALDERETES 14"/>
    <x v="1895"/>
    <n v="5011443.46"/>
    <x v="239"/>
    <x v="0"/>
    <s v="no pagado"/>
    <s v="fuera de fecha"/>
    <x v="0"/>
    <x v="0"/>
  </r>
  <r>
    <n v="3000002292"/>
    <d v="2026-04-27T00:00:00"/>
    <n v="29425910.899999999"/>
    <s v="LATCOMEX SA CAPITAL FEDERAL 00"/>
    <x v="1896"/>
    <n v="29425910.899999999"/>
    <x v="239"/>
    <x v="0"/>
    <s v="pagado"/>
    <s v="pagado"/>
    <x v="0"/>
    <x v="0"/>
  </r>
  <r>
    <n v="3000002293"/>
    <d v="2026-04-27T00:00:00"/>
    <n v="10211869.41"/>
    <s v="CONTROL UNION NORTE S.A YERBA BUENA 14"/>
    <x v="1897"/>
    <n v="10211869.41"/>
    <x v="239"/>
    <x v="0"/>
    <s v="pagado"/>
    <s v="pagado"/>
    <x v="0"/>
    <x v="0"/>
  </r>
  <r>
    <n v="3000002294"/>
    <d v="2026-04-27T00:00:00"/>
    <n v="19764000"/>
    <s v="Rutas Servicios Integrales SRLCapital Federal 00"/>
    <x v="1898"/>
    <n v="19764000"/>
    <x v="239"/>
    <x v="0"/>
    <s v="pagado"/>
    <s v="pagado"/>
    <x v="0"/>
    <x v="0"/>
  </r>
  <r>
    <n v="3000002295"/>
    <d v="2026-04-27T00:00:00"/>
    <n v="3149017.23"/>
    <s v="Sanchez Jose Mauricio San Miguel de Tucuman 14"/>
    <x v="1899"/>
    <n v="3149017.23"/>
    <x v="239"/>
    <x v="0"/>
    <s v="pagado"/>
    <s v="pagado"/>
    <x v="0"/>
    <x v="0"/>
  </r>
  <r>
    <n v="3000002288"/>
    <d v="2026-04-27T00:00:00"/>
    <n v="19780904.050000001"/>
    <s v="PAMPLONA SRL SAN MIGUEL DE TUCUMAN 14"/>
    <x v="1900"/>
    <n v="19780904.050000001"/>
    <x v="239"/>
    <x v="0"/>
    <s v="pagado"/>
    <s v="pagado"/>
    <x v="0"/>
    <x v="0"/>
  </r>
  <r>
    <n v="3000002340"/>
    <d v="2026-04-28T00:00:00"/>
    <n v="3000000"/>
    <s v=". TUCUMAN"/>
    <x v="1901"/>
    <n v="3000000"/>
    <x v="240"/>
    <x v="0"/>
    <s v="pagado"/>
    <s v="pagado"/>
    <x v="0"/>
    <x v="0"/>
  </r>
  <r>
    <n v="3000002342"/>
    <d v="2026-04-29T00:00:00"/>
    <n v="50000000"/>
    <s v="CV CONSTRUCCIONES SRL SAN MIGUEL DE TUCUMAN 14"/>
    <x v="1902"/>
    <n v="50000000"/>
    <x v="241"/>
    <x v="0"/>
    <s v="no pagado"/>
    <s v="fuera de fecha"/>
    <x v="0"/>
    <x v="0"/>
  </r>
  <r>
    <n v="3000002342"/>
    <d v="2026-04-29T00:00:00"/>
    <n v="57830447.140000001"/>
    <s v="CV CONSTRUCCIONES SRL SAN MIGUEL DE TUCUMAN 14"/>
    <x v="1903"/>
    <n v="57830447.140000001"/>
    <x v="242"/>
    <x v="0"/>
    <s v="pagado"/>
    <s v="pagado"/>
    <x v="0"/>
    <x v="0"/>
  </r>
  <r>
    <n v="3000002392"/>
    <d v="2026-04-29T00:00:00"/>
    <n v="2856663.29"/>
    <s v="TRANSPORTE MEDINA S.H. CRUZ ALTA 14"/>
    <x v="1904"/>
    <n v="2856663.29"/>
    <x v="241"/>
    <x v="0"/>
    <s v="pagado"/>
    <s v="pagado"/>
    <x v="0"/>
    <x v="0"/>
  </r>
  <r>
    <n v="3000002423"/>
    <d v="2026-04-30T00:00:00"/>
    <n v="10000000"/>
    <s v="AGROGANADERA DEL NOA CEVIL POZO 14"/>
    <x v="1905"/>
    <n v="10000000"/>
    <x v="243"/>
    <x v="0"/>
    <s v="pagado"/>
    <s v="pagado"/>
    <x v="0"/>
    <x v="0"/>
  </r>
  <r>
    <n v="3000002423"/>
    <d v="2026-04-30T00:00:00"/>
    <n v="10000000"/>
    <s v="AGROGANADERA DEL NOA CEVIL POZO 14"/>
    <x v="1906"/>
    <n v="10000000"/>
    <x v="243"/>
    <x v="0"/>
    <s v="pagado"/>
    <s v="pagado"/>
    <x v="0"/>
    <x v="0"/>
  </r>
  <r>
    <n v="3000002423"/>
    <d v="2026-04-30T00:00:00"/>
    <n v="10000000"/>
    <s v="AGROGANADERA DEL NOA CEVIL POZO 14"/>
    <x v="1907"/>
    <n v="10000000"/>
    <x v="243"/>
    <x v="0"/>
    <s v="pagado"/>
    <s v="pagado"/>
    <x v="0"/>
    <x v="0"/>
  </r>
  <r>
    <n v="3000002423"/>
    <d v="2026-04-30T00:00:00"/>
    <n v="10000000"/>
    <s v="AGROGANADERA DEL NOA CEVIL POZO 14"/>
    <x v="1908"/>
    <n v="10000000"/>
    <x v="244"/>
    <x v="0"/>
    <s v="pagado"/>
    <s v="pagado"/>
    <x v="0"/>
    <x v="0"/>
  </r>
  <r>
    <n v="3000002423"/>
    <d v="2026-04-30T00:00:00"/>
    <n v="5000000"/>
    <s v="AGROGANADERA DEL NOA CEVIL POZO 14"/>
    <x v="1909"/>
    <n v="5000000"/>
    <x v="244"/>
    <x v="0"/>
    <s v="pagado"/>
    <s v="pagado"/>
    <x v="0"/>
    <x v="0"/>
  </r>
  <r>
    <n v="3000002423"/>
    <d v="2026-04-30T00:00:00"/>
    <n v="5000000"/>
    <s v="AGROGANADERA DEL NOA CEVIL POZO 14"/>
    <x v="1910"/>
    <n v="5000000"/>
    <x v="244"/>
    <x v="0"/>
    <s v="pagado"/>
    <s v="pagado"/>
    <x v="0"/>
    <x v="0"/>
  </r>
  <r>
    <n v="3000002423"/>
    <d v="2026-04-30T00:00:00"/>
    <n v="5000000"/>
    <s v="AGROGANADERA DEL NOA CEVIL POZO 14"/>
    <x v="1911"/>
    <n v="5000000"/>
    <x v="244"/>
    <x v="0"/>
    <s v="pagado"/>
    <s v="pagado"/>
    <x v="0"/>
    <x v="0"/>
  </r>
  <r>
    <n v="3000002423"/>
    <d v="2026-04-30T00:00:00"/>
    <n v="5000000"/>
    <s v="AGROGANADERA DEL NOA CEVIL POZO 14"/>
    <x v="1912"/>
    <n v="5000000"/>
    <x v="244"/>
    <x v="0"/>
    <s v="pagado"/>
    <s v="pagado"/>
    <x v="0"/>
    <x v="0"/>
  </r>
  <r>
    <n v="3000002423"/>
    <d v="2026-04-30T00:00:00"/>
    <n v="5000000"/>
    <s v="AGROGANADERA DEL NOA CEVIL POZO 14"/>
    <x v="1913"/>
    <n v="5000000"/>
    <x v="244"/>
    <x v="0"/>
    <s v="pagado"/>
    <s v="pagado"/>
    <x v="0"/>
    <x v="0"/>
  </r>
  <r>
    <n v="3000002423"/>
    <d v="2026-04-30T00:00:00"/>
    <n v="5000000"/>
    <s v="AGROGANADERA DEL NOA CEVIL POZO 14"/>
    <x v="1914"/>
    <n v="5000000"/>
    <x v="244"/>
    <x v="0"/>
    <s v="pagado"/>
    <s v="pagado"/>
    <x v="0"/>
    <x v="0"/>
  </r>
  <r>
    <n v="3000002423"/>
    <d v="2026-04-30T00:00:00"/>
    <n v="5000000"/>
    <s v="AGROGANADERA DEL NOA CEVIL POZO 14"/>
    <x v="1915"/>
    <n v="5000000"/>
    <x v="244"/>
    <x v="0"/>
    <s v="pagado"/>
    <s v="pagado"/>
    <x v="0"/>
    <x v="0"/>
  </r>
  <r>
    <n v="3000002423"/>
    <d v="2026-04-30T00:00:00"/>
    <n v="8780695.2899999991"/>
    <s v="AGROGANADERA DEL NOA CEVIL POZO 14"/>
    <x v="1916"/>
    <n v="8780695.2899999991"/>
    <x v="244"/>
    <x v="0"/>
    <s v="pagado"/>
    <s v="pagado"/>
    <x v="0"/>
    <x v="0"/>
  </r>
  <r>
    <n v="3000002447"/>
    <d v="2026-05-04T00:00:00"/>
    <n v="45000000"/>
    <s v="Cheque de terceros TUCUMAN"/>
    <x v="1917"/>
    <n v="45000000"/>
    <x v="245"/>
    <x v="0"/>
    <s v="pagado"/>
    <s v="pagado"/>
    <x v="0"/>
    <x v="0"/>
  </r>
  <r>
    <n v="3000002447"/>
    <d v="2026-05-04T00:00:00"/>
    <n v="45796981.350000001"/>
    <s v="Cheque de terceros TUCUMAN"/>
    <x v="1918"/>
    <n v="45796981.350000001"/>
    <x v="245"/>
    <x v="0"/>
    <s v="pagado"/>
    <s v="pagado"/>
    <x v="0"/>
    <x v="0"/>
  </r>
  <r>
    <n v="3000002447"/>
    <d v="2026-05-04T00:00:00"/>
    <n v="30250"/>
    <s v="Cheque de terceros TUCUMAN"/>
    <x v="1919"/>
    <n v="30250"/>
    <x v="245"/>
    <x v="0"/>
    <s v="no pagado"/>
    <s v="fuera de fecha"/>
    <x v="0"/>
    <x v="0"/>
  </r>
  <r>
    <n v="3000002447"/>
    <d v="2026-05-04T00:00:00"/>
    <n v="18459650.890000001"/>
    <s v="Cheque de terceros TUCUMAN"/>
    <x v="1920"/>
    <n v="18459650.890000001"/>
    <x v="245"/>
    <x v="0"/>
    <s v="pagado"/>
    <s v="pagado"/>
    <x v="0"/>
    <x v="0"/>
  </r>
  <r>
    <n v="3000002447"/>
    <d v="2026-05-04T00:00:00"/>
    <n v="657119.32999999996"/>
    <s v="Cheque de terceros TUCUMAN"/>
    <x v="1921"/>
    <n v="657119.32999999996"/>
    <x v="245"/>
    <x v="0"/>
    <s v="no pagado"/>
    <s v="fuera de fecha"/>
    <x v="0"/>
    <x v="0"/>
  </r>
  <r>
    <n v="3000002448"/>
    <d v="2026-05-04T00:00:00"/>
    <n v="45000000"/>
    <s v="Cheque de terceros TUCUMAN"/>
    <x v="1922"/>
    <n v="45000000"/>
    <x v="245"/>
    <x v="0"/>
    <s v="pagado"/>
    <s v="pagado"/>
    <x v="0"/>
    <x v="0"/>
  </r>
  <r>
    <n v="3000002448"/>
    <d v="2026-05-04T00:00:00"/>
    <n v="45796981.350000001"/>
    <s v="Cheque de terceros TUCUMAN"/>
    <x v="1923"/>
    <n v="45796981.350000001"/>
    <x v="245"/>
    <x v="0"/>
    <s v="pagado"/>
    <s v="pagado"/>
    <x v="0"/>
    <x v="0"/>
  </r>
  <r>
    <n v="3000002448"/>
    <d v="2026-05-04T00:00:00"/>
    <n v="30250"/>
    <s v="Cheque de terceros TUCUMAN"/>
    <x v="1924"/>
    <n v="30250"/>
    <x v="245"/>
    <x v="0"/>
    <s v="no pagado"/>
    <s v="fuera de fecha"/>
    <x v="0"/>
    <x v="0"/>
  </r>
  <r>
    <n v="3000002448"/>
    <d v="2026-05-04T00:00:00"/>
    <n v="18459650.890000001"/>
    <s v="Cheque de terceros TUCUMAN"/>
    <x v="1925"/>
    <n v="18459650.890000001"/>
    <x v="245"/>
    <x v="0"/>
    <s v="pagado"/>
    <s v="pagado"/>
    <x v="0"/>
    <x v="0"/>
  </r>
  <r>
    <n v="3000002448"/>
    <d v="2026-05-04T00:00:00"/>
    <n v="657119.32999999996"/>
    <s v="Cheque de terceros TUCUMAN"/>
    <x v="1926"/>
    <n v="657119.32999999996"/>
    <x v="245"/>
    <x v="0"/>
    <s v="no pagado"/>
    <s v="fuera de fecha"/>
    <x v="0"/>
    <x v="0"/>
  </r>
  <r>
    <n v="3000002478"/>
    <d v="2026-05-05T00:00:00"/>
    <n v="1500000"/>
    <s v=". TUCUMAN"/>
    <x v="1927"/>
    <n v="1500000"/>
    <x v="243"/>
    <x v="0"/>
    <s v="pagado"/>
    <s v="pagado"/>
    <x v="0"/>
    <x v="0"/>
  </r>
  <r>
    <n v="3000002479"/>
    <d v="2026-05-05T00:00:00"/>
    <n v="3320230"/>
    <s v="EDET S.A. SAN MIGUEL DE TUCUMAN 14"/>
    <x v="1928"/>
    <n v="3320230"/>
    <x v="245"/>
    <x v="0"/>
    <s v="no pagado"/>
    <s v="fuera de fecha"/>
    <x v="0"/>
    <x v="0"/>
  </r>
  <r>
    <n v="3000002483"/>
    <d v="2026-05-05T00:00:00"/>
    <n v="6167688.8499999996"/>
    <s v="PEDRO GABRIEL ALEJANDRO ALDERETES 14"/>
    <x v="1929"/>
    <n v="6167688.8499999996"/>
    <x v="244"/>
    <x v="0"/>
    <s v="pagado"/>
    <s v="pagado"/>
    <x v="0"/>
    <x v="0"/>
  </r>
  <r>
    <n v="3000002486"/>
    <d v="2026-05-05T00:00:00"/>
    <n v="1989790.52"/>
    <s v="TRANSPORTE MEDINA S.H. CRUZ ALTA 14"/>
    <x v="1930"/>
    <n v="1989790.52"/>
    <x v="244"/>
    <x v="0"/>
    <s v="pagado"/>
    <s v="pagado"/>
    <x v="0"/>
    <x v="0"/>
  </r>
  <r>
    <n v="3000002480"/>
    <d v="2026-05-05T00:00:00"/>
    <n v="6246803.4000000004"/>
    <s v="GEOTECNOLOGIA S.R.L SAN MIGUEL DE TUCUMAN 14"/>
    <x v="1931"/>
    <n v="6246803.4000000004"/>
    <x v="244"/>
    <x v="0"/>
    <s v="pagado"/>
    <s v="pagado"/>
    <x v="0"/>
    <x v="0"/>
  </r>
  <r>
    <n v="3000002481"/>
    <d v="2026-05-05T00:00:00"/>
    <n v="22028025"/>
    <s v="FERRO JOSE NICOLAS FAMAILLA 14"/>
    <x v="1932"/>
    <n v="22028025"/>
    <x v="244"/>
    <x v="0"/>
    <s v="pagado"/>
    <s v="pagado"/>
    <x v="0"/>
    <x v="0"/>
  </r>
  <r>
    <n v="3000002482"/>
    <d v="2026-05-05T00:00:00"/>
    <n v="5709023.4000000004"/>
    <s v="PABLO Y FERNANDO TACCHELLA S.RSAN MIGUEL DE TUCUMAN 14"/>
    <x v="1933"/>
    <n v="5709023.4000000004"/>
    <x v="244"/>
    <x v="0"/>
    <s v="pagado"/>
    <s v="pagado"/>
    <x v="0"/>
    <x v="0"/>
  </r>
  <r>
    <n v="3000002484"/>
    <d v="2026-05-05T00:00:00"/>
    <n v="15171638.5"/>
    <s v="BARBARISI JUAREZ PABLO EMANUELSAN JUAN 10"/>
    <x v="1934"/>
    <n v="15171638.5"/>
    <x v="244"/>
    <x v="0"/>
    <s v="pagado"/>
    <s v="pagado"/>
    <x v="0"/>
    <x v="0"/>
  </r>
  <r>
    <n v="3000002485"/>
    <d v="2026-05-05T00:00:00"/>
    <n v="3056012.13"/>
    <s v="JACQUET NORBERTO SALVADOR SAN JOSE 05"/>
    <x v="1935"/>
    <n v="3056012.13"/>
    <x v="244"/>
    <x v="0"/>
    <s v="pagado"/>
    <s v="pagado"/>
    <x v="0"/>
    <x v="0"/>
  </r>
  <r>
    <n v="3000002487"/>
    <d v="2026-05-05T00:00:00"/>
    <n v="18806823.469999999"/>
    <s v="CAPETTA ANTONELLA ANAHI SAN MIGUEL DE TUCUMAN 14"/>
    <x v="1936"/>
    <n v="18806823.469999999"/>
    <x v="244"/>
    <x v="0"/>
    <s v="pagado"/>
    <s v="pagado"/>
    <x v="0"/>
    <x v="0"/>
  </r>
  <r>
    <n v="3000002488"/>
    <d v="2026-05-05T00:00:00"/>
    <n v="5598760.7199999997"/>
    <s v="MAC DONALD MIGUEL ALEJANDRO BANDA DEL RIO SALI 14"/>
    <x v="1937"/>
    <n v="5598760.7199999997"/>
    <x v="244"/>
    <x v="0"/>
    <s v="pagado"/>
    <s v="pagado"/>
    <x v="0"/>
    <x v="0"/>
  </r>
  <r>
    <n v="3000002489"/>
    <d v="2026-05-05T00:00:00"/>
    <n v="21527151.829999998"/>
    <s v="TRANSPORTE FRIOS DEL NORTE S.RSAN MIGUEL DE TUCUMAN 14"/>
    <x v="1938"/>
    <n v="21527151.829999998"/>
    <x v="244"/>
    <x v="0"/>
    <s v="pagado"/>
    <s v="pagado"/>
    <x v="0"/>
    <x v="0"/>
  </r>
  <r>
    <n v="3000002490"/>
    <d v="2026-05-05T00:00:00"/>
    <n v="10189865.58"/>
    <s v="GOMEZ JUANA ROSA VILLA LA TRINIDAD 14"/>
    <x v="1939"/>
    <n v="10189865.58"/>
    <x v="244"/>
    <x v="0"/>
    <s v="pagado"/>
    <s v="pagado"/>
    <x v="0"/>
    <x v="0"/>
  </r>
  <r>
    <n v="3000002491"/>
    <d v="2026-05-05T00:00:00"/>
    <n v="2238697.2799999998"/>
    <s v="SUAREZ ENRIQUE FLORENCIO ALDERETES 14"/>
    <x v="1940"/>
    <n v="2238697.2799999998"/>
    <x v="244"/>
    <x v="0"/>
    <s v="pagado"/>
    <s v="pagado"/>
    <x v="0"/>
    <x v="0"/>
  </r>
  <r>
    <n v="3000002492"/>
    <d v="2026-05-05T00:00:00"/>
    <n v="11829504.689999999"/>
    <s v="PERATO CRISTIAN LUIS BANDA DEL RIO SALI 14"/>
    <x v="1941"/>
    <n v="11829504.689999999"/>
    <x v="244"/>
    <x v="0"/>
    <s v="pagado"/>
    <s v="pagado"/>
    <x v="0"/>
    <x v="0"/>
  </r>
  <r>
    <n v="3000002493"/>
    <d v="2026-05-05T00:00:00"/>
    <n v="2237657.85"/>
    <s v="GONZALEZ SANTIAGO ROQUE TAFI VIEJO 14"/>
    <x v="1942"/>
    <n v="2237657.85"/>
    <x v="244"/>
    <x v="0"/>
    <s v="pagado"/>
    <s v="pagado"/>
    <x v="0"/>
    <x v="0"/>
  </r>
  <r>
    <n v="3000002494"/>
    <d v="2026-05-05T00:00:00"/>
    <n v="3716293.1"/>
    <s v="TORRES JUAN RAMON ALDERETES 14"/>
    <x v="1943"/>
    <n v="3716293.1"/>
    <x v="244"/>
    <x v="0"/>
    <s v="pagado"/>
    <s v="pagado"/>
    <x v="0"/>
    <x v="0"/>
  </r>
  <r>
    <n v="3000002495"/>
    <d v="2026-05-05T00:00:00"/>
    <n v="4536566.55"/>
    <s v="PERATO LUIS ALBERTO BANDA DEL RIO SALI 14"/>
    <x v="1944"/>
    <n v="4536566.55"/>
    <x v="244"/>
    <x v="0"/>
    <s v="pagado"/>
    <s v="pagado"/>
    <x v="0"/>
    <x v="0"/>
  </r>
  <r>
    <n v="3000002496"/>
    <d v="2026-05-05T00:00:00"/>
    <n v="2161912.81"/>
    <s v="ALBERTUS JUAN CARLOS SAN MIGUEL DE TUCUMAN 14"/>
    <x v="1945"/>
    <n v="2161912.81"/>
    <x v="244"/>
    <x v="0"/>
    <s v="pagado"/>
    <s v="pagado"/>
    <x v="0"/>
    <x v="0"/>
  </r>
  <r>
    <n v="3000002497"/>
    <d v="2026-05-06T00:00:00"/>
    <n v="5064950.8499999996"/>
    <s v="MOLINA JUAN F. Y MOLINA ROQUE Lastenia 14"/>
    <x v="1946"/>
    <n v="5064950.8499999996"/>
    <x v="244"/>
    <x v="0"/>
    <s v="pagado"/>
    <s v="pagado"/>
    <x v="0"/>
    <x v="0"/>
  </r>
  <r>
    <n v="3000002497"/>
    <d v="2026-05-06T00:00:00"/>
    <n v="10020951.16"/>
    <s v="MOLINA JUAN F. Y MOLINA ROQUE Lastenia 14"/>
    <x v="1947"/>
    <n v="10020951.16"/>
    <x v="244"/>
    <x v="0"/>
    <s v="pagado"/>
    <s v="pagado"/>
    <x v="0"/>
    <x v="0"/>
  </r>
  <r>
    <n v="3000002635"/>
    <d v="2026-05-12T00:00:00"/>
    <n v="35000000"/>
    <s v="Rosso Hnos SH MONTEROS 14"/>
    <x v="1948"/>
    <n v="35000000"/>
    <x v="246"/>
    <x v="0"/>
    <s v="pagado"/>
    <s v="pagado"/>
    <x v="0"/>
    <x v="0"/>
  </r>
  <r>
    <n v="3000002635"/>
    <d v="2026-05-12T00:00:00"/>
    <n v="34832829.740000002"/>
    <s v="Rosso Hnos SH MONTEROS 14"/>
    <x v="1949"/>
    <n v="34832829.740000002"/>
    <x v="246"/>
    <x v="0"/>
    <s v="pagado"/>
    <s v="pagado"/>
    <x v="0"/>
    <x v="0"/>
  </r>
  <r>
    <n v="3000002709"/>
    <d v="2026-05-12T00:00:00"/>
    <n v="20000000"/>
    <s v="CAPETTA ANTONELLA ANAHI SAN MIGUEL DE TUCUMAN 14"/>
    <x v="1950"/>
    <n v="20000000"/>
    <x v="247"/>
    <x v="0"/>
    <s v="pagado"/>
    <s v="pagado"/>
    <x v="0"/>
    <x v="0"/>
  </r>
  <r>
    <n v="3000002709"/>
    <d v="2026-05-12T00:00:00"/>
    <n v="22094015.399999999"/>
    <s v="CAPETTA ANTONELLA ANAHI SAN MIGUEL DE TUCUMAN 14"/>
    <x v="1951"/>
    <n v="22094015.399999999"/>
    <x v="247"/>
    <x v="0"/>
    <s v="pagado"/>
    <s v="pagado"/>
    <x v="0"/>
    <x v="0"/>
  </r>
  <r>
    <n v="3000002636"/>
    <d v="2026-05-12T00:00:00"/>
    <n v="173710874.16999999"/>
    <s v="CATALANA DE SERVICIOS SRL YERBA BUENA 14"/>
    <x v="1952"/>
    <n v="173710874.16999999"/>
    <x v="248"/>
    <x v="0"/>
    <s v="pagado"/>
    <s v="pagado"/>
    <x v="0"/>
    <x v="0"/>
  </r>
  <r>
    <n v="3000002637"/>
    <d v="2026-05-12T00:00:00"/>
    <n v="5445534.4199999999"/>
    <s v="Marchese Grandi Meson y Asoc SAN MIGUEL DE TUCUMAN 14"/>
    <x v="1953"/>
    <n v="5445534.4199999999"/>
    <x v="248"/>
    <x v="0"/>
    <s v="pagado"/>
    <s v="pagado"/>
    <x v="0"/>
    <x v="0"/>
  </r>
  <r>
    <n v="3000002638"/>
    <d v="2026-05-12T00:00:00"/>
    <n v="44368343.399999999"/>
    <s v="Jeblab S.R.L. YERBA BUENA 14"/>
    <x v="1954"/>
    <n v="44368343.399999999"/>
    <x v="248"/>
    <x v="0"/>
    <s v="pagado"/>
    <s v="pagado"/>
    <x v="0"/>
    <x v="0"/>
  </r>
  <r>
    <n v="3000002639"/>
    <d v="2026-05-12T00:00:00"/>
    <n v="7964741.1100000003"/>
    <s v="RODRIGO HEREDIA PUIG LASTENIA 14"/>
    <x v="1955"/>
    <n v="7964741.1100000003"/>
    <x v="248"/>
    <x v="0"/>
    <s v="pagado"/>
    <s v="pagado"/>
    <x v="0"/>
    <x v="0"/>
  </r>
  <r>
    <n v="3000002640"/>
    <d v="2026-05-12T00:00:00"/>
    <n v="25394426.609999999"/>
    <s v="CAMPOAGRO SRL YERBA BUENA 14"/>
    <x v="1956"/>
    <n v="25394426.609999999"/>
    <x v="248"/>
    <x v="0"/>
    <s v="pagado"/>
    <s v="pagado"/>
    <x v="0"/>
    <x v="0"/>
  </r>
  <r>
    <n v="3000002641"/>
    <d v="2026-05-12T00:00:00"/>
    <n v="11867365.5"/>
    <s v="Poda Verde SRL SAN MIGUEL DE TUCUMAN 14"/>
    <x v="1957"/>
    <n v="11867365.5"/>
    <x v="248"/>
    <x v="0"/>
    <s v="pagado"/>
    <s v="pagado"/>
    <x v="0"/>
    <x v="0"/>
  </r>
  <r>
    <n v="3000002642"/>
    <d v="2026-05-12T00:00:00"/>
    <n v="14058127.23"/>
    <s v="CAFELI S.R.L. SAN MIGUEL DE TUCUMAN 14"/>
    <x v="1958"/>
    <n v="14058127.23"/>
    <x v="248"/>
    <x v="0"/>
    <s v="pagado"/>
    <s v="pagado"/>
    <x v="0"/>
    <x v="0"/>
  </r>
  <r>
    <n v="3000002643"/>
    <d v="2026-05-12T00:00:00"/>
    <n v="38363892.060000002"/>
    <s v="TRUSARELLI CARLOS ALBERTO BANDA DEL RIO SALI 14"/>
    <x v="1959"/>
    <n v="38363892.060000002"/>
    <x v="248"/>
    <x v="0"/>
    <s v="pagado"/>
    <s v="pagado"/>
    <x v="0"/>
    <x v="0"/>
  </r>
  <r>
    <n v="3000002644"/>
    <d v="2026-05-12T00:00:00"/>
    <n v="6043958.4900000002"/>
    <s v="LOBO BENICIO MARTIN ALDERETES 14"/>
    <x v="1960"/>
    <n v="6043958.4900000002"/>
    <x v="248"/>
    <x v="0"/>
    <s v="pagado"/>
    <s v="pagado"/>
    <x v="0"/>
    <x v="0"/>
  </r>
  <r>
    <n v="3000002645"/>
    <d v="2026-05-12T00:00:00"/>
    <n v="6793880.7999999998"/>
    <s v="SUAREZ MANUEL RODOLFO ALDERETES 14"/>
    <x v="1961"/>
    <n v="6793880.7999999998"/>
    <x v="248"/>
    <x v="0"/>
    <s v="pagado"/>
    <s v="pagado"/>
    <x v="0"/>
    <x v="0"/>
  </r>
  <r>
    <n v="3000002646"/>
    <d v="2026-05-12T00:00:00"/>
    <n v="8658934.8499999996"/>
    <s v="FERNANDEZ HECTOR JOSE SIMOCA 14"/>
    <x v="1962"/>
    <n v="8658934.8499999996"/>
    <x v="248"/>
    <x v="0"/>
    <s v="pagado"/>
    <s v="pagado"/>
    <x v="0"/>
    <x v="0"/>
  </r>
  <r>
    <n v="3000002647"/>
    <d v="2026-05-12T00:00:00"/>
    <n v="4887290.55"/>
    <s v="PAEZ ANDRES ALEXIS MACIO 14"/>
    <x v="1963"/>
    <n v="4887290.55"/>
    <x v="248"/>
    <x v="0"/>
    <s v="pagado"/>
    <s v="pagado"/>
    <x v="0"/>
    <x v="0"/>
  </r>
  <r>
    <n v="3000002648"/>
    <d v="2026-05-12T00:00:00"/>
    <n v="9318577.6199999992"/>
    <s v="LA 10 SRL SAN MIGUEL DE TUCUMAN 14"/>
    <x v="1964"/>
    <n v="9318577.6199999992"/>
    <x v="248"/>
    <x v="0"/>
    <s v="pagado"/>
    <s v="pagado"/>
    <x v="0"/>
    <x v="0"/>
  </r>
  <r>
    <n v="3000002649"/>
    <d v="2026-05-12T00:00:00"/>
    <n v="3999841.95"/>
    <s v="BERCOVICH COMERCIAL SAS SAN MIGUEL DE TUCUMAN 14"/>
    <x v="1965"/>
    <n v="3999841.95"/>
    <x v="248"/>
    <x v="0"/>
    <s v="pagado"/>
    <s v="pagado"/>
    <x v="0"/>
    <x v="0"/>
  </r>
  <r>
    <n v="3000002650"/>
    <d v="2026-05-12T00:00:00"/>
    <n v="3551708.4"/>
    <s v="BME DISENO Y COMUNICACION SAS CAPITAL FEDERAL 00"/>
    <x v="1966"/>
    <n v="3551708.4"/>
    <x v="248"/>
    <x v="0"/>
    <s v="pagado"/>
    <s v="pagado"/>
    <x v="0"/>
    <x v="0"/>
  </r>
  <r>
    <n v="3000002651"/>
    <d v="2026-05-12T00:00:00"/>
    <n v="12873220.869999999"/>
    <s v="Hierronort Salta S.R.L. SAN MIGUEL DE TUCUMAN 14"/>
    <x v="1967"/>
    <n v="12873220.869999999"/>
    <x v="248"/>
    <x v="0"/>
    <s v="pagado"/>
    <s v="pagado"/>
    <x v="0"/>
    <x v="0"/>
  </r>
  <r>
    <n v="3000002652"/>
    <d v="2026-05-12T00:00:00"/>
    <n v="5375231.9500000002"/>
    <s v="EL SOL MATERIALES SA SAN MIGUEL DE TUCUMAN 14"/>
    <x v="1968"/>
    <n v="5375231.9500000002"/>
    <x v="248"/>
    <x v="0"/>
    <s v="pagado"/>
    <s v="pagado"/>
    <x v="0"/>
    <x v="0"/>
  </r>
  <r>
    <n v="3000002653"/>
    <d v="2026-05-12T00:00:00"/>
    <n v="21704180.800000001"/>
    <s v="MG SERVICIOS AGROPECUARIOS SASTAFI VIEJO 14"/>
    <x v="1969"/>
    <n v="21704180.800000001"/>
    <x v="249"/>
    <x v="0"/>
    <s v="pagado"/>
    <s v="pagado"/>
    <x v="0"/>
    <x v="0"/>
  </r>
  <r>
    <n v="3000002654"/>
    <d v="2026-05-12T00:00:00"/>
    <n v="11884741"/>
    <s v="Di Bacco &amp; Cia. S.A. SAN MIGUEL DE TUCUMAN 14"/>
    <x v="1970"/>
    <n v="11884741"/>
    <x v="249"/>
    <x v="0"/>
    <s v="pagado"/>
    <s v="pagado"/>
    <x v="0"/>
    <x v="0"/>
  </r>
  <r>
    <n v="3000002700"/>
    <d v="2026-05-12T00:00:00"/>
    <n v="7924771.1299999999"/>
    <s v="MAC DONALD MIGUEL ALEJANDRO BANDA DEL RIO SALI 14"/>
    <x v="1971"/>
    <n v="7924771.1299999999"/>
    <x v="247"/>
    <x v="0"/>
    <s v="pagado"/>
    <s v="pagado"/>
    <x v="0"/>
    <x v="0"/>
  </r>
  <r>
    <n v="3000002701"/>
    <d v="2026-05-12T00:00:00"/>
    <n v="15279388.949999999"/>
    <s v="RL SOLUCIONES S. A. S. SAN MIGUEL DE TUCUMAN 14"/>
    <x v="1972"/>
    <n v="15279388.949999999"/>
    <x v="247"/>
    <x v="0"/>
    <s v="pagado"/>
    <s v="pagado"/>
    <x v="0"/>
    <x v="0"/>
  </r>
  <r>
    <n v="3000002702"/>
    <d v="2026-05-12T00:00:00"/>
    <n v="8736580.9900000002"/>
    <s v="JACQUET NORBERTO SALVADOR SAN JOSE 05"/>
    <x v="1973"/>
    <n v="8736580.9900000002"/>
    <x v="247"/>
    <x v="0"/>
    <s v="pagado"/>
    <s v="pagado"/>
    <x v="0"/>
    <x v="0"/>
  </r>
  <r>
    <n v="3000002703"/>
    <d v="2026-05-12T00:00:00"/>
    <n v="11086768.189999999"/>
    <s v="ACOSTA ROQUE RAMON SAN MIGUEL DE TUCUMAN 14"/>
    <x v="1974"/>
    <n v="11086768.189999999"/>
    <x v="247"/>
    <x v="0"/>
    <s v="pagado"/>
    <s v="pagado"/>
    <x v="0"/>
    <x v="0"/>
  </r>
  <r>
    <n v="3000002704"/>
    <d v="2026-05-12T00:00:00"/>
    <n v="3937443.82"/>
    <s v="Cruz Jonas Marcos Tafi del Valle 14"/>
    <x v="1975"/>
    <n v="3937443.82"/>
    <x v="247"/>
    <x v="0"/>
    <s v="pagado"/>
    <s v="pagado"/>
    <x v="0"/>
    <x v="0"/>
  </r>
  <r>
    <n v="3000002705"/>
    <d v="2026-05-12T00:00:00"/>
    <n v="4008330.08"/>
    <s v="Almibar SRL San Miguel de Tucuman 14"/>
    <x v="1976"/>
    <n v="4008330.08"/>
    <x v="247"/>
    <x v="0"/>
    <s v="pagado"/>
    <s v="pagado"/>
    <x v="0"/>
    <x v="0"/>
  </r>
  <r>
    <n v="3000002706"/>
    <d v="2026-05-12T00:00:00"/>
    <n v="5379268.9400000004"/>
    <s v="Pedro Angel Michael Alderetes 14"/>
    <x v="1977"/>
    <n v="5379268.9400000004"/>
    <x v="247"/>
    <x v="0"/>
    <s v="pagado"/>
    <s v="pagado"/>
    <x v="0"/>
    <x v="0"/>
  </r>
  <r>
    <n v="3000002707"/>
    <d v="2026-05-12T00:00:00"/>
    <n v="7378084.8099999996"/>
    <s v="Gonzalez Jose Luis Lastenia 14"/>
    <x v="1978"/>
    <n v="7378084.8099999996"/>
    <x v="247"/>
    <x v="0"/>
    <s v="pagado"/>
    <s v="pagado"/>
    <x v="0"/>
    <x v="0"/>
  </r>
  <r>
    <n v="3000002708"/>
    <d v="2026-05-12T00:00:00"/>
    <n v="4364576.5999999996"/>
    <s v="BESTANI JUAN JOSE SAN MIGUEL DE TUCUMAN 14"/>
    <x v="1979"/>
    <n v="4364576.5999999996"/>
    <x v="247"/>
    <x v="0"/>
    <s v="no pagado"/>
    <s v="fuera de fecha"/>
    <x v="0"/>
    <x v="0"/>
  </r>
  <r>
    <n v="3000002741"/>
    <d v="2026-05-13T00:00:00"/>
    <n v="1247830.69"/>
    <s v="Gentile Juan Luis Yerba Buena 14"/>
    <x v="1980"/>
    <n v="1247830.69"/>
    <x v="250"/>
    <x v="0"/>
    <s v="pagado"/>
    <s v="pagado"/>
    <x v="0"/>
    <x v="0"/>
  </r>
  <r>
    <n v="3000002756"/>
    <d v="2026-05-14T00:00:00"/>
    <n v="4198284.25"/>
    <s v=". TUCUMAN"/>
    <x v="1981"/>
    <n v="4198284.25"/>
    <x v="250"/>
    <x v="0"/>
    <s v="pagado"/>
    <s v="pagado"/>
    <x v="0"/>
    <x v="0"/>
  </r>
  <r>
    <n v="3000002822"/>
    <d v="2026-05-18T00:00:00"/>
    <n v="46676000"/>
    <s v="EDET S.A. SAN MIGUEL DE TUCUMAN 14"/>
    <x v="1982"/>
    <n v="46676000"/>
    <x v="251"/>
    <x v="0"/>
    <s v="pagado"/>
    <s v="pagado"/>
    <x v="0"/>
    <x v="0"/>
  </r>
  <r>
    <n v="3000002845"/>
    <d v="2026-05-18T00:00:00"/>
    <n v="4769627.3899999997"/>
    <s v="Arias Gonzalo Alejandro San Miguel de Tucumán 14"/>
    <x v="1983"/>
    <n v="4769627.3899999997"/>
    <x v="252"/>
    <x v="0"/>
    <s v="pagado"/>
    <s v="pagado"/>
    <x v="0"/>
    <x v="0"/>
  </r>
  <r>
    <n v="3000002846"/>
    <d v="2026-05-18T00:00:00"/>
    <n v="7149291.6600000001"/>
    <s v="LANCHELA HECTOR ROLANDO CONCEPCION 14"/>
    <x v="1984"/>
    <n v="7149291.6600000001"/>
    <x v="252"/>
    <x v="0"/>
    <s v="pagado"/>
    <s v="pagado"/>
    <x v="0"/>
    <x v="0"/>
  </r>
  <r>
    <n v="3000002847"/>
    <d v="2026-05-18T00:00:00"/>
    <n v="18628195.239999998"/>
    <s v="LA 10 SRL SAN MIGUEL DE TUCUMAN 14"/>
    <x v="1985"/>
    <n v="18628195.239999998"/>
    <x v="252"/>
    <x v="0"/>
    <s v="pagado"/>
    <s v="pagado"/>
    <x v="0"/>
    <x v="0"/>
  </r>
  <r>
    <n v="3000002848"/>
    <d v="2026-05-18T00:00:00"/>
    <n v="9736155"/>
    <s v="GEOTECNOLOGIA S.R.L SAN MIGUEL DE TUCUMAN 14"/>
    <x v="1986"/>
    <n v="9736155"/>
    <x v="252"/>
    <x v="0"/>
    <s v="pagado"/>
    <s v="pagado"/>
    <x v="0"/>
    <x v="0"/>
  </r>
  <r>
    <n v="3000002849"/>
    <d v="2026-05-18T00:00:00"/>
    <n v="4241481.58"/>
    <s v="Pintureria España S.R.L SAN MIGUEL DE TUCUMAN 14"/>
    <x v="1987"/>
    <n v="4241481.58"/>
    <x v="252"/>
    <x v="0"/>
    <s v="pagado"/>
    <s v="pagado"/>
    <x v="0"/>
    <x v="0"/>
  </r>
  <r>
    <n v="3000002850"/>
    <d v="2026-05-18T00:00:00"/>
    <n v="5264764.26"/>
    <s v="NORTE DISTRIBUCIONES S.R.L SAN MIGUEL DE TUCUMAN 14"/>
    <x v="1988"/>
    <n v="5264764.26"/>
    <x v="252"/>
    <x v="0"/>
    <s v="pagado"/>
    <s v="pagado"/>
    <x v="0"/>
    <x v="0"/>
  </r>
  <r>
    <n v="3000002851"/>
    <d v="2026-05-18T00:00:00"/>
    <n v="6545153.4000000004"/>
    <s v="BEVERINA BASCULAS SRL SAN MIGUEL DE TUCUMAN 14"/>
    <x v="1989"/>
    <n v="6545153.4000000004"/>
    <x v="252"/>
    <x v="0"/>
    <s v="pagado"/>
    <s v="pagado"/>
    <x v="0"/>
    <x v="0"/>
  </r>
  <r>
    <n v="3000002852"/>
    <d v="2026-05-18T00:00:00"/>
    <n v="5306090"/>
    <s v="Stok, Leandro SAN MIGUEL DE TUCUMAN 14"/>
    <x v="1990"/>
    <n v="5306090"/>
    <x v="252"/>
    <x v="0"/>
    <s v="pagado"/>
    <s v="pagado"/>
    <x v="0"/>
    <x v="0"/>
  </r>
  <r>
    <n v="3000002853"/>
    <d v="2026-05-18T00:00:00"/>
    <n v="16786994"/>
    <s v="CANEVARO JOSE MARIA CONCEPCION 14"/>
    <x v="1991"/>
    <n v="16786994"/>
    <x v="252"/>
    <x v="0"/>
    <s v="pagado"/>
    <s v="pagado"/>
    <x v="0"/>
    <x v="0"/>
  </r>
  <r>
    <n v="3000002854"/>
    <d v="2026-05-18T00:00:00"/>
    <n v="5181585.09"/>
    <s v="Sisdam S.A. CAPITAL FEDERAL 00"/>
    <x v="1992"/>
    <n v="5181585.09"/>
    <x v="252"/>
    <x v="0"/>
    <s v="pagado"/>
    <s v="pagado"/>
    <x v="0"/>
    <x v="0"/>
  </r>
  <r>
    <n v="3000002855"/>
    <d v="2026-05-18T00:00:00"/>
    <n v="6513032.8300000001"/>
    <s v="Norviguet S.R.L. SAN MIGUEL DE TUCUMAN 14"/>
    <x v="1993"/>
    <n v="6513032.8300000001"/>
    <x v="252"/>
    <x v="0"/>
    <s v="pagado"/>
    <s v="pagado"/>
    <x v="0"/>
    <x v="0"/>
  </r>
  <r>
    <n v="3000002856"/>
    <d v="2026-05-18T00:00:00"/>
    <n v="2925000"/>
    <s v="LOPEZ CAPARROS EDGARDO AGUSTINSAN MIGUEL DE TUCUMAN 14"/>
    <x v="1994"/>
    <n v="2925000"/>
    <x v="252"/>
    <x v="0"/>
    <s v="pagado"/>
    <s v="pagado"/>
    <x v="0"/>
    <x v="0"/>
  </r>
  <r>
    <n v="3000002887"/>
    <d v="2026-05-19T00:00:00"/>
    <n v="20000000"/>
    <s v="GAR S.A SAN MIGUEL DE TUCUMAN 14"/>
    <x v="1995"/>
    <n v="20000000"/>
    <x v="253"/>
    <x v="0"/>
    <s v="pagado"/>
    <s v="pagado"/>
    <x v="0"/>
    <x v="0"/>
  </r>
  <r>
    <n v="3000002887"/>
    <d v="2026-05-19T00:00:00"/>
    <n v="22364265.850000001"/>
    <s v="GAR S.A SAN MIGUEL DE TUCUMAN 14"/>
    <x v="1996"/>
    <n v="22364265.850000001"/>
    <x v="235"/>
    <x v="0"/>
    <s v="pagado"/>
    <s v="pagado"/>
    <x v="0"/>
    <x v="0"/>
  </r>
  <r>
    <n v="3000002879"/>
    <d v="2026-05-19T00:00:00"/>
    <n v="6628458.7400000002"/>
    <s v="PEDRO CRISTOFER MAURICIO LOS GUTIERREZ 14"/>
    <x v="1997"/>
    <n v="6628458.7400000002"/>
    <x v="235"/>
    <x v="0"/>
    <s v="pagado"/>
    <s v="pagado"/>
    <x v="0"/>
    <x v="0"/>
  </r>
  <r>
    <n v="3000002880"/>
    <d v="2026-05-19T00:00:00"/>
    <n v="7728463.0499999998"/>
    <s v="Pedro Ivan Marcelo ALDERETES 14"/>
    <x v="1998"/>
    <n v="7728463.0499999998"/>
    <x v="235"/>
    <x v="0"/>
    <s v="pagado"/>
    <s v="pagado"/>
    <x v="0"/>
    <x v="0"/>
  </r>
  <r>
    <n v="3000002881"/>
    <d v="2026-05-19T00:00:00"/>
    <n v="19642573.09"/>
    <s v="FERNANDEZ HECTOR JOSE SIMOCA 14"/>
    <x v="1999"/>
    <n v="19642573.09"/>
    <x v="235"/>
    <x v="0"/>
    <s v="pagado"/>
    <s v="pagado"/>
    <x v="0"/>
    <x v="0"/>
  </r>
  <r>
    <n v="3000002882"/>
    <d v="2026-05-19T00:00:00"/>
    <n v="31012217.920000002"/>
    <s v="Rutas Servicios Integrales SRLCapital Federal 00"/>
    <x v="2000"/>
    <n v="31012217.920000002"/>
    <x v="235"/>
    <x v="0"/>
    <s v="pagado"/>
    <s v="pagado"/>
    <x v="0"/>
    <x v="0"/>
  </r>
  <r>
    <n v="3000002883"/>
    <d v="2026-05-19T00:00:00"/>
    <n v="10396879.68"/>
    <s v="CONTROL UNION NORTE S.A YERBA BUENA 14"/>
    <x v="2001"/>
    <n v="10396879.68"/>
    <x v="235"/>
    <x v="0"/>
    <s v="pagado"/>
    <s v="pagado"/>
    <x v="0"/>
    <x v="0"/>
  </r>
  <r>
    <n v="3000002884"/>
    <d v="2026-05-19T00:00:00"/>
    <n v="5249785.18"/>
    <s v="VILLAGRA VELEZ ROQUE RICARDO SAN MIGUEL DE TUCUMAN 14"/>
    <x v="2002"/>
    <n v="5249785.18"/>
    <x v="235"/>
    <x v="0"/>
    <s v="pagado"/>
    <s v="pagado"/>
    <x v="0"/>
    <x v="0"/>
  </r>
  <r>
    <n v="3000002885"/>
    <d v="2026-05-19T00:00:00"/>
    <n v="11220778.48"/>
    <s v="CAPETTA ANTONELLA ANAHI SAN MIGUEL DE TUCUMAN 14"/>
    <x v="2003"/>
    <n v="11220778.48"/>
    <x v="235"/>
    <x v="0"/>
    <s v="pagado"/>
    <s v="pagado"/>
    <x v="0"/>
    <x v="0"/>
  </r>
  <r>
    <n v="3000002886"/>
    <d v="2026-05-19T00:00:00"/>
    <n v="13061725.810000001"/>
    <s v="RL SOLUCIONES S. A. S. SAN MIGUEL DE TUCUMAN 14"/>
    <x v="2004"/>
    <n v="13061725.810000001"/>
    <x v="235"/>
    <x v="0"/>
    <s v="pagado"/>
    <s v="pagado"/>
    <x v="0"/>
    <x v="0"/>
  </r>
  <r>
    <n v="3000002993"/>
    <d v="2026-05-26T00:00:00"/>
    <n v="5294933.7699999996"/>
    <s v="TRANSPORTE MEDINA S.H. CRUZ ALTA 14"/>
    <x v="2005"/>
    <n v="5294933.7699999996"/>
    <x v="254"/>
    <x v="0"/>
    <s v="pagado"/>
    <s v="pagado"/>
    <x v="0"/>
    <x v="0"/>
  </r>
  <r>
    <n v="3000002994"/>
    <d v="2026-05-26T00:00:00"/>
    <n v="6028954.5800000001"/>
    <s v="ABALOS ENZO FEDERICO Villa Mariano Moreno 14"/>
    <x v="2006"/>
    <n v="6028954.5800000001"/>
    <x v="254"/>
    <x v="0"/>
    <s v="pagado"/>
    <s v="pagado"/>
    <x v="0"/>
    <x v="0"/>
  </r>
  <r>
    <n v="3000003027"/>
    <d v="2026-05-26T00:00:00"/>
    <n v="45479271.909999996"/>
    <s v="PAMPLONA SRL SAN MIGUEL DE TUCUMAN 14"/>
    <x v="2007"/>
    <n v="45479271.909999996"/>
    <x v="254"/>
    <x v="0"/>
    <s v="pagado"/>
    <s v="pagado"/>
    <x v="0"/>
    <x v="0"/>
  </r>
  <r>
    <n v="3000003028"/>
    <d v="2026-05-26T00:00:00"/>
    <n v="9604516.3100000005"/>
    <s v="NATURAL GAS SA SAN MIGUEL DE TUCUMAN 14"/>
    <x v="2008"/>
    <n v="9604516.3100000005"/>
    <x v="254"/>
    <x v="0"/>
    <s v="pagado"/>
    <s v="pagado"/>
    <x v="0"/>
    <x v="0"/>
  </r>
  <r>
    <n v="3000003029"/>
    <d v="2026-05-26T00:00:00"/>
    <n v="6447707.1699999999"/>
    <s v="TODOS RETENES SA CORDOBA 03"/>
    <x v="2009"/>
    <n v="6447707.1699999999"/>
    <x v="254"/>
    <x v="0"/>
    <s v="pagado"/>
    <s v="pagado"/>
    <x v="0"/>
    <x v="0"/>
  </r>
  <r>
    <n v="3000003030"/>
    <d v="2026-05-26T00:00:00"/>
    <n v="5862000.6600000001"/>
    <s v="PIQUE JUAN MANUEL San Miguel De Tucuman 14"/>
    <x v="2010"/>
    <n v="5862000.6600000001"/>
    <x v="254"/>
    <x v="0"/>
    <s v="pagado"/>
    <s v="pagado"/>
    <x v="0"/>
    <x v="0"/>
  </r>
  <r>
    <n v="3000003031"/>
    <d v="2026-05-26T00:00:00"/>
    <n v="37091057.369999997"/>
    <s v="AGROPECUARIA MUNDO NUEVO SRL SAN PABLO 14"/>
    <x v="2011"/>
    <n v="37091057.369999997"/>
    <x v="254"/>
    <x v="0"/>
    <s v="pagado"/>
    <s v="pagado"/>
    <x v="0"/>
    <x v="0"/>
  </r>
  <r>
    <n v="3000003032"/>
    <d v="2026-05-26T00:00:00"/>
    <n v="6903429.7300000004"/>
    <s v="ROMERO SERVICIOS S. A. S. ALPACHIRI 14"/>
    <x v="2012"/>
    <n v="6903429.7300000004"/>
    <x v="254"/>
    <x v="0"/>
    <s v="pagado"/>
    <s v="pagado"/>
    <x v="0"/>
    <x v="0"/>
  </r>
  <r>
    <n v="3000003033"/>
    <d v="2026-05-26T00:00:00"/>
    <n v="8440894.5"/>
    <s v="BARBARISI JUAREZ PABLO EMANUELSAN JUAN 10"/>
    <x v="2013"/>
    <n v="8440894.5"/>
    <x v="254"/>
    <x v="0"/>
    <s v="pagado"/>
    <s v="pagado"/>
    <x v="0"/>
    <x v="0"/>
  </r>
  <r>
    <n v="3000003034"/>
    <d v="2026-05-26T00:00:00"/>
    <n v="7253898.6799999997"/>
    <s v="ALVAREZ RENE JOSE MARIA BELLA VISTA 14"/>
    <x v="2014"/>
    <n v="7253898.6799999997"/>
    <x v="254"/>
    <x v="0"/>
    <s v="pagado"/>
    <s v="pagado"/>
    <x v="0"/>
    <x v="0"/>
  </r>
  <r>
    <n v="3000003035"/>
    <d v="2026-05-26T00:00:00"/>
    <n v="10777880.48"/>
    <s v="SUAREZ MANUEL RODOLFO ALDERETES 14"/>
    <x v="2015"/>
    <n v="10777880.48"/>
    <x v="254"/>
    <x v="0"/>
    <s v="pagado"/>
    <s v="pagado"/>
    <x v="0"/>
    <x v="0"/>
  </r>
  <r>
    <n v="3000003036"/>
    <d v="2026-05-26T00:00:00"/>
    <n v="12280442.92"/>
    <s v="LATCOMEX SA CAPITAL FEDERAL 00"/>
    <x v="2016"/>
    <n v="12280442.92"/>
    <x v="254"/>
    <x v="0"/>
    <s v="pagado"/>
    <s v="pagado"/>
    <x v="0"/>
    <x v="0"/>
  </r>
  <r>
    <n v="3000003037"/>
    <d v="2026-05-26T00:00:00"/>
    <n v="13981484.93"/>
    <s v="GOMEZ JUANA ROSA VILLA LA TRINIDAD 14"/>
    <x v="2017"/>
    <n v="13981484.93"/>
    <x v="254"/>
    <x v="0"/>
    <s v="pagado"/>
    <s v="pagado"/>
    <x v="0"/>
    <x v="0"/>
  </r>
  <r>
    <n v="3000003038"/>
    <d v="2026-05-26T00:00:00"/>
    <n v="6321019.3700000001"/>
    <s v="Robles Angel Gabriel San Miguel de Tucuman 14"/>
    <x v="2018"/>
    <n v="6321019.3700000001"/>
    <x v="254"/>
    <x v="0"/>
    <s v="pagado"/>
    <s v="pagado"/>
    <x v="0"/>
    <x v="0"/>
  </r>
  <r>
    <n v="3000003039"/>
    <d v="2026-05-26T00:00:00"/>
    <n v="16688060.960000001"/>
    <s v="PERATO CRISTIAN LUIS BANDA DEL RIO SALI 14"/>
    <x v="2019"/>
    <n v="16688060.960000001"/>
    <x v="254"/>
    <x v="0"/>
    <s v="pagado"/>
    <s v="pagado"/>
    <x v="0"/>
    <x v="0"/>
  </r>
  <r>
    <n v="3000003040"/>
    <d v="2026-05-26T00:00:00"/>
    <n v="6308516.1399999997"/>
    <s v="PERATO LUIS ALBERTO BANDA DEL RIO SALI 14"/>
    <x v="2020"/>
    <n v="6308516.1399999997"/>
    <x v="254"/>
    <x v="0"/>
    <s v="pagado"/>
    <s v="pagado"/>
    <x v="0"/>
    <x v="0"/>
  </r>
  <r>
    <n v="3000003041"/>
    <d v="2026-05-26T00:00:00"/>
    <n v="8220401.6699999999"/>
    <s v="LA MARTINA SERV. AGRICOLAS S.RSAN PABLO 14"/>
    <x v="2021"/>
    <n v="8220401.6699999999"/>
    <x v="254"/>
    <x v="0"/>
    <s v="pagado"/>
    <s v="pagado"/>
    <x v="0"/>
    <x v="0"/>
  </r>
  <r>
    <n v="3000003042"/>
    <d v="2026-05-26T00:00:00"/>
    <n v="11926381.970000001"/>
    <s v="DE COULON EDUARDO JARDIN AMERICA 19"/>
    <x v="2022"/>
    <n v="11926381.970000001"/>
    <x v="254"/>
    <x v="0"/>
    <s v="pagado"/>
    <s v="pagado"/>
    <x v="0"/>
    <x v="0"/>
  </r>
  <r>
    <n v="3000003043"/>
    <d v="2026-05-26T00:00:00"/>
    <n v="12805043.4"/>
    <s v="MARIN TOMAS LAZARO CAFAYATE - SALTA 09"/>
    <x v="2023"/>
    <n v="12805043.4"/>
    <x v="254"/>
    <x v="0"/>
    <s v="pagado"/>
    <s v="pagado"/>
    <x v="0"/>
    <x v="0"/>
  </r>
  <r>
    <n v="3000003044"/>
    <d v="2026-05-26T00:00:00"/>
    <n v="40543895.899999999"/>
    <s v="Consultoria en Tecnologia de IBUENOS AIRES 00"/>
    <x v="2024"/>
    <n v="40543895.899999999"/>
    <x v="254"/>
    <x v="0"/>
    <s v="pagado"/>
    <s v="pagado"/>
    <x v="0"/>
    <x v="0"/>
  </r>
  <r>
    <n v="3000003045"/>
    <d v="2026-05-26T00:00:00"/>
    <n v="6132962.7300000004"/>
    <s v="BESTANI JUAN JOSE SAN MIGUEL DE TUCUMAN 14"/>
    <x v="2025"/>
    <n v="6132962.7300000004"/>
    <x v="255"/>
    <x v="0"/>
    <s v="no pagado"/>
    <s v="fuera de fecha"/>
    <x v="0"/>
    <x v="0"/>
  </r>
  <r>
    <n v="3000003046"/>
    <d v="2026-05-26T00:00:00"/>
    <n v="6796398.0099999998"/>
    <s v="Arias Gonzalo Alejandro San Miguel de Tucumán 14"/>
    <x v="2026"/>
    <n v="6796398.0099999998"/>
    <x v="255"/>
    <x v="0"/>
    <s v="pagado"/>
    <s v="pagado"/>
    <x v="0"/>
    <x v="0"/>
  </r>
  <r>
    <n v="3000003047"/>
    <d v="2026-05-26T00:00:00"/>
    <n v="6258241.1699999999"/>
    <s v="Pedro Angel Michael Alderetes 14"/>
    <x v="2027"/>
    <n v="6258241.1699999999"/>
    <x v="255"/>
    <x v="0"/>
    <s v="pagado"/>
    <s v="pagado"/>
    <x v="0"/>
    <x v="0"/>
  </r>
  <r>
    <n v="3000003048"/>
    <d v="2026-05-26T00:00:00"/>
    <n v="5878038.8200000003"/>
    <s v="PAEZ ANDRES ALEXIS MACIO 14"/>
    <x v="2028"/>
    <n v="5878038.8200000003"/>
    <x v="255"/>
    <x v="0"/>
    <s v="pagado"/>
    <s v="pagado"/>
    <x v="0"/>
    <x v="0"/>
  </r>
  <r>
    <n v="3000003049"/>
    <d v="2026-05-26T00:00:00"/>
    <n v="4969297.1500000004"/>
    <s v="PAEZ LEONEL EXEQUIEL MACIO 14"/>
    <x v="2029"/>
    <n v="4969297.1500000004"/>
    <x v="255"/>
    <x v="0"/>
    <s v="pagado"/>
    <s v="pagado"/>
    <x v="0"/>
    <x v="0"/>
  </r>
  <r>
    <n v="3000003050"/>
    <d v="2026-05-26T00:00:00"/>
    <n v="10508834.92"/>
    <s v="LANCHELA HECTOR ROLANDO CONCEPCION 14"/>
    <x v="2030"/>
    <n v="10508834.92"/>
    <x v="255"/>
    <x v="0"/>
    <s v="pagado"/>
    <s v="pagado"/>
    <x v="0"/>
    <x v="0"/>
  </r>
  <r>
    <n v="3000003051"/>
    <d v="2026-05-26T00:00:00"/>
    <n v="8442301.1799999997"/>
    <s v="RL SOLUCIONES S. A. S. SAN MIGUEL DE TUCUMAN 14"/>
    <x v="2031"/>
    <n v="8442301.1799999997"/>
    <x v="255"/>
    <x v="0"/>
    <s v="pagado"/>
    <s v="pagado"/>
    <x v="0"/>
    <x v="0"/>
  </r>
  <r>
    <n v="3000003052"/>
    <d v="2026-05-26T00:00:00"/>
    <n v="8306862.6100000003"/>
    <s v="JACQUET NORBERTO SALVADOR SAN JOSE 05"/>
    <x v="2032"/>
    <n v="8306862.6100000003"/>
    <x v="255"/>
    <x v="0"/>
    <s v="pagado"/>
    <s v="pagado"/>
    <x v="0"/>
    <x v="0"/>
  </r>
  <r>
    <n v="3000003053"/>
    <d v="2026-05-26T00:00:00"/>
    <n v="19215740.739999998"/>
    <s v="CAPETTA ANTONELLA ANAHI SAN MIGUEL DE TUCUMAN 14"/>
    <x v="2033"/>
    <n v="19215740.739999998"/>
    <x v="255"/>
    <x v="0"/>
    <s v="pagado"/>
    <s v="pagado"/>
    <x v="0"/>
    <x v="0"/>
  </r>
  <r>
    <n v="3000003054"/>
    <d v="2026-05-26T00:00:00"/>
    <n v="270032.24"/>
    <s v="ACOSTA ROQUE RAMON SAN MIGUEL DE TUCUMAN 14"/>
    <x v="2034"/>
    <n v="270032.24"/>
    <x v="255"/>
    <x v="0"/>
    <s v="pagado"/>
    <s v="pagado"/>
    <x v="0"/>
    <x v="0"/>
  </r>
  <r>
    <n v="3000003026"/>
    <d v="2026-05-26T00:00:00"/>
    <n v="0"/>
    <s v="invalidado med.EOLIVERA -Destruido/ Sin uso"/>
    <x v="2035"/>
    <n v="0"/>
    <x v="256"/>
    <x v="0"/>
    <s v="no pagado"/>
    <s v="fuera de fecha"/>
    <x v="0"/>
    <x v="0"/>
  </r>
  <r>
    <n v="3000003026"/>
    <d v="2026-05-26T00:00:00"/>
    <n v="0"/>
    <s v="invalidado med.EOLIVERA -Destruido/ Sin uso"/>
    <x v="2036"/>
    <n v="0"/>
    <x v="257"/>
    <x v="0"/>
    <s v="no pagado"/>
    <s v="fuera de fecha"/>
    <x v="0"/>
    <x v="0"/>
  </r>
  <r>
    <n v="3000003199"/>
    <d v="2026-06-01T00:00:00"/>
    <n v="3035073.08"/>
    <s v="Fondo Fijo Administracion CitrNO TIENE"/>
    <x v="2037"/>
    <n v="3035073.08"/>
    <x v="246"/>
    <x v="0"/>
    <s v="pagado"/>
    <s v="pagado"/>
    <x v="0"/>
    <x v="0"/>
  </r>
  <r>
    <n v="3000003198"/>
    <d v="2026-06-01T00:00:00"/>
    <n v="6867907.04"/>
    <s v="Libreria San Pablo S.R.L. SAN MIGUEL DE TUCUMAN 14"/>
    <x v="2038"/>
    <n v="6867907.04"/>
    <x v="246"/>
    <x v="0"/>
    <s v="pagado"/>
    <s v="pagado"/>
    <x v="0"/>
    <x v="0"/>
  </r>
  <r>
    <n v="3000003200"/>
    <d v="2026-06-01T00:00:00"/>
    <n v="28510473"/>
    <s v="DISLUB INTERIOR SA CAPÍTAL FEDERAL 00"/>
    <x v="2039"/>
    <n v="28510473"/>
    <x v="246"/>
    <x v="0"/>
    <s v="pagado"/>
    <s v="pagado"/>
    <x v="0"/>
    <x v="0"/>
  </r>
  <r>
    <n v="3000003201"/>
    <d v="2026-06-01T00:00:00"/>
    <n v="10679001.24"/>
    <s v="SEGURIDAD OMEGA SRL SAN FERNANDO DEL VALLE DE CATAMARCA 02"/>
    <x v="2040"/>
    <n v="10679001.24"/>
    <x v="246"/>
    <x v="0"/>
    <s v="pagado"/>
    <s v="pagado"/>
    <x v="0"/>
    <x v="0"/>
  </r>
  <r>
    <n v="3000003202"/>
    <d v="2026-06-01T00:00:00"/>
    <n v="11848847.25"/>
    <s v="M.A.D Serv y mant eléctri SAN MIGUEL DE TUCUMAN 14"/>
    <x v="2041"/>
    <n v="11848847.25"/>
    <x v="246"/>
    <x v="0"/>
    <s v="pagado"/>
    <s v="pagado"/>
    <x v="0"/>
    <x v="0"/>
  </r>
  <r>
    <n v="3000003203"/>
    <d v="2026-06-01T00:00:00"/>
    <n v="17447056.370000001"/>
    <s v="LA 10 SRL SAN MIGUEL DE TUCUMAN 14"/>
    <x v="2042"/>
    <n v="17447056.370000001"/>
    <x v="246"/>
    <x v="0"/>
    <s v="pagado"/>
    <s v="pagado"/>
    <x v="0"/>
    <x v="0"/>
  </r>
  <r>
    <n v="3000003204"/>
    <d v="2026-06-01T00:00:00"/>
    <n v="8400000"/>
    <s v="Muñoz Silvia Liliana Capital Federal 00"/>
    <x v="2043"/>
    <n v="8400000"/>
    <x v="246"/>
    <x v="0"/>
    <s v="pagado"/>
    <s v="pagado"/>
    <x v="0"/>
    <x v="0"/>
  </r>
  <r>
    <n v="3000003239"/>
    <d v="2026-06-02T00:00:00"/>
    <n v="20000000"/>
    <s v="GAR S.A SAN MIGUEL DE TUCUMAN 14"/>
    <x v="2044"/>
    <n v="20000000"/>
    <x v="258"/>
    <x v="0"/>
    <s v="pagado"/>
    <s v="pagado"/>
    <x v="0"/>
    <x v="0"/>
  </r>
  <r>
    <n v="3000003239"/>
    <d v="2026-06-02T00:00:00"/>
    <n v="11523274.1"/>
    <s v="GAR S.A SAN MIGUEL DE TUCUMAN 14"/>
    <x v="2045"/>
    <n v="11523274.1"/>
    <x v="259"/>
    <x v="0"/>
    <s v="pagado"/>
    <s v="pagado"/>
    <x v="0"/>
    <x v="0"/>
  </r>
  <r>
    <n v="3000003235"/>
    <d v="2026-06-02T00:00:00"/>
    <n v="6153158.0099999998"/>
    <s v="GONZALEZ JOSE LUIS CONCEPCION 14"/>
    <x v="2046"/>
    <n v="6153158.0099999998"/>
    <x v="259"/>
    <x v="0"/>
    <s v="pagado"/>
    <s v="pagado"/>
    <x v="0"/>
    <x v="0"/>
  </r>
  <r>
    <n v="3000003236"/>
    <d v="2026-06-02T00:00:00"/>
    <n v="6645020.5700000003"/>
    <s v="TRANSPORTE MARIANITA S.R.L SAN MIGUEL DE TUCUMAN 14"/>
    <x v="2047"/>
    <n v="6645020.5700000003"/>
    <x v="259"/>
    <x v="0"/>
    <s v="pagado"/>
    <s v="pagado"/>
    <x v="0"/>
    <x v="0"/>
  </r>
  <r>
    <n v="3000003237"/>
    <d v="2026-06-02T00:00:00"/>
    <n v="6469278.04"/>
    <s v="Rojas Antonio Domingo ALDERETES 14"/>
    <x v="2048"/>
    <n v="6469278.04"/>
    <x v="259"/>
    <x v="0"/>
    <s v="pagado"/>
    <s v="pagado"/>
    <x v="0"/>
    <x v="0"/>
  </r>
  <r>
    <n v="3000003238"/>
    <d v="2026-06-02T00:00:00"/>
    <n v="7618281.8300000001"/>
    <s v="Transportes La Sevillanita S.RALDERETES 14"/>
    <x v="2049"/>
    <n v="7618281.8300000001"/>
    <x v="259"/>
    <x v="0"/>
    <s v="pagado"/>
    <s v="pagado"/>
    <x v="0"/>
    <x v="0"/>
  </r>
  <r>
    <n v="3000003240"/>
    <d v="2026-06-02T00:00:00"/>
    <n v="7874845.6900000004"/>
    <s v="VILLAGRA VELEZ ROQUE RICARDO SAN MIGUEL DE TUCUMAN 14"/>
    <x v="2050"/>
    <n v="7874845.6900000004"/>
    <x v="259"/>
    <x v="0"/>
    <s v="pagado"/>
    <s v="pagado"/>
    <x v="0"/>
    <x v="0"/>
  </r>
  <r>
    <n v="3000003241"/>
    <d v="2026-06-02T00:00:00"/>
    <n v="7874797.04"/>
    <s v="JACQUET NORBERTO SALVADOR SAN JOSE 05"/>
    <x v="2051"/>
    <n v="7874797.04"/>
    <x v="259"/>
    <x v="0"/>
    <s v="pagado"/>
    <s v="pagado"/>
    <x v="0"/>
    <x v="0"/>
  </r>
  <r>
    <n v="3000003242"/>
    <d v="2026-06-02T00:00:00"/>
    <n v="13742345.189999999"/>
    <s v="CONTROL UNION NORTE S.A YERBA BUENA 14"/>
    <x v="2052"/>
    <n v="13742345.189999999"/>
    <x v="259"/>
    <x v="0"/>
    <s v="pagado"/>
    <s v="pagado"/>
    <x v="0"/>
    <x v="0"/>
  </r>
  <r>
    <n v="3000003243"/>
    <d v="2026-06-02T00:00:00"/>
    <n v="29196776.23"/>
    <s v="CAPETTA ANTONELLA ANAHI SAN MIGUEL DE TUCUMAN 14"/>
    <x v="2053"/>
    <n v="29196776.23"/>
    <x v="259"/>
    <x v="0"/>
    <s v="pagado"/>
    <s v="pagado"/>
    <x v="0"/>
    <x v="0"/>
  </r>
  <r>
    <n v="3000003244"/>
    <d v="2026-06-02T00:00:00"/>
    <n v="15376585.01"/>
    <s v="TRANSPORTE FRIOS DEL NORTE S.RSAN MIGUEL DE TUCUMAN 14"/>
    <x v="2054"/>
    <n v="15376585.01"/>
    <x v="259"/>
    <x v="0"/>
    <s v="pagado"/>
    <s v="pagado"/>
    <x v="0"/>
    <x v="0"/>
  </r>
  <r>
    <n v="3000003245"/>
    <d v="2026-06-02T00:00:00"/>
    <n v="13104593.51"/>
    <s v="RL SOLUCIONES S. A. S. SAN MIGUEL DE TUCUMAN 14"/>
    <x v="2055"/>
    <n v="13104593.51"/>
    <x v="259"/>
    <x v="0"/>
    <s v="pagado"/>
    <s v="pagado"/>
    <x v="0"/>
    <x v="0"/>
  </r>
  <r>
    <n v="3000003246"/>
    <d v="2026-06-02T00:00:00"/>
    <n v="7924939.0599999996"/>
    <s v="MAC DONALD MIGUEL ALEJANDRO BANDA DEL RIO SALI 14"/>
    <x v="2056"/>
    <n v="7924939.0599999996"/>
    <x v="259"/>
    <x v="0"/>
    <s v="pagado"/>
    <s v="pagado"/>
    <x v="0"/>
    <x v="0"/>
  </r>
  <r>
    <n v="3000003247"/>
    <d v="2026-06-02T00:00:00"/>
    <n v="9226018.1699999999"/>
    <s v="CEMEVA SAS YERBA BUENA 14"/>
    <x v="2057"/>
    <n v="9226018.1699999999"/>
    <x v="259"/>
    <x v="0"/>
    <s v="pagado"/>
    <s v="pagado"/>
    <x v="0"/>
    <x v="0"/>
  </r>
  <r>
    <n v="3000003248"/>
    <d v="2026-06-02T00:00:00"/>
    <n v="20967580.399999999"/>
    <s v="M DODERO COMPANIA GRAL DE SERVCIUDAD AUTONOMA DE BUENOS AIRES 01"/>
    <x v="2058"/>
    <n v="20967580.399999999"/>
    <x v="259"/>
    <x v="0"/>
    <s v="pagado"/>
    <s v="pagado"/>
    <x v="0"/>
    <x v="0"/>
  </r>
  <r>
    <n v="3000003249"/>
    <d v="2026-06-02T00:00:00"/>
    <n v="6564607.0199999996"/>
    <s v="BESTANI LEANDRO EXEQUIEL SAN MIGUEL DE TUCUMAN 14"/>
    <x v="2059"/>
    <n v="6564607.0199999996"/>
    <x v="259"/>
    <x v="0"/>
    <s v="pagado"/>
    <s v="pagado"/>
    <x v="0"/>
    <x v="0"/>
  </r>
  <r>
    <n v="3000003281"/>
    <d v="2026-06-03T00:00:00"/>
    <n v="45612602.57"/>
    <s v="Rosso Hnos SH MONTEROS 14"/>
    <x v="2060"/>
    <n v="45612602.57"/>
    <x v="260"/>
    <x v="0"/>
    <s v="pagado"/>
    <s v="pagado"/>
    <x v="0"/>
    <x v="0"/>
  </r>
  <r>
    <n v="3000003281"/>
    <d v="2026-06-03T00:00:00"/>
    <n v="0"/>
    <s v="Rosso Hnos SH MONTEROS 14"/>
    <x v="2061"/>
    <n v="0"/>
    <x v="261"/>
    <x v="0"/>
    <s v="no pagado"/>
    <s v="fuera de fecha"/>
    <x v="0"/>
    <x v="0"/>
  </r>
  <r>
    <n v="3000003281"/>
    <d v="2026-06-03T00:00:00"/>
    <n v="0"/>
    <s v="Rosso Hnos SH MONTEROS 14"/>
    <x v="2062"/>
    <n v="0"/>
    <x v="261"/>
    <x v="0"/>
    <s v="no pagado"/>
    <s v="fuera de fecha"/>
    <x v="0"/>
    <x v="0"/>
  </r>
  <r>
    <n v="3000003282"/>
    <d v="2026-06-03T00:00:00"/>
    <n v="8800000"/>
    <s v="BERNASCONI MARIANO SAN MIGUEL DE TUCUMAN 14"/>
    <x v="2063"/>
    <n v="8800000"/>
    <x v="262"/>
    <x v="0"/>
    <s v="pagado"/>
    <s v="pagado"/>
    <x v="0"/>
    <x v="0"/>
  </r>
  <r>
    <n v="3000003282"/>
    <d v="2026-06-03T00:00:00"/>
    <n v="8800000"/>
    <s v="BERNASCONI MARIANO SAN MIGUEL DE TUCUMAN 14"/>
    <x v="2064"/>
    <n v="8800000"/>
    <x v="262"/>
    <x v="0"/>
    <s v="pagado"/>
    <s v="pagado"/>
    <x v="0"/>
    <x v="0"/>
  </r>
  <r>
    <n v="3000003282"/>
    <d v="2026-06-03T00:00:00"/>
    <n v="8800000"/>
    <s v="BERNASCONI MARIANO SAN MIGUEL DE TUCUMAN 14"/>
    <x v="2065"/>
    <n v="8800000"/>
    <x v="262"/>
    <x v="0"/>
    <s v="pagado"/>
    <s v="pagado"/>
    <x v="0"/>
    <x v="0"/>
  </r>
  <r>
    <n v="3000003282"/>
    <d v="2026-06-03T00:00:00"/>
    <n v="8800000"/>
    <s v="BERNASCONI MARIANO SAN MIGUEL DE TUCUMAN 14"/>
    <x v="2066"/>
    <n v="8800000"/>
    <x v="263"/>
    <x v="0"/>
    <s v="no pagado"/>
    <s v="fuera de fecha"/>
    <x v="0"/>
    <x v="0"/>
  </r>
  <r>
    <n v="3000003282"/>
    <d v="2026-06-03T00:00:00"/>
    <n v="8800000"/>
    <s v="BERNASCONI MARIANO SAN MIGUEL DE TUCUMAN 14"/>
    <x v="2067"/>
    <n v="8800000"/>
    <x v="263"/>
    <x v="0"/>
    <s v="pagado"/>
    <s v="pagado"/>
    <x v="0"/>
    <x v="0"/>
  </r>
  <r>
    <n v="3000003282"/>
    <d v="2026-06-03T00:00:00"/>
    <n v="8759343.4000000004"/>
    <s v="BERNASCONI MARIANO SAN MIGUEL DE TUCUMAN 14"/>
    <x v="2068"/>
    <n v="8759343.4000000004"/>
    <x v="263"/>
    <x v="0"/>
    <s v="pagado"/>
    <s v="pagado"/>
    <x v="0"/>
    <x v="0"/>
  </r>
  <r>
    <n v="3000003383"/>
    <d v="2026-06-08T00:00:00"/>
    <n v="7964741.1100000003"/>
    <s v="RODRIGO HEREDIA PUIG LASTENIA 14"/>
    <x v="2069"/>
    <n v="7964741.1100000003"/>
    <x v="264"/>
    <x v="0"/>
    <s v="pagado"/>
    <s v="pagado"/>
    <x v="0"/>
    <x v="0"/>
  </r>
  <r>
    <n v="3000003384"/>
    <d v="2026-06-08T00:00:00"/>
    <n v="4571980"/>
    <s v="Atenor Hnos. S.R.L SAN MIGUEL DE TUCUMAN 14"/>
    <x v="2070"/>
    <n v="4571980"/>
    <x v="264"/>
    <x v="0"/>
    <s v="pagado"/>
    <s v="pagado"/>
    <x v="0"/>
    <x v="0"/>
  </r>
  <r>
    <n v="3000003385"/>
    <d v="2026-06-08T00:00:00"/>
    <n v="4997234.58"/>
    <s v="Marchese Grandi Meson y Asoc SAN MIGUEL DE TUCUMAN 14"/>
    <x v="2071"/>
    <n v="4997234.58"/>
    <x v="264"/>
    <x v="0"/>
    <s v="pagado"/>
    <s v="pagado"/>
    <x v="0"/>
    <x v="0"/>
  </r>
  <r>
    <n v="3000003386"/>
    <d v="2026-06-08T00:00:00"/>
    <n v="11688329"/>
    <s v="SMART SEGURIDAD SA YERBA BUENA 14"/>
    <x v="2072"/>
    <n v="11688329"/>
    <x v="264"/>
    <x v="0"/>
    <s v="pagado"/>
    <s v="pagado"/>
    <x v="0"/>
    <x v="0"/>
  </r>
  <r>
    <n v="3000003387"/>
    <d v="2026-06-08T00:00:00"/>
    <n v="12686763.4"/>
    <s v="ADLER HASENCLEVER Y ASOCIADOS BUENOS AIRES 01"/>
    <x v="2073"/>
    <n v="12686763.4"/>
    <x v="264"/>
    <x v="0"/>
    <s v="pagado"/>
    <s v="pagado"/>
    <x v="0"/>
    <x v="0"/>
  </r>
  <r>
    <n v="3000003388"/>
    <d v="2026-06-08T00:00:00"/>
    <n v="6371178.6900000004"/>
    <s v="VISMA ARGENTINA SA CAPITAL FEDERAL 14"/>
    <x v="2074"/>
    <n v="6371178.6900000004"/>
    <x v="264"/>
    <x v="0"/>
    <s v="pagado"/>
    <s v="pagado"/>
    <x v="0"/>
    <x v="0"/>
  </r>
  <r>
    <n v="3000003389"/>
    <d v="2026-06-08T00:00:00"/>
    <n v="11325235.5"/>
    <s v="SUAREZ MANUEL RODOLFO ALDERETES 14"/>
    <x v="2075"/>
    <n v="11325235.5"/>
    <x v="264"/>
    <x v="0"/>
    <s v="pagado"/>
    <s v="pagado"/>
    <x v="0"/>
    <x v="0"/>
  </r>
  <r>
    <n v="3000003390"/>
    <d v="2026-06-08T00:00:00"/>
    <n v="8888501.5199999996"/>
    <s v="ALVAREZ RENE JOSE MARIA BELLA VISTA 14"/>
    <x v="2076"/>
    <n v="8888501.5199999996"/>
    <x v="265"/>
    <x v="0"/>
    <s v="pagado"/>
    <s v="pagado"/>
    <x v="0"/>
    <x v="0"/>
  </r>
  <r>
    <n v="3000003391"/>
    <d v="2026-06-08T00:00:00"/>
    <n v="5894099.1299999999"/>
    <s v="PEDRO CRISTOFER MAURICIO LOS GUTIERREZ 14"/>
    <x v="2077"/>
    <n v="5894099.1299999999"/>
    <x v="265"/>
    <x v="0"/>
    <s v="pagado"/>
    <s v="pagado"/>
    <x v="0"/>
    <x v="0"/>
  </r>
  <r>
    <n v="3000003392"/>
    <d v="2026-06-08T00:00:00"/>
    <n v="6175831.4299999997"/>
    <s v="Arias Gonzalo Alejandro San Miguel de Tucumán 14"/>
    <x v="2078"/>
    <n v="6175831.4299999997"/>
    <x v="265"/>
    <x v="0"/>
    <s v="pagado"/>
    <s v="pagado"/>
    <x v="0"/>
    <x v="0"/>
  </r>
  <r>
    <n v="3000003393"/>
    <d v="2026-06-08T00:00:00"/>
    <n v="24503999.850000001"/>
    <s v="Gonzalez Jose Luis Lastenia 14"/>
    <x v="2079"/>
    <n v="24503999.850000001"/>
    <x v="265"/>
    <x v="0"/>
    <s v="pagado"/>
    <s v="pagado"/>
    <x v="0"/>
    <x v="0"/>
  </r>
  <r>
    <n v="3000003394"/>
    <d v="2026-06-08T00:00:00"/>
    <n v="7116564.3099999996"/>
    <s v="Pedro Ivan Marcelo ALDERETES 14"/>
    <x v="2080"/>
    <n v="7116564.3099999996"/>
    <x v="265"/>
    <x v="0"/>
    <s v="pagado"/>
    <s v="pagado"/>
    <x v="0"/>
    <x v="0"/>
  </r>
  <r>
    <n v="3000003395"/>
    <d v="2026-06-08T00:00:00"/>
    <n v="8444051.1300000008"/>
    <s v="Verde y Sol S.R.L. SAN MIGUEL DE TUCUMAN 14"/>
    <x v="2081"/>
    <n v="8444051.1300000008"/>
    <x v="265"/>
    <x v="0"/>
    <s v="pagado"/>
    <s v="pagado"/>
    <x v="0"/>
    <x v="0"/>
  </r>
  <r>
    <n v="3000003396"/>
    <d v="2026-06-08T00:00:00"/>
    <n v="12187329.83"/>
    <s v="Poda Verde SRL SAN MIGUEL DE TUCUMAN 14"/>
    <x v="2082"/>
    <n v="12187329.83"/>
    <x v="265"/>
    <x v="0"/>
    <s v="pagado"/>
    <s v="pagado"/>
    <x v="0"/>
    <x v="0"/>
  </r>
  <r>
    <n v="3000003397"/>
    <d v="2026-06-08T00:00:00"/>
    <n v="20279802.039999999"/>
    <s v="CAMPOAGRO SRL YERBA BUENA 14"/>
    <x v="2083"/>
    <n v="20279802.039999999"/>
    <x v="265"/>
    <x v="0"/>
    <s v="pagado"/>
    <s v="pagado"/>
    <x v="0"/>
    <x v="0"/>
  </r>
  <r>
    <n v="3000003428"/>
    <d v="2026-06-09T00:00:00"/>
    <n v="15000000"/>
    <s v="GAR S.A SAN MIGUEL DE TUCUMAN 14"/>
    <x v="2084"/>
    <n v="15000000"/>
    <x v="264"/>
    <x v="0"/>
    <s v="pagado"/>
    <s v="pagado"/>
    <x v="0"/>
    <x v="0"/>
  </r>
  <r>
    <n v="3000003428"/>
    <d v="2026-06-09T00:00:00"/>
    <n v="13062124.51"/>
    <s v="GAR S.A SAN MIGUEL DE TUCUMAN 14"/>
    <x v="2085"/>
    <n v="13062124.51"/>
    <x v="265"/>
    <x v="0"/>
    <s v="pagado"/>
    <s v="pagado"/>
    <x v="0"/>
    <x v="0"/>
  </r>
  <r>
    <n v="3000003425"/>
    <d v="2026-06-09T00:00:00"/>
    <n v="5212678.82"/>
    <s v="HERRERA RICARDO ALBERTO BANDA DEL RIO SALI 14"/>
    <x v="2086"/>
    <n v="5212678.82"/>
    <x v="265"/>
    <x v="0"/>
    <s v="pagado"/>
    <s v="pagado"/>
    <x v="0"/>
    <x v="0"/>
  </r>
  <r>
    <n v="3000003426"/>
    <d v="2026-06-09T00:00:00"/>
    <n v="15896382.42"/>
    <s v="PERATO CRISTIAN LUIS BANDA DEL RIO SALI 14"/>
    <x v="2087"/>
    <n v="15896382.42"/>
    <x v="265"/>
    <x v="0"/>
    <s v="pagado"/>
    <s v="pagado"/>
    <x v="0"/>
    <x v="0"/>
  </r>
  <r>
    <n v="3000003427"/>
    <d v="2026-06-09T00:00:00"/>
    <n v="5698133.3700000001"/>
    <s v="ABALOS ENZO FEDERICO Villa Mariano Moreno 14"/>
    <x v="2088"/>
    <n v="5698133.3700000001"/>
    <x v="265"/>
    <x v="0"/>
    <s v="pagado"/>
    <s v="pagado"/>
    <x v="0"/>
    <x v="0"/>
  </r>
  <r>
    <n v="3000003429"/>
    <d v="2026-06-09T00:00:00"/>
    <n v="16082767.58"/>
    <s v="GONZALEZ JOSE LUIS CONCEPCION 14"/>
    <x v="2089"/>
    <n v="16082767.58"/>
    <x v="265"/>
    <x v="0"/>
    <s v="pagado"/>
    <s v="pagado"/>
    <x v="0"/>
    <x v="0"/>
  </r>
  <r>
    <n v="3000003430"/>
    <d v="2026-06-09T00:00:00"/>
    <n v="7924771.1399999997"/>
    <s v="MAC DONALD MIGUEL ALEJANDRO BANDA DEL RIO SALI 14"/>
    <x v="2090"/>
    <n v="7924771.1399999997"/>
    <x v="265"/>
    <x v="0"/>
    <s v="pagado"/>
    <s v="pagado"/>
    <x v="0"/>
    <x v="0"/>
  </r>
  <r>
    <n v="3000003431"/>
    <d v="2026-06-09T00:00:00"/>
    <n v="6925301.2699999996"/>
    <s v="PAEZ ANDRES ALEXIS MACIO 14"/>
    <x v="2091"/>
    <n v="6925301.2699999996"/>
    <x v="265"/>
    <x v="0"/>
    <s v="pagado"/>
    <s v="pagado"/>
    <x v="0"/>
    <x v="0"/>
  </r>
  <r>
    <n v="3000003432"/>
    <d v="2026-06-09T00:00:00"/>
    <n v="7169849.1200000001"/>
    <s v="Sanchez Jose Mauricio San Miguel de Tucuman 14"/>
    <x v="2092"/>
    <n v="7169849.1200000001"/>
    <x v="265"/>
    <x v="0"/>
    <s v="pagado"/>
    <s v="pagado"/>
    <x v="0"/>
    <x v="0"/>
  </r>
  <r>
    <n v="3000003433"/>
    <d v="2026-06-09T00:00:00"/>
    <n v="5168447.88"/>
    <s v="PAEZ LEONEL EXEQUIEL MACIO 14"/>
    <x v="2093"/>
    <n v="5168447.88"/>
    <x v="265"/>
    <x v="0"/>
    <s v="pagado"/>
    <s v="pagado"/>
    <x v="0"/>
    <x v="0"/>
  </r>
  <r>
    <n v="3000003434"/>
    <d v="2026-06-09T00:00:00"/>
    <n v="5507017.8200000003"/>
    <s v="Robles Angel Gabriel San Miguel de Tucuman 14"/>
    <x v="2094"/>
    <n v="5507017.8200000003"/>
    <x v="265"/>
    <x v="0"/>
    <s v="pagado"/>
    <s v="pagado"/>
    <x v="0"/>
    <x v="0"/>
  </r>
  <r>
    <n v="3000003435"/>
    <d v="2026-06-09T00:00:00"/>
    <n v="15376417.07"/>
    <s v="TRANSPORTE FRIOS DEL NORTE S.RSAN MIGUEL DE TUCUMAN 14"/>
    <x v="2095"/>
    <n v="15376417.07"/>
    <x v="265"/>
    <x v="0"/>
    <s v="pagado"/>
    <s v="pagado"/>
    <x v="0"/>
    <x v="0"/>
  </r>
  <r>
    <n v="3000003436"/>
    <d v="2026-06-09T00:00:00"/>
    <n v="18590445.859999999"/>
    <s v="FERNANDEZ HECTOR JOSE SIMOCA 14"/>
    <x v="2096"/>
    <n v="18590445.859999999"/>
    <x v="265"/>
    <x v="0"/>
    <s v="pagado"/>
    <s v="pagado"/>
    <x v="0"/>
    <x v="0"/>
  </r>
  <r>
    <n v="3000003437"/>
    <d v="2026-06-09T00:00:00"/>
    <n v="4724421.3600000003"/>
    <s v="CAPETTA ANTONELLA ANAHI SAN MIGUEL DE TUCUMAN 14"/>
    <x v="2097"/>
    <n v="4724421.3600000003"/>
    <x v="265"/>
    <x v="0"/>
    <s v="pagado"/>
    <s v="pagado"/>
    <x v="0"/>
    <x v="0"/>
  </r>
  <r>
    <n v="3000003466"/>
    <d v="2026-06-10T00:00:00"/>
    <n v="6610132.3700000001"/>
    <s v="TRANSPORTE MEDINA S.H. CRUZ ALTA 14"/>
    <x v="2098"/>
    <n v="6610132.3700000001"/>
    <x v="265"/>
    <x v="0"/>
    <s v="pagado"/>
    <s v="pagado"/>
    <x v="0"/>
    <x v="0"/>
  </r>
  <r>
    <n v="3000003502"/>
    <d v="2026-06-11T00:00:00"/>
    <n v="19250000"/>
    <s v="LINEA CONSTRUCCIONES SRL SAN MIGUEL DE TUCUMAN 14"/>
    <x v="2099"/>
    <n v="19250000"/>
    <x v="266"/>
    <x v="0"/>
    <s v="pagado"/>
    <s v="pagado"/>
    <x v="0"/>
    <x v="0"/>
  </r>
  <r>
    <n v="3000003502"/>
    <d v="2026-06-11T00:00:00"/>
    <n v="19312053.399999999"/>
    <s v="LINEA CONSTRUCCIONES SRL SAN MIGUEL DE TUCUMAN 14"/>
    <x v="2100"/>
    <n v="19312053.399999999"/>
    <x v="267"/>
    <x v="0"/>
    <s v="pagado"/>
    <s v="pagado"/>
    <x v="0"/>
    <x v="0"/>
  </r>
  <r>
    <n v="3000003281"/>
    <d v="2026-06-16T00:00:00"/>
    <n v="45580986.57"/>
    <s v="Rosso Hnos SA MONTEROS 14"/>
    <x v="2101"/>
    <n v="45580986.57"/>
    <x v="268"/>
    <x v="0"/>
    <s v="pagado"/>
    <s v="pagado"/>
    <x v="0"/>
    <x v="0"/>
  </r>
  <r>
    <n v="3000003281"/>
    <d v="2026-06-16T00:00:00"/>
    <n v="15785035.92"/>
    <s v="Rosso Hnos SA MONTEROS 14"/>
    <x v="2102"/>
    <n v="15785035.92"/>
    <x v="269"/>
    <x v="0"/>
    <s v="pagado"/>
    <s v="pagado"/>
    <x v="0"/>
    <x v="0"/>
  </r>
  <r>
    <n v="3000003580"/>
    <d v="2026-06-16T00:00:00"/>
    <n v="7261652.4000000004"/>
    <s v="DUN Y BRADSTREET S.A CIUDAD AUTONOMA DE BUENOS AIRES 01"/>
    <x v="2103"/>
    <n v="7261652.4000000004"/>
    <x v="270"/>
    <x v="0"/>
    <s v="pagado"/>
    <s v="pagado"/>
    <x v="0"/>
    <x v="0"/>
  </r>
  <r>
    <n v="3000003580"/>
    <d v="2026-06-16T00:00:00"/>
    <n v="7261380"/>
    <s v="DUN Y BRADSTREET S.A CIUDAD AUTONOMA DE BUENOS AIRES 01"/>
    <x v="2104"/>
    <n v="7261380"/>
    <x v="271"/>
    <x v="0"/>
    <s v="pagado"/>
    <s v="pagado"/>
    <x v="0"/>
    <x v="0"/>
  </r>
  <r>
    <n v="3000003580"/>
    <d v="2026-06-16T00:00:00"/>
    <n v="7261380"/>
    <s v="DUN Y BRADSTREET S.A CIUDAD AUTONOMA DE BUENOS AIRES 01"/>
    <x v="2105"/>
    <n v="7261380"/>
    <x v="272"/>
    <x v="0"/>
    <s v="pagado"/>
    <s v="pagado"/>
    <x v="0"/>
    <x v="0"/>
  </r>
  <r>
    <n v="3000003576"/>
    <d v="2026-06-16T00:00:00"/>
    <n v="62528420"/>
    <s v="EDET S.A. SAN MIGUEL DE TUCUMAN 14"/>
    <x v="2106"/>
    <n v="62528420"/>
    <x v="257"/>
    <x v="0"/>
    <s v="pagado"/>
    <s v="pagado"/>
    <x v="0"/>
    <x v="0"/>
  </r>
  <r>
    <n v="3000003577"/>
    <d v="2026-06-16T00:00:00"/>
    <n v="6618152.2199999997"/>
    <s v="LUCENA ANGEL OMAR LOS VALLISTOS 13"/>
    <x v="2107"/>
    <n v="6618152.2199999997"/>
    <x v="270"/>
    <x v="0"/>
    <s v="pagado"/>
    <s v="pagado"/>
    <x v="0"/>
    <x v="0"/>
  </r>
  <r>
    <n v="3000003578"/>
    <d v="2026-06-16T00:00:00"/>
    <n v="7277623.4000000004"/>
    <s v="PABLO Y FERNANDO TACCHELLA S.RSAN MIGUEL DE TUCUMAN 14"/>
    <x v="2108"/>
    <n v="7277623.4000000004"/>
    <x v="270"/>
    <x v="0"/>
    <s v="pagado"/>
    <s v="pagado"/>
    <x v="0"/>
    <x v="0"/>
  </r>
  <r>
    <n v="3000003579"/>
    <d v="2026-06-16T00:00:00"/>
    <n v="10179271.609999999"/>
    <s v="JLA ARGENTINA S A GENERAL CABRERA 03"/>
    <x v="2109"/>
    <n v="10179271.609999999"/>
    <x v="270"/>
    <x v="0"/>
    <s v="pagado"/>
    <s v="pagado"/>
    <x v="0"/>
    <x v="0"/>
  </r>
  <r>
    <n v="3000003581"/>
    <d v="2026-06-16T00:00:00"/>
    <n v="10047463.720000001"/>
    <s v="LA 10 SRL SAN MIGUEL DE TUCUMAN 14"/>
    <x v="2110"/>
    <n v="10047463.720000001"/>
    <x v="270"/>
    <x v="0"/>
    <s v="pagado"/>
    <s v="pagado"/>
    <x v="0"/>
    <x v="0"/>
  </r>
  <r>
    <n v="3000003582"/>
    <d v="2026-06-16T00:00:00"/>
    <n v="32823360"/>
    <s v="BONSUR SA CAPITAL FEDERAL 00"/>
    <x v="2111"/>
    <n v="32823360"/>
    <x v="236"/>
    <x v="0"/>
    <s v="pagado"/>
    <s v="pagado"/>
    <x v="0"/>
    <x v="0"/>
  </r>
  <r>
    <n v="3000003583"/>
    <d v="2026-06-16T00:00:00"/>
    <n v="5283180.76"/>
    <s v="MAC DONALD MIGUEL ALEJANDRO BANDA DEL RIO SALI 14"/>
    <x v="2112"/>
    <n v="5283180.76"/>
    <x v="270"/>
    <x v="0"/>
    <s v="pagado"/>
    <s v="pagado"/>
    <x v="0"/>
    <x v="0"/>
  </r>
  <r>
    <n v="3000003584"/>
    <d v="2026-06-16T00:00:00"/>
    <n v="6111688.4100000001"/>
    <s v="JACQUET NORBERTO SALVADOR SAN JOSE 05"/>
    <x v="2113"/>
    <n v="6111688.4100000001"/>
    <x v="270"/>
    <x v="0"/>
    <s v="pagado"/>
    <s v="pagado"/>
    <x v="0"/>
    <x v="0"/>
  </r>
  <r>
    <n v="3000003585"/>
    <d v="2026-06-16T00:00:00"/>
    <n v="24602267.329999998"/>
    <s v="TRANSPORTE FRIOS DEL NORTE S.RSAN MIGUEL DE TUCUMAN 14"/>
    <x v="2114"/>
    <n v="24602267.329999998"/>
    <x v="236"/>
    <x v="0"/>
    <s v="pagado"/>
    <s v="pagado"/>
    <x v="0"/>
    <x v="0"/>
  </r>
  <r>
    <n v="3000003586"/>
    <d v="2026-06-16T00:00:00"/>
    <n v="30540503.539999999"/>
    <s v="CAPETTA ANTONELLA ANAHI SAN MIGUEL DE TUCUMAN 14"/>
    <x v="2115"/>
    <n v="30540503.539999999"/>
    <x v="236"/>
    <x v="0"/>
    <s v="pagado"/>
    <s v="pagado"/>
    <x v="0"/>
    <x v="0"/>
  </r>
  <r>
    <n v="3000003587"/>
    <d v="2026-06-16T00:00:00"/>
    <n v="5249785.18"/>
    <s v="VILLAGRA VELEZ ROQUE RICARDO SAN MIGUEL DE TUCUMAN 14"/>
    <x v="2116"/>
    <n v="5249785.18"/>
    <x v="270"/>
    <x v="0"/>
    <s v="pagado"/>
    <s v="pagado"/>
    <x v="0"/>
    <x v="0"/>
  </r>
  <r>
    <n v="3000003588"/>
    <d v="2026-06-16T00:00:00"/>
    <n v="9356502.7200000007"/>
    <s v="LANCHELA HECTOR ROLANDO CONCEPCION 14"/>
    <x v="2117"/>
    <n v="9356502.7200000007"/>
    <x v="270"/>
    <x v="0"/>
    <s v="pagado"/>
    <s v="pagado"/>
    <x v="0"/>
    <x v="0"/>
  </r>
  <r>
    <n v="3000003589"/>
    <d v="2026-06-16T00:00:00"/>
    <n v="5461022.1500000004"/>
    <s v="PERATO LUIS ALBERTO BANDA DEL RIO SALI 14"/>
    <x v="2118"/>
    <n v="5461022.1500000004"/>
    <x v="270"/>
    <x v="0"/>
    <s v="pagado"/>
    <s v="pagado"/>
    <x v="0"/>
    <x v="0"/>
  </r>
  <r>
    <n v="3000003590"/>
    <d v="2026-06-16T00:00:00"/>
    <n v="16082126"/>
    <s v="TORRES JUAN RAMON ALDERETES 14"/>
    <x v="2119"/>
    <n v="16082126"/>
    <x v="236"/>
    <x v="0"/>
    <s v="pagado"/>
    <s v="pagado"/>
    <x v="0"/>
    <x v="0"/>
  </r>
  <r>
    <n v="3000003591"/>
    <d v="2026-06-16T00:00:00"/>
    <n v="6004293.6399999997"/>
    <s v="Vaquera Francisco Alfredo Monteros 14"/>
    <x v="2120"/>
    <n v="6004293.6399999997"/>
    <x v="270"/>
    <x v="0"/>
    <s v="pagado"/>
    <s v="pagado"/>
    <x v="0"/>
    <x v="0"/>
  </r>
  <r>
    <n v="3000003592"/>
    <d v="2026-06-16T00:00:00"/>
    <n v="6362321.5999999996"/>
    <s v="TRANSPORTE MARIANITA S.R.L SAN MIGUEL DE TUCUMAN 14"/>
    <x v="2121"/>
    <n v="6362321.5999999996"/>
    <x v="270"/>
    <x v="0"/>
    <s v="pagado"/>
    <s v="pagado"/>
    <x v="0"/>
    <x v="0"/>
  </r>
  <r>
    <n v="3000003593"/>
    <d v="2026-06-16T00:00:00"/>
    <n v="10780103.529999999"/>
    <s v="Pedro Angel Michael Alderetes 14"/>
    <x v="2122"/>
    <n v="10780103.529999999"/>
    <x v="270"/>
    <x v="0"/>
    <s v="pagado"/>
    <s v="pagado"/>
    <x v="0"/>
    <x v="0"/>
  </r>
  <r>
    <n v="3000003594"/>
    <d v="2026-06-16T00:00:00"/>
    <n v="20988908.399999999"/>
    <s v="ACOSTA ROQUE RAMON SAN MIGUEL DE TUCUMAN 14"/>
    <x v="2123"/>
    <n v="20988908.399999999"/>
    <x v="236"/>
    <x v="0"/>
    <s v="pagado"/>
    <s v="pagado"/>
    <x v="0"/>
    <x v="0"/>
  </r>
  <r>
    <n v="3000003634"/>
    <d v="2026-06-17T00:00:00"/>
    <n v="11000000"/>
    <s v="Norviguet S.R.L. SAN MIGUEL DE TUCUMAN 14"/>
    <x v="2124"/>
    <n v="11000000"/>
    <x v="268"/>
    <x v="0"/>
    <s v="pagado"/>
    <s v="pagado"/>
    <x v="0"/>
    <x v="0"/>
  </r>
  <r>
    <n v="3000003634"/>
    <d v="2026-06-17T00:00:00"/>
    <n v="11000000"/>
    <s v="Norviguet S.R.L. SAN MIGUEL DE TUCUMAN 14"/>
    <x v="2125"/>
    <n v="11000000"/>
    <x v="273"/>
    <x v="0"/>
    <s v="pagado"/>
    <s v="pagado"/>
    <x v="0"/>
    <x v="0"/>
  </r>
  <r>
    <n v="3000003634"/>
    <d v="2026-06-17T00:00:00"/>
    <n v="11000000"/>
    <s v="Norviguet S.R.L. SAN MIGUEL DE TUCUMAN 14"/>
    <x v="2126"/>
    <n v="11000000"/>
    <x v="274"/>
    <x v="0"/>
    <s v="no pagado"/>
    <s v="en periodo de pago"/>
    <x v="1"/>
    <x v="1"/>
  </r>
  <r>
    <n v="3000003634"/>
    <d v="2026-06-17T00:00:00"/>
    <n v="11000000"/>
    <s v="Norviguet S.R.L. SAN MIGUEL DE TUCUMAN 14"/>
    <x v="2127"/>
    <n v="11000000"/>
    <x v="275"/>
    <x v="0"/>
    <s v="no pagado"/>
    <s v="en periodo de pago"/>
    <x v="1"/>
    <x v="0"/>
  </r>
  <r>
    <n v="3000003634"/>
    <d v="2026-06-17T00:00:00"/>
    <n v="11093885"/>
    <s v="Norviguet S.R.L. SAN MIGUEL DE TUCUMAN 14"/>
    <x v="2128"/>
    <n v="11093885"/>
    <x v="276"/>
    <x v="0"/>
    <s v="no pagado"/>
    <s v="en periodo de pago"/>
    <x v="1"/>
    <x v="0"/>
  </r>
  <r>
    <n v="3000003633"/>
    <d v="2026-06-17T00:00:00"/>
    <n v="3234870.66"/>
    <s v="BESTANI JUAN JOSE SAN MIGUEL DE TUCUMAN 14"/>
    <x v="2129"/>
    <n v="3234870.66"/>
    <x v="236"/>
    <x v="0"/>
    <s v="pagado"/>
    <s v="pagado"/>
    <x v="0"/>
    <x v="0"/>
  </r>
  <r>
    <n v="3000003751"/>
    <d v="2026-06-22T00:00:00"/>
    <n v="5367617.3499999996"/>
    <s v="Hierronort Salta S.R.L. SAN MIGUEL DE TUCUMAN 14"/>
    <x v="2130"/>
    <n v="5367617.3499999996"/>
    <x v="277"/>
    <x v="0"/>
    <s v="pagado"/>
    <s v="pagado"/>
    <x v="0"/>
    <x v="0"/>
  </r>
  <r>
    <n v="3000003752"/>
    <d v="2026-06-22T00:00:00"/>
    <n v="5678260"/>
    <s v="LUGUIMAC S.R.L VILLA LYNCH 01"/>
    <x v="2131"/>
    <n v="5678260"/>
    <x v="277"/>
    <x v="0"/>
    <s v="pagado"/>
    <s v="pagado"/>
    <x v="0"/>
    <x v="0"/>
  </r>
  <r>
    <n v="3000003754"/>
    <d v="2026-06-22T00:00:00"/>
    <n v="10088492.9"/>
    <s v="SUAREZ MANUEL RODOLFO ALDERETES 14"/>
    <x v="2132"/>
    <n v="10088492.9"/>
    <x v="277"/>
    <x v="0"/>
    <s v="pagado"/>
    <s v="pagado"/>
    <x v="0"/>
    <x v="0"/>
  </r>
  <r>
    <n v="3000003755"/>
    <d v="2026-06-22T00:00:00"/>
    <n v="7878185.2599999998"/>
    <s v="Transporte CDC S.A. CAPITAL FEDERAL 00"/>
    <x v="2133"/>
    <n v="7878185.2599999998"/>
    <x v="277"/>
    <x v="0"/>
    <s v="pagado"/>
    <s v="pagado"/>
    <x v="0"/>
    <x v="0"/>
  </r>
  <r>
    <n v="3000003757"/>
    <d v="2026-06-22T00:00:00"/>
    <n v="8247800"/>
    <s v="PABLO Y FERNANDO TACCHELLA S.RSAN MIGUEL DE TUCUMAN 14"/>
    <x v="2134"/>
    <n v="8247800"/>
    <x v="277"/>
    <x v="0"/>
    <s v="pagado"/>
    <s v="pagado"/>
    <x v="0"/>
    <x v="0"/>
  </r>
  <r>
    <n v="3000003758"/>
    <d v="2026-06-22T00:00:00"/>
    <n v="5283180.76"/>
    <s v="MAC DONALD MIGUEL ALEJANDRO BANDA DEL RIO SALI 14"/>
    <x v="2135"/>
    <n v="5283180.76"/>
    <x v="277"/>
    <x v="0"/>
    <s v="pagado"/>
    <s v="pagado"/>
    <x v="0"/>
    <x v="0"/>
  </r>
  <r>
    <n v="3000003759"/>
    <d v="2026-06-22T00:00:00"/>
    <n v="13233931.23"/>
    <s v="FERNANDEZ HECTOR JOSE SIMOCA 14"/>
    <x v="2136"/>
    <n v="13233931.23"/>
    <x v="277"/>
    <x v="0"/>
    <s v="pagado"/>
    <s v="pagado"/>
    <x v="0"/>
    <x v="0"/>
  </r>
  <r>
    <n v="3000003760"/>
    <d v="2026-06-22T00:00:00"/>
    <n v="18907877.879999999"/>
    <s v="RL SOLUCIONES S. A. S. SAN MIGUEL DE TUCUMAN 14"/>
    <x v="2137"/>
    <n v="18907877.879999999"/>
    <x v="277"/>
    <x v="0"/>
    <s v="pagado"/>
    <s v="pagado"/>
    <x v="0"/>
    <x v="0"/>
  </r>
  <r>
    <n v="3000003761"/>
    <d v="2026-06-22T00:00:00"/>
    <n v="6855862.4800000004"/>
    <s v="Arias Gonzalo Alejandro San Miguel de Tucumán 14"/>
    <x v="2138"/>
    <n v="6855862.4800000004"/>
    <x v="277"/>
    <x v="0"/>
    <s v="pagado"/>
    <s v="pagado"/>
    <x v="0"/>
    <x v="0"/>
  </r>
  <r>
    <n v="3000003762"/>
    <d v="2026-06-22T00:00:00"/>
    <n v="6971555.1299999999"/>
    <s v="Pedro Ivan Marcelo ALDERETES 14"/>
    <x v="2139"/>
    <n v="6971555.1299999999"/>
    <x v="277"/>
    <x v="0"/>
    <s v="pagado"/>
    <s v="pagado"/>
    <x v="0"/>
    <x v="0"/>
  </r>
  <r>
    <n v="3000003763"/>
    <d v="2026-06-22T00:00:00"/>
    <n v="5294031.25"/>
    <s v="Consultoria en Tecnologia de IBUENOS AIRES 00"/>
    <x v="2140"/>
    <n v="5294031.25"/>
    <x v="277"/>
    <x v="0"/>
    <s v="pagado"/>
    <s v="pagado"/>
    <x v="0"/>
    <x v="0"/>
  </r>
  <r>
    <n v="3000003756"/>
    <d v="2026-06-22T00:00:00"/>
    <n v="21526983.920000002"/>
    <s v="TRANSPORTE FRIOS DEL NORTE S.RSAN MIGUEL DE TUCUMAN 14"/>
    <x v="2141"/>
    <n v="21526983.920000002"/>
    <x v="277"/>
    <x v="0"/>
    <s v="pagado"/>
    <s v="pagado"/>
    <x v="0"/>
    <x v="0"/>
  </r>
  <r>
    <n v="3000003764"/>
    <d v="2026-06-23T00:00:00"/>
    <n v="20000000"/>
    <s v="KENTEC ARGENTINA SA CAPITAL FEDERAL 00"/>
    <x v="2142"/>
    <n v="20000000"/>
    <x v="203"/>
    <x v="0"/>
    <s v="pagado"/>
    <s v="pagado"/>
    <x v="0"/>
    <x v="0"/>
  </r>
  <r>
    <n v="3000003764"/>
    <d v="2026-06-23T00:00:00"/>
    <n v="20391102.609999999"/>
    <s v="KENTEC ARGENTINA SA CAPITAL FEDERAL 00"/>
    <x v="2143"/>
    <n v="20391102.609999999"/>
    <x v="278"/>
    <x v="0"/>
    <s v="pagado"/>
    <s v="pagado"/>
    <x v="0"/>
    <x v="0"/>
  </r>
  <r>
    <n v="3000003787"/>
    <d v="2026-06-23T00:00:00"/>
    <n v="0"/>
    <s v="invalidado med.EOLIVERA -Destruido/ Sin uso"/>
    <x v="2144"/>
    <n v="0"/>
    <x v="277"/>
    <x v="0"/>
    <s v="no pagado"/>
    <s v="fuera de fecha"/>
    <x v="0"/>
    <x v="0"/>
  </r>
  <r>
    <n v="3000001950"/>
    <d v="2026-06-23T00:00:00"/>
    <n v="7416248.1600000001"/>
    <s v="VIDES GUSTAVO ENRIQUE LA TRINIDAD 14"/>
    <x v="2145"/>
    <n v="7416248.1600000001"/>
    <x v="277"/>
    <x v="0"/>
    <s v="pagado"/>
    <s v="pagado"/>
    <x v="0"/>
    <x v="0"/>
  </r>
  <r>
    <n v="3000003788"/>
    <d v="2026-06-23T00:00:00"/>
    <n v="17820092.859999999"/>
    <s v="PERATO CRISTIAN LUIS BANDA DEL RIO SALI 14"/>
    <x v="2146"/>
    <n v="17820092.859999999"/>
    <x v="277"/>
    <x v="0"/>
    <s v="pagado"/>
    <s v="pagado"/>
    <x v="0"/>
    <x v="0"/>
  </r>
  <r>
    <n v="3000003789"/>
    <d v="2026-06-23T00:00:00"/>
    <n v="25294855.75"/>
    <s v="GAR S.A SAN MIGUEL DE TUCUMAN 14"/>
    <x v="2147"/>
    <n v="25294855.75"/>
    <x v="277"/>
    <x v="0"/>
    <s v="pagado"/>
    <s v="pagado"/>
    <x v="0"/>
    <x v="0"/>
  </r>
  <r>
    <n v="3000003790"/>
    <d v="2026-06-23T00:00:00"/>
    <n v="11099595.26"/>
    <s v="Gonzalez Jose Luis Lastenia 14"/>
    <x v="2148"/>
    <n v="11099595.26"/>
    <x v="277"/>
    <x v="0"/>
    <s v="pagado"/>
    <s v="pagado"/>
    <x v="0"/>
    <x v="0"/>
  </r>
  <r>
    <n v="3000003791"/>
    <d v="2026-06-23T00:00:00"/>
    <n v="16217357.949999999"/>
    <s v="CAPETTA ANTONELLA ANAHI SAN MIGUEL DE TUCUMAN 14"/>
    <x v="2149"/>
    <n v="16217357.949999999"/>
    <x v="277"/>
    <x v="0"/>
    <s v="pagado"/>
    <s v="pagado"/>
    <x v="0"/>
    <x v="0"/>
  </r>
  <r>
    <n v="3000003792"/>
    <d v="2026-06-23T00:00:00"/>
    <n v="8716543.6500000004"/>
    <s v="RL SOLUCIONES S. A. S. SAN MIGUEL DE TUCUMAN 14"/>
    <x v="2150"/>
    <n v="8716543.6500000004"/>
    <x v="277"/>
    <x v="0"/>
    <s v="pagado"/>
    <s v="pagado"/>
    <x v="0"/>
    <x v="0"/>
  </r>
  <r>
    <n v="3000003793"/>
    <d v="2026-06-23T00:00:00"/>
    <n v="6150566.8300000001"/>
    <s v="TRANSPORTE FRIOS DEL NORTE S.RSAN MIGUEL DE TUCUMAN 14"/>
    <x v="2151"/>
    <n v="6150566.8300000001"/>
    <x v="277"/>
    <x v="0"/>
    <s v="pagado"/>
    <s v="pagado"/>
    <x v="0"/>
    <x v="0"/>
  </r>
  <r>
    <n v="3000003794"/>
    <d v="2026-06-23T00:00:00"/>
    <n v="7798056.5999999996"/>
    <s v="M DODERO COMPANIA GRAL DE SERVCIUDAD AUTONOMA DE BUENOS AIRES 01"/>
    <x v="2152"/>
    <n v="7798056.5999999996"/>
    <x v="277"/>
    <x v="0"/>
    <s v="pagado"/>
    <s v="pagado"/>
    <x v="0"/>
    <x v="0"/>
  </r>
  <r>
    <n v="3000003795"/>
    <d v="2026-06-23T00:00:00"/>
    <n v="46999521.079999998"/>
    <s v="ROMERO SERVICIOS S. A. S. ALPACHIRI 14"/>
    <x v="2153"/>
    <n v="46999521.079999998"/>
    <x v="277"/>
    <x v="0"/>
    <s v="pagado"/>
    <s v="pagado"/>
    <x v="0"/>
    <x v="0"/>
  </r>
  <r>
    <n v="3000003787"/>
    <d v="2026-06-23T00:00:00"/>
    <n v="7669554.5300000003"/>
    <s v="TRANSPORTE MEDINA S.H. CRUZ ALTA 14"/>
    <x v="2154"/>
    <n v="7669554.5300000003"/>
    <x v="277"/>
    <x v="0"/>
    <s v="pagado"/>
    <s v="pagado"/>
    <x v="0"/>
    <x v="0"/>
  </r>
  <r>
    <n v="3000003936"/>
    <d v="2026-06-29T00:00:00"/>
    <n v="8663897.5399999991"/>
    <s v="Bureau Veritas Arg.S.A. CIUDAD AUTONOMA DE BUENOS AIRES 01"/>
    <x v="2155"/>
    <n v="8663897.5399999991"/>
    <x v="279"/>
    <x v="0"/>
    <s v="pagado"/>
    <s v="pagado"/>
    <x v="0"/>
    <x v="0"/>
  </r>
  <r>
    <n v="3000003937"/>
    <d v="2026-06-29T00:00:00"/>
    <n v="5688358.96"/>
    <s v="Saiko S.A Tucumàn 14"/>
    <x v="2156"/>
    <n v="5688358.96"/>
    <x v="279"/>
    <x v="0"/>
    <s v="pagado"/>
    <s v="pagado"/>
    <x v="0"/>
    <x v="0"/>
  </r>
  <r>
    <n v="3000003938"/>
    <d v="2026-06-29T00:00:00"/>
    <n v="6760635"/>
    <s v="CAÑA Y SEMILLA SRL Capital Federal 00"/>
    <x v="2157"/>
    <n v="6760635"/>
    <x v="279"/>
    <x v="0"/>
    <s v="pagado"/>
    <s v="pagado"/>
    <x v="0"/>
    <x v="0"/>
  </r>
  <r>
    <n v="3000003939"/>
    <d v="2026-06-29T00:00:00"/>
    <n v="8319224.5899999999"/>
    <s v="ROMERO SERVICIOS S. A. S. ALPACHIRI 14"/>
    <x v="2158"/>
    <n v="8319224.5899999999"/>
    <x v="279"/>
    <x v="0"/>
    <s v="pagado"/>
    <s v="pagado"/>
    <x v="0"/>
    <x v="0"/>
  </r>
  <r>
    <n v="3000003940"/>
    <d v="2026-06-29T00:00:00"/>
    <n v="14077087.5"/>
    <s v="M.A.D Serv y mant eléctri SAN MIGUEL DE TUCUMAN 14"/>
    <x v="2159"/>
    <n v="14077087.5"/>
    <x v="279"/>
    <x v="0"/>
    <s v="pagado"/>
    <s v="pagado"/>
    <x v="0"/>
    <x v="0"/>
  </r>
  <r>
    <n v="3000003941"/>
    <d v="2026-06-29T00:00:00"/>
    <n v="18241440"/>
    <s v="LA 10 SRL SAN MIGUEL DE TUCUMAN 14"/>
    <x v="2160"/>
    <n v="18241440"/>
    <x v="279"/>
    <x v="0"/>
    <s v="pagado"/>
    <s v="pagado"/>
    <x v="0"/>
    <x v="0"/>
  </r>
  <r>
    <n v="3000003942"/>
    <d v="2026-06-29T00:00:00"/>
    <n v="9022835.9399999995"/>
    <s v="TRANSPORTE MARIANITA S.R.L SAN MIGUEL DE TUCUMAN 14"/>
    <x v="2161"/>
    <n v="9022835.9399999995"/>
    <x v="279"/>
    <x v="0"/>
    <s v="pagado"/>
    <s v="pagado"/>
    <x v="0"/>
    <x v="0"/>
  </r>
  <r>
    <n v="3000003943"/>
    <d v="2026-06-29T00:00:00"/>
    <n v="15376417.08"/>
    <s v="TRANSPORTE FRIOS DEL NORTE S.RSAN MIGUEL DE TUCUMAN 14"/>
    <x v="2162"/>
    <n v="15376417.08"/>
    <x v="279"/>
    <x v="0"/>
    <s v="pagado"/>
    <s v="pagado"/>
    <x v="0"/>
    <x v="0"/>
  </r>
  <r>
    <n v="3000003944"/>
    <d v="2026-06-29T00:00:00"/>
    <n v="14331346.609999999"/>
    <s v="ACOSTA ROQUE RAMON SAN MIGUEL DE TUCUMAN 14"/>
    <x v="2163"/>
    <n v="14331346.609999999"/>
    <x v="279"/>
    <x v="0"/>
    <s v="pagado"/>
    <s v="pagado"/>
    <x v="0"/>
    <x v="0"/>
  </r>
  <r>
    <n v="3000003945"/>
    <d v="2026-06-29T00:00:00"/>
    <n v="5329201.8099999996"/>
    <s v="HERRERA RICARDO ALBERTO BANDA DEL RIO SALI 14"/>
    <x v="2164"/>
    <n v="5329201.8099999996"/>
    <x v="279"/>
    <x v="0"/>
    <s v="pagado"/>
    <s v="pagado"/>
    <x v="0"/>
    <x v="0"/>
  </r>
  <r>
    <n v="3000003946"/>
    <d v="2026-06-29T00:00:00"/>
    <n v="11000054.550000001"/>
    <s v="CEMEVA SAS YERBA BUENA 14"/>
    <x v="2165"/>
    <n v="11000054.550000001"/>
    <x v="279"/>
    <x v="0"/>
    <s v="pagado"/>
    <s v="pagado"/>
    <x v="0"/>
    <x v="0"/>
  </r>
  <r>
    <n v="3000003947"/>
    <d v="2026-06-29T00:00:00"/>
    <n v="15882937.85"/>
    <s v="CAPETTA ANTONELLA ANAHI SAN MIGUEL DE TUCUMAN 14"/>
    <x v="2166"/>
    <n v="15882937.85"/>
    <x v="279"/>
    <x v="0"/>
    <s v="pagado"/>
    <s v="pagado"/>
    <x v="0"/>
    <x v="0"/>
  </r>
  <r>
    <n v="3000003948"/>
    <d v="2026-06-29T00:00:00"/>
    <n v="8285592.0300000003"/>
    <s v="RL SOLUCIONES S. A. S. SAN MIGUEL DE TUCUMAN 14"/>
    <x v="2167"/>
    <n v="8285592.0300000003"/>
    <x v="279"/>
    <x v="0"/>
    <s v="pagado"/>
    <s v="pagado"/>
    <x v="0"/>
    <x v="0"/>
  </r>
  <r>
    <n v="3000003949"/>
    <d v="2026-06-29T00:00:00"/>
    <n v="18754918.239999998"/>
    <s v="LA MARTINA SERV. AGRICOLAS S.RSAN PABLO 14"/>
    <x v="2168"/>
    <n v="18754918.239999998"/>
    <x v="279"/>
    <x v="0"/>
    <s v="pagado"/>
    <s v="pagado"/>
    <x v="0"/>
    <x v="0"/>
  </r>
  <r>
    <n v="3000003950"/>
    <d v="2026-06-29T00:00:00"/>
    <n v="8016210.29"/>
    <s v="CAMPOAGRO SRL YERBA BUENA 14"/>
    <x v="2169"/>
    <n v="8016210.29"/>
    <x v="279"/>
    <x v="0"/>
    <s v="pagado"/>
    <s v="pagado"/>
    <x v="0"/>
    <x v="0"/>
  </r>
  <r>
    <n v="3000004005"/>
    <d v="2026-07-01T00:00:00"/>
    <n v="20000000"/>
    <s v="GAR S.A SAN MIGUEL DE TUCUMAN 14"/>
    <x v="2170"/>
    <n v="20000000"/>
    <x v="280"/>
    <x v="0"/>
    <s v="pagado"/>
    <s v="pagado"/>
    <x v="0"/>
    <x v="0"/>
  </r>
  <r>
    <n v="3000004005"/>
    <d v="2026-07-01T00:00:00"/>
    <n v="14615988.960000001"/>
    <s v="GAR S.A SAN MIGUEL DE TUCUMAN 14"/>
    <x v="2171"/>
    <n v="14615988.960000001"/>
    <x v="268"/>
    <x v="0"/>
    <s v="pagado"/>
    <s v="pagado"/>
    <x v="0"/>
    <x v="0"/>
  </r>
  <r>
    <n v="3000003999"/>
    <d v="2026-07-01T00:00:00"/>
    <n v="13555582.49"/>
    <s v="RL SOLUCIONES S. A. S. SAN MIGUEL DE TUCUMAN 14"/>
    <x v="2172"/>
    <n v="13555582.49"/>
    <x v="268"/>
    <x v="0"/>
    <s v="pagado"/>
    <s v="pagado"/>
    <x v="0"/>
    <x v="0"/>
  </r>
  <r>
    <n v="3000004000"/>
    <d v="2026-07-01T00:00:00"/>
    <n v="11361641.51"/>
    <s v="JACQUET NORBERTO SALVADOR SAN JOSE 05"/>
    <x v="2173"/>
    <n v="11361641.51"/>
    <x v="268"/>
    <x v="0"/>
    <s v="pagado"/>
    <s v="pagado"/>
    <x v="0"/>
    <x v="0"/>
  </r>
  <r>
    <n v="3000004001"/>
    <d v="2026-07-01T00:00:00"/>
    <n v="13988677.369999999"/>
    <s v="CEMEVA SAS YERBA BUENA 14"/>
    <x v="2174"/>
    <n v="13988677.369999999"/>
    <x v="268"/>
    <x v="0"/>
    <s v="pagado"/>
    <s v="pagado"/>
    <x v="0"/>
    <x v="0"/>
  </r>
  <r>
    <n v="3000004002"/>
    <d v="2026-07-01T00:00:00"/>
    <n v="14974376.84"/>
    <s v="CAPETTA ANTONELLA ANAHI SAN MIGUEL DE TUCUMAN 14"/>
    <x v="2175"/>
    <n v="14974376.84"/>
    <x v="268"/>
    <x v="0"/>
    <s v="pagado"/>
    <s v="pagado"/>
    <x v="0"/>
    <x v="0"/>
  </r>
  <r>
    <n v="3000004003"/>
    <d v="2026-07-01T00:00:00"/>
    <n v="10773587.92"/>
    <s v="LATCOMEX SA CAPITAL FEDERAL 00"/>
    <x v="2176"/>
    <n v="10773587.92"/>
    <x v="268"/>
    <x v="0"/>
    <s v="pagado"/>
    <s v="pagado"/>
    <x v="0"/>
    <x v="0"/>
  </r>
  <r>
    <n v="3000004004"/>
    <d v="2026-07-01T00:00:00"/>
    <n v="12131294.33"/>
    <s v="Transportes La Sevillanita S.RALDERETES 14"/>
    <x v="2177"/>
    <n v="12131294.33"/>
    <x v="268"/>
    <x v="0"/>
    <s v="pagado"/>
    <s v="pagado"/>
    <x v="0"/>
    <x v="0"/>
  </r>
  <r>
    <n v="3000004128"/>
    <d v="2026-07-06T00:00:00"/>
    <n v="5704781.5599999996"/>
    <s v="TRANSPORTE MEDINA S.H. CRUZ ALTA 14"/>
    <x v="2178"/>
    <n v="5704781.5599999996"/>
    <x v="266"/>
    <x v="0"/>
    <s v="pagado"/>
    <s v="pagado"/>
    <x v="0"/>
    <x v="0"/>
  </r>
  <r>
    <n v="3000004129"/>
    <d v="2026-07-06T00:00:00"/>
    <n v="7054113.21"/>
    <s v="Marchese Grandi Meson y Asoc SAN MIGUEL DE TUCUMAN 14"/>
    <x v="2179"/>
    <n v="7054113.21"/>
    <x v="266"/>
    <x v="0"/>
    <s v="pagado"/>
    <s v="pagado"/>
    <x v="0"/>
    <x v="0"/>
  </r>
  <r>
    <n v="3000004130"/>
    <d v="2026-07-06T00:00:00"/>
    <n v="13890730"/>
    <s v="Agricola Garcia S.A. SAN MIGUEL DE TUCUMAN 14"/>
    <x v="2180"/>
    <n v="13890730"/>
    <x v="266"/>
    <x v="0"/>
    <s v="pagado"/>
    <s v="pagado"/>
    <x v="0"/>
    <x v="0"/>
  </r>
  <r>
    <n v="3000004131"/>
    <d v="2026-07-06T00:00:00"/>
    <n v="7347164.3899999997"/>
    <s v="EXCELENCIA OPERACIONAL SRL CIUDAD AUTONOMA DE BUENOS AIRES 00"/>
    <x v="2181"/>
    <n v="7347164.3899999997"/>
    <x v="266"/>
    <x v="0"/>
    <s v="pagado"/>
    <s v="pagado"/>
    <x v="0"/>
    <x v="0"/>
  </r>
  <r>
    <n v="3000004132"/>
    <d v="2026-07-06T00:00:00"/>
    <n v="9962077.7799999993"/>
    <s v="SEGURIDAD OMEGA SRL SAN FERNANDO DEL VALLE DE CATAMARCA 02"/>
    <x v="2182"/>
    <n v="9962077.7799999993"/>
    <x v="266"/>
    <x v="0"/>
    <s v="pagado"/>
    <s v="pagado"/>
    <x v="0"/>
    <x v="0"/>
  </r>
  <r>
    <n v="3000004133"/>
    <d v="2026-07-06T00:00:00"/>
    <n v="6800786.4000000004"/>
    <s v="M.A.D Serv y mant eléctri SAN MIGUEL DE TUCUMAN 14"/>
    <x v="2183"/>
    <n v="6800786.4000000004"/>
    <x v="266"/>
    <x v="0"/>
    <s v="pagado"/>
    <s v="pagado"/>
    <x v="0"/>
    <x v="0"/>
  </r>
  <r>
    <n v="3000004134"/>
    <d v="2026-07-06T00:00:00"/>
    <n v="8455481.1400000006"/>
    <s v="ALVAREZ RENE JOSE MARIA BELLA VISTA 14"/>
    <x v="2184"/>
    <n v="8455481.1400000006"/>
    <x v="266"/>
    <x v="0"/>
    <s v="pagado"/>
    <s v="pagado"/>
    <x v="0"/>
    <x v="0"/>
  </r>
  <r>
    <n v="3000004135"/>
    <d v="2026-07-06T00:00:00"/>
    <n v="8462338.5199999996"/>
    <s v="JACQUET NORBERTO SALVADOR SAN JOSE 05"/>
    <x v="2185"/>
    <n v="8462338.5199999996"/>
    <x v="266"/>
    <x v="0"/>
    <s v="pagado"/>
    <s v="pagado"/>
    <x v="0"/>
    <x v="0"/>
  </r>
  <r>
    <n v="3000004136"/>
    <d v="2026-07-06T00:00:00"/>
    <n v="21526983.91"/>
    <s v="TRANSPORTE FRIOS DEL NORTE S.RSAN MIGUEL DE TUCUMAN 14"/>
    <x v="2186"/>
    <n v="21526983.91"/>
    <x v="266"/>
    <x v="0"/>
    <s v="pagado"/>
    <s v="pagado"/>
    <x v="0"/>
    <x v="0"/>
  </r>
  <r>
    <n v="3000004137"/>
    <d v="2026-07-06T00:00:00"/>
    <n v="5283180.76"/>
    <s v="MAC DONALD MIGUEL ALEJANDRO BANDA DEL RIO SALI 14"/>
    <x v="2187"/>
    <n v="5283180.76"/>
    <x v="266"/>
    <x v="0"/>
    <s v="pagado"/>
    <s v="pagado"/>
    <x v="0"/>
    <x v="0"/>
  </r>
  <r>
    <n v="3000004138"/>
    <d v="2026-07-06T00:00:00"/>
    <n v="38653005.789999999"/>
    <s v="BARBARISI JUAREZ PABLO EMANUELSAN JUAN 10"/>
    <x v="2188"/>
    <n v="38653005.789999999"/>
    <x v="266"/>
    <x v="0"/>
    <s v="pagado"/>
    <s v="pagado"/>
    <x v="0"/>
    <x v="0"/>
  </r>
  <r>
    <n v="3000004139"/>
    <d v="2026-07-06T00:00:00"/>
    <n v="18530094.16"/>
    <s v="CAPETTA ANTONELLA ANAHI SAN MIGUEL DE TUCUMAN 14"/>
    <x v="2189"/>
    <n v="18530094.16"/>
    <x v="266"/>
    <x v="0"/>
    <s v="pagado"/>
    <s v="pagado"/>
    <x v="0"/>
    <x v="0"/>
  </r>
  <r>
    <n v="3000004140"/>
    <d v="2026-07-06T00:00:00"/>
    <n v="17629871.120000001"/>
    <s v="RL SOLUCIONES S. A. S. SAN MIGUEL DE TUCUMAN 14"/>
    <x v="2190"/>
    <n v="17629871.120000001"/>
    <x v="266"/>
    <x v="0"/>
    <s v="pagado"/>
    <s v="pagado"/>
    <x v="0"/>
    <x v="0"/>
  </r>
  <r>
    <n v="3000004141"/>
    <d v="2026-07-06T00:00:00"/>
    <n v="6378951.2199999997"/>
    <s v="Pedro Ivan Marcelo ALDERETES 14"/>
    <x v="2191"/>
    <n v="6378951.2199999997"/>
    <x v="266"/>
    <x v="0"/>
    <s v="pagado"/>
    <s v="pagado"/>
    <x v="0"/>
    <x v="0"/>
  </r>
  <r>
    <n v="3000004142"/>
    <d v="2026-07-06T00:00:00"/>
    <n v="7255671.1699999999"/>
    <s v="Verde y Sol S.R.L. SAN MIGUEL DE TUCUMAN 14"/>
    <x v="2192"/>
    <n v="7255671.1699999999"/>
    <x v="266"/>
    <x v="0"/>
    <s v="pagado"/>
    <s v="pagado"/>
    <x v="0"/>
    <x v="0"/>
  </r>
  <r>
    <n v="3000004143"/>
    <d v="2026-07-06T00:00:00"/>
    <n v="41951984.049999997"/>
    <s v="M DODERO COMPANIA GRAL DE SERVCIUDAD AUTONOMA DE BUENOS AIRES 01"/>
    <x v="2193"/>
    <n v="41951984.049999997"/>
    <x v="266"/>
    <x v="0"/>
    <s v="pagado"/>
    <s v="pagado"/>
    <x v="0"/>
    <x v="0"/>
  </r>
  <r>
    <n v="3000004144"/>
    <d v="2026-07-06T00:00:00"/>
    <n v="8845604.0800000001"/>
    <s v="CAMPOAGRO SRL YERBA BUENA 14"/>
    <x v="2194"/>
    <n v="8845604.0800000001"/>
    <x v="266"/>
    <x v="0"/>
    <s v="pagado"/>
    <s v="pagado"/>
    <x v="0"/>
    <x v="0"/>
  </r>
  <r>
    <n v="3000004145"/>
    <d v="2026-07-06T00:00:00"/>
    <n v="27044550.27"/>
    <s v="GAR S.A SAN MIGUEL DE TUCUMAN 14"/>
    <x v="2195"/>
    <n v="27044550.27"/>
    <x v="266"/>
    <x v="0"/>
    <s v="pagado"/>
    <s v="pagado"/>
    <x v="0"/>
    <x v="0"/>
  </r>
  <r>
    <n v="3000004146"/>
    <d v="2026-07-06T00:00:00"/>
    <n v="19896630.829999998"/>
    <s v="VIDES GUSTAVO ENRIQUE LA TRINIDAD 14"/>
    <x v="2196"/>
    <n v="19896630.829999998"/>
    <x v="281"/>
    <x v="0"/>
    <s v="pagado"/>
    <s v="pagado"/>
    <x v="0"/>
    <x v="0"/>
  </r>
  <r>
    <n v="3000004284"/>
    <d v="2026-07-13T00:00:00"/>
    <n v="15000000"/>
    <s v="MOLINA JUAN F. Y MOLINA ROQUE Lastenia 14"/>
    <x v="2197"/>
    <n v="15000000"/>
    <x v="282"/>
    <x v="0"/>
    <s v="pagado"/>
    <s v="pagado"/>
    <x v="0"/>
    <x v="0"/>
  </r>
  <r>
    <n v="3000004284"/>
    <d v="2026-07-13T00:00:00"/>
    <n v="15000000"/>
    <s v="MOLINA JUAN F. Y MOLINA ROQUE Lastenia 14"/>
    <x v="2198"/>
    <n v="15000000"/>
    <x v="282"/>
    <x v="0"/>
    <s v="pagado"/>
    <s v="pagado"/>
    <x v="0"/>
    <x v="0"/>
  </r>
  <r>
    <n v="3000004284"/>
    <d v="2026-07-13T00:00:00"/>
    <n v="10880378.08"/>
    <s v="MOLINA JUAN F. Y MOLINA ROQUE Lastenia 14"/>
    <x v="2199"/>
    <n v="10880378.08"/>
    <x v="282"/>
    <x v="0"/>
    <s v="pagado"/>
    <s v="pagado"/>
    <x v="0"/>
    <x v="0"/>
  </r>
  <r>
    <n v="3000004280"/>
    <d v="2026-07-13T00:00:00"/>
    <n v="8236487.5199999996"/>
    <s v="Hierronort Salta S.R.L. SAN MIGUEL DE TUCUMAN 14"/>
    <x v="2200"/>
    <n v="8236487.5199999996"/>
    <x v="282"/>
    <x v="0"/>
    <s v="pagado"/>
    <s v="pagado"/>
    <x v="0"/>
    <x v="0"/>
  </r>
  <r>
    <n v="3000004281"/>
    <d v="2026-07-13T00:00:00"/>
    <n v="11741181.529999999"/>
    <s v="SUAREZ MANUEL RODOLFO ALDERETES 14"/>
    <x v="2201"/>
    <n v="11741181.529999999"/>
    <x v="282"/>
    <x v="0"/>
    <s v="pagado"/>
    <s v="pagado"/>
    <x v="0"/>
    <x v="0"/>
  </r>
  <r>
    <n v="3000004282"/>
    <d v="2026-07-13T00:00:00"/>
    <n v="5220309.6900000004"/>
    <s v="PERATO LUIS ALBERTO BANDA DEL RIO SALI 14"/>
    <x v="2202"/>
    <n v="5220309.6900000004"/>
    <x v="282"/>
    <x v="0"/>
    <s v="pagado"/>
    <s v="pagado"/>
    <x v="0"/>
    <x v="0"/>
  </r>
  <r>
    <n v="3000004283"/>
    <d v="2026-07-13T00:00:00"/>
    <n v="15170268.42"/>
    <s v="PERATO CRISTIAN LUIS BANDA DEL RIO SALI 14"/>
    <x v="2203"/>
    <n v="15170268.42"/>
    <x v="282"/>
    <x v="0"/>
    <s v="pagado"/>
    <s v="pagado"/>
    <x v="0"/>
    <x v="0"/>
  </r>
  <r>
    <n v="3000004286"/>
    <d v="2026-07-13T00:00:00"/>
    <n v="13391321.01"/>
    <s v="FERNANDEZ HECTOR JOSE SIMOCA 14"/>
    <x v="2204"/>
    <n v="13391321.01"/>
    <x v="282"/>
    <x v="0"/>
    <s v="pagado"/>
    <s v="pagado"/>
    <x v="0"/>
    <x v="0"/>
  </r>
  <r>
    <n v="3000004288"/>
    <d v="2026-07-13T00:00:00"/>
    <n v="15010301.109999999"/>
    <s v="BARBARISI JUAREZ PABLO EMANUELSAN JUAN 10"/>
    <x v="2205"/>
    <n v="15010301.109999999"/>
    <x v="282"/>
    <x v="0"/>
    <s v="pagado"/>
    <s v="pagado"/>
    <x v="0"/>
    <x v="0"/>
  </r>
  <r>
    <n v="3000004289"/>
    <d v="2026-07-13T00:00:00"/>
    <n v="7314226.79"/>
    <s v="Sanchez Jose Mauricio San Miguel de Tucuman 14"/>
    <x v="2206"/>
    <n v="7314226.79"/>
    <x v="282"/>
    <x v="0"/>
    <s v="pagado"/>
    <s v="pagado"/>
    <x v="0"/>
    <x v="0"/>
  </r>
  <r>
    <n v="3000004290"/>
    <d v="2026-07-13T00:00:00"/>
    <n v="6003269"/>
    <s v="Arias Gonzalo Alejandro San Miguel de Tucumán 14"/>
    <x v="2207"/>
    <n v="6003269"/>
    <x v="282"/>
    <x v="0"/>
    <s v="pagado"/>
    <s v="pagado"/>
    <x v="0"/>
    <x v="0"/>
  </r>
  <r>
    <n v="3000004291"/>
    <d v="2026-07-13T00:00:00"/>
    <n v="5643449.7599999998"/>
    <s v="Rojas Antonio Domingo ALDERETES 14"/>
    <x v="2208"/>
    <n v="5643449.7599999998"/>
    <x v="282"/>
    <x v="0"/>
    <s v="pagado"/>
    <s v="pagado"/>
    <x v="0"/>
    <x v="0"/>
  </r>
  <r>
    <n v="3000004292"/>
    <d v="2026-07-13T00:00:00"/>
    <n v="12361745.539999999"/>
    <s v="Poda Verde SRL SAN MIGUEL DE TUCUMAN 14"/>
    <x v="2209"/>
    <n v="12361745.539999999"/>
    <x v="282"/>
    <x v="0"/>
    <s v="pagado"/>
    <s v="pagado"/>
    <x v="0"/>
    <x v="0"/>
  </r>
  <r>
    <n v="3000004293"/>
    <d v="2026-07-13T00:00:00"/>
    <n v="7812681.4100000001"/>
    <s v="LA MARTINA SERV. AGRICOLAS S.RSAN PABLO 14"/>
    <x v="2210"/>
    <n v="7812681.4100000001"/>
    <x v="282"/>
    <x v="0"/>
    <s v="pagado"/>
    <s v="pagado"/>
    <x v="0"/>
    <x v="0"/>
  </r>
  <r>
    <n v="3000004294"/>
    <d v="2026-07-13T00:00:00"/>
    <n v="5471093.4000000004"/>
    <s v="GEOTECNOLOGIA S.R.L SAN MIGUEL DE TUCUMAN 14"/>
    <x v="2211"/>
    <n v="5471093.4000000004"/>
    <x v="282"/>
    <x v="0"/>
    <s v="pagado"/>
    <s v="pagado"/>
    <x v="0"/>
    <x v="0"/>
  </r>
  <r>
    <n v="3000004295"/>
    <d v="2026-07-13T00:00:00"/>
    <n v="22700807.460000001"/>
    <s v="CAMPOAGRO SRL YERBA BUENA 14"/>
    <x v="2212"/>
    <n v="22700807.460000001"/>
    <x v="282"/>
    <x v="0"/>
    <s v="pagado"/>
    <s v="pagado"/>
    <x v="0"/>
    <x v="0"/>
  </r>
  <r>
    <n v="3000004299"/>
    <d v="2026-07-13T00:00:00"/>
    <n v="667589.18000000005"/>
    <s v="FERPASI S.R.L SAN MIGUEL DE TUCUMAN 14"/>
    <x v="2213"/>
    <n v="667589.18000000005"/>
    <x v="283"/>
    <x v="0"/>
    <s v="pagado"/>
    <s v="pagado"/>
    <x v="0"/>
    <x v="0"/>
  </r>
  <r>
    <n v="3000002708"/>
    <d v="2026-07-13T00:00:00"/>
    <n v="4364576.5999999996"/>
    <s v="BESTANI JUAN JOSE SAN MIGUEL DE TUCUMAN 14"/>
    <x v="2214"/>
    <n v="4364576.5999999996"/>
    <x v="282"/>
    <x v="0"/>
    <s v="pagado"/>
    <s v="pagado"/>
    <x v="0"/>
    <x v="0"/>
  </r>
  <r>
    <n v="3000003045"/>
    <d v="2026-07-13T00:00:00"/>
    <n v="6132962.7300000004"/>
    <s v="BESTANI JUAN JOSE SAN MIGUEL DE TUCUMAN 14"/>
    <x v="2215"/>
    <n v="6132962.7300000004"/>
    <x v="282"/>
    <x v="0"/>
    <s v="pagado"/>
    <s v="pagado"/>
    <x v="0"/>
    <x v="0"/>
  </r>
  <r>
    <n v="3000004341"/>
    <d v="2026-07-15T00:00:00"/>
    <n v="20000000"/>
    <s v="GAR S.A SAN MIGUEL DE TUCUMAN 14"/>
    <x v="2216"/>
    <n v="20000000"/>
    <x v="271"/>
    <x v="0"/>
    <s v="pagado"/>
    <s v="pagado"/>
    <x v="0"/>
    <x v="0"/>
  </r>
  <r>
    <n v="3000004341"/>
    <d v="2026-07-15T00:00:00"/>
    <n v="16379416.83"/>
    <s v="GAR S.A SAN MIGUEL DE TUCUMAN 14"/>
    <x v="2217"/>
    <n v="16379416.83"/>
    <x v="284"/>
    <x v="0"/>
    <s v="pagado"/>
    <s v="pagado"/>
    <x v="0"/>
    <x v="0"/>
  </r>
  <r>
    <n v="3000004340"/>
    <d v="2026-07-15T00:00:00"/>
    <n v="5236393.82"/>
    <s v="CAPITAN CORTES SACIFIYA Puerto Nuevo 01"/>
    <x v="2218"/>
    <n v="5236393.82"/>
    <x v="284"/>
    <x v="0"/>
    <s v="pagado"/>
    <s v="pagado"/>
    <x v="0"/>
    <x v="0"/>
  </r>
  <r>
    <n v="3000004342"/>
    <d v="2026-07-15T00:00:00"/>
    <n v="20916741.260000002"/>
    <s v="CONTROL UNION NORTE S.A YERBA BUENA 14"/>
    <x v="2219"/>
    <n v="20916741.260000002"/>
    <x v="284"/>
    <x v="0"/>
    <s v="pagado"/>
    <s v="pagado"/>
    <x v="0"/>
    <x v="0"/>
  </r>
  <r>
    <n v="3000004343"/>
    <d v="2026-07-15T00:00:00"/>
    <n v="8539093.4000000004"/>
    <s v="LANCHELA HECTOR ROLANDO CONCEPCION 14"/>
    <x v="2220"/>
    <n v="8539093.4000000004"/>
    <x v="284"/>
    <x v="0"/>
    <s v="pagado"/>
    <s v="pagado"/>
    <x v="0"/>
    <x v="0"/>
  </r>
  <r>
    <n v="3000004344"/>
    <d v="2026-07-15T00:00:00"/>
    <n v="11518182.73"/>
    <s v="JACQUET NORBERTO SALVADOR SAN JOSE 05"/>
    <x v="2221"/>
    <n v="11518182.73"/>
    <x v="284"/>
    <x v="0"/>
    <s v="pagado"/>
    <s v="pagado"/>
    <x v="0"/>
    <x v="0"/>
  </r>
  <r>
    <n v="3000004345"/>
    <d v="2026-07-15T00:00:00"/>
    <n v="16235667.48"/>
    <s v="TRANSPORTE FRIOS DEL NORTE S.RSAN MIGUEL DE TUCUMAN 14"/>
    <x v="2222"/>
    <n v="16235667.48"/>
    <x v="284"/>
    <x v="0"/>
    <s v="pagado"/>
    <s v="pagado"/>
    <x v="0"/>
    <x v="0"/>
  </r>
  <r>
    <n v="3000004346"/>
    <d v="2026-07-15T00:00:00"/>
    <n v="13166941.689999999"/>
    <s v="ACOSTA ROQUE RAMON SAN MIGUEL DE TUCUMAN 14"/>
    <x v="2223"/>
    <n v="13166941.689999999"/>
    <x v="284"/>
    <x v="0"/>
    <s v="pagado"/>
    <s v="pagado"/>
    <x v="0"/>
    <x v="0"/>
  </r>
  <r>
    <n v="3000004347"/>
    <d v="2026-07-15T00:00:00"/>
    <n v="10566361.52"/>
    <s v="MAC DONALD MIGUEL ALEJANDRO BANDA DEL RIO SALI 14"/>
    <x v="2224"/>
    <n v="10566361.52"/>
    <x v="284"/>
    <x v="0"/>
    <s v="pagado"/>
    <s v="pagado"/>
    <x v="0"/>
    <x v="0"/>
  </r>
  <r>
    <n v="3000004348"/>
    <d v="2026-07-15T00:00:00"/>
    <n v="19087807.280000001"/>
    <s v="TORRES JUAN RAMON ALDERETES 14"/>
    <x v="2225"/>
    <n v="19087807.280000001"/>
    <x v="284"/>
    <x v="0"/>
    <s v="pagado"/>
    <s v="pagado"/>
    <x v="0"/>
    <x v="0"/>
  </r>
  <r>
    <n v="3000004349"/>
    <d v="2026-07-15T00:00:00"/>
    <n v="5256841.4000000004"/>
    <s v="HERRERA RICARDO ALBERTO BANDA DEL RIO SALI 14"/>
    <x v="2226"/>
    <n v="5256841.4000000004"/>
    <x v="284"/>
    <x v="0"/>
    <s v="pagado"/>
    <s v="pagado"/>
    <x v="0"/>
    <x v="0"/>
  </r>
  <r>
    <n v="3000004350"/>
    <d v="2026-07-15T00:00:00"/>
    <n v="5749016.1100000003"/>
    <s v="GONZALEZ JOSE LUIS CONCEPCION 14"/>
    <x v="2227"/>
    <n v="5749016.1100000003"/>
    <x v="284"/>
    <x v="0"/>
    <s v="pagado"/>
    <s v="pagado"/>
    <x v="0"/>
    <x v="0"/>
  </r>
  <r>
    <n v="3000004351"/>
    <d v="2026-07-15T00:00:00"/>
    <n v="20100625.23"/>
    <s v="CAPETTA ANTONELLA ANAHI SAN MIGUEL DE TUCUMAN 14"/>
    <x v="2228"/>
    <n v="20100625.23"/>
    <x v="284"/>
    <x v="0"/>
    <s v="pagado"/>
    <s v="pagado"/>
    <x v="0"/>
    <x v="0"/>
  </r>
  <r>
    <n v="3000004352"/>
    <d v="2026-07-15T00:00:00"/>
    <n v="17042210.379999999"/>
    <s v="RL SOLUCIONES S. A. S. SAN MIGUEL DE TUCUMAN 14"/>
    <x v="2229"/>
    <n v="17042210.379999999"/>
    <x v="284"/>
    <x v="0"/>
    <s v="pagado"/>
    <s v="pagado"/>
    <x v="0"/>
    <x v="0"/>
  </r>
  <r>
    <n v="3000004353"/>
    <d v="2026-07-15T00:00:00"/>
    <n v="5520914.6299999999"/>
    <s v="Vaquera Francisco Alfredo Monteros 14"/>
    <x v="2230"/>
    <n v="5520914.6299999999"/>
    <x v="284"/>
    <x v="0"/>
    <s v="pagado"/>
    <s v="pagado"/>
    <x v="0"/>
    <x v="0"/>
  </r>
  <r>
    <n v="3000004354"/>
    <d v="2026-07-15T00:00:00"/>
    <n v="6419237.9100000001"/>
    <s v="Gonzalez Jose Luis Lastenia 14"/>
    <x v="2231"/>
    <n v="6419237.9100000001"/>
    <x v="284"/>
    <x v="0"/>
    <s v="pagado"/>
    <s v="pagado"/>
    <x v="0"/>
    <x v="0"/>
  </r>
  <r>
    <n v="3000004355"/>
    <d v="2026-07-15T00:00:00"/>
    <n v="5945350.1200000001"/>
    <s v="Robles Angel Gabriel San Miguel de Tucuman 14"/>
    <x v="2232"/>
    <n v="5945350.1200000001"/>
    <x v="284"/>
    <x v="0"/>
    <s v="pagado"/>
    <s v="pagado"/>
    <x v="0"/>
    <x v="0"/>
  </r>
  <r>
    <n v="3000004391"/>
    <d v="2026-07-17T00:00:00"/>
    <n v="4500000"/>
    <s v=". TUCUMAN"/>
    <x v="2233"/>
    <n v="4500000"/>
    <x v="284"/>
    <x v="0"/>
    <s v="pagado"/>
    <s v="pagado"/>
    <x v="0"/>
    <x v="0"/>
  </r>
  <r>
    <n v="3000004392"/>
    <d v="2026-07-17T00:00:00"/>
    <n v="1233278"/>
    <s v="Fondo Fijo Administracion CitrNO TIENE"/>
    <x v="2234"/>
    <n v="1233278"/>
    <x v="284"/>
    <x v="0"/>
    <s v="pagado"/>
    <s v="pagado"/>
    <x v="0"/>
    <x v="0"/>
  </r>
  <r>
    <n v="3000004469"/>
    <d v="2026-07-20T00:00:00"/>
    <n v="22733841.359999999"/>
    <s v="CAPETTA ANTONELLA ANAHI SAN MIGUEL DE TUCUMAN 14"/>
    <x v="2235"/>
    <n v="22733841.359999999"/>
    <x v="285"/>
    <x v="0"/>
    <s v="pagado"/>
    <s v="pagado"/>
    <x v="0"/>
    <x v="0"/>
  </r>
  <r>
    <n v="3000004470"/>
    <d v="2026-07-20T00:00:00"/>
    <n v="19156407.719999999"/>
    <s v="Consultoria en Tecnologia de IBUENOS AIRES 00"/>
    <x v="2236"/>
    <n v="19156407.719999999"/>
    <x v="285"/>
    <x v="0"/>
    <s v="pagado"/>
    <s v="pagado"/>
    <x v="0"/>
    <x v="0"/>
  </r>
  <r>
    <n v="3000004471"/>
    <d v="2026-07-20T00:00:00"/>
    <n v="20646345.800000001"/>
    <s v="ANTONELLI Hnos. S.H SAN MIGUEL DE TUCUMAN 14"/>
    <x v="2237"/>
    <n v="20646345.800000001"/>
    <x v="285"/>
    <x v="0"/>
    <s v="pagado"/>
    <s v="pagado"/>
    <x v="0"/>
    <x v="0"/>
  </r>
  <r>
    <n v="3000004472"/>
    <d v="2026-07-20T00:00:00"/>
    <n v="11461364.26"/>
    <s v="SMART SEGURIDAD SA YERBA BUENA 14"/>
    <x v="2238"/>
    <n v="11461364.26"/>
    <x v="285"/>
    <x v="0"/>
    <s v="pagado"/>
    <s v="pagado"/>
    <x v="0"/>
    <x v="0"/>
  </r>
  <r>
    <n v="3000004473"/>
    <d v="2026-07-20T00:00:00"/>
    <n v="7353600.2999999998"/>
    <s v="ROMERO SERVICIOS S. A. S. ALPACHIRI 14"/>
    <x v="2239"/>
    <n v="7353600.2999999998"/>
    <x v="285"/>
    <x v="0"/>
    <s v="pagado"/>
    <s v="pagado"/>
    <x v="0"/>
    <x v="0"/>
  </r>
  <r>
    <n v="3000004474"/>
    <d v="2026-07-20T00:00:00"/>
    <n v="6408915.9000000004"/>
    <s v="FERRO JOSE NICOLAS FAMAILLA 14"/>
    <x v="2240"/>
    <n v="6408915.9000000004"/>
    <x v="285"/>
    <x v="0"/>
    <s v="pagado"/>
    <s v="pagado"/>
    <x v="0"/>
    <x v="0"/>
  </r>
  <r>
    <n v="3000004475"/>
    <d v="2026-07-20T00:00:00"/>
    <n v="11405380"/>
    <s v="LA 10 SRL SAN MIGUEL DE TUCUMAN 14"/>
    <x v="2241"/>
    <n v="11405380"/>
    <x v="285"/>
    <x v="0"/>
    <s v="pagado"/>
    <s v="pagado"/>
    <x v="0"/>
    <x v="0"/>
  </r>
  <r>
    <n v="3000004476"/>
    <d v="2026-07-20T00:00:00"/>
    <n v="14694000"/>
    <s v="SANCHEZ MOLINA CAMILA INES HIPOLITO YRIGOYEN 09"/>
    <x v="2242"/>
    <n v="14694000"/>
    <x v="285"/>
    <x v="0"/>
    <s v="pagado"/>
    <s v="pagado"/>
    <x v="0"/>
    <x v="0"/>
  </r>
  <r>
    <n v="3000004477"/>
    <d v="2026-07-20T00:00:00"/>
    <n v="15376417.08"/>
    <s v="TRANSPORTE FRIOS DEL NORTE S.RSAN MIGUEL DE TUCUMAN 14"/>
    <x v="2243"/>
    <n v="15376417.08"/>
    <x v="285"/>
    <x v="0"/>
    <s v="pagado"/>
    <s v="pagado"/>
    <x v="0"/>
    <x v="0"/>
  </r>
  <r>
    <n v="3000004478"/>
    <d v="2026-07-20T00:00:00"/>
    <n v="5234927.92"/>
    <s v="MANLLA LEANDRO GERMAN TERMAS DE RIO HONDO 13"/>
    <x v="2244"/>
    <n v="5234927.92"/>
    <x v="285"/>
    <x v="0"/>
    <s v="pagado"/>
    <s v="pagado"/>
    <x v="0"/>
    <x v="0"/>
  </r>
  <r>
    <n v="3000004479"/>
    <d v="2026-07-20T00:00:00"/>
    <n v="5777004.5099999998"/>
    <s v="FERNANDEZ HECTOR JOSE SIMOCA 14"/>
    <x v="2245"/>
    <n v="5777004.5099999998"/>
    <x v="285"/>
    <x v="0"/>
    <s v="pagado"/>
    <s v="pagado"/>
    <x v="0"/>
    <x v="0"/>
  </r>
  <r>
    <n v="3000004480"/>
    <d v="2026-07-20T00:00:00"/>
    <n v="20659765.75"/>
    <s v="MAGNONE S. A. CIUDAD AUTONOMA BUENOS AIRES 00"/>
    <x v="2246"/>
    <n v="20659765.75"/>
    <x v="285"/>
    <x v="0"/>
    <s v="pagado"/>
    <s v="pagado"/>
    <x v="0"/>
    <x v="0"/>
  </r>
  <r>
    <n v="3000004481"/>
    <d v="2026-07-20T00:00:00"/>
    <n v="33765919.299999997"/>
    <s v="LA MARTINA SERV. AGRICOLAS S.RSAN PABLO 14"/>
    <x v="2247"/>
    <n v="33765919.299999997"/>
    <x v="285"/>
    <x v="0"/>
    <s v="pagado"/>
    <s v="pagado"/>
    <x v="0"/>
    <x v="0"/>
  </r>
  <r>
    <n v="3000004482"/>
    <d v="2026-07-20T00:00:00"/>
    <n v="11739889.42"/>
    <s v="AGROPECUARIA MUNDO NUEVO SRL SAN PABLO 14"/>
    <x v="2248"/>
    <n v="11739889.42"/>
    <x v="285"/>
    <x v="0"/>
    <s v="pagado"/>
    <s v="pagado"/>
    <x v="0"/>
    <x v="0"/>
  </r>
  <r>
    <n v="3000004483"/>
    <d v="2026-07-21T00:00:00"/>
    <n v="11000000"/>
    <s v="NUVE AGRO S.A.S. SAN MIGUEL DE TUCUMAN 14"/>
    <x v="2249"/>
    <n v="11000000"/>
    <x v="286"/>
    <x v="0"/>
    <s v="no pagado"/>
    <s v="en periodo de pago"/>
    <x v="1"/>
    <x v="1"/>
  </r>
  <r>
    <n v="3000004483"/>
    <d v="2026-07-21T00:00:00"/>
    <n v="10124650.75"/>
    <s v="NUVE AGRO S.A.S. SAN MIGUEL DE TUCUMAN 14"/>
    <x v="2250"/>
    <n v="10124650.75"/>
    <x v="287"/>
    <x v="0"/>
    <s v="no pagado"/>
    <s v="en periodo de pago"/>
    <x v="1"/>
    <x v="0"/>
  </r>
  <r>
    <n v="3000004484"/>
    <d v="2026-07-21T00:00:00"/>
    <n v="25899764.850000001"/>
    <s v="PAMPLONA SRL SAN MIGUEL DE TUCUMAN 14"/>
    <x v="2251"/>
    <n v="25899764.850000001"/>
    <x v="288"/>
    <x v="0"/>
    <s v="pagado"/>
    <s v="pagado"/>
    <x v="0"/>
    <x v="0"/>
  </r>
  <r>
    <n v="3000004524"/>
    <d v="2026-07-21T00:00:00"/>
    <n v="11087231.119999999"/>
    <s v="JACQUET NORBERTO SALVADOR SAN JOSE 05"/>
    <x v="2252"/>
    <n v="11087231.119999999"/>
    <x v="288"/>
    <x v="0"/>
    <s v="pagado"/>
    <s v="pagado"/>
    <x v="0"/>
    <x v="0"/>
  </r>
  <r>
    <n v="3000004525"/>
    <d v="2026-07-21T00:00:00"/>
    <n v="39978684.420000002"/>
    <s v="TRANSPORTE FRIOS DEL NORTE S.RSAN MIGUEL DE TUCUMAN 14"/>
    <x v="2253"/>
    <n v="39978684.420000002"/>
    <x v="288"/>
    <x v="0"/>
    <s v="pagado"/>
    <s v="pagado"/>
    <x v="0"/>
    <x v="0"/>
  </r>
  <r>
    <n v="3000004526"/>
    <d v="2026-07-21T00:00:00"/>
    <n v="18202167.920000002"/>
    <s v="TRUSARELLI CARLOS ALBERTO BANDA DEL RIO SALI 14"/>
    <x v="2254"/>
    <n v="18202167.920000002"/>
    <x v="288"/>
    <x v="0"/>
    <s v="pagado"/>
    <s v="pagado"/>
    <x v="0"/>
    <x v="0"/>
  </r>
  <r>
    <n v="3000004527"/>
    <d v="2026-07-21T00:00:00"/>
    <n v="7920167.9199999999"/>
    <s v="BUSTOS GUILLERMO DARIO ALDERETES 14"/>
    <x v="2255"/>
    <n v="7920167.9199999999"/>
    <x v="288"/>
    <x v="0"/>
    <s v="pagado"/>
    <s v="pagado"/>
    <x v="0"/>
    <x v="0"/>
  </r>
  <r>
    <n v="3000004528"/>
    <d v="2026-07-21T00:00:00"/>
    <n v="33109439.16"/>
    <s v="GAR S.A SAN MIGUEL DE TUCUMAN 14"/>
    <x v="2256"/>
    <n v="33109439.16"/>
    <x v="288"/>
    <x v="0"/>
    <s v="pagado"/>
    <s v="pagado"/>
    <x v="0"/>
    <x v="0"/>
  </r>
  <r>
    <n v="3000004529"/>
    <d v="2026-07-21T00:00:00"/>
    <n v="10067805.58"/>
    <s v="PERATO CRISTIAN LUIS BANDA DEL RIO SALI 14"/>
    <x v="2257"/>
    <n v="10067805.58"/>
    <x v="288"/>
    <x v="0"/>
    <s v="pagado"/>
    <s v="pagado"/>
    <x v="0"/>
    <x v="0"/>
  </r>
  <r>
    <n v="3000004530"/>
    <d v="2026-07-21T00:00:00"/>
    <n v="11350142.369999999"/>
    <s v="RL SOLUCIONES S. A. S. SAN MIGUEL DE TUCUMAN 14"/>
    <x v="2258"/>
    <n v="11350142.369999999"/>
    <x v="288"/>
    <x v="0"/>
    <s v="pagado"/>
    <s v="pagado"/>
    <x v="0"/>
    <x v="0"/>
  </r>
  <r>
    <n v="3000004537"/>
    <d v="2026-07-22T00:00:00"/>
    <n v="43955280"/>
    <s v="EDET S.A. SAN MIGUEL DE TUCUMAN 14"/>
    <x v="2259"/>
    <n v="43955280"/>
    <x v="278"/>
    <x v="0"/>
    <s v="pagado"/>
    <s v="pagado"/>
    <x v="0"/>
    <x v="0"/>
  </r>
  <r>
    <n v="3000004672"/>
    <d v="2026-07-27T00:00:00"/>
    <n v="4099325.68"/>
    <s v="TRANSPORTE MEDINA S.H. CRUZ ALTA 14"/>
    <x v="2260"/>
    <n v="4099325.68"/>
    <x v="289"/>
    <x v="0"/>
    <s v="pagado"/>
    <s v="pagado"/>
    <x v="0"/>
    <x v="0"/>
  </r>
  <r>
    <n v="3000004661"/>
    <d v="2026-07-28T00:00:00"/>
    <n v="10488239.15"/>
    <s v="VILLAGRA VELEZ ROQUE RICARDO SAN MIGUEL DE TUCUMAN 14"/>
    <x v="2261"/>
    <n v="10488239.15"/>
    <x v="289"/>
    <x v="0"/>
    <s v="pagado"/>
    <s v="pagado"/>
    <x v="0"/>
    <x v="0"/>
  </r>
  <r>
    <n v="3000004662"/>
    <d v="2026-07-28T00:00:00"/>
    <n v="5042700.57"/>
    <s v="MG SERVICIOS AGROPECUARIOS SASTAFI VIEJO 14"/>
    <x v="2262"/>
    <n v="5042700.57"/>
    <x v="289"/>
    <x v="0"/>
    <s v="pagado"/>
    <s v="pagado"/>
    <x v="0"/>
    <x v="0"/>
  </r>
  <r>
    <n v="3000004663"/>
    <d v="2026-07-28T00:00:00"/>
    <n v="8354146"/>
    <s v="ASOCIACION TECNOLOGICA CORDOBACORDOBA 03"/>
    <x v="2263"/>
    <n v="8354146"/>
    <x v="289"/>
    <x v="0"/>
    <s v="pagado"/>
    <s v="pagado"/>
    <x v="0"/>
    <x v="0"/>
  </r>
  <r>
    <n v="3000004664"/>
    <d v="2026-07-28T00:00:00"/>
    <n v="7500000"/>
    <s v="Muñoz Silvia Liliana Capital Federal 00"/>
    <x v="2264"/>
    <n v="7500000"/>
    <x v="289"/>
    <x v="0"/>
    <s v="pagado"/>
    <s v="pagado"/>
    <x v="0"/>
    <x v="0"/>
  </r>
  <r>
    <n v="3000004665"/>
    <d v="2026-07-28T00:00:00"/>
    <n v="45669992.840000004"/>
    <s v="ROMERO SERVICIOS S. A. S. ALPACHIRI 14"/>
    <x v="2265"/>
    <n v="45669992.840000004"/>
    <x v="289"/>
    <x v="0"/>
    <s v="pagado"/>
    <s v="pagado"/>
    <x v="0"/>
    <x v="0"/>
  </r>
  <r>
    <n v="3000004666"/>
    <d v="2026-07-28T00:00:00"/>
    <n v="6316433.0099999998"/>
    <s v="SUAREZ MANUEL RODOLFO ALDERETES 14"/>
    <x v="2266"/>
    <n v="6316433.0099999998"/>
    <x v="289"/>
    <x v="0"/>
    <s v="pagado"/>
    <s v="pagado"/>
    <x v="0"/>
    <x v="0"/>
  </r>
  <r>
    <n v="3000004667"/>
    <d v="2026-07-28T00:00:00"/>
    <n v="11501432.369999999"/>
    <s v="Expreso Bisonte S.R.L. BANDA DEL RIO SALI 14"/>
    <x v="2267"/>
    <n v="11501432.369999999"/>
    <x v="289"/>
    <x v="0"/>
    <s v="pagado"/>
    <s v="pagado"/>
    <x v="0"/>
    <x v="0"/>
  </r>
  <r>
    <n v="3000004668"/>
    <d v="2026-07-28T00:00:00"/>
    <n v="15516146.66"/>
    <s v="BARBARISI JUAREZ PABLO EMANUELSAN JUAN 10"/>
    <x v="2268"/>
    <n v="15516146.66"/>
    <x v="289"/>
    <x v="0"/>
    <s v="pagado"/>
    <s v="pagado"/>
    <x v="0"/>
    <x v="0"/>
  </r>
  <r>
    <n v="3000004669"/>
    <d v="2026-07-28T00:00:00"/>
    <n v="37344496.280000001"/>
    <s v="CAPETTA ANTONELLA ANAHI SAN MIGUEL DE TUCUMAN 14"/>
    <x v="2269"/>
    <n v="37344496.280000001"/>
    <x v="289"/>
    <x v="0"/>
    <s v="pagado"/>
    <s v="pagado"/>
    <x v="0"/>
    <x v="0"/>
  </r>
  <r>
    <n v="3000004670"/>
    <d v="2026-07-28T00:00:00"/>
    <n v="11831043.35"/>
    <s v="RL SOLUCIONES S. A. S. SAN MIGUEL DE TUCUMAN 14"/>
    <x v="2270"/>
    <n v="11831043.35"/>
    <x v="289"/>
    <x v="0"/>
    <s v="pagado"/>
    <s v="pagado"/>
    <x v="0"/>
    <x v="0"/>
  </r>
  <r>
    <n v="3000004671"/>
    <d v="2026-07-28T00:00:00"/>
    <n v="7650430.1399999997"/>
    <s v="Pedro Carolina Alejandra ALDERETES 14"/>
    <x v="2271"/>
    <n v="7650430.1399999997"/>
    <x v="289"/>
    <x v="0"/>
    <s v="pagado"/>
    <s v="pagado"/>
    <x v="0"/>
    <x v="0"/>
  </r>
  <r>
    <n v="3000004700"/>
    <d v="2026-07-28T00:00:00"/>
    <n v="7283525.3799999999"/>
    <s v="Sanchez Jose Mauricio San Miguel de Tucuman 14"/>
    <x v="2272"/>
    <n v="7283525.3799999999"/>
    <x v="290"/>
    <x v="0"/>
    <s v="pagado"/>
    <s v="pagado"/>
    <x v="0"/>
    <x v="0"/>
  </r>
  <r>
    <n v="3000004701"/>
    <d v="2026-07-28T00:00:00"/>
    <n v="6709593.46"/>
    <s v="Pedro Carolina Alejandra ALDERETES 14"/>
    <x v="2273"/>
    <n v="6709593.46"/>
    <x v="290"/>
    <x v="0"/>
    <s v="pagado"/>
    <s v="pagado"/>
    <x v="0"/>
    <x v="0"/>
  </r>
  <r>
    <n v="3000004702"/>
    <d v="2026-07-28T00:00:00"/>
    <n v="8044675.6399999997"/>
    <s v="SANTILLI CARLOS MIGUEL SAN MIGUEL DE TUCUMAN 14"/>
    <x v="2274"/>
    <n v="8044675.6399999997"/>
    <x v="290"/>
    <x v="0"/>
    <s v="pagado"/>
    <s v="pagado"/>
    <x v="0"/>
    <x v="0"/>
  </r>
  <r>
    <n v="3000004703"/>
    <d v="2026-07-28T00:00:00"/>
    <n v="20407800"/>
    <s v="LATCOMEX SA CAPITAL FEDERAL 00"/>
    <x v="2275"/>
    <n v="20407800"/>
    <x v="290"/>
    <x v="0"/>
    <s v="pagado"/>
    <s v="pagado"/>
    <x v="0"/>
    <x v="0"/>
  </r>
  <r>
    <n v="3000004704"/>
    <d v="2026-07-28T00:00:00"/>
    <n v="27129969.649999999"/>
    <s v="M DODERO COMPANIA GRAL DE SERVCIUDAD AUTONOMA DE BUENOS AIRES 01"/>
    <x v="2276"/>
    <n v="27129969.649999999"/>
    <x v="290"/>
    <x v="0"/>
    <s v="pagado"/>
    <s v="pagado"/>
    <x v="0"/>
    <x v="0"/>
  </r>
  <r>
    <n v="3000004705"/>
    <d v="2026-07-28T00:00:00"/>
    <n v="18868422.68"/>
    <s v="ALDO A. MILITELLO GRUAS Y TRANMaipu 07"/>
    <x v="2277"/>
    <n v="18868422.68"/>
    <x v="290"/>
    <x v="0"/>
    <s v="pagado"/>
    <s v="pagado"/>
    <x v="0"/>
    <x v="0"/>
  </r>
  <r>
    <n v="3000004706"/>
    <d v="2026-07-28T00:00:00"/>
    <n v="27158985"/>
    <s v="TRANSPORTE FRIOS DEL NORTE S.RSAN MIGUEL DE TUCUMAN 14"/>
    <x v="2278"/>
    <n v="27158985"/>
    <x v="290"/>
    <x v="0"/>
    <s v="pagado"/>
    <s v="pagado"/>
    <x v="0"/>
    <x v="0"/>
  </r>
  <r>
    <n v="3000004707"/>
    <d v="2026-07-28T00:00:00"/>
    <n v="16283235.300000001"/>
    <s v="CEMEVA SAS YERBA BUENA 14"/>
    <x v="2279"/>
    <n v="16283235.300000001"/>
    <x v="290"/>
    <x v="0"/>
    <s v="pagado"/>
    <s v="pagado"/>
    <x v="0"/>
    <x v="0"/>
  </r>
  <r>
    <n v="3000004708"/>
    <d v="2026-07-28T00:00:00"/>
    <n v="10504023.1"/>
    <s v="Transporte CDC S.A. CAPITAL FEDERAL 00"/>
    <x v="2280"/>
    <n v="10504023.1"/>
    <x v="290"/>
    <x v="0"/>
    <s v="pagado"/>
    <s v="pagado"/>
    <x v="0"/>
    <x v="0"/>
  </r>
  <r>
    <n v="3000004709"/>
    <d v="2026-07-28T00:00:00"/>
    <n v="21831600"/>
    <s v="Rutas Servicios Integrales SRLCapital Federal 00"/>
    <x v="2281"/>
    <n v="21831600"/>
    <x v="290"/>
    <x v="0"/>
    <s v="pagado"/>
    <s v="pagado"/>
    <x v="0"/>
    <x v="0"/>
  </r>
  <r>
    <n v="3000004710"/>
    <d v="2026-07-28T00:00:00"/>
    <n v="8400733.9900000002"/>
    <s v="GONZALEZ JOSE LUIS CONCEPCION 14"/>
    <x v="2282"/>
    <n v="8400733.9900000002"/>
    <x v="290"/>
    <x v="0"/>
    <s v="pagado"/>
    <s v="pagado"/>
    <x v="0"/>
    <x v="0"/>
  </r>
  <r>
    <n v="3000004711"/>
    <d v="2026-07-28T00:00:00"/>
    <n v="30083865.960000001"/>
    <s v="GAR S.A SAN MIGUEL DE TUCUMAN 14"/>
    <x v="2283"/>
    <n v="30083865.960000001"/>
    <x v="290"/>
    <x v="0"/>
    <s v="pagado"/>
    <s v="pagado"/>
    <x v="0"/>
    <x v="0"/>
  </r>
  <r>
    <n v="3000004712"/>
    <d v="2026-07-28T00:00:00"/>
    <n v="16006021.18"/>
    <s v="FERNANDEZ HECTOR JOSE SIMOCA 14"/>
    <x v="2284"/>
    <n v="16006021.18"/>
    <x v="290"/>
    <x v="0"/>
    <s v="pagado"/>
    <s v="pagado"/>
    <x v="0"/>
    <x v="0"/>
  </r>
  <r>
    <n v="3000004713"/>
    <d v="2026-07-28T00:00:00"/>
    <n v="6841482.0199999996"/>
    <s v="LANCHELA HECTOR ROLANDO CONCEPCION 14"/>
    <x v="2285"/>
    <n v="6841482.0199999996"/>
    <x v="290"/>
    <x v="0"/>
    <s v="pagado"/>
    <s v="pagado"/>
    <x v="0"/>
    <x v="0"/>
  </r>
  <r>
    <n v="3000004714"/>
    <d v="2026-07-28T00:00:00"/>
    <n v="13769881.73"/>
    <s v="JACQUET NORBERTO SALVADOR SAN JOSE 05"/>
    <x v="2286"/>
    <n v="13769881.73"/>
    <x v="290"/>
    <x v="0"/>
    <s v="pagado"/>
    <s v="pagado"/>
    <x v="0"/>
    <x v="0"/>
  </r>
  <r>
    <n v="3000004765"/>
    <d v="2026-07-29T00:00:00"/>
    <n v="1005781.98"/>
    <s v="Fondo Fijo Administracion CitrNO TIENE"/>
    <x v="2287"/>
    <n v="1005781.98"/>
    <x v="290"/>
    <x v="0"/>
    <s v="pagado"/>
    <s v="pagado"/>
    <x v="0"/>
    <x v="0"/>
  </r>
  <r>
    <n v="3000004837"/>
    <d v="2026-08-03T00:00:00"/>
    <n v="5762882.5300000003"/>
    <s v="LOGISTICA INTERNACIONAL S.A SAN MIGUEL DE TUCUMAN 14"/>
    <x v="2288"/>
    <n v="5762882.5300000003"/>
    <x v="267"/>
    <x v="0"/>
    <s v="pagado"/>
    <s v="pagado"/>
    <x v="0"/>
    <x v="0"/>
  </r>
  <r>
    <n v="3000004838"/>
    <d v="2026-08-03T00:00:00"/>
    <n v="7479389.4400000004"/>
    <s v="EXCELENCIA OPERACIONAL SRL CIUDAD AUTONOMA DE BUENOS AIRES 00"/>
    <x v="2289"/>
    <n v="7479389.4400000004"/>
    <x v="267"/>
    <x v="0"/>
    <s v="pagado"/>
    <s v="pagado"/>
    <x v="0"/>
    <x v="0"/>
  </r>
  <r>
    <n v="3000004839"/>
    <d v="2026-08-03T00:00:00"/>
    <n v="6873096"/>
    <s v="BERCOVICH COMERCIAL SAS SAN MIGUEL DE TUCUMAN 14"/>
    <x v="2290"/>
    <n v="6873096"/>
    <x v="267"/>
    <x v="0"/>
    <s v="pagado"/>
    <s v="pagado"/>
    <x v="0"/>
    <x v="0"/>
  </r>
  <r>
    <n v="3000004840"/>
    <d v="2026-08-03T00:00:00"/>
    <n v="7558680"/>
    <s v="GIL ISABEL CRISTINA SAN MIGUEL DE TUCUMAN 14"/>
    <x v="2291"/>
    <n v="7558680"/>
    <x v="267"/>
    <x v="0"/>
    <s v="pagado"/>
    <s v="pagado"/>
    <x v="0"/>
    <x v="0"/>
  </r>
  <r>
    <n v="3000004841"/>
    <d v="2026-08-03T00:00:00"/>
    <n v="5265058.3"/>
    <s v="PERATO LUIS ALBERTO BANDA DEL RIO SALI 14"/>
    <x v="2292"/>
    <n v="5265058.3"/>
    <x v="267"/>
    <x v="0"/>
    <s v="pagado"/>
    <s v="pagado"/>
    <x v="0"/>
    <x v="0"/>
  </r>
  <r>
    <n v="3000004842"/>
    <d v="2026-08-03T00:00:00"/>
    <n v="12753742.130000001"/>
    <s v="Transportes La Sevillanita S.RALDERETES 14"/>
    <x v="2293"/>
    <n v="12753742.130000001"/>
    <x v="267"/>
    <x v="0"/>
    <s v="pagado"/>
    <s v="pagado"/>
    <x v="0"/>
    <x v="0"/>
  </r>
  <r>
    <n v="3000004843"/>
    <d v="2026-08-03T00:00:00"/>
    <n v="8188952.9199999999"/>
    <s v="MANLLA LEANDRO GERMAN TERMAS DE RIO HONDO 13"/>
    <x v="2294"/>
    <n v="8188952.9199999999"/>
    <x v="267"/>
    <x v="0"/>
    <s v="pagado"/>
    <s v="pagado"/>
    <x v="0"/>
    <x v="0"/>
  </r>
  <r>
    <n v="3000004844"/>
    <d v="2026-08-03T00:00:00"/>
    <n v="7959566.8600000003"/>
    <s v="BARBARISI JUAREZ PABLO EMANUELSAN JUAN 10"/>
    <x v="2295"/>
    <n v="7959566.8600000003"/>
    <x v="267"/>
    <x v="0"/>
    <s v="pagado"/>
    <s v="pagado"/>
    <x v="0"/>
    <x v="0"/>
  </r>
  <r>
    <n v="3000004845"/>
    <d v="2026-08-03T00:00:00"/>
    <n v="5005080"/>
    <s v="HERRERA RICARDO ALBERTO BANDA DEL RIO SALI 14"/>
    <x v="2296"/>
    <n v="5005080"/>
    <x v="267"/>
    <x v="0"/>
    <s v="pagado"/>
    <s v="pagado"/>
    <x v="0"/>
    <x v="0"/>
  </r>
  <r>
    <n v="3000004846"/>
    <d v="2026-08-03T00:00:00"/>
    <n v="6656402.4299999997"/>
    <s v="MULET WALTER HUMBERTO SAN MIGUEL DE TUCUMAN 14"/>
    <x v="2297"/>
    <n v="6656402.4299999997"/>
    <x v="267"/>
    <x v="0"/>
    <s v="pagado"/>
    <s v="pagado"/>
    <x v="0"/>
    <x v="0"/>
  </r>
  <r>
    <n v="3000004847"/>
    <d v="2026-08-03T00:00:00"/>
    <n v="14053560.390000001"/>
    <s v="CEMEVA SAS YERBA BUENA 14"/>
    <x v="2298"/>
    <n v="14053560.390000001"/>
    <x v="267"/>
    <x v="0"/>
    <s v="pagado"/>
    <s v="pagado"/>
    <x v="0"/>
    <x v="0"/>
  </r>
  <r>
    <n v="3000004848"/>
    <d v="2026-08-03T00:00:00"/>
    <n v="5646389.5700000003"/>
    <s v="PAEZ LEONEL EXEQUIEL MACIO 14"/>
    <x v="2299"/>
    <n v="5646389.5700000003"/>
    <x v="267"/>
    <x v="0"/>
    <s v="pagado"/>
    <s v="pagado"/>
    <x v="0"/>
    <x v="0"/>
  </r>
  <r>
    <n v="3000004849"/>
    <d v="2026-08-03T00:00:00"/>
    <n v="5473337.9199999999"/>
    <s v="RL SOLUCIONES S. A. S. SAN MIGUEL DE TUCUMAN 14"/>
    <x v="2300"/>
    <n v="5473337.9199999999"/>
    <x v="267"/>
    <x v="0"/>
    <s v="pagado"/>
    <s v="pagado"/>
    <x v="0"/>
    <x v="0"/>
  </r>
  <r>
    <n v="3000004850"/>
    <d v="2026-08-03T00:00:00"/>
    <n v="34271130.200000003"/>
    <s v="CONTROL UNION NORTE S.A YERBA BUENA 14"/>
    <x v="2301"/>
    <n v="34271130.200000003"/>
    <x v="267"/>
    <x v="0"/>
    <s v="pagado"/>
    <s v="pagado"/>
    <x v="0"/>
    <x v="0"/>
  </r>
  <r>
    <n v="3000004902"/>
    <d v="2026-08-05T00:00:00"/>
    <n v="2764712.92"/>
    <s v="MAC DONALD MIGUEL ALEJANDRO BANDA DEL RIO SALI 14"/>
    <x v="2302"/>
    <n v="2764712.92"/>
    <x v="267"/>
    <x v="0"/>
    <s v="pagado"/>
    <s v="pagado"/>
    <x v="0"/>
    <x v="0"/>
  </r>
  <r>
    <n v="3000004903"/>
    <d v="2026-08-05T00:00:00"/>
    <n v="35305119.100000001"/>
    <s v="GAR S.A SAN MIGUEL DE TUCUMAN 14"/>
    <x v="2303"/>
    <n v="35305119.100000001"/>
    <x v="291"/>
    <x v="0"/>
    <s v="pagado"/>
    <s v="pagado"/>
    <x v="0"/>
    <x v="0"/>
  </r>
  <r>
    <n v="3000004904"/>
    <d v="2026-08-05T00:00:00"/>
    <n v="29587417.920000002"/>
    <s v="Excer S.R.L. Buenos Aires 01"/>
    <x v="2304"/>
    <n v="29587417.920000002"/>
    <x v="291"/>
    <x v="0"/>
    <s v="pagado"/>
    <s v="pagado"/>
    <x v="0"/>
    <x v="0"/>
  </r>
  <r>
    <n v="3000004905"/>
    <d v="2026-08-05T00:00:00"/>
    <n v="5252179.4800000004"/>
    <s v="Transporte CDC S.A. CAPITAL FEDERAL 00"/>
    <x v="2305"/>
    <n v="5252179.4800000004"/>
    <x v="291"/>
    <x v="0"/>
    <s v="pagado"/>
    <s v="pagado"/>
    <x v="0"/>
    <x v="0"/>
  </r>
  <r>
    <n v="3000004906"/>
    <d v="2026-08-05T00:00:00"/>
    <n v="9432842.9199999999"/>
    <s v="TRANSPORTE FRIOS DEL NORTE S.RSAN MIGUEL DE TUCUMAN 14"/>
    <x v="2306"/>
    <n v="9432842.9199999999"/>
    <x v="291"/>
    <x v="0"/>
    <s v="pagado"/>
    <s v="pagado"/>
    <x v="0"/>
    <x v="0"/>
  </r>
  <r>
    <n v="3000004907"/>
    <d v="2026-08-05T00:00:00"/>
    <n v="13036315.41"/>
    <s v="TORRES JUAN RAMON ALDERETES 14"/>
    <x v="2307"/>
    <n v="13036315.41"/>
    <x v="291"/>
    <x v="0"/>
    <s v="pagado"/>
    <s v="pagado"/>
    <x v="0"/>
    <x v="0"/>
  </r>
  <r>
    <n v="3000004908"/>
    <d v="2026-08-05T00:00:00"/>
    <n v="8691757.9199999999"/>
    <s v="CAPETTA ANTONELLA ANAHI SAN MIGUEL DE TUCUMAN 14"/>
    <x v="2308"/>
    <n v="8691757.9199999999"/>
    <x v="291"/>
    <x v="0"/>
    <s v="pagado"/>
    <s v="pagado"/>
    <x v="0"/>
    <x v="0"/>
  </r>
  <r>
    <n v="3000004909"/>
    <d v="2026-08-05T00:00:00"/>
    <n v="11742840"/>
    <s v="RL SOLUCIONES S. A. S. SAN MIGUEL DE TUCUMAN 14"/>
    <x v="2309"/>
    <n v="11742840"/>
    <x v="291"/>
    <x v="0"/>
    <s v="pagado"/>
    <s v="pagado"/>
    <x v="0"/>
    <x v="0"/>
  </r>
  <r>
    <n v="3000004910"/>
    <d v="2026-08-05T00:00:00"/>
    <n v="8224211.8899999997"/>
    <s v="Pedro Ivan Marcelo ALDERETES 14"/>
    <x v="2310"/>
    <n v="8224211.8899999997"/>
    <x v="291"/>
    <x v="0"/>
    <s v="pagado"/>
    <s v="pagado"/>
    <x v="0"/>
    <x v="0"/>
  </r>
  <r>
    <n v="3000004911"/>
    <d v="2026-08-05T00:00:00"/>
    <n v="30460905.370000001"/>
    <s v="M DODERO COMPANIA GRAL DE SERVCIUDAD AUTONOMA DE BUENOS AIRES 01"/>
    <x v="2311"/>
    <n v="30460905.370000001"/>
    <x v="291"/>
    <x v="0"/>
    <s v="pagado"/>
    <s v="pagado"/>
    <x v="0"/>
    <x v="0"/>
  </r>
  <r>
    <n v="3000004912"/>
    <d v="2026-08-05T00:00:00"/>
    <n v="5025398.29"/>
    <s v="BONSUR SA CAPITAL FEDERAL 00"/>
    <x v="2312"/>
    <n v="5025398.29"/>
    <x v="291"/>
    <x v="0"/>
    <s v="pagado"/>
    <s v="pagado"/>
    <x v="0"/>
    <x v="0"/>
  </r>
  <r>
    <n v="3000004996"/>
    <d v="2026-08-10T00:00:00"/>
    <n v="25000000"/>
    <s v="MG SERVICIOS AGROPECUARIOS SASTAFI VIEJO 14"/>
    <x v="2313"/>
    <n v="25000000"/>
    <x v="292"/>
    <x v="0"/>
    <s v="pagado"/>
    <s v="pagado"/>
    <x v="0"/>
    <x v="0"/>
  </r>
  <r>
    <n v="3000004996"/>
    <d v="2026-08-10T00:00:00"/>
    <n v="27112251.559999999"/>
    <s v="MG SERVICIOS AGROPECUARIOS SASTAFI VIEJO 14"/>
    <x v="2314"/>
    <n v="27112251.559999999"/>
    <x v="293"/>
    <x v="0"/>
    <s v="pagado"/>
    <s v="pagado"/>
    <x v="0"/>
    <x v="0"/>
  </r>
  <r>
    <n v="3000005019"/>
    <d v="2026-08-10T00:00:00"/>
    <n v="25000000"/>
    <s v="PAMPLONA SRL SAN MIGUEL DE TUCUMAN 14"/>
    <x v="2315"/>
    <n v="25000000"/>
    <x v="292"/>
    <x v="0"/>
    <s v="pagado"/>
    <s v="pagado"/>
    <x v="0"/>
    <x v="0"/>
  </r>
  <r>
    <n v="3000005019"/>
    <d v="2026-08-10T00:00:00"/>
    <n v="28113073.309999999"/>
    <s v="PAMPLONA SRL SAN MIGUEL DE TUCUMAN 14"/>
    <x v="2316"/>
    <n v="28113073.309999999"/>
    <x v="293"/>
    <x v="0"/>
    <s v="pagado"/>
    <s v="pagado"/>
    <x v="0"/>
    <x v="0"/>
  </r>
  <r>
    <n v="3000005023"/>
    <d v="2026-08-10T00:00:00"/>
    <n v="22000000"/>
    <s v="SAKKANA S.R.L SAN MIGUEL DE TUCUMAN 14"/>
    <x v="2317"/>
    <n v="22000000"/>
    <x v="293"/>
    <x v="0"/>
    <s v="pagado"/>
    <s v="pagado"/>
    <x v="0"/>
    <x v="0"/>
  </r>
  <r>
    <n v="3000005023"/>
    <d v="2026-08-10T00:00:00"/>
    <n v="21466972.52"/>
    <s v="SAKKANA S.R.L SAN MIGUEL DE TUCUMAN 14"/>
    <x v="2318"/>
    <n v="21466972.52"/>
    <x v="286"/>
    <x v="0"/>
    <s v="no pagado"/>
    <s v="en periodo de pago"/>
    <x v="1"/>
    <x v="1"/>
  </r>
  <r>
    <n v="3000005024"/>
    <d v="2026-08-10T00:00:00"/>
    <n v="2500000"/>
    <s v="ALBARRACIN MIGUEL SAN MIGUEL DE TUCUMAN 14"/>
    <x v="2319"/>
    <n v="2500000"/>
    <x v="293"/>
    <x v="0"/>
    <s v="pagado"/>
    <s v="pagado"/>
    <x v="0"/>
    <x v="0"/>
  </r>
  <r>
    <n v="3000005024"/>
    <d v="2026-08-10T00:00:00"/>
    <n v="2500000"/>
    <s v="ALBARRACIN MIGUEL SAN MIGUEL DE TUCUMAN 14"/>
    <x v="2320"/>
    <n v="2500000"/>
    <x v="294"/>
    <x v="0"/>
    <s v="pagado"/>
    <s v="pagado"/>
    <x v="0"/>
    <x v="0"/>
  </r>
  <r>
    <n v="3000005024"/>
    <d v="2026-08-10T00:00:00"/>
    <n v="2500000"/>
    <s v="ALBARRACIN MIGUEL SAN MIGUEL DE TUCUMAN 14"/>
    <x v="2321"/>
    <n v="2500000"/>
    <x v="275"/>
    <x v="0"/>
    <s v="no pagado"/>
    <s v="en periodo de pago"/>
    <x v="1"/>
    <x v="0"/>
  </r>
  <r>
    <n v="3000005024"/>
    <d v="2026-08-10T00:00:00"/>
    <n v="2265052.4900000002"/>
    <s v="ALBARRACIN MIGUEL SAN MIGUEL DE TUCUMAN 14"/>
    <x v="2322"/>
    <n v="2265052.4900000002"/>
    <x v="276"/>
    <x v="0"/>
    <s v="no pagado"/>
    <s v="en periodo de pago"/>
    <x v="1"/>
    <x v="0"/>
  </r>
  <r>
    <n v="3000004990"/>
    <d v="2026-08-10T00:00:00"/>
    <n v="10380401.630000001"/>
    <s v="Marchese Grandi Meson y Asoc SAN MIGUEL DE TUCUMAN 14"/>
    <x v="2323"/>
    <n v="10380401.630000001"/>
    <x v="292"/>
    <x v="0"/>
    <s v="pagado"/>
    <s v="pagado"/>
    <x v="0"/>
    <x v="0"/>
  </r>
  <r>
    <n v="3000004991"/>
    <d v="2026-08-10T00:00:00"/>
    <n v="7964741.1100000003"/>
    <s v="RODRIGO HEREDIA PUIG LASTENIA 14"/>
    <x v="2324"/>
    <n v="7964741.1100000003"/>
    <x v="292"/>
    <x v="0"/>
    <s v="pagado"/>
    <s v="pagado"/>
    <x v="0"/>
    <x v="0"/>
  </r>
  <r>
    <n v="3000004992"/>
    <d v="2026-08-10T00:00:00"/>
    <n v="16066665.800000001"/>
    <s v="CAFELI S.R.L. SAN MIGUEL DE TUCUMAN 14"/>
    <x v="2325"/>
    <n v="16066665.800000001"/>
    <x v="292"/>
    <x v="0"/>
    <s v="pagado"/>
    <s v="pagado"/>
    <x v="0"/>
    <x v="0"/>
  </r>
  <r>
    <n v="3000004993"/>
    <d v="2026-08-10T00:00:00"/>
    <n v="15667425.939999999"/>
    <s v="Saiko S.A Tucumàn 14"/>
    <x v="2326"/>
    <n v="15667425.939999999"/>
    <x v="292"/>
    <x v="0"/>
    <s v="pagado"/>
    <s v="pagado"/>
    <x v="0"/>
    <x v="0"/>
  </r>
  <r>
    <n v="3000004994"/>
    <d v="2026-08-10T00:00:00"/>
    <n v="16061443.869999999"/>
    <s v="LANCHELA HECTOR ROLANDO CONCEPCION 14"/>
    <x v="2327"/>
    <n v="16061443.869999999"/>
    <x v="292"/>
    <x v="0"/>
    <s v="pagado"/>
    <s v="pagado"/>
    <x v="0"/>
    <x v="0"/>
  </r>
  <r>
    <n v="3000004995"/>
    <d v="2026-08-10T00:00:00"/>
    <n v="6800607.8799999999"/>
    <s v="ADLER HASENCLEVER Y ASOCIADOS BUENOS AIRES 01"/>
    <x v="2328"/>
    <n v="6800607.8799999999"/>
    <x v="292"/>
    <x v="0"/>
    <s v="pagado"/>
    <s v="pagado"/>
    <x v="0"/>
    <x v="0"/>
  </r>
  <r>
    <n v="3000004997"/>
    <d v="2026-08-10T00:00:00"/>
    <n v="6952984.0099999998"/>
    <s v="VISMA ARGENTINA SA CAPITAL FEDERAL 14"/>
    <x v="2329"/>
    <n v="6952984.0099999998"/>
    <x v="292"/>
    <x v="0"/>
    <s v="pagado"/>
    <s v="pagado"/>
    <x v="0"/>
    <x v="0"/>
  </r>
  <r>
    <n v="3000004998"/>
    <d v="2026-08-10T00:00:00"/>
    <n v="12285246.16"/>
    <s v="SMART SEGURIDAD SA YERBA BUENA 14"/>
    <x v="2330"/>
    <n v="12285246.16"/>
    <x v="292"/>
    <x v="0"/>
    <s v="pagado"/>
    <s v="pagado"/>
    <x v="0"/>
    <x v="0"/>
  </r>
  <r>
    <n v="3000004999"/>
    <d v="2026-08-10T00:00:00"/>
    <n v="48746138.609999999"/>
    <s v="ROMERO SERVICIOS S. A. S. ALPACHIRI 14"/>
    <x v="2331"/>
    <n v="48746138.609999999"/>
    <x v="292"/>
    <x v="0"/>
    <s v="pagado"/>
    <s v="pagado"/>
    <x v="0"/>
    <x v="0"/>
  </r>
  <r>
    <n v="3000005000"/>
    <d v="2026-08-10T00:00:00"/>
    <n v="19398076.25"/>
    <s v="LA 10 SRL SAN MIGUEL DE TUCUMAN 14"/>
    <x v="2332"/>
    <n v="19398076.25"/>
    <x v="293"/>
    <x v="0"/>
    <s v="pagado"/>
    <s v="pagado"/>
    <x v="0"/>
    <x v="0"/>
  </r>
  <r>
    <n v="3000005001"/>
    <d v="2026-08-10T00:00:00"/>
    <n v="13476107.789999999"/>
    <s v="SUAREZ MANUEL RODOLFO ALDERETES 14"/>
    <x v="2333"/>
    <n v="13476107.789999999"/>
    <x v="292"/>
    <x v="0"/>
    <s v="pagado"/>
    <s v="pagado"/>
    <x v="0"/>
    <x v="0"/>
  </r>
  <r>
    <n v="3000005002"/>
    <d v="2026-08-10T00:00:00"/>
    <n v="5042931.2699999996"/>
    <s v="Arias Carlos Alberto SAN MIGUEL DE TUCUMAN 14"/>
    <x v="2334"/>
    <n v="5042931.2699999996"/>
    <x v="292"/>
    <x v="0"/>
    <s v="pagado"/>
    <s v="pagado"/>
    <x v="0"/>
    <x v="0"/>
  </r>
  <r>
    <n v="3000005003"/>
    <d v="2026-08-10T00:00:00"/>
    <n v="6884068.3499999996"/>
    <s v="PERATO LUIS ALBERTO BANDA DEL RIO SALI 14"/>
    <x v="2335"/>
    <n v="6884068.3499999996"/>
    <x v="292"/>
    <x v="0"/>
    <s v="pagado"/>
    <s v="pagado"/>
    <x v="0"/>
    <x v="0"/>
  </r>
  <r>
    <n v="3000005004"/>
    <d v="2026-08-10T00:00:00"/>
    <n v="20701260.280000001"/>
    <s v="PERATO CRISTIAN LUIS BANDA DEL RIO SALI 14"/>
    <x v="2336"/>
    <n v="20701260.280000001"/>
    <x v="292"/>
    <x v="0"/>
    <s v="pagado"/>
    <s v="pagado"/>
    <x v="0"/>
    <x v="0"/>
  </r>
  <r>
    <n v="3000005005"/>
    <d v="2026-08-10T00:00:00"/>
    <n v="19556107.18"/>
    <s v="JACQUET NORBERTO SALVADOR SAN JOSE 05"/>
    <x v="2337"/>
    <n v="19556107.18"/>
    <x v="292"/>
    <x v="0"/>
    <s v="pagado"/>
    <s v="pagado"/>
    <x v="0"/>
    <x v="0"/>
  </r>
  <r>
    <n v="3000005006"/>
    <d v="2026-08-10T00:00:00"/>
    <n v="15721125"/>
    <s v="TRANSPORTE FRIOS DEL NORTE S.RSAN MIGUEL DE TUCUMAN 14"/>
    <x v="2338"/>
    <n v="15721125"/>
    <x v="292"/>
    <x v="0"/>
    <s v="pagado"/>
    <s v="pagado"/>
    <x v="0"/>
    <x v="0"/>
  </r>
  <r>
    <n v="3000005007"/>
    <d v="2026-08-10T00:00:00"/>
    <n v="10340277.960000001"/>
    <s v="ACOSTA ROQUE RAMON SAN MIGUEL DE TUCUMAN 14"/>
    <x v="2339"/>
    <n v="10340277.960000001"/>
    <x v="292"/>
    <x v="0"/>
    <s v="pagado"/>
    <s v="pagado"/>
    <x v="0"/>
    <x v="0"/>
  </r>
  <r>
    <n v="3000005008"/>
    <d v="2026-08-10T00:00:00"/>
    <n v="21699792.690000001"/>
    <s v="FERNANDEZ HECTOR JOSE SIMOCA 14"/>
    <x v="2340"/>
    <n v="21699792.690000001"/>
    <x v="292"/>
    <x v="0"/>
    <s v="pagado"/>
    <s v="pagado"/>
    <x v="0"/>
    <x v="0"/>
  </r>
  <r>
    <n v="3000005009"/>
    <d v="2026-08-10T00:00:00"/>
    <n v="15212171.48"/>
    <s v="BUSTOS GUILLERMO DARIO ALDERETES 14"/>
    <x v="2341"/>
    <n v="15212171.48"/>
    <x v="292"/>
    <x v="0"/>
    <s v="pagado"/>
    <s v="pagado"/>
    <x v="0"/>
    <x v="0"/>
  </r>
  <r>
    <n v="3000005010"/>
    <d v="2026-08-10T00:00:00"/>
    <n v="9900419.2300000004"/>
    <s v="GONZALEZ JOSE LUIS CONCEPCION 14"/>
    <x v="2342"/>
    <n v="9900419.2300000004"/>
    <x v="292"/>
    <x v="0"/>
    <s v="pagado"/>
    <s v="pagado"/>
    <x v="0"/>
    <x v="0"/>
  </r>
  <r>
    <n v="3000005011"/>
    <d v="2026-08-10T00:00:00"/>
    <n v="8201247.2300000004"/>
    <s v="Sanchez Jose Mauricio San Miguel de Tucuman 14"/>
    <x v="2343"/>
    <n v="8201247.2300000004"/>
    <x v="292"/>
    <x v="0"/>
    <s v="pagado"/>
    <s v="pagado"/>
    <x v="0"/>
    <x v="0"/>
  </r>
  <r>
    <n v="3000005012"/>
    <d v="2026-08-10T00:00:00"/>
    <n v="6261579.71"/>
    <s v="Pedro Angel Michael Alderetes 14"/>
    <x v="2344"/>
    <n v="6261579.71"/>
    <x v="292"/>
    <x v="0"/>
    <s v="pagado"/>
    <s v="pagado"/>
    <x v="0"/>
    <x v="0"/>
  </r>
  <r>
    <n v="3000005013"/>
    <d v="2026-08-10T00:00:00"/>
    <n v="11223714.42"/>
    <s v="Arias Gonzalo Alejandro San Miguel de Tucumán 14"/>
    <x v="2345"/>
    <n v="11223714.42"/>
    <x v="292"/>
    <x v="0"/>
    <s v="pagado"/>
    <s v="pagado"/>
    <x v="0"/>
    <x v="0"/>
  </r>
  <r>
    <n v="3000005014"/>
    <d v="2026-08-10T00:00:00"/>
    <n v="6117737.4000000004"/>
    <s v="Verde y Sol S.R.L. SAN MIGUEL DE TUCUMAN 14"/>
    <x v="2346"/>
    <n v="6117737.4000000004"/>
    <x v="292"/>
    <x v="0"/>
    <s v="pagado"/>
    <s v="pagado"/>
    <x v="0"/>
    <x v="0"/>
  </r>
  <r>
    <n v="3000005015"/>
    <d v="2026-08-10T00:00:00"/>
    <n v="32683016.219999999"/>
    <s v="LA MARTINA SERV. AGRICOLAS S.RSAN PABLO 14"/>
    <x v="2347"/>
    <n v="32683016.219999999"/>
    <x v="292"/>
    <x v="0"/>
    <s v="pagado"/>
    <s v="pagado"/>
    <x v="0"/>
    <x v="0"/>
  </r>
  <r>
    <n v="3000005016"/>
    <d v="2026-08-10T00:00:00"/>
    <n v="21978587.09"/>
    <s v="DUBANIS ANA JOSEFINA SAN MIGUEL DE TUCUMAN 14"/>
    <x v="2348"/>
    <n v="21978587.09"/>
    <x v="293"/>
    <x v="0"/>
    <s v="pagado"/>
    <s v="pagado"/>
    <x v="0"/>
    <x v="0"/>
  </r>
  <r>
    <n v="3000005017"/>
    <d v="2026-08-10T00:00:00"/>
    <n v="40622666.259999998"/>
    <s v="AGROPECUARIA MUNDO NUEVO SRL SAN PABLO 14"/>
    <x v="2349"/>
    <n v="40622666.259999998"/>
    <x v="292"/>
    <x v="0"/>
    <s v="pagado"/>
    <s v="pagado"/>
    <x v="0"/>
    <x v="0"/>
  </r>
  <r>
    <n v="3000005018"/>
    <d v="2026-08-10T00:00:00"/>
    <n v="22756182.469999999"/>
    <s v="INSITU S.R.L SAN MIGUEL DE TUCUMAN 14"/>
    <x v="2350"/>
    <n v="22756182.469999999"/>
    <x v="292"/>
    <x v="0"/>
    <s v="pagado"/>
    <s v="pagado"/>
    <x v="0"/>
    <x v="0"/>
  </r>
  <r>
    <n v="3000005020"/>
    <d v="2026-08-10T00:00:00"/>
    <n v="21192379.57"/>
    <s v="CAMPOAGRO SRL YERBA BUENA 14"/>
    <x v="2351"/>
    <n v="21192379.57"/>
    <x v="292"/>
    <x v="0"/>
    <s v="pagado"/>
    <s v="pagado"/>
    <x v="0"/>
    <x v="0"/>
  </r>
  <r>
    <n v="3000005021"/>
    <d v="2026-08-10T00:00:00"/>
    <n v="2930136.51"/>
    <s v="MAC DONALD MIGUEL ALEJANDRO BANDA DEL RIO SALI 14"/>
    <x v="2352"/>
    <n v="2930136.51"/>
    <x v="293"/>
    <x v="0"/>
    <s v="pagado"/>
    <s v="pagado"/>
    <x v="0"/>
    <x v="0"/>
  </r>
  <r>
    <n v="3000005022"/>
    <d v="2026-08-10T00:00:00"/>
    <n v="8875287.4700000007"/>
    <s v="TRANSPORTE MEDINA S.H. CRUZ ALTA 14"/>
    <x v="2353"/>
    <n v="8875287.4700000007"/>
    <x v="292"/>
    <x v="0"/>
    <s v="pagado"/>
    <s v="pagado"/>
    <x v="0"/>
    <x v="0"/>
  </r>
  <r>
    <n v="3000005099"/>
    <d v="2026-08-12T00:00:00"/>
    <n v="41856340.350000001"/>
    <s v="GAR S.A SAN MIGUEL DE TUCUMAN 14"/>
    <x v="2354"/>
    <n v="41856340.350000001"/>
    <x v="293"/>
    <x v="0"/>
    <s v="pagado"/>
    <s v="pagado"/>
    <x v="0"/>
    <x v="0"/>
  </r>
  <r>
    <n v="3000005100"/>
    <d v="2026-08-12T00:00:00"/>
    <n v="7753970.7000000002"/>
    <s v="CONTROL UNION NORTE S.A YERBA BUENA 14"/>
    <x v="2355"/>
    <n v="7753970.7000000002"/>
    <x v="272"/>
    <x v="0"/>
    <s v="pagado"/>
    <s v="pagado"/>
    <x v="0"/>
    <x v="0"/>
  </r>
  <r>
    <n v="3000005101"/>
    <d v="2026-08-12T00:00:00"/>
    <n v="5673531.8799999999"/>
    <s v="ALVAREZ RENE JOSE MARIA BELLA VISTA 14"/>
    <x v="2356"/>
    <n v="5673531.8799999999"/>
    <x v="272"/>
    <x v="0"/>
    <s v="pagado"/>
    <s v="pagado"/>
    <x v="0"/>
    <x v="0"/>
  </r>
  <r>
    <n v="3000005102"/>
    <d v="2026-08-12T00:00:00"/>
    <n v="16052308"/>
    <s v="TRANSPORTE FRIOS DEL NORTE S.RSAN MIGUEL DE TUCUMAN 14"/>
    <x v="2357"/>
    <n v="16052308"/>
    <x v="272"/>
    <x v="0"/>
    <s v="pagado"/>
    <s v="pagado"/>
    <x v="0"/>
    <x v="0"/>
  </r>
  <r>
    <n v="3000005103"/>
    <d v="2026-08-12T00:00:00"/>
    <n v="5529090"/>
    <s v="MAC DONALD MIGUEL ALEJANDRO BANDA DEL RIO SALI 14"/>
    <x v="2358"/>
    <n v="5529090"/>
    <x v="272"/>
    <x v="0"/>
    <s v="pagado"/>
    <s v="pagado"/>
    <x v="0"/>
    <x v="0"/>
  </r>
  <r>
    <n v="3000005104"/>
    <d v="2026-08-12T00:00:00"/>
    <n v="8411614.8000000007"/>
    <s v="TORRES JUAN RAMON ALDERETES 14"/>
    <x v="2359"/>
    <n v="8411614.8000000007"/>
    <x v="272"/>
    <x v="0"/>
    <s v="pagado"/>
    <s v="pagado"/>
    <x v="0"/>
    <x v="0"/>
  </r>
  <r>
    <n v="3000005105"/>
    <d v="2026-08-12T00:00:00"/>
    <n v="14737546.800000001"/>
    <s v="CAPETTA ANTONELLA ANAHI SAN MIGUEL DE TUCUMAN 14"/>
    <x v="2360"/>
    <n v="14737546.800000001"/>
    <x v="272"/>
    <x v="0"/>
    <s v="pagado"/>
    <s v="pagado"/>
    <x v="0"/>
    <x v="0"/>
  </r>
  <r>
    <n v="3000005106"/>
    <d v="2026-08-12T00:00:00"/>
    <n v="11742840"/>
    <s v="RL SOLUCIONES S. A. S. SAN MIGUEL DE TUCUMAN 14"/>
    <x v="2361"/>
    <n v="11742840"/>
    <x v="272"/>
    <x v="0"/>
    <s v="pagado"/>
    <s v="pagado"/>
    <x v="0"/>
    <x v="0"/>
  </r>
  <r>
    <n v="3000005107"/>
    <d v="2026-08-12T00:00:00"/>
    <n v="7079595.6399999997"/>
    <s v="Vaquera Francisco Alfredo Monteros 14"/>
    <x v="2362"/>
    <n v="7079595.6399999997"/>
    <x v="272"/>
    <x v="0"/>
    <s v="pagado"/>
    <s v="pagado"/>
    <x v="0"/>
    <x v="0"/>
  </r>
  <r>
    <n v="3000005108"/>
    <d v="2026-08-12T00:00:00"/>
    <n v="6083967.8399999999"/>
    <s v="Gonzalez Jose Luis Lastenia 14"/>
    <x v="2363"/>
    <n v="6083967.8399999999"/>
    <x v="272"/>
    <x v="0"/>
    <s v="pagado"/>
    <s v="pagado"/>
    <x v="0"/>
    <x v="0"/>
  </r>
  <r>
    <n v="3000005109"/>
    <d v="2026-08-12T00:00:00"/>
    <n v="10785916.880000001"/>
    <s v="Robles Angel Gabriel San Miguel de Tucuman 14"/>
    <x v="2364"/>
    <n v="10785916.880000001"/>
    <x v="272"/>
    <x v="0"/>
    <s v="pagado"/>
    <s v="pagado"/>
    <x v="0"/>
    <x v="0"/>
  </r>
  <r>
    <n v="3000005110"/>
    <d v="2026-08-12T00:00:00"/>
    <n v="9219580.7699999996"/>
    <s v="Pedro Carolina Alejandra ALDERETES 14"/>
    <x v="2365"/>
    <n v="9219580.7699999996"/>
    <x v="272"/>
    <x v="0"/>
    <s v="pagado"/>
    <s v="pagado"/>
    <x v="0"/>
    <x v="0"/>
  </r>
  <r>
    <n v="3000005111"/>
    <d v="2026-08-12T00:00:00"/>
    <n v="7363889.0800000001"/>
    <s v="Garcia Pablo Nicolas San Miguel de Tucuman 14"/>
    <x v="2366"/>
    <n v="7363889.0800000001"/>
    <x v="272"/>
    <x v="0"/>
    <s v="pagado"/>
    <s v="pagado"/>
    <x v="0"/>
    <x v="0"/>
  </r>
  <r>
    <n v="3000005112"/>
    <d v="2026-08-12T00:00:00"/>
    <n v="8182825.7599999998"/>
    <s v="CLOVER LOGISTICS SRL CAPITAL FEDERAL 00"/>
    <x v="2367"/>
    <n v="8182825.7599999998"/>
    <x v="272"/>
    <x v="0"/>
    <s v="pagado"/>
    <s v="pagado"/>
    <x v="0"/>
    <x v="0"/>
  </r>
  <r>
    <n v="3000005153"/>
    <d v="2026-08-13T00:00:00"/>
    <n v="215909.12"/>
    <s v="LA SOLANITA SRL SAN MIGUEL DE TUCUMAN 14"/>
    <x v="2368"/>
    <n v="215909.12"/>
    <x v="293"/>
    <x v="0"/>
    <s v="pagado"/>
    <s v="pagado"/>
    <x v="0"/>
    <x v="0"/>
  </r>
  <r>
    <n v="3000005235"/>
    <d v="2026-08-18T00:00:00"/>
    <n v="12208463.75"/>
    <s v="LA 10 SRL SAN MIGUEL DE TUCUMAN 14"/>
    <x v="2369"/>
    <n v="12208463.75"/>
    <x v="295"/>
    <x v="0"/>
    <s v="pagado"/>
    <s v="pagado"/>
    <x v="0"/>
    <x v="0"/>
  </r>
  <r>
    <n v="3000005236"/>
    <d v="2026-08-18T00:00:00"/>
    <n v="7198980.8799999999"/>
    <s v="BARBARISI JUAREZ PABLO EMANUELSAN JUAN 10"/>
    <x v="2370"/>
    <n v="7198980.8799999999"/>
    <x v="295"/>
    <x v="0"/>
    <s v="pagado"/>
    <s v="pagado"/>
    <x v="0"/>
    <x v="0"/>
  </r>
  <r>
    <n v="3000005237"/>
    <d v="2026-08-18T00:00:00"/>
    <n v="10427887.130000001"/>
    <s v="SEGURIDAD OMEGA SRL SAN FERNANDO DEL VALLE DE CATAMARCA 02"/>
    <x v="2371"/>
    <n v="10427887.130000001"/>
    <x v="295"/>
    <x v="0"/>
    <s v="pagado"/>
    <s v="pagado"/>
    <x v="0"/>
    <x v="0"/>
  </r>
  <r>
    <n v="3000005238"/>
    <d v="2026-08-18T00:00:00"/>
    <n v="14723459.039999999"/>
    <s v="NORTE DISTRIBUCIONES S.R.L SAN MIGUEL DE TUCUMAN 14"/>
    <x v="2372"/>
    <n v="14723459.039999999"/>
    <x v="295"/>
    <x v="0"/>
    <s v="pagado"/>
    <s v="pagado"/>
    <x v="0"/>
    <x v="0"/>
  </r>
  <r>
    <n v="3000005239"/>
    <d v="2026-08-18T00:00:00"/>
    <n v="6608817.7199999997"/>
    <s v="Bureau Veritas Arg.S.A. CIUDAD AUTONOMA DE BUENOS AIRES 01"/>
    <x v="2373"/>
    <n v="6608817.7199999997"/>
    <x v="295"/>
    <x v="0"/>
    <s v="pagado"/>
    <s v="pagado"/>
    <x v="0"/>
    <x v="0"/>
  </r>
  <r>
    <n v="3000005240"/>
    <d v="2026-08-18T00:00:00"/>
    <n v="5529090"/>
    <s v="CEMEVA SAS YERBA BUENA 14"/>
    <x v="2374"/>
    <n v="5529090"/>
    <x v="295"/>
    <x v="0"/>
    <s v="pagado"/>
    <s v="pagado"/>
    <x v="0"/>
    <x v="0"/>
  </r>
  <r>
    <n v="3000005241"/>
    <d v="2026-08-18T00:00:00"/>
    <n v="8231290"/>
    <s v="JACQUET NORBERTO SALVADOR SAN JOSE 05"/>
    <x v="2375"/>
    <n v="8231290"/>
    <x v="295"/>
    <x v="0"/>
    <s v="pagado"/>
    <s v="pagado"/>
    <x v="0"/>
    <x v="0"/>
  </r>
  <r>
    <n v="3000005242"/>
    <d v="2026-08-18T00:00:00"/>
    <n v="8220240"/>
    <s v="RL SOLUCIONES S. A. S. SAN MIGUEL DE TUCUMAN 14"/>
    <x v="2376"/>
    <n v="8220240"/>
    <x v="295"/>
    <x v="0"/>
    <s v="pagado"/>
    <s v="pagado"/>
    <x v="0"/>
    <x v="0"/>
  </r>
  <r>
    <n v="3000005243"/>
    <d v="2026-08-18T00:00:00"/>
    <n v="6222653.0800000001"/>
    <s v="TRANSPORTE MARIANITA S.R.L SAN MIGUEL DE TUCUMAN 14"/>
    <x v="2377"/>
    <n v="6222653.0800000001"/>
    <x v="295"/>
    <x v="0"/>
    <s v="pagado"/>
    <s v="pagado"/>
    <x v="0"/>
    <x v="0"/>
  </r>
  <r>
    <n v="3000005244"/>
    <d v="2026-08-18T00:00:00"/>
    <n v="11006871.609999999"/>
    <s v="Transportes La Sevillanita S.RALDERETES 14"/>
    <x v="2378"/>
    <n v="11006871.609999999"/>
    <x v="295"/>
    <x v="0"/>
    <s v="pagado"/>
    <s v="pagado"/>
    <x v="0"/>
    <x v="0"/>
  </r>
  <r>
    <n v="3000005266"/>
    <d v="2026-08-19T00:00:00"/>
    <n v="13948499"/>
    <s v="GAR S.A SAN MIGUEL DE TUCUMAN 14"/>
    <x v="2379"/>
    <n v="13948499"/>
    <x v="205"/>
    <x v="0"/>
    <s v="pagado"/>
    <s v="pagado"/>
    <x v="0"/>
    <x v="0"/>
  </r>
  <r>
    <n v="3000005267"/>
    <d v="2026-08-19T00:00:00"/>
    <n v="2516000"/>
    <s v="FUNDACION UNIVERSIDAD TORCUATOCIUDAD AUTONOMA DE BUENOS AIRES 01"/>
    <x v="2380"/>
    <n v="2516000"/>
    <x v="296"/>
    <x v="0"/>
    <s v="pagado"/>
    <s v="pagado"/>
    <x v="0"/>
    <x v="0"/>
  </r>
  <r>
    <n v="3000005268"/>
    <d v="2026-08-19T00:00:00"/>
    <n v="3285959.9"/>
    <s v="LOBO BENICIO MARTIN ALDERETES 14"/>
    <x v="2381"/>
    <n v="3285959.9"/>
    <x v="296"/>
    <x v="0"/>
    <s v="pagado"/>
    <s v="pagado"/>
    <x v="0"/>
    <x v="0"/>
  </r>
  <r>
    <n v="3000005269"/>
    <d v="2026-08-19T00:00:00"/>
    <n v="3767425.94"/>
    <s v="IKIGAI SAS LA BANDA 13"/>
    <x v="2382"/>
    <n v="3767425.94"/>
    <x v="296"/>
    <x v="0"/>
    <s v="pagado"/>
    <s v="pagado"/>
    <x v="0"/>
    <x v="0"/>
  </r>
  <r>
    <n v="3000005270"/>
    <d v="2026-08-19T00:00:00"/>
    <n v="2514200"/>
    <s v="TEKNOS TECHNOLOGY GROUP SA CAPITAL FEDERAL 00"/>
    <x v="2383"/>
    <n v="2514200"/>
    <x v="296"/>
    <x v="0"/>
    <s v="pagado"/>
    <s v="pagado"/>
    <x v="0"/>
    <x v="0"/>
  </r>
  <r>
    <n v="3000005271"/>
    <d v="2026-08-19T00:00:00"/>
    <n v="4707675.99"/>
    <s v="BERCOVICH COMERCIAL SAS SAN MIGUEL DE TUCUMAN 14"/>
    <x v="2384"/>
    <n v="4707675.99"/>
    <x v="296"/>
    <x v="0"/>
    <s v="pagado"/>
    <s v="pagado"/>
    <x v="0"/>
    <x v="0"/>
  </r>
  <r>
    <n v="3000005272"/>
    <d v="2026-08-19T00:00:00"/>
    <n v="3576314.4"/>
    <s v="VSG S.R.L CIUDAD AUTONOMA BUENOS AIRES 00"/>
    <x v="2385"/>
    <n v="3576314.4"/>
    <x v="296"/>
    <x v="0"/>
    <s v="no pagado"/>
    <s v="en periodo de pago"/>
    <x v="2"/>
    <x v="0"/>
  </r>
  <r>
    <n v="3000005273"/>
    <d v="2026-08-19T00:00:00"/>
    <n v="2651575.5"/>
    <s v="M.A.D Serv y mant eléctri SAN MIGUEL DE TUCUMAN 14"/>
    <x v="2386"/>
    <n v="2651575.5"/>
    <x v="296"/>
    <x v="0"/>
    <s v="pagado"/>
    <s v="pagado"/>
    <x v="0"/>
    <x v="0"/>
  </r>
  <r>
    <n v="3000005274"/>
    <d v="2026-08-19T00:00:00"/>
    <n v="4577865"/>
    <s v="ACOSTA ROSA MERCEDES BANDA DEL RIO SALI 14"/>
    <x v="2387"/>
    <n v="4577865"/>
    <x v="296"/>
    <x v="0"/>
    <s v="pagado"/>
    <s v="pagado"/>
    <x v="0"/>
    <x v="0"/>
  </r>
  <r>
    <n v="3000005275"/>
    <d v="2026-08-19T00:00:00"/>
    <n v="2084351.67"/>
    <s v="JG FITNESS GROUP S. A. S. SAN MIGUEL DE TUCUMAN 14"/>
    <x v="2388"/>
    <n v="2084351.67"/>
    <x v="296"/>
    <x v="0"/>
    <s v="pagado"/>
    <s v="pagado"/>
    <x v="0"/>
    <x v="0"/>
  </r>
  <r>
    <n v="3000005276"/>
    <d v="2026-08-19T00:00:00"/>
    <n v="3212127"/>
    <s v="Expreso San Jose S.A. SAN MIGUEL DE TUCUMAN 14"/>
    <x v="2389"/>
    <n v="3212127"/>
    <x v="296"/>
    <x v="0"/>
    <s v="pagado"/>
    <s v="pagado"/>
    <x v="0"/>
    <x v="0"/>
  </r>
  <r>
    <n v="3000005277"/>
    <d v="2026-08-19T00:00:00"/>
    <n v="9420989"/>
    <s v="BUSTOS GUILLERMO DARIO ALDERETES 14"/>
    <x v="2390"/>
    <n v="9420989"/>
    <x v="296"/>
    <x v="0"/>
    <s v="pagado"/>
    <s v="pagado"/>
    <x v="0"/>
    <x v="0"/>
  </r>
  <r>
    <n v="3000005278"/>
    <d v="2026-08-19T00:00:00"/>
    <n v="8231032.1699999999"/>
    <s v="MAGNONE S. A. CIUDAD AUTONOMA BUENOS AIRES 00"/>
    <x v="2391"/>
    <n v="8231032.1699999999"/>
    <x v="296"/>
    <x v="0"/>
    <s v="pagado"/>
    <s v="pagado"/>
    <x v="0"/>
    <x v="0"/>
  </r>
  <r>
    <n v="3000005279"/>
    <d v="2026-08-19T00:00:00"/>
    <n v="5529090"/>
    <s v="CEMEVA SAS YERBA BUENA 14"/>
    <x v="2392"/>
    <n v="5529090"/>
    <x v="296"/>
    <x v="0"/>
    <s v="pagado"/>
    <s v="pagado"/>
    <x v="0"/>
    <x v="0"/>
  </r>
  <r>
    <n v="3000005280"/>
    <d v="2026-08-19T00:00:00"/>
    <n v="13809910"/>
    <s v="CAPETTA ANTONELLA ANAHI SAN MIGUEL DE TUCUMAN 14"/>
    <x v="2393"/>
    <n v="13809910"/>
    <x v="296"/>
    <x v="0"/>
    <s v="pagado"/>
    <s v="pagado"/>
    <x v="0"/>
    <x v="0"/>
  </r>
  <r>
    <n v="3000005281"/>
    <d v="2026-08-19T00:00:00"/>
    <n v="3910060.28"/>
    <s v="PALAVECINO LUIS IGNACIO San Miguel De Tucuman 14"/>
    <x v="2394"/>
    <n v="3910060.28"/>
    <x v="296"/>
    <x v="0"/>
    <s v="no pagado"/>
    <s v="en periodo de pago"/>
    <x v="2"/>
    <x v="0"/>
  </r>
  <r>
    <n v="3000005282"/>
    <d v="2026-08-19T00:00:00"/>
    <n v="3124350"/>
    <s v="RL SOLUCIONES S. A. S. SAN MIGUEL DE TUCUMAN 14"/>
    <x v="2395"/>
    <n v="3124350"/>
    <x v="296"/>
    <x v="0"/>
    <s v="pagado"/>
    <s v="pagado"/>
    <x v="0"/>
    <x v="0"/>
  </r>
  <r>
    <n v="3000005283"/>
    <d v="2026-08-19T00:00:00"/>
    <n v="4072503.18"/>
    <s v="GANBATTE SA CAPITAL FEDERAL 01"/>
    <x v="2396"/>
    <n v="4072503.18"/>
    <x v="296"/>
    <x v="0"/>
    <s v="pagado"/>
    <s v="pagado"/>
    <x v="0"/>
    <x v="0"/>
  </r>
  <r>
    <n v="3000005284"/>
    <d v="2026-08-19T00:00:00"/>
    <n v="2943381.06"/>
    <s v="Rojas Antonio Domingo ALDERETES 14"/>
    <x v="2397"/>
    <n v="2943381.06"/>
    <x v="296"/>
    <x v="0"/>
    <s v="pagado"/>
    <s v="pagado"/>
    <x v="0"/>
    <x v="0"/>
  </r>
  <r>
    <n v="3000005285"/>
    <d v="2026-08-19T00:00:00"/>
    <n v="4464734.33"/>
    <s v="Robles Angel Gabriel San Miguel de Tucuman 14"/>
    <x v="2398"/>
    <n v="4464734.33"/>
    <x v="296"/>
    <x v="0"/>
    <s v="no pagado"/>
    <s v="en periodo de pago"/>
    <x v="2"/>
    <x v="0"/>
  </r>
  <r>
    <n v="3000005286"/>
    <d v="2026-08-19T00:00:00"/>
    <n v="9247413.9900000002"/>
    <s v="Pedro Ivan Marcelo ALDERETES 14"/>
    <x v="2399"/>
    <n v="9247413.9900000002"/>
    <x v="296"/>
    <x v="0"/>
    <s v="pagado"/>
    <s v="pagado"/>
    <x v="0"/>
    <x v="0"/>
  </r>
  <r>
    <n v="3000005287"/>
    <d v="2026-08-19T00:00:00"/>
    <n v="11870543.4"/>
    <s v="ALDO A. MILITELLO GRUAS Y TRANMaipu 07"/>
    <x v="2400"/>
    <n v="11870543.4"/>
    <x v="296"/>
    <x v="0"/>
    <s v="pagado"/>
    <s v="pagado"/>
    <x v="0"/>
    <x v="0"/>
  </r>
  <r>
    <n v="3000005288"/>
    <d v="2026-08-19T00:00:00"/>
    <n v="29872126.079999998"/>
    <s v="M DODERO COMPANIA GRAL DE SERVCIUDAD AUTONOMA DE BUENOS AIRES 01"/>
    <x v="2401"/>
    <n v="29872126.079999998"/>
    <x v="296"/>
    <x v="0"/>
    <s v="pagado"/>
    <s v="pagado"/>
    <x v="0"/>
    <x v="0"/>
  </r>
  <r>
    <n v="3000005289"/>
    <d v="2026-08-19T00:00:00"/>
    <n v="2825723.4"/>
    <s v="GEOTECNOLOGIA S.R.L SAN MIGUEL DE TUCUMAN 14"/>
    <x v="2402"/>
    <n v="2825723.4"/>
    <x v="296"/>
    <x v="0"/>
    <s v="pagado"/>
    <s v="pagado"/>
    <x v="0"/>
    <x v="0"/>
  </r>
  <r>
    <n v="3000005290"/>
    <d v="2026-08-19T00:00:00"/>
    <n v="2165486"/>
    <s v="AGUIAR MARTEAU MAIA JULIANA SAN MIGUEL DE TUCUMAN 14"/>
    <x v="2403"/>
    <n v="2165486"/>
    <x v="296"/>
    <x v="0"/>
    <s v="no pagado"/>
    <s v="en periodo de pago"/>
    <x v="2"/>
    <x v="0"/>
  </r>
  <r>
    <n v="3000005291"/>
    <d v="2026-08-19T00:00:00"/>
    <n v="4384701.4000000004"/>
    <s v="COOPTRAR LTDA SAN MIGUEL DE TUCUMAN 14"/>
    <x v="2404"/>
    <n v="4384701.4000000004"/>
    <x v="296"/>
    <x v="0"/>
    <s v="pagado"/>
    <s v="pagado"/>
    <x v="0"/>
    <x v="0"/>
  </r>
  <r>
    <n v="3000005292"/>
    <d v="2026-08-19T00:00:00"/>
    <n v="4286064.24"/>
    <s v="CAMPOAGRO SRL YERBA BUENA 14"/>
    <x v="2405"/>
    <n v="4286064.24"/>
    <x v="296"/>
    <x v="0"/>
    <s v="pagado"/>
    <s v="pagado"/>
    <x v="0"/>
    <x v="0"/>
  </r>
  <r>
    <n v="3000005293"/>
    <d v="2026-08-19T00:00:00"/>
    <n v="3708400"/>
    <s v="Instituto Arg. de NormalizacioCIUDAD AUTONOMA DE BUENOS AIRES 01"/>
    <x v="2406"/>
    <n v="3708400"/>
    <x v="296"/>
    <x v="0"/>
    <s v="pagado"/>
    <s v="pagado"/>
    <x v="0"/>
    <x v="0"/>
  </r>
  <r>
    <n v="3000005326"/>
    <d v="2026-08-20T00:00:00"/>
    <n v="38997160"/>
    <s v="EDET S.A. SAN MIGUEL DE TUCUMAN 14"/>
    <x v="2407"/>
    <n v="38997160"/>
    <x v="297"/>
    <x v="0"/>
    <s v="pagado"/>
    <s v="pagado"/>
    <x v="0"/>
    <x v="0"/>
  </r>
  <r>
    <n v="3000005386"/>
    <d v="2026-08-24T00:00:00"/>
    <n v="8397402.3100000005"/>
    <s v="TRANSPORTE MEDINA S.H. CRUZ ALTA 14"/>
    <x v="2408"/>
    <n v="8397402.3100000005"/>
    <x v="296"/>
    <x v="0"/>
    <s v="no pagado"/>
    <s v="en periodo de pago"/>
    <x v="2"/>
    <x v="0"/>
  </r>
  <r>
    <n v="3000005387"/>
    <d v="2026-08-24T00:00:00"/>
    <n v="458463870"/>
    <s v="EDET S.A. SAN MIGUEL DE TUCUMAN 14"/>
    <x v="2409"/>
    <n v="458463870"/>
    <x v="205"/>
    <x v="0"/>
    <s v="pagado"/>
    <s v="pagado"/>
    <x v="0"/>
    <x v="0"/>
  </r>
  <r>
    <n v="3000005388"/>
    <d v="2026-08-24T00:00:00"/>
    <n v="8385787.0700000003"/>
    <s v="LUBRE S.R.L. LOS NOGALES 14"/>
    <x v="2410"/>
    <n v="8385787.0700000003"/>
    <x v="298"/>
    <x v="0"/>
    <s v="pagado"/>
    <s v="pagado"/>
    <x v="0"/>
    <x v="0"/>
  </r>
  <r>
    <n v="3000005389"/>
    <d v="2026-08-24T00:00:00"/>
    <n v="6303157"/>
    <s v="TODOS RETENES SA CORDOBA 03"/>
    <x v="2411"/>
    <n v="6303157"/>
    <x v="298"/>
    <x v="0"/>
    <s v="pagado"/>
    <s v="pagado"/>
    <x v="0"/>
    <x v="0"/>
  </r>
  <r>
    <n v="3000005390"/>
    <d v="2026-08-24T00:00:00"/>
    <n v="22340293.399999999"/>
    <s v="CAD SOLUTIONS S.A. CAPITAL FEDERAL 00"/>
    <x v="2412"/>
    <n v="22340293.399999999"/>
    <x v="298"/>
    <x v="0"/>
    <s v="pagado"/>
    <s v="pagado"/>
    <x v="0"/>
    <x v="0"/>
  </r>
  <r>
    <n v="3000005391"/>
    <d v="2026-08-24T00:00:00"/>
    <n v="7688930.2699999996"/>
    <s v="EMPRESA MAYORISTA INDUSTRIAL SSAN MIGUEL DE TUCUMAN 14"/>
    <x v="2413"/>
    <n v="7688930.2699999996"/>
    <x v="298"/>
    <x v="0"/>
    <s v="pagado"/>
    <s v="pagado"/>
    <x v="0"/>
    <x v="0"/>
  </r>
  <r>
    <n v="3000005392"/>
    <d v="2026-08-24T00:00:00"/>
    <n v="8510227.1899999995"/>
    <s v="ROMERO SERVICIOS S. A. S. ALPACHIRI 14"/>
    <x v="2414"/>
    <n v="8510227.1899999995"/>
    <x v="298"/>
    <x v="0"/>
    <s v="pagado"/>
    <s v="pagado"/>
    <x v="0"/>
    <x v="0"/>
  </r>
  <r>
    <n v="3000005393"/>
    <d v="2026-08-24T00:00:00"/>
    <n v="6029748.1699999999"/>
    <s v="PERATO LUIS ALBERTO BANDA DEL RIO SALI 14"/>
    <x v="2415"/>
    <n v="6029748.1699999999"/>
    <x v="298"/>
    <x v="0"/>
    <s v="pagado"/>
    <s v="pagado"/>
    <x v="0"/>
    <x v="0"/>
  </r>
  <r>
    <n v="3000005394"/>
    <d v="2026-08-24T00:00:00"/>
    <n v="18603636.140000001"/>
    <s v="PERATO CRISTIAN LUIS BANDA DEL RIO SALI 14"/>
    <x v="2416"/>
    <n v="18603636.140000001"/>
    <x v="298"/>
    <x v="0"/>
    <s v="pagado"/>
    <s v="pagado"/>
    <x v="0"/>
    <x v="0"/>
  </r>
  <r>
    <n v="3000005395"/>
    <d v="2026-08-24T00:00:00"/>
    <n v="21895924.300000001"/>
    <s v="FERNANDEZ HECTOR JOSE SIMOCA 14"/>
    <x v="2417"/>
    <n v="21895924.300000001"/>
    <x v="298"/>
    <x v="0"/>
    <s v="pagado"/>
    <s v="pagado"/>
    <x v="0"/>
    <x v="0"/>
  </r>
  <r>
    <n v="3000005396"/>
    <d v="2026-08-24T00:00:00"/>
    <n v="8088204.1100000003"/>
    <s v="BARBARISI JUAREZ PABLO EMANUELSAN JUAN 10"/>
    <x v="2418"/>
    <n v="8088204.1100000003"/>
    <x v="298"/>
    <x v="0"/>
    <s v="pagado"/>
    <s v="pagado"/>
    <x v="0"/>
    <x v="0"/>
  </r>
  <r>
    <n v="3000005397"/>
    <d v="2026-08-24T00:00:00"/>
    <n v="12522622.35"/>
    <s v="GONZALEZ JOSE LUIS CONCEPCION 14"/>
    <x v="2419"/>
    <n v="12522622.35"/>
    <x v="298"/>
    <x v="0"/>
    <s v="pagado"/>
    <s v="pagado"/>
    <x v="0"/>
    <x v="0"/>
  </r>
  <r>
    <n v="3000005398"/>
    <d v="2026-08-24T00:00:00"/>
    <n v="7289316.6500000004"/>
    <s v="Sanchez Jose Mauricio San Miguel de Tucuman 14"/>
    <x v="2420"/>
    <n v="7289316.6500000004"/>
    <x v="298"/>
    <x v="0"/>
    <s v="pagado"/>
    <s v="pagado"/>
    <x v="0"/>
    <x v="0"/>
  </r>
  <r>
    <n v="3000005399"/>
    <d v="2026-08-24T00:00:00"/>
    <n v="6310818.3099999996"/>
    <s v="Vaquera Francisco Alfredo Monteros 14"/>
    <x v="2421"/>
    <n v="6310818.3099999996"/>
    <x v="298"/>
    <x v="0"/>
    <s v="pagado"/>
    <s v="pagado"/>
    <x v="0"/>
    <x v="0"/>
  </r>
  <r>
    <n v="3000005400"/>
    <d v="2026-08-24T00:00:00"/>
    <n v="5866810.9299999997"/>
    <s v="Pedro Angel Michael Alderetes 14"/>
    <x v="2422"/>
    <n v="5866810.9299999997"/>
    <x v="298"/>
    <x v="0"/>
    <s v="pagado"/>
    <s v="pagado"/>
    <x v="0"/>
    <x v="0"/>
  </r>
  <r>
    <n v="3000005401"/>
    <d v="2026-08-24T00:00:00"/>
    <n v="7749760.04"/>
    <s v="Gonzalez Jose Luis Lastenia 14"/>
    <x v="2423"/>
    <n v="7749760.04"/>
    <x v="298"/>
    <x v="0"/>
    <s v="pagado"/>
    <s v="pagado"/>
    <x v="0"/>
    <x v="0"/>
  </r>
  <r>
    <n v="3000005402"/>
    <d v="2026-08-24T00:00:00"/>
    <n v="39270743.020000003"/>
    <s v="LA MARTINA SERV. AGRICOLAS S.RSAN PABLO 14"/>
    <x v="2424"/>
    <n v="39270743.020000003"/>
    <x v="298"/>
    <x v="0"/>
    <s v="pagado"/>
    <s v="pagado"/>
    <x v="0"/>
    <x v="0"/>
  </r>
  <r>
    <n v="3000005403"/>
    <d v="2026-08-24T00:00:00"/>
    <n v="42777430.670000002"/>
    <s v="AGROPECUARIA MUNDO NUEVO SRL SAN PABLO 14"/>
    <x v="2425"/>
    <n v="42777430.670000002"/>
    <x v="298"/>
    <x v="0"/>
    <s v="pagado"/>
    <s v="pagado"/>
    <x v="0"/>
    <x v="0"/>
  </r>
  <r>
    <n v="3000005404"/>
    <d v="2026-08-24T00:00:00"/>
    <n v="8995080.8599999994"/>
    <s v="CASTRO MATIAS JOSE SAN MIGUEL DE TUCUMAN 14"/>
    <x v="2426"/>
    <n v="8995080.8599999994"/>
    <x v="298"/>
    <x v="0"/>
    <s v="pagado"/>
    <s v="pagado"/>
    <x v="0"/>
    <x v="0"/>
  </r>
  <r>
    <n v="3000005405"/>
    <d v="2026-08-24T00:00:00"/>
    <n v="6654193.9699999997"/>
    <s v="SUAREZ MANUEL RODOLFO ALDERETES 14"/>
    <x v="2427"/>
    <n v="6654193.9699999997"/>
    <x v="298"/>
    <x v="0"/>
    <s v="pagado"/>
    <s v="pagado"/>
    <x v="0"/>
    <x v="0"/>
  </r>
  <r>
    <n v="3000005406"/>
    <d v="2026-08-25T00:00:00"/>
    <n v="10000"/>
    <s v="EDET S.A. SAN MIGUEL DE TUCUMAN 14"/>
    <x v="2428"/>
    <n v="10000"/>
    <x v="295"/>
    <x v="0"/>
    <s v="pagado"/>
    <s v="pagado"/>
    <x v="0"/>
    <x v="0"/>
  </r>
  <r>
    <n v="3000005430"/>
    <d v="2026-08-25T00:00:00"/>
    <n v="7012764.0899999999"/>
    <s v="ALVAREZ RENE JOSE MARIA BELLA VISTA 14"/>
    <x v="2429"/>
    <n v="7012764.0899999999"/>
    <x v="299"/>
    <x v="0"/>
    <s v="pagado"/>
    <s v="pagado"/>
    <x v="0"/>
    <x v="0"/>
  </r>
  <r>
    <n v="3000005431"/>
    <d v="2026-08-25T00:00:00"/>
    <n v="16012232"/>
    <s v="LA MARTINA SERV. AGRICOLAS S.RSAN PABLO 14"/>
    <x v="2430"/>
    <n v="16012232"/>
    <x v="299"/>
    <x v="0"/>
    <s v="pagado"/>
    <s v="pagado"/>
    <x v="0"/>
    <x v="0"/>
  </r>
  <r>
    <n v="3000005432"/>
    <d v="2026-08-25T00:00:00"/>
    <n v="7610257.6900000004"/>
    <s v="ALDERETE GASTON ALBERTO TERMAS DE RIO HONDO 13"/>
    <x v="2431"/>
    <n v="7610257.6900000004"/>
    <x v="299"/>
    <x v="0"/>
    <s v="no pagado"/>
    <s v="en periodo de pago"/>
    <x v="2"/>
    <x v="0"/>
  </r>
  <r>
    <n v="3000005433"/>
    <d v="2026-08-25T00:00:00"/>
    <n v="11204469.970000001"/>
    <s v="Arias Gonzalo Alejandro San Miguel de Tucumán 14"/>
    <x v="2432"/>
    <n v="11204469.970000001"/>
    <x v="299"/>
    <x v="0"/>
    <s v="pagado"/>
    <s v="pagado"/>
    <x v="0"/>
    <x v="0"/>
  </r>
  <r>
    <n v="3000005434"/>
    <d v="2026-08-25T00:00:00"/>
    <n v="6689354.1399999997"/>
    <s v="SANTILLI CARLOS MIGUEL SAN MIGUEL DE TUCUMAN 14"/>
    <x v="2433"/>
    <n v="6689354.1399999997"/>
    <x v="299"/>
    <x v="0"/>
    <s v="pagado"/>
    <s v="pagado"/>
    <x v="0"/>
    <x v="0"/>
  </r>
  <r>
    <n v="3000005435"/>
    <d v="2026-08-25T00:00:00"/>
    <n v="15721125"/>
    <s v="TRANSPORTE FRIOS DEL NORTE S.RSAN MIGUEL DE TUCUMAN 14"/>
    <x v="2434"/>
    <n v="15721125"/>
    <x v="299"/>
    <x v="0"/>
    <s v="pagado"/>
    <s v="pagado"/>
    <x v="0"/>
    <x v="0"/>
  </r>
  <r>
    <n v="3000005436"/>
    <d v="2026-08-25T00:00:00"/>
    <n v="8293635"/>
    <s v="MAC DONALD MIGUEL ALEJANDRO BANDA DEL RIO SALI 14"/>
    <x v="2435"/>
    <n v="8293635"/>
    <x v="299"/>
    <x v="0"/>
    <s v="pagado"/>
    <s v="pagado"/>
    <x v="0"/>
    <x v="0"/>
  </r>
  <r>
    <n v="3000005437"/>
    <d v="2026-08-25T00:00:00"/>
    <n v="17002700"/>
    <s v="CAPETTA ANTONELLA ANAHI SAN MIGUEL DE TUCUMAN 14"/>
    <x v="2436"/>
    <n v="17002700"/>
    <x v="299"/>
    <x v="0"/>
    <s v="pagado"/>
    <s v="pagado"/>
    <x v="0"/>
    <x v="0"/>
  </r>
  <r>
    <n v="3000005567"/>
    <d v="2026-08-31T00:00:00"/>
    <n v="27505450.899999999"/>
    <s v="CONTROL UNION NORTE S.A YERBA BUENA 14"/>
    <x v="2437"/>
    <n v="27505450.899999999"/>
    <x v="294"/>
    <x v="0"/>
    <s v="no pagado"/>
    <s v="en periodo de pago"/>
    <x v="2"/>
    <x v="0"/>
  </r>
  <r>
    <n v="3000005568"/>
    <d v="2026-08-31T00:00:00"/>
    <n v="33776131.770000003"/>
    <s v="AGRICOLA MARES S.A FAMAILLA 14"/>
    <x v="2438"/>
    <n v="33776131.770000003"/>
    <x v="300"/>
    <x v="0"/>
    <s v="pagado"/>
    <s v="pagado"/>
    <x v="0"/>
    <x v="0"/>
  </r>
  <r>
    <n v="3000005569"/>
    <d v="2026-08-31T00:00:00"/>
    <n v="42236088.270000003"/>
    <s v="AGRO ALIANZA SA TAFI VIEJO 14"/>
    <x v="2439"/>
    <n v="42236088.270000003"/>
    <x v="300"/>
    <x v="0"/>
    <s v="no pagado"/>
    <s v="en periodo de pago"/>
    <x v="2"/>
    <x v="0"/>
  </r>
  <r>
    <n v="3000005570"/>
    <d v="2026-08-31T00:00:00"/>
    <n v="10473653.380000001"/>
    <s v="SEGURIDAD OMEGA SRL SAN FERNANDO DEL VALLE DE CATAMARCA 02"/>
    <x v="2440"/>
    <n v="10473653.380000001"/>
    <x v="301"/>
    <x v="0"/>
    <s v="no pagado"/>
    <s v="en periodo de pago"/>
    <x v="2"/>
    <x v="0"/>
  </r>
  <r>
    <n v="3000005571"/>
    <d v="2026-08-31T00:00:00"/>
    <n v="5357588.45"/>
    <s v="RASUK JORGE LUIS YERBA BUENA 14"/>
    <x v="2441"/>
    <n v="5357588.45"/>
    <x v="294"/>
    <x v="0"/>
    <s v="no pagado"/>
    <s v="en periodo de pago"/>
    <x v="2"/>
    <x v="0"/>
  </r>
  <r>
    <n v="3000005573"/>
    <d v="2026-08-31T00:00:00"/>
    <n v="9474131.5199999996"/>
    <s v="FERRO JOSE NICOLAS FAMAILLA 14"/>
    <x v="2442"/>
    <n v="9474131.5199999996"/>
    <x v="294"/>
    <x v="0"/>
    <s v="no pagado"/>
    <s v="en periodo de pago"/>
    <x v="2"/>
    <x v="0"/>
  </r>
  <r>
    <n v="3000005574"/>
    <d v="2026-08-31T00:00:00"/>
    <n v="2764712.92"/>
    <s v="FERPASI S.R.L SAN MIGUEL DE TUCUMAN 14"/>
    <x v="2443"/>
    <n v="2764712.92"/>
    <x v="294"/>
    <x v="0"/>
    <s v="no pagado"/>
    <s v="en periodo de pago"/>
    <x v="2"/>
    <x v="0"/>
  </r>
  <r>
    <n v="3000005577"/>
    <d v="2026-08-31T00:00:00"/>
    <n v="11817540"/>
    <s v="CEMEVA SAS YERBA BUENA 14"/>
    <x v="2444"/>
    <n v="11817540"/>
    <x v="294"/>
    <x v="0"/>
    <s v="no pagado"/>
    <s v="en periodo de pago"/>
    <x v="2"/>
    <x v="0"/>
  </r>
  <r>
    <n v="3000005579"/>
    <d v="2026-08-31T00:00:00"/>
    <n v="15450713.76"/>
    <s v="CAPETTA ANTONELLA ANAHI SAN MIGUEL DE TUCUMAN 14"/>
    <x v="2445"/>
    <n v="15450713.76"/>
    <x v="294"/>
    <x v="0"/>
    <s v="no pagado"/>
    <s v="en periodo de pago"/>
    <x v="2"/>
    <x v="0"/>
  </r>
  <r>
    <n v="3000005581"/>
    <d v="2026-08-31T00:00:00"/>
    <n v="11365560"/>
    <s v="RL SOLUCIONES S. A. S. SAN MIGUEL DE TUCUMAN 14"/>
    <x v="2446"/>
    <n v="11365560"/>
    <x v="294"/>
    <x v="0"/>
    <s v="no pagado"/>
    <s v="en periodo de pago"/>
    <x v="2"/>
    <x v="0"/>
  </r>
  <r>
    <n v="3000005583"/>
    <d v="2026-08-31T00:00:00"/>
    <n v="39228520.280000001"/>
    <s v="Martinez Zuccardi Emma CeciliaSAN MIGUEL DE TUCUMAN 14"/>
    <x v="2447"/>
    <n v="39228520.280000001"/>
    <x v="300"/>
    <x v="0"/>
    <s v="pagado"/>
    <s v="pagado"/>
    <x v="0"/>
    <x v="0"/>
  </r>
  <r>
    <n v="3000005584"/>
    <d v="2026-08-31T00:00:00"/>
    <n v="7359300"/>
    <s v="GEOTECNOLOGIA S.R.L SAN MIGUEL DE TUCUMAN 14"/>
    <x v="2448"/>
    <n v="7359300"/>
    <x v="294"/>
    <x v="0"/>
    <s v="no pagado"/>
    <s v="en periodo de pago"/>
    <x v="2"/>
    <x v="0"/>
  </r>
  <r>
    <n v="3000005585"/>
    <d v="2026-08-31T00:00:00"/>
    <n v="12576900.01"/>
    <s v="TRANSPORTE FRIOS DEL NORTE S.RSAN MIGUEL DE TUCUMAN 14"/>
    <x v="2449"/>
    <n v="12576900.01"/>
    <x v="294"/>
    <x v="0"/>
    <s v="no pagado"/>
    <s v="en periodo de pago"/>
    <x v="2"/>
    <x v="0"/>
  </r>
  <r>
    <n v="3000005572"/>
    <d v="2026-09-01T00:00:00"/>
    <n v="6801576.04"/>
    <s v="CARRASCO JUAN CARLOS BANDA DEL RIO SALI 14"/>
    <x v="2450"/>
    <n v="6801576.04"/>
    <x v="294"/>
    <x v="0"/>
    <s v="no pagado"/>
    <s v="en periodo de pago"/>
    <x v="2"/>
    <x v="0"/>
  </r>
  <r>
    <n v="3000005637"/>
    <d v="2026-09-02T00:00:00"/>
    <n v="1713032.21"/>
    <s v="Fondo Fijo Administracion CitrNO TIENE"/>
    <x v="2451"/>
    <n v="1713032.21"/>
    <x v="301"/>
    <x v="0"/>
    <s v="pagado"/>
    <s v="pagado"/>
    <x v="0"/>
    <x v="0"/>
  </r>
  <r>
    <n v="3000005638"/>
    <d v="2026-09-02T00:00:00"/>
    <n v="38917367.920000002"/>
    <s v="Rutas Servicios Integrales SRLCapital Federal 00"/>
    <x v="2452"/>
    <n v="38917367.920000002"/>
    <x v="274"/>
    <x v="0"/>
    <s v="no pagado"/>
    <s v="en periodo de pago"/>
    <x v="1"/>
    <x v="1"/>
  </r>
  <r>
    <n v="3000005639"/>
    <d v="2026-09-02T00:00:00"/>
    <n v="5935943.4000000004"/>
    <s v="ALDO A. MILITELLO GRUAS Y TRANMaipu 07"/>
    <x v="2453"/>
    <n v="5935943.4000000004"/>
    <x v="274"/>
    <x v="0"/>
    <s v="no pagado"/>
    <s v="en periodo de pago"/>
    <x v="1"/>
    <x v="1"/>
  </r>
  <r>
    <n v="3000005640"/>
    <d v="2026-09-02T00:00:00"/>
    <n v="5305667.92"/>
    <s v="FLETES Y SERVICIOS PUJATO S.A PUJATO 12"/>
    <x v="2454"/>
    <n v="5305667.92"/>
    <x v="274"/>
    <x v="0"/>
    <s v="no pagado"/>
    <s v="en periodo de pago"/>
    <x v="1"/>
    <x v="1"/>
  </r>
  <r>
    <n v="3000005641"/>
    <d v="2026-09-02T00:00:00"/>
    <n v="11555762.869999999"/>
    <s v="CAPETTA ANTONELLA ANAHI SAN MIGUEL DE TUCUMAN 14"/>
    <x v="2455"/>
    <n v="11555762.869999999"/>
    <x v="274"/>
    <x v="0"/>
    <s v="no pagado"/>
    <s v="en periodo de pago"/>
    <x v="1"/>
    <x v="1"/>
  </r>
  <r>
    <n v="3000005642"/>
    <d v="2026-09-02T00:00:00"/>
    <n v="16859867.920000002"/>
    <s v="RL SOLUCIONES S. A. S. SAN MIGUEL DE TUCUMAN 14"/>
    <x v="2456"/>
    <n v="16859867.920000002"/>
    <x v="274"/>
    <x v="0"/>
    <s v="no pagado"/>
    <s v="en periodo de pago"/>
    <x v="1"/>
    <x v="1"/>
  </r>
  <r>
    <n v="3000005643"/>
    <d v="2026-09-02T00:00:00"/>
    <n v="17393857.059999999"/>
    <s v="JACQUET NORBERTO SALVADOR SAN JOSE 05"/>
    <x v="2457"/>
    <n v="17393857.059999999"/>
    <x v="274"/>
    <x v="0"/>
    <s v="no pagado"/>
    <s v="en periodo de pago"/>
    <x v="1"/>
    <x v="1"/>
  </r>
  <r>
    <m/>
    <m/>
    <m/>
    <m/>
    <x v="2458"/>
    <m/>
    <x v="302"/>
    <x v="0"/>
    <s v="no pagado"/>
    <s v="fuera de fecha"/>
    <x v="0"/>
    <x v="0"/>
  </r>
  <r>
    <m/>
    <m/>
    <m/>
    <m/>
    <x v="2458"/>
    <m/>
    <x v="302"/>
    <x v="3"/>
    <s v="no pagado"/>
    <s v="fuera de fecha"/>
    <x v="0"/>
    <x v="0"/>
  </r>
  <r>
    <m/>
    <m/>
    <m/>
    <m/>
    <x v="2458"/>
    <m/>
    <x v="302"/>
    <x v="3"/>
    <m/>
    <m/>
    <x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2">
  <r>
    <n v="3000000030"/>
    <d v="2025-01-02T00:00:00"/>
    <n v="0"/>
    <s v="Anulado"/>
    <x v="0"/>
    <n v="0"/>
    <x v="0"/>
    <x v="0"/>
    <s v="no pagado"/>
    <s v="fuera de fecha"/>
    <s v="excluir"/>
    <s v="no semana"/>
    <x v="0"/>
  </r>
  <r>
    <n v="3000000031"/>
    <d v="2025-01-02T00:00:00"/>
    <n v="4656543.4000000004"/>
    <s v="HYDRASER SA ROSARIO 12"/>
    <x v="1"/>
    <n v="4656543.4000000004"/>
    <x v="1"/>
    <x v="0"/>
    <s v="pagado"/>
    <s v="pagado"/>
    <s v="excluir"/>
    <s v="no semana"/>
    <x v="0"/>
  </r>
  <r>
    <n v="3000000032"/>
    <d v="2025-01-02T00:00:00"/>
    <n v="4183758.4"/>
    <s v="LOBO BENICIO MARTIN ALDERETES 14"/>
    <x v="2"/>
    <n v="4183758.4"/>
    <x v="1"/>
    <x v="0"/>
    <s v="pagado"/>
    <s v="pagado"/>
    <s v="excluir"/>
    <s v="no semana"/>
    <x v="0"/>
  </r>
  <r>
    <n v="3000000033"/>
    <d v="2025-01-02T00:00:00"/>
    <n v="9873403.4000000004"/>
    <s v="PABLO Y FERNANDO TACCHELLA S.RSAN MIGUEL DE TUCUMAN 14"/>
    <x v="3"/>
    <n v="9873403.4000000004"/>
    <x v="2"/>
    <x v="0"/>
    <s v="pagado"/>
    <s v="pagado"/>
    <s v="excluir"/>
    <s v="no semana"/>
    <x v="0"/>
  </r>
  <r>
    <n v="3000000034"/>
    <d v="2025-01-02T00:00:00"/>
    <n v="6665838.2699999996"/>
    <s v="Servicom Group S.A. CAPITAL FEDERAL 00"/>
    <x v="4"/>
    <n v="6665838.2699999996"/>
    <x v="2"/>
    <x v="0"/>
    <s v="pagado"/>
    <s v="pagado"/>
    <s v="excluir"/>
    <s v="no semana"/>
    <x v="0"/>
  </r>
  <r>
    <n v="3000000083"/>
    <d v="2025-01-06T00:00:00"/>
    <n v="6715811.7999999998"/>
    <s v="MERCATOR TRANSPORT ARGENTINA SBUENOS AIRES 01"/>
    <x v="5"/>
    <n v="6715811.7999999998"/>
    <x v="1"/>
    <x v="1"/>
    <s v="pagado"/>
    <s v="pagado"/>
    <s v="excluir"/>
    <s v="no semana"/>
    <x v="0"/>
  </r>
  <r>
    <n v="3000000109"/>
    <d v="2025-01-07T00:00:00"/>
    <n v="37609623.539999999"/>
    <s v="Greif Argentina SA Tigre 01"/>
    <x v="6"/>
    <n v="37609623.539999999"/>
    <x v="2"/>
    <x v="1"/>
    <s v="pagado"/>
    <s v="pagado"/>
    <s v="excluir"/>
    <s v="no semana"/>
    <x v="0"/>
  </r>
  <r>
    <n v="3000000110"/>
    <d v="2025-01-07T00:00:00"/>
    <n v="18230418.23"/>
    <s v="MONTEROS LEMON SAS TAFI VIEJO 14"/>
    <x v="7"/>
    <n v="18230418.23"/>
    <x v="2"/>
    <x v="1"/>
    <s v="pagado"/>
    <s v="pagado"/>
    <s v="excluir"/>
    <s v="no semana"/>
    <x v="0"/>
  </r>
  <r>
    <n v="3000000149"/>
    <d v="2025-01-08T00:00:00"/>
    <n v="20000000"/>
    <s v="BONSUR SA CAPITAL FEDERAL 00"/>
    <x v="8"/>
    <n v="20000000"/>
    <x v="3"/>
    <x v="0"/>
    <s v="pagado"/>
    <s v="pagado"/>
    <s v="excluir"/>
    <s v="no semana"/>
    <x v="0"/>
  </r>
  <r>
    <n v="3000000149"/>
    <d v="2025-01-08T00:00:00"/>
    <n v="19850367.920000002"/>
    <s v="BONSUR SA CAPITAL FEDERAL 00"/>
    <x v="9"/>
    <n v="19850367.920000002"/>
    <x v="4"/>
    <x v="0"/>
    <s v="pagado"/>
    <s v="pagado"/>
    <s v="excluir"/>
    <s v="no semana"/>
    <x v="0"/>
  </r>
  <r>
    <n v="3000000148"/>
    <d v="2025-01-08T00:00:00"/>
    <n v="22860153.16"/>
    <s v="Terminal 4 S.A. Puerto Nuevo 01"/>
    <x v="10"/>
    <n v="22860153.16"/>
    <x v="5"/>
    <x v="0"/>
    <s v="pagado"/>
    <s v="pagado"/>
    <s v="excluir"/>
    <s v="no semana"/>
    <x v="0"/>
  </r>
  <r>
    <n v="3000000150"/>
    <d v="2025-01-09T00:00:00"/>
    <n v="2000000"/>
    <s v=". Tucumán"/>
    <x v="11"/>
    <n v="2000000"/>
    <x v="6"/>
    <x v="1"/>
    <s v="pagado"/>
    <s v="pagado"/>
    <s v="excluir"/>
    <s v="no semana"/>
    <x v="0"/>
  </r>
  <r>
    <n v="3000000226"/>
    <d v="2025-01-13T00:00:00"/>
    <n v="120000000"/>
    <s v="MG SERVICIOS AGROPECUARIOS SASTAFI VIEJO 14"/>
    <x v="12"/>
    <n v="120000000"/>
    <x v="7"/>
    <x v="1"/>
    <s v="pagado"/>
    <s v="pagado"/>
    <s v="excluir"/>
    <s v="no semana"/>
    <x v="0"/>
  </r>
  <r>
    <n v="3000000226"/>
    <d v="2025-01-13T00:00:00"/>
    <n v="22000000"/>
    <s v="MG SERVICIOS AGROPECUARIOS SASTAFI VIEJO 14"/>
    <x v="13"/>
    <n v="22000000"/>
    <x v="7"/>
    <x v="1"/>
    <s v="pagado"/>
    <s v="pagado"/>
    <s v="excluir"/>
    <s v="no semana"/>
    <x v="0"/>
  </r>
  <r>
    <n v="3000000226"/>
    <d v="2025-01-13T00:00:00"/>
    <n v="6127000"/>
    <s v="MG SERVICIOS AGROPECUARIOS SASTAFI VIEJO 14"/>
    <x v="14"/>
    <n v="6127000"/>
    <x v="7"/>
    <x v="1"/>
    <s v="pagado"/>
    <s v="pagado"/>
    <s v="excluir"/>
    <s v="no semana"/>
    <x v="0"/>
  </r>
  <r>
    <n v="3000000226"/>
    <d v="2025-01-13T00:00:00"/>
    <n v="2387500"/>
    <s v="MG SERVICIOS AGROPECUARIOS SASTAFI VIEJO 14"/>
    <x v="15"/>
    <n v="2387500"/>
    <x v="8"/>
    <x v="1"/>
    <s v="pagado"/>
    <s v="pagado"/>
    <s v="excluir"/>
    <s v="no semana"/>
    <x v="0"/>
  </r>
  <r>
    <n v="3000000226"/>
    <d v="2025-01-13T00:00:00"/>
    <n v="2633358"/>
    <s v="MG SERVICIOS AGROPECUARIOS SASTAFI VIEJO 14"/>
    <x v="16"/>
    <n v="2633358"/>
    <x v="8"/>
    <x v="1"/>
    <s v="pagado"/>
    <s v="pagado"/>
    <s v="excluir"/>
    <s v="no semana"/>
    <x v="0"/>
  </r>
  <r>
    <n v="3000000226"/>
    <d v="2025-01-13T00:00:00"/>
    <n v="12398389.27"/>
    <s v="MG SERVICIOS AGROPECUARIOS SASTAFI VIEJO 14"/>
    <x v="17"/>
    <n v="12398389.27"/>
    <x v="8"/>
    <x v="1"/>
    <s v="pagado"/>
    <s v="pagado"/>
    <s v="excluir"/>
    <s v="no semana"/>
    <x v="0"/>
  </r>
  <r>
    <n v="3000000227"/>
    <d v="2025-01-13T00:00:00"/>
    <n v="21000000"/>
    <s v="TRUSARELLI CARLOS ALBERTO BANDA DEL RIO SALI 14"/>
    <x v="18"/>
    <n v="21000000"/>
    <x v="7"/>
    <x v="1"/>
    <s v="pagado"/>
    <s v="pagado"/>
    <s v="excluir"/>
    <s v="no semana"/>
    <x v="0"/>
  </r>
  <r>
    <n v="3000000227"/>
    <d v="2025-01-13T00:00:00"/>
    <n v="20261104.68"/>
    <s v="TRUSARELLI CARLOS ALBERTO BANDA DEL RIO SALI 14"/>
    <x v="19"/>
    <n v="20261104.68"/>
    <x v="8"/>
    <x v="1"/>
    <s v="pagado"/>
    <s v="pagado"/>
    <s v="excluir"/>
    <s v="no semana"/>
    <x v="0"/>
  </r>
  <r>
    <n v="3000000230"/>
    <d v="2025-01-13T00:00:00"/>
    <n v="23000000"/>
    <s v="M. AMUCHASTEGUI S. R. L. YERBA BUENA 14"/>
    <x v="20"/>
    <n v="23000000"/>
    <x v="7"/>
    <x v="1"/>
    <s v="pagado"/>
    <s v="pagado"/>
    <s v="excluir"/>
    <s v="no semana"/>
    <x v="0"/>
  </r>
  <r>
    <n v="3000000230"/>
    <d v="2025-01-13T00:00:00"/>
    <n v="22928224.420000002"/>
    <s v="M. AMUCHASTEGUI S. R. L. YERBA BUENA 14"/>
    <x v="21"/>
    <n v="22928224.420000002"/>
    <x v="8"/>
    <x v="1"/>
    <s v="pagado"/>
    <s v="pagado"/>
    <s v="excluir"/>
    <s v="no semana"/>
    <x v="0"/>
  </r>
  <r>
    <n v="3000000228"/>
    <d v="2025-01-13T00:00:00"/>
    <n v="5222989.75"/>
    <s v="GCAMPO MAQUINARIAS S.R.L LAS TALITAS 14"/>
    <x v="22"/>
    <n v="5222989.75"/>
    <x v="7"/>
    <x v="1"/>
    <s v="pagado"/>
    <s v="pagado"/>
    <s v="excluir"/>
    <s v="no semana"/>
    <x v="0"/>
  </r>
  <r>
    <n v="3000000229"/>
    <d v="2025-01-13T00:00:00"/>
    <n v="9367605.0899999999"/>
    <s v="CAMPOAGRO SRL YERBA BUENA 14"/>
    <x v="23"/>
    <n v="9367605.0899999999"/>
    <x v="7"/>
    <x v="1"/>
    <s v="pagado"/>
    <s v="pagado"/>
    <s v="excluir"/>
    <s v="no semana"/>
    <x v="0"/>
  </r>
  <r>
    <n v="3000000231"/>
    <d v="2025-01-13T00:00:00"/>
    <n v="6205901.4900000002"/>
    <s v="PEREZ CURBELO HNOS SRL SAN MIGUEL DE TUCUMAN 14"/>
    <x v="24"/>
    <n v="6205901.4900000002"/>
    <x v="9"/>
    <x v="1"/>
    <s v="pagado"/>
    <s v="pagado"/>
    <s v="excluir"/>
    <s v="no semana"/>
    <x v="0"/>
  </r>
  <r>
    <n v="3000000232"/>
    <d v="2025-01-13T00:00:00"/>
    <n v="8636029.0899999999"/>
    <s v="Metalurgica Ramon S.R.L. Lastenia 14"/>
    <x v="25"/>
    <n v="8636029.0899999999"/>
    <x v="9"/>
    <x v="1"/>
    <s v="pagado"/>
    <s v="pagado"/>
    <s v="excluir"/>
    <s v="no semana"/>
    <x v="0"/>
  </r>
  <r>
    <n v="3000000268"/>
    <d v="2025-01-13T00:00:00"/>
    <n v="2024279"/>
    <s v="MG SERVICIOS AGROPECUARIOS SASTAFI VIEJO 14"/>
    <x v="26"/>
    <n v="2024279"/>
    <x v="9"/>
    <x v="1"/>
    <s v="pagado"/>
    <s v="pagado"/>
    <s v="excluir"/>
    <s v="no semana"/>
    <x v="0"/>
  </r>
  <r>
    <n v="3000000268"/>
    <d v="2025-01-13T00:00:00"/>
    <n v="1282000"/>
    <s v="MG SERVICIOS AGROPECUARIOS SASTAFI VIEJO 14"/>
    <x v="27"/>
    <n v="1282000"/>
    <x v="9"/>
    <x v="1"/>
    <s v="pagado"/>
    <s v="pagado"/>
    <s v="excluir"/>
    <s v="no semana"/>
    <x v="0"/>
  </r>
  <r>
    <n v="3000000268"/>
    <d v="2025-01-13T00:00:00"/>
    <n v="28812441.129999999"/>
    <s v="MG SERVICIOS AGROPECUARIOS SASTAFI VIEJO 14"/>
    <x v="28"/>
    <n v="28812441.129999999"/>
    <x v="9"/>
    <x v="1"/>
    <s v="pagado"/>
    <s v="pagado"/>
    <s v="excluir"/>
    <s v="no semana"/>
    <x v="0"/>
  </r>
  <r>
    <n v="3000000325"/>
    <d v="2025-01-20T00:00:00"/>
    <n v="10000000"/>
    <s v="CAFELI S.R.L. SAN MIGUEL DE TUCUMAN 14"/>
    <x v="29"/>
    <n v="10000000"/>
    <x v="10"/>
    <x v="1"/>
    <s v="pagado"/>
    <s v="pagado"/>
    <s v="excluir"/>
    <s v="no semana"/>
    <x v="0"/>
  </r>
  <r>
    <n v="3000000325"/>
    <d v="2025-01-20T00:00:00"/>
    <n v="5000000"/>
    <s v="CAFELI S.R.L. SAN MIGUEL DE TUCUMAN 14"/>
    <x v="30"/>
    <n v="5000000"/>
    <x v="10"/>
    <x v="1"/>
    <s v="pagado"/>
    <s v="pagado"/>
    <s v="excluir"/>
    <s v="no semana"/>
    <x v="0"/>
  </r>
  <r>
    <n v="3000000325"/>
    <d v="2025-01-20T00:00:00"/>
    <n v="5966545.0499999998"/>
    <s v="CAFELI S.R.L. SAN MIGUEL DE TUCUMAN 14"/>
    <x v="31"/>
    <n v="5966545.0499999998"/>
    <x v="11"/>
    <x v="1"/>
    <s v="pagado"/>
    <s v="pagado"/>
    <s v="excluir"/>
    <s v="no semana"/>
    <x v="0"/>
  </r>
  <r>
    <n v="3000000330"/>
    <d v="2025-01-20T00:00:00"/>
    <n v="20000000"/>
    <s v="MONTEROS LEMON SAS TAFI VIEJO 14"/>
    <x v="32"/>
    <n v="20000000"/>
    <x v="10"/>
    <x v="1"/>
    <s v="pagado"/>
    <s v="pagado"/>
    <s v="excluir"/>
    <s v="no semana"/>
    <x v="0"/>
  </r>
  <r>
    <n v="3000000330"/>
    <d v="2025-01-20T00:00:00"/>
    <n v="17169371.920000002"/>
    <s v="MONTEROS LEMON SAS TAFI VIEJO 14"/>
    <x v="33"/>
    <n v="17169371.920000002"/>
    <x v="11"/>
    <x v="1"/>
    <s v="pagado"/>
    <s v="pagado"/>
    <s v="excluir"/>
    <s v="no semana"/>
    <x v="0"/>
  </r>
  <r>
    <n v="3000000326"/>
    <d v="2025-01-20T00:00:00"/>
    <n v="220008590"/>
    <s v="EDET S.A. SAN MIGUEL DE TUCUMAN 14"/>
    <x v="34"/>
    <n v="220008590"/>
    <x v="12"/>
    <x v="1"/>
    <s v="pagado"/>
    <s v="pagado"/>
    <s v="excluir"/>
    <s v="no semana"/>
    <x v="0"/>
  </r>
  <r>
    <n v="3000000327"/>
    <d v="2025-01-20T00:00:00"/>
    <n v="6651581.3499999996"/>
    <s v="Consultoria en Tecnologia de IBUENOS AIRES 00"/>
    <x v="35"/>
    <n v="6651581.3499999996"/>
    <x v="10"/>
    <x v="1"/>
    <s v="pagado"/>
    <s v="pagado"/>
    <s v="excluir"/>
    <s v="no semana"/>
    <x v="0"/>
  </r>
  <r>
    <n v="3000000328"/>
    <d v="2025-01-20T00:00:00"/>
    <n v="5200982.25"/>
    <s v="M. AMUCHASTEGUI S. R. L. YERBA BUENA 14"/>
    <x v="36"/>
    <n v="5200982.25"/>
    <x v="10"/>
    <x v="1"/>
    <s v="pagado"/>
    <s v="pagado"/>
    <s v="excluir"/>
    <s v="no semana"/>
    <x v="0"/>
  </r>
  <r>
    <n v="3000000329"/>
    <d v="2025-01-20T00:00:00"/>
    <n v="11692197.359999999"/>
    <s v="Romero, Hector Ruben Alpachiri 14"/>
    <x v="37"/>
    <n v="11692197.359999999"/>
    <x v="10"/>
    <x v="1"/>
    <s v="pagado"/>
    <s v="pagado"/>
    <s v="excluir"/>
    <s v="no semana"/>
    <x v="0"/>
  </r>
  <r>
    <n v="3000000331"/>
    <d v="2025-01-20T00:00:00"/>
    <n v="5458642"/>
    <s v="SANTEX S. A. LOS NOGALES 14"/>
    <x v="38"/>
    <n v="5458642"/>
    <x v="10"/>
    <x v="1"/>
    <s v="pagado"/>
    <s v="pagado"/>
    <s v="excluir"/>
    <s v="no semana"/>
    <x v="0"/>
  </r>
  <r>
    <n v="3000000332"/>
    <d v="2025-01-20T00:00:00"/>
    <n v="7519903.3200000003"/>
    <s v="MARTINO HNOS SERVICIOS AGRICOLFAMAILLA 14"/>
    <x v="39"/>
    <n v="7519903.3200000003"/>
    <x v="10"/>
    <x v="1"/>
    <s v="pagado"/>
    <s v="pagado"/>
    <s v="excluir"/>
    <s v="no semana"/>
    <x v="0"/>
  </r>
  <r>
    <n v="3000000333"/>
    <d v="2025-01-20T00:00:00"/>
    <n v="6807063.8300000001"/>
    <s v="SALAZAR CARLOS ALBERTO SAN MIGUEL DE TUCUMAN 14"/>
    <x v="40"/>
    <n v="6807063.8300000001"/>
    <x v="10"/>
    <x v="1"/>
    <s v="pagado"/>
    <s v="pagado"/>
    <s v="excluir"/>
    <s v="no semana"/>
    <x v="0"/>
  </r>
  <r>
    <n v="3000000376"/>
    <d v="2025-01-22T00:00:00"/>
    <n v="11461757.92"/>
    <s v="TRANSPORTE LA TRADICION SRL ALDERETES 14"/>
    <x v="41"/>
    <n v="11461757.92"/>
    <x v="11"/>
    <x v="1"/>
    <s v="pagado"/>
    <s v="pagado"/>
    <s v="excluir"/>
    <s v="no semana"/>
    <x v="0"/>
  </r>
  <r>
    <n v="3000000377"/>
    <d v="2025-01-22T00:00:00"/>
    <n v="12894135.83"/>
    <s v="Terminal 4 S.A. Puerto Nuevo 01"/>
    <x v="42"/>
    <n v="12894135.83"/>
    <x v="11"/>
    <x v="1"/>
    <s v="pagado"/>
    <s v="pagado"/>
    <s v="excluir"/>
    <s v="no semana"/>
    <x v="0"/>
  </r>
  <r>
    <n v="3000000378"/>
    <d v="2025-01-22T00:00:00"/>
    <n v="20000000"/>
    <s v="MERCATOR TRANSPORT ARGENTINA SBUENOS AIRES 01"/>
    <x v="43"/>
    <n v="20000000"/>
    <x v="11"/>
    <x v="1"/>
    <s v="pagado"/>
    <s v="pagado"/>
    <s v="excluir"/>
    <s v="no semana"/>
    <x v="0"/>
  </r>
  <r>
    <n v="3000000378"/>
    <d v="2025-01-22T00:00:00"/>
    <n v="19797475.120000001"/>
    <s v="MERCATOR TRANSPORT ARGENTINA SBUENOS AIRES 01"/>
    <x v="44"/>
    <n v="19797475.120000001"/>
    <x v="13"/>
    <x v="1"/>
    <s v="pagado"/>
    <s v="pagado"/>
    <s v="excluir"/>
    <s v="no semana"/>
    <x v="0"/>
  </r>
  <r>
    <n v="3000000475"/>
    <d v="2025-01-28T00:00:00"/>
    <n v="12000000"/>
    <s v="MG SERVICIOS AGROPECUARIOS SASTAFI VIEJO 14"/>
    <x v="45"/>
    <n v="12000000"/>
    <x v="14"/>
    <x v="1"/>
    <s v="pagado"/>
    <s v="pagado"/>
    <s v="excluir"/>
    <s v="no semana"/>
    <x v="0"/>
  </r>
  <r>
    <n v="3000000475"/>
    <d v="2025-01-28T00:00:00"/>
    <n v="30362004.93"/>
    <s v="MG SERVICIOS AGROPECUARIOS SASTAFI VIEJO 14"/>
    <x v="46"/>
    <n v="30362004.93"/>
    <x v="15"/>
    <x v="1"/>
    <s v="pagado"/>
    <s v="pagado"/>
    <s v="excluir"/>
    <s v="no semana"/>
    <x v="0"/>
  </r>
  <r>
    <n v="3000000476"/>
    <d v="2025-01-28T00:00:00"/>
    <n v="530102.19999999995"/>
    <s v="Acosta, Angel Alejandro SAN MIGUEL DE TUCUMAN 14"/>
    <x v="47"/>
    <n v="530102.19999999995"/>
    <x v="14"/>
    <x v="1"/>
    <s v="pagado"/>
    <s v="pagado"/>
    <s v="excluir"/>
    <s v="no semana"/>
    <x v="0"/>
  </r>
  <r>
    <n v="3000000437"/>
    <d v="2025-01-27T00:00:00"/>
    <n v="8019745.9000000004"/>
    <s v="JUAREZ SERGIO DAVID SAN MIGUEL DE TUCUMAN 14"/>
    <x v="48"/>
    <n v="8019745.9000000004"/>
    <x v="14"/>
    <x v="0"/>
    <s v="pagado"/>
    <s v="pagado"/>
    <s v="excluir"/>
    <s v="no semana"/>
    <x v="0"/>
  </r>
  <r>
    <n v="3000000438"/>
    <d v="2025-01-27T00:00:00"/>
    <n v="7837597.1399999997"/>
    <s v="Silver Freight Logistic SRL CAPITAL FEDERAL 00"/>
    <x v="49"/>
    <n v="7837597.1399999997"/>
    <x v="14"/>
    <x v="0"/>
    <s v="pagado"/>
    <s v="pagado"/>
    <s v="excluir"/>
    <s v="no semana"/>
    <x v="0"/>
  </r>
  <r>
    <n v="3000000439"/>
    <d v="2025-01-27T00:00:00"/>
    <n v="19595351.219999999"/>
    <s v="SMART SEGURIDAD SA YERBA BUENA 14"/>
    <x v="50"/>
    <n v="19595351.219999999"/>
    <x v="14"/>
    <x v="0"/>
    <s v="pagado"/>
    <s v="pagado"/>
    <s v="excluir"/>
    <s v="no semana"/>
    <x v="0"/>
  </r>
  <r>
    <n v="3000000440"/>
    <d v="2025-01-27T00:00:00"/>
    <n v="17633539.030000001"/>
    <s v="LA ASTURIANA SRL SAN MIGUEL DE TUCUMAN 14"/>
    <x v="51"/>
    <n v="17633539.030000001"/>
    <x v="15"/>
    <x v="0"/>
    <s v="pagado"/>
    <s v="pagado"/>
    <s v="excluir"/>
    <s v="no semana"/>
    <x v="0"/>
  </r>
  <r>
    <n v="3000000441"/>
    <d v="2025-01-27T00:00:00"/>
    <n v="12650244.390000001"/>
    <s v="TRUSARELLI CARLOS ALBERTO BANDA DEL RIO SALI 14"/>
    <x v="52"/>
    <n v="12650244.390000001"/>
    <x v="15"/>
    <x v="0"/>
    <s v="pagado"/>
    <s v="pagado"/>
    <s v="excluir"/>
    <s v="no semana"/>
    <x v="0"/>
  </r>
  <r>
    <n v="3000000442"/>
    <d v="2025-01-27T00:00:00"/>
    <n v="12454897.109999999"/>
    <s v="Servicom Group S.A. CAPITAL FEDERAL 00"/>
    <x v="53"/>
    <n v="12454897.109999999"/>
    <x v="15"/>
    <x v="0"/>
    <s v="pagado"/>
    <s v="pagado"/>
    <s v="excluir"/>
    <s v="no semana"/>
    <x v="0"/>
  </r>
  <r>
    <n v="3000000443"/>
    <d v="2025-01-27T00:00:00"/>
    <n v="10049305"/>
    <s v="RIBA MONICA ELIZABETH LAS TALITAS 14"/>
    <x v="54"/>
    <n v="10049305"/>
    <x v="16"/>
    <x v="0"/>
    <s v="pagado"/>
    <s v="pagado"/>
    <s v="excluir"/>
    <s v="no semana"/>
    <x v="0"/>
  </r>
  <r>
    <n v="3000000444"/>
    <d v="2025-01-27T00:00:00"/>
    <n v="8177346.46"/>
    <s v="Marchese Grandi Meson y Asoc SAN MIGUEL DE TUCUMAN 14"/>
    <x v="55"/>
    <n v="8177346.46"/>
    <x v="16"/>
    <x v="0"/>
    <s v="pagado"/>
    <s v="pagado"/>
    <s v="excluir"/>
    <s v="no semana"/>
    <x v="0"/>
  </r>
  <r>
    <n v="3000000445"/>
    <d v="2025-01-27T00:00:00"/>
    <n v="6668436"/>
    <s v="TEKNOS TECHNOLOGY GROUP SA CAPITAL FEDERAL 00"/>
    <x v="56"/>
    <n v="6668436"/>
    <x v="16"/>
    <x v="0"/>
    <s v="pagado"/>
    <s v="pagado"/>
    <s v="excluir"/>
    <s v="no semana"/>
    <x v="0"/>
  </r>
  <r>
    <n v="3000000519"/>
    <d v="2025-01-30T00:00:00"/>
    <n v="1000000"/>
    <s v="Fondo Fijo Administracion CitrNO TIENE"/>
    <x v="57"/>
    <n v="1000000"/>
    <x v="16"/>
    <x v="1"/>
    <s v="pagado"/>
    <s v="pagado"/>
    <s v="excluir"/>
    <s v="no semana"/>
    <x v="0"/>
  </r>
  <r>
    <n v="3000000519"/>
    <d v="2025-01-30T00:00:00"/>
    <n v="938229.47"/>
    <s v="Fondo Fijo Administracion CitrNO TIENE"/>
    <x v="58"/>
    <n v="938229.47"/>
    <x v="17"/>
    <x v="1"/>
    <s v="pagado"/>
    <s v="pagado"/>
    <s v="excluir"/>
    <s v="no semana"/>
    <x v="0"/>
  </r>
  <r>
    <n v="3000000521"/>
    <d v="2025-01-31T00:00:00"/>
    <n v="24523200"/>
    <s v="BONSUR SA CAPITAL FEDERAL 00"/>
    <x v="59"/>
    <n v="24523200"/>
    <x v="18"/>
    <x v="1"/>
    <s v="pagado"/>
    <s v="pagado"/>
    <s v="excluir"/>
    <s v="no semana"/>
    <x v="0"/>
  </r>
  <r>
    <n v="3000000585"/>
    <d v="2025-02-04T00:00:00"/>
    <n v="2626701.19"/>
    <s v="MG SERVICIOS AGROPECUARIOS SASTAFI VIEJO 14"/>
    <x v="60"/>
    <n v="2626701.19"/>
    <x v="19"/>
    <x v="1"/>
    <s v="pagado"/>
    <s v="pagado"/>
    <s v="excluir"/>
    <s v="no semana"/>
    <x v="0"/>
  </r>
  <r>
    <n v="3000000557"/>
    <d v="2025-02-03T00:00:00"/>
    <n v="15000000"/>
    <s v="M. AMUCHASTEGUI S. R. L. YERBA BUENA 14"/>
    <x v="61"/>
    <n v="15000000"/>
    <x v="19"/>
    <x v="0"/>
    <s v="pagado"/>
    <s v="pagado"/>
    <s v="excluir"/>
    <s v="no semana"/>
    <x v="0"/>
  </r>
  <r>
    <n v="3000000557"/>
    <d v="2025-02-03T00:00:00"/>
    <n v="13269222.24"/>
    <s v="M. AMUCHASTEGUI S. R. L. YERBA BUENA 14"/>
    <x v="62"/>
    <n v="13269222.24"/>
    <x v="20"/>
    <x v="0"/>
    <s v="pagado"/>
    <s v="pagado"/>
    <s v="excluir"/>
    <s v="no semana"/>
    <x v="0"/>
  </r>
  <r>
    <n v="3000000559"/>
    <d v="2025-02-03T00:00:00"/>
    <n v="12000000"/>
    <s v="MAC DONALD MIGUEL ALEJANDRO BANDA DEL RIO SALI 14"/>
    <x v="63"/>
    <n v="12000000"/>
    <x v="19"/>
    <x v="0"/>
    <s v="pagado"/>
    <s v="pagado"/>
    <s v="excluir"/>
    <s v="no semana"/>
    <x v="0"/>
  </r>
  <r>
    <n v="3000000559"/>
    <d v="2025-02-03T00:00:00"/>
    <n v="11631009.74"/>
    <s v="MAC DONALD MIGUEL ALEJANDRO BANDA DEL RIO SALI 14"/>
    <x v="64"/>
    <n v="11631009.74"/>
    <x v="20"/>
    <x v="0"/>
    <s v="pagado"/>
    <s v="pagado"/>
    <s v="excluir"/>
    <s v="no semana"/>
    <x v="0"/>
  </r>
  <r>
    <n v="3000000562"/>
    <d v="2025-02-03T00:00:00"/>
    <n v="14000000"/>
    <s v="CAPETTA ANTONELLA ANAHI SAN MIGUEL DE TUCUMAN 14"/>
    <x v="65"/>
    <n v="14000000"/>
    <x v="19"/>
    <x v="0"/>
    <s v="pagado"/>
    <s v="pagado"/>
    <s v="excluir"/>
    <s v="no semana"/>
    <x v="0"/>
  </r>
  <r>
    <n v="3000000562"/>
    <d v="2025-02-03T00:00:00"/>
    <n v="13628138.09"/>
    <s v="CAPETTA ANTONELLA ANAHI SAN MIGUEL DE TUCUMAN 14"/>
    <x v="66"/>
    <n v="13628138.09"/>
    <x v="20"/>
    <x v="0"/>
    <s v="pagado"/>
    <s v="pagado"/>
    <s v="excluir"/>
    <s v="no semana"/>
    <x v="0"/>
  </r>
  <r>
    <n v="3000000555"/>
    <d v="2025-02-03T00:00:00"/>
    <n v="8113013.9000000004"/>
    <s v="LUGUIMAC S.R.L VILLA LYNCH 01"/>
    <x v="67"/>
    <n v="8113013.9000000004"/>
    <x v="19"/>
    <x v="0"/>
    <s v="pagado"/>
    <s v="pagado"/>
    <s v="excluir"/>
    <s v="no semana"/>
    <x v="0"/>
  </r>
  <r>
    <n v="3000000556"/>
    <d v="2025-02-03T00:00:00"/>
    <n v="16648171.25"/>
    <s v="FABRICA ARG. DE INDUMENTARIA SGENERAL RODRIGUEZ 01"/>
    <x v="68"/>
    <n v="16648171.25"/>
    <x v="19"/>
    <x v="0"/>
    <s v="pagado"/>
    <s v="pagado"/>
    <s v="excluir"/>
    <s v="no semana"/>
    <x v="0"/>
  </r>
  <r>
    <n v="3000000558"/>
    <d v="2025-02-03T00:00:00"/>
    <n v="7130759.9199999999"/>
    <s v="JACQUET NORBERTO SALVADOR SAN JOSE 05"/>
    <x v="69"/>
    <n v="7130759.9199999999"/>
    <x v="19"/>
    <x v="0"/>
    <s v="pagado"/>
    <s v="pagado"/>
    <s v="excluir"/>
    <s v="no semana"/>
    <x v="0"/>
  </r>
  <r>
    <n v="3000000560"/>
    <d v="2025-02-03T00:00:00"/>
    <n v="7131259.7800000003"/>
    <s v="LOGISTICA Y DISTRIBUCION FEDE CAPITAL FEDERAL 00"/>
    <x v="70"/>
    <n v="7131259.7800000003"/>
    <x v="19"/>
    <x v="0"/>
    <s v="pagado"/>
    <s v="pagado"/>
    <s v="excluir"/>
    <s v="no semana"/>
    <x v="0"/>
  </r>
  <r>
    <n v="3000000561"/>
    <d v="2025-02-03T00:00:00"/>
    <n v="8354845.9800000004"/>
    <s v="TRANSPORTE FRIOS DEL NORTE S.RSAN MIGUEL DE TUCUMAN 14"/>
    <x v="71"/>
    <n v="8354845.9800000004"/>
    <x v="19"/>
    <x v="0"/>
    <s v="pagado"/>
    <s v="pagado"/>
    <s v="excluir"/>
    <s v="no semana"/>
    <x v="0"/>
  </r>
  <r>
    <n v="3000000563"/>
    <d v="2025-02-03T00:00:00"/>
    <n v="7408404.0599999996"/>
    <s v="RL SOLUCIONES S. A. S. SAN MIGUEL DE TUCUMAN 14"/>
    <x v="72"/>
    <n v="7408404.0599999996"/>
    <x v="19"/>
    <x v="0"/>
    <s v="pagado"/>
    <s v="pagado"/>
    <s v="excluir"/>
    <s v="no semana"/>
    <x v="0"/>
  </r>
  <r>
    <n v="3000000601"/>
    <d v="2025-02-05T00:00:00"/>
    <n v="7468372.0499999998"/>
    <s v="Servicom Group S.A. CAPITAL FEDERAL 00"/>
    <x v="73"/>
    <n v="7468372.0499999998"/>
    <x v="21"/>
    <x v="1"/>
    <s v="pagado"/>
    <s v="pagado"/>
    <s v="excluir"/>
    <s v="no semana"/>
    <x v="0"/>
  </r>
  <r>
    <n v="3000000602"/>
    <d v="2025-02-05T00:00:00"/>
    <n v="15015420.970000001"/>
    <s v="Terminal 4 S.A. Puerto Nuevo 01"/>
    <x v="74"/>
    <n v="15015420.970000001"/>
    <x v="21"/>
    <x v="1"/>
    <s v="pagado"/>
    <s v="pagado"/>
    <s v="excluir"/>
    <s v="no semana"/>
    <x v="0"/>
  </r>
  <r>
    <n v="3000000603"/>
    <d v="2025-02-05T00:00:00"/>
    <n v="7834634.8799999999"/>
    <s v="FLETES Y SERVICIOS PUJATO S.A PUJATO 12"/>
    <x v="75"/>
    <n v="7834634.8799999999"/>
    <x v="21"/>
    <x v="1"/>
    <s v="pagado"/>
    <s v="pagado"/>
    <s v="excluir"/>
    <s v="no semana"/>
    <x v="0"/>
  </r>
  <r>
    <n v="3000000604"/>
    <d v="2025-02-05T00:00:00"/>
    <n v="5057267.5599999996"/>
    <s v="Expreso Bisonte S.R.L. BANDA DEL RIO SALI 14"/>
    <x v="76"/>
    <n v="5057267.5599999996"/>
    <x v="21"/>
    <x v="1"/>
    <s v="pagado"/>
    <s v="pagado"/>
    <s v="excluir"/>
    <s v="no semana"/>
    <x v="0"/>
  </r>
  <r>
    <n v="3000000728"/>
    <d v="2025-02-11T00:00:00"/>
    <n v="141557350.72"/>
    <s v="MG SERVICIOS AGROPECUARIOS SASTAFI VIEJO 14"/>
    <x v="77"/>
    <n v="141557350.72"/>
    <x v="22"/>
    <x v="1"/>
    <s v="pagado"/>
    <s v="pagado"/>
    <s v="excluir"/>
    <s v="no semana"/>
    <x v="0"/>
  </r>
  <r>
    <n v="3000000692"/>
    <d v="2025-02-11T00:00:00"/>
    <n v="8777470.7200000007"/>
    <s v="CAMPOAGRO SRL YERBA BUENA 14"/>
    <x v="78"/>
    <n v="8777470.7200000007"/>
    <x v="23"/>
    <x v="1"/>
    <s v="pagado"/>
    <s v="pagado"/>
    <s v="excluir"/>
    <s v="no semana"/>
    <x v="0"/>
  </r>
  <r>
    <n v="3000000693"/>
    <d v="2025-02-11T00:00:00"/>
    <n v="3887380.76"/>
    <s v="INSITU S.R.L SAN MIGUEL DE TUCUMAN 14"/>
    <x v="79"/>
    <n v="3887380.76"/>
    <x v="23"/>
    <x v="1"/>
    <s v="pagado"/>
    <s v="pagado"/>
    <s v="excluir"/>
    <s v="no semana"/>
    <x v="0"/>
  </r>
  <r>
    <n v="3000000694"/>
    <d v="2025-02-11T00:00:00"/>
    <n v="8309167.1399999997"/>
    <s v="GCAMPO MAQUINARIAS S.R.L LAS TALITAS 14"/>
    <x v="80"/>
    <n v="8309167.1399999997"/>
    <x v="23"/>
    <x v="1"/>
    <s v="pagado"/>
    <s v="pagado"/>
    <s v="excluir"/>
    <s v="no semana"/>
    <x v="0"/>
  </r>
  <r>
    <n v="3000000695"/>
    <d v="2025-02-11T00:00:00"/>
    <n v="20199491.75"/>
    <s v="SMART SEGURIDAD SA YERBA BUENA 14"/>
    <x v="81"/>
    <n v="20199491.75"/>
    <x v="24"/>
    <x v="1"/>
    <s v="pagado"/>
    <s v="pagado"/>
    <s v="excluir"/>
    <s v="no semana"/>
    <x v="0"/>
  </r>
  <r>
    <n v="3000000696"/>
    <d v="2025-02-11T00:00:00"/>
    <n v="13575156.43"/>
    <s v="MONTEROS LEMON SAS TAFI VIEJO 14"/>
    <x v="82"/>
    <n v="13575156.43"/>
    <x v="24"/>
    <x v="1"/>
    <s v="pagado"/>
    <s v="pagado"/>
    <s v="excluir"/>
    <s v="no semana"/>
    <x v="0"/>
  </r>
  <r>
    <n v="3000000697"/>
    <d v="2025-02-11T00:00:00"/>
    <n v="10000000"/>
    <s v="CAFELI S.R.L. SAN MIGUEL DE TUCUMAN 14"/>
    <x v="83"/>
    <n v="10000000"/>
    <x v="24"/>
    <x v="1"/>
    <s v="pagado"/>
    <s v="pagado"/>
    <s v="excluir"/>
    <s v="no semana"/>
    <x v="0"/>
  </r>
  <r>
    <n v="3000000697"/>
    <d v="2025-02-11T00:00:00"/>
    <n v="10000000"/>
    <s v="CAFELI S.R.L. SAN MIGUEL DE TUCUMAN 14"/>
    <x v="84"/>
    <n v="10000000"/>
    <x v="24"/>
    <x v="1"/>
    <s v="pagado"/>
    <s v="pagado"/>
    <s v="excluir"/>
    <s v="no semana"/>
    <x v="0"/>
  </r>
  <r>
    <n v="3000000697"/>
    <d v="2025-02-11T00:00:00"/>
    <n v="9976027.2699999996"/>
    <s v="CAFELI S.R.L. SAN MIGUEL DE TUCUMAN 14"/>
    <x v="85"/>
    <n v="9976027.2699999996"/>
    <x v="22"/>
    <x v="1"/>
    <s v="pagado"/>
    <s v="pagado"/>
    <s v="excluir"/>
    <s v="no semana"/>
    <x v="0"/>
  </r>
  <r>
    <n v="3000000698"/>
    <d v="2025-02-11T00:00:00"/>
    <n v="15000000"/>
    <s v="Servicom Group S.A. CAPITAL FEDERAL 00"/>
    <x v="86"/>
    <n v="15000000"/>
    <x v="24"/>
    <x v="1"/>
    <s v="pagado"/>
    <s v="pagado"/>
    <s v="excluir"/>
    <s v="no semana"/>
    <x v="0"/>
  </r>
  <r>
    <n v="3000000698"/>
    <d v="2025-02-11T00:00:00"/>
    <n v="12241454.27"/>
    <s v="Servicom Group S.A. CAPITAL FEDERAL 00"/>
    <x v="87"/>
    <n v="12241454.27"/>
    <x v="22"/>
    <x v="1"/>
    <s v="pagado"/>
    <s v="pagado"/>
    <s v="excluir"/>
    <s v="no semana"/>
    <x v="0"/>
  </r>
  <r>
    <n v="3000000728"/>
    <d v="2025-02-11T00:00:00"/>
    <n v="30000000"/>
    <s v="MG SERVICIOS AGROPECUARIOS SASTAFI VIEJO 14"/>
    <x v="88"/>
    <n v="30000000"/>
    <x v="23"/>
    <x v="1"/>
    <s v="pagado"/>
    <s v="pagado"/>
    <s v="excluir"/>
    <s v="no semana"/>
    <x v="0"/>
  </r>
  <r>
    <n v="3000000728"/>
    <d v="2025-02-11T00:00:00"/>
    <n v="29000000"/>
    <s v="MG SERVICIOS AGROPECUARIOS SASTAFI VIEJO 14"/>
    <x v="89"/>
    <n v="29000000"/>
    <x v="24"/>
    <x v="1"/>
    <s v="pagado"/>
    <s v="pagado"/>
    <s v="excluir"/>
    <s v="no semana"/>
    <x v="0"/>
  </r>
  <r>
    <n v="3000000728"/>
    <d v="2025-02-11T00:00:00"/>
    <n v="6201000"/>
    <s v="MG SERVICIOS AGROPECUARIOS SASTAFI VIEJO 14"/>
    <x v="90"/>
    <n v="6201000"/>
    <x v="24"/>
    <x v="1"/>
    <s v="pagado"/>
    <s v="pagado"/>
    <s v="excluir"/>
    <s v="no semana"/>
    <x v="0"/>
  </r>
  <r>
    <n v="3000000728"/>
    <d v="2025-02-11T00:00:00"/>
    <n v="2968655"/>
    <s v="MG SERVICIOS AGROPECUARIOS SASTAFI VIEJO 14"/>
    <x v="91"/>
    <n v="2968655"/>
    <x v="24"/>
    <x v="1"/>
    <s v="pagado"/>
    <s v="pagado"/>
    <s v="excluir"/>
    <s v="no semana"/>
    <x v="0"/>
  </r>
  <r>
    <n v="3000000728"/>
    <d v="2025-02-11T00:00:00"/>
    <n v="2900000"/>
    <s v="MG SERVICIOS AGROPECUARIOS SASTAFI VIEJO 14"/>
    <x v="92"/>
    <n v="2900000"/>
    <x v="24"/>
    <x v="1"/>
    <s v="pagado"/>
    <s v="pagado"/>
    <s v="excluir"/>
    <s v="no semana"/>
    <x v="0"/>
  </r>
  <r>
    <n v="3000000728"/>
    <d v="2025-02-11T00:00:00"/>
    <n v="2400000"/>
    <s v="MG SERVICIOS AGROPECUARIOS SASTAFI VIEJO 14"/>
    <x v="93"/>
    <n v="2400000"/>
    <x v="24"/>
    <x v="1"/>
    <s v="pagado"/>
    <s v="pagado"/>
    <s v="excluir"/>
    <s v="no semana"/>
    <x v="0"/>
  </r>
  <r>
    <n v="3000000728"/>
    <d v="2025-02-11T00:00:00"/>
    <n v="3063000"/>
    <s v="MG SERVICIOS AGROPECUARIOS SASTAFI VIEJO 14"/>
    <x v="94"/>
    <n v="3063000"/>
    <x v="24"/>
    <x v="1"/>
    <s v="pagado"/>
    <s v="pagado"/>
    <s v="excluir"/>
    <s v="no semana"/>
    <x v="0"/>
  </r>
  <r>
    <n v="3000000747"/>
    <d v="2025-02-12T00:00:00"/>
    <n v="10631532.810000001"/>
    <s v="Terminal 4 S.A. Puerto Nuevo 01"/>
    <x v="95"/>
    <n v="10631532.810000001"/>
    <x v="22"/>
    <x v="1"/>
    <s v="pagado"/>
    <s v="pagado"/>
    <s v="excluir"/>
    <s v="no semana"/>
    <x v="0"/>
  </r>
  <r>
    <n v="3000000748"/>
    <d v="2025-02-12T00:00:00"/>
    <n v="7356467.9199999999"/>
    <s v="LATCOMEX SA CAPITAL FEDERAL 00"/>
    <x v="96"/>
    <n v="7356467.9199999999"/>
    <x v="22"/>
    <x v="1"/>
    <s v="pagado"/>
    <s v="pagado"/>
    <s v="excluir"/>
    <s v="no semana"/>
    <x v="0"/>
  </r>
  <r>
    <n v="3000000749"/>
    <d v="2025-02-12T00:00:00"/>
    <n v="5393304"/>
    <s v="RL SOLUCIONES S. A. S. SAN MIGUEL DE TUCUMAN 14"/>
    <x v="97"/>
    <n v="5393304"/>
    <x v="22"/>
    <x v="1"/>
    <s v="pagado"/>
    <s v="pagado"/>
    <s v="excluir"/>
    <s v="no semana"/>
    <x v="0"/>
  </r>
  <r>
    <n v="3000000818"/>
    <d v="2025-02-17T00:00:00"/>
    <n v="10000000"/>
    <s v="SMART SEGURIDAD SA YERBA BUENA 14"/>
    <x v="98"/>
    <n v="10000000"/>
    <x v="25"/>
    <x v="1"/>
    <s v="pagado"/>
    <s v="pagado"/>
    <s v="excluir"/>
    <s v="no semana"/>
    <x v="0"/>
  </r>
  <r>
    <n v="3000000818"/>
    <d v="2025-02-17T00:00:00"/>
    <n v="10198148.34"/>
    <s v="SMART SEGURIDAD SA YERBA BUENA 14"/>
    <x v="99"/>
    <n v="10198148.34"/>
    <x v="26"/>
    <x v="1"/>
    <s v="pagado"/>
    <s v="pagado"/>
    <s v="excluir"/>
    <s v="no semana"/>
    <x v="0"/>
  </r>
  <r>
    <n v="3000000815"/>
    <d v="2025-02-17T00:00:00"/>
    <n v="5820317.9900000002"/>
    <s v="AGROPECUARIA MUNDO NUEVO SRL SAN PABLO 14"/>
    <x v="100"/>
    <n v="5820317.9900000002"/>
    <x v="25"/>
    <x v="1"/>
    <s v="pagado"/>
    <s v="pagado"/>
    <s v="excluir"/>
    <s v="no semana"/>
    <x v="0"/>
  </r>
  <r>
    <n v="3000000816"/>
    <d v="2025-02-17T00:00:00"/>
    <n v="6357816.6699999999"/>
    <s v="CAMPOAGRO SRL YERBA BUENA 14"/>
    <x v="101"/>
    <n v="6357816.6699999999"/>
    <x v="25"/>
    <x v="1"/>
    <s v="pagado"/>
    <s v="pagado"/>
    <s v="excluir"/>
    <s v="no semana"/>
    <x v="0"/>
  </r>
  <r>
    <n v="3000000817"/>
    <d v="2025-02-17T00:00:00"/>
    <n v="10186003.189999999"/>
    <s v="BERCOVICH COMERCIAL SAS SAN MIGUEL DE TUCUMAN 14"/>
    <x v="102"/>
    <n v="10186003.189999999"/>
    <x v="25"/>
    <x v="1"/>
    <s v="pagado"/>
    <s v="pagado"/>
    <s v="excluir"/>
    <s v="no semana"/>
    <x v="0"/>
  </r>
  <r>
    <n v="3000000839"/>
    <d v="2025-02-18T00:00:00"/>
    <n v="2592346.17"/>
    <s v="MG SERVICIOS AGROPECUARIOS SASTAFI VIEJO 14"/>
    <x v="103"/>
    <n v="2592346.17"/>
    <x v="26"/>
    <x v="1"/>
    <s v="pagado"/>
    <s v="pagado"/>
    <s v="excluir"/>
    <s v="no semana"/>
    <x v="0"/>
  </r>
  <r>
    <n v="3000000839"/>
    <d v="2025-02-18T00:00:00"/>
    <n v="1900000"/>
    <s v="MG SERVICIOS AGROPECUARIOS SASTAFI VIEJO 14"/>
    <x v="104"/>
    <n v="1900000"/>
    <x v="26"/>
    <x v="1"/>
    <s v="pagado"/>
    <s v="pagado"/>
    <s v="excluir"/>
    <s v="no semana"/>
    <x v="0"/>
  </r>
  <r>
    <n v="3000000839"/>
    <d v="2025-02-18T00:00:00"/>
    <n v="1447701"/>
    <s v="MG SERVICIOS AGROPECUARIOS SASTAFI VIEJO 14"/>
    <x v="105"/>
    <n v="1447701"/>
    <x v="26"/>
    <x v="1"/>
    <s v="pagado"/>
    <s v="pagado"/>
    <s v="excluir"/>
    <s v="no semana"/>
    <x v="0"/>
  </r>
  <r>
    <n v="3000000839"/>
    <d v="2025-02-18T00:00:00"/>
    <n v="2400000"/>
    <s v="MG SERVICIOS AGROPECUARIOS SASTAFI VIEJO 14"/>
    <x v="106"/>
    <n v="2400000"/>
    <x v="26"/>
    <x v="1"/>
    <s v="pagado"/>
    <s v="pagado"/>
    <s v="excluir"/>
    <s v="no semana"/>
    <x v="0"/>
  </r>
  <r>
    <n v="3000000839"/>
    <d v="2025-02-18T00:00:00"/>
    <n v="2186117"/>
    <s v="MG SERVICIOS AGROPECUARIOS SASTAFI VIEJO 14"/>
    <x v="107"/>
    <n v="2186117"/>
    <x v="26"/>
    <x v="1"/>
    <s v="pagado"/>
    <s v="pagado"/>
    <s v="excluir"/>
    <s v="no semana"/>
    <x v="0"/>
  </r>
  <r>
    <n v="3000000853"/>
    <d v="2025-02-19T00:00:00"/>
    <n v="123654020"/>
    <s v="EDET S.A. SAN MIGUEL DE TUCUMAN 14"/>
    <x v="108"/>
    <n v="123654020"/>
    <x v="26"/>
    <x v="1"/>
    <s v="pagado"/>
    <s v="pagado"/>
    <s v="excluir"/>
    <s v="no semana"/>
    <x v="0"/>
  </r>
  <r>
    <n v="3000000929"/>
    <d v="2025-02-25T00:00:00"/>
    <n v="83201230"/>
    <s v="EDET S.A. SAN MIGUEL DE TUCUMAN 14"/>
    <x v="109"/>
    <n v="83201230"/>
    <x v="27"/>
    <x v="1"/>
    <s v="pagado"/>
    <s v="pagado"/>
    <s v="excluir"/>
    <s v="no semana"/>
    <x v="0"/>
  </r>
  <r>
    <n v="3000000967"/>
    <d v="2025-02-26T00:00:00"/>
    <n v="12000000"/>
    <s v="BONSUR SA CAPITAL FEDERAL 00"/>
    <x v="110"/>
    <n v="12000000"/>
    <x v="28"/>
    <x v="1"/>
    <s v="pagado"/>
    <s v="pagado"/>
    <s v="excluir"/>
    <s v="no semana"/>
    <x v="0"/>
  </r>
  <r>
    <n v="3000000967"/>
    <d v="2025-02-26T00:00:00"/>
    <n v="12523367.92"/>
    <s v="BONSUR SA CAPITAL FEDERAL 00"/>
    <x v="111"/>
    <n v="12523367.92"/>
    <x v="29"/>
    <x v="1"/>
    <s v="pagado"/>
    <s v="pagado"/>
    <s v="excluir"/>
    <s v="no semana"/>
    <x v="0"/>
  </r>
  <r>
    <n v="3000000962"/>
    <d v="2025-02-26T00:00:00"/>
    <n v="5347944"/>
    <s v="JACQUET NORBERTO SALVADOR SAN JOSE 05"/>
    <x v="112"/>
    <n v="5347944"/>
    <x v="28"/>
    <x v="1"/>
    <s v="pagado"/>
    <s v="pagado"/>
    <s v="excluir"/>
    <s v="no semana"/>
    <x v="0"/>
  </r>
  <r>
    <n v="3000000963"/>
    <d v="2025-02-26T00:00:00"/>
    <n v="5361552"/>
    <s v="RL SOLUCIONES S. A. S. SAN MIGUEL DE TUCUMAN 14"/>
    <x v="113"/>
    <n v="5361552"/>
    <x v="28"/>
    <x v="1"/>
    <s v="pagado"/>
    <s v="pagado"/>
    <s v="excluir"/>
    <s v="no semana"/>
    <x v="0"/>
  </r>
  <r>
    <n v="3000000964"/>
    <d v="2025-02-26T00:00:00"/>
    <n v="9020299.0899999999"/>
    <s v="VILLAGRA VELEZ ROQUE RICARDO SAN MIGUEL DE TUCUMAN 14"/>
    <x v="114"/>
    <n v="9020299.0899999999"/>
    <x v="28"/>
    <x v="1"/>
    <s v="pagado"/>
    <s v="pagado"/>
    <s v="excluir"/>
    <s v="no semana"/>
    <x v="0"/>
  </r>
  <r>
    <n v="3000000965"/>
    <d v="2025-02-26T00:00:00"/>
    <n v="10764682.609999999"/>
    <s v="MAC DONALD MIGUEL ALEJANDRO BANDA DEL RIO SALI 14"/>
    <x v="115"/>
    <n v="10764682.609999999"/>
    <x v="28"/>
    <x v="1"/>
    <s v="pagado"/>
    <s v="pagado"/>
    <s v="excluir"/>
    <s v="no semana"/>
    <x v="0"/>
  </r>
  <r>
    <n v="3000000966"/>
    <d v="2025-02-26T00:00:00"/>
    <n v="9190143.6500000004"/>
    <s v="CAPETTA ANTONELLA ANAHI SAN MIGUEL DE TUCUMAN 14"/>
    <x v="116"/>
    <n v="9190143.6500000004"/>
    <x v="28"/>
    <x v="1"/>
    <s v="pagado"/>
    <s v="pagado"/>
    <s v="excluir"/>
    <s v="no semana"/>
    <x v="0"/>
  </r>
  <r>
    <n v="3000001037"/>
    <d v="2025-03-05T00:00:00"/>
    <n v="10000000"/>
    <s v="JACQUET NORBERTO SALVADOR SAN JOSE 05"/>
    <x v="117"/>
    <n v="10000000"/>
    <x v="30"/>
    <x v="0"/>
    <s v="pagado"/>
    <s v="pagado"/>
    <s v="excluir"/>
    <s v="no semana"/>
    <x v="0"/>
  </r>
  <r>
    <n v="3000001037"/>
    <d v="2025-03-05T00:00:00"/>
    <n v="8039516.3700000001"/>
    <s v="JACQUET NORBERTO SALVADOR SAN JOSE 05"/>
    <x v="118"/>
    <n v="8039516.3700000001"/>
    <x v="31"/>
    <x v="0"/>
    <s v="pagado"/>
    <s v="pagado"/>
    <s v="excluir"/>
    <s v="no semana"/>
    <x v="0"/>
  </r>
  <r>
    <n v="3000001032"/>
    <d v="2025-03-05T00:00:00"/>
    <n v="3663483.75"/>
    <s v="Cia. Azucarera Los Balcanes S.Ingenio La Florida 14"/>
    <x v="119"/>
    <n v="3663483.75"/>
    <x v="30"/>
    <x v="0"/>
    <s v="pagado"/>
    <s v="pagado"/>
    <s v="excluir"/>
    <s v="no semana"/>
    <x v="0"/>
  </r>
  <r>
    <n v="3000001033"/>
    <d v="2025-03-05T00:00:00"/>
    <n v="13440767.92"/>
    <s v="FLETES Y SERVICIOS PUJATO S.A PUJATO 12"/>
    <x v="120"/>
    <n v="13440767.92"/>
    <x v="30"/>
    <x v="0"/>
    <s v="pagado"/>
    <s v="pagado"/>
    <s v="excluir"/>
    <s v="no semana"/>
    <x v="0"/>
  </r>
  <r>
    <n v="3000001034"/>
    <d v="2025-03-05T00:00:00"/>
    <n v="7392417.5300000003"/>
    <s v="CAPETTA ANTONELLA ANAHI SAN MIGUEL DE TUCUMAN 14"/>
    <x v="121"/>
    <n v="7392417.5300000003"/>
    <x v="30"/>
    <x v="0"/>
    <s v="pagado"/>
    <s v="pagado"/>
    <s v="excluir"/>
    <s v="no semana"/>
    <x v="0"/>
  </r>
  <r>
    <n v="3000001035"/>
    <d v="2025-03-05T00:00:00"/>
    <n v="5382509.2300000004"/>
    <s v="MAC DONALD MIGUEL ALEJANDRO BANDA DEL RIO SALI 14"/>
    <x v="122"/>
    <n v="5382509.2300000004"/>
    <x v="30"/>
    <x v="0"/>
    <s v="pagado"/>
    <s v="pagado"/>
    <s v="excluir"/>
    <s v="no semana"/>
    <x v="0"/>
  </r>
  <r>
    <n v="3000001036"/>
    <d v="2025-03-05T00:00:00"/>
    <n v="11722771.939999999"/>
    <s v="Terminal 4 S.A. Puerto Nuevo 01"/>
    <x v="123"/>
    <n v="11722771.939999999"/>
    <x v="30"/>
    <x v="0"/>
    <s v="pagado"/>
    <s v="pagado"/>
    <s v="excluir"/>
    <s v="no semana"/>
    <x v="0"/>
  </r>
  <r>
    <n v="3000001038"/>
    <d v="2025-03-05T00:00:00"/>
    <n v="5771942.46"/>
    <s v="Dsv Air &amp; Sea SA BUENOS AIRES 01"/>
    <x v="124"/>
    <n v="5771942.46"/>
    <x v="30"/>
    <x v="0"/>
    <s v="pagado"/>
    <s v="pagado"/>
    <s v="excluir"/>
    <s v="no semana"/>
    <x v="0"/>
  </r>
  <r>
    <n v="3000001039"/>
    <d v="2025-03-05T00:00:00"/>
    <n v="9623461.2400000002"/>
    <s v="CATALANA DE SERVICIOS SRL YERBA BUENA 14"/>
    <x v="125"/>
    <n v="9623461.2400000002"/>
    <x v="30"/>
    <x v="0"/>
    <s v="pagado"/>
    <s v="pagado"/>
    <s v="excluir"/>
    <s v="no semana"/>
    <x v="0"/>
  </r>
  <r>
    <n v="3000001040"/>
    <d v="2025-03-05T00:00:00"/>
    <n v="3167373.04"/>
    <s v="AGROPECUARIA MUNDO NUEVO SRL SAN PABLO 14"/>
    <x v="126"/>
    <n v="3167373.04"/>
    <x v="30"/>
    <x v="0"/>
    <s v="pagado"/>
    <s v="pagado"/>
    <s v="excluir"/>
    <s v="no semana"/>
    <x v="0"/>
  </r>
  <r>
    <n v="3000001041"/>
    <d v="2025-03-05T00:00:00"/>
    <n v="8083476.8899999997"/>
    <s v="ROMERO SERVICIOS S. A. S. ALPACHIRI 14"/>
    <x v="127"/>
    <n v="8083476.8899999997"/>
    <x v="30"/>
    <x v="0"/>
    <s v="pagado"/>
    <s v="pagado"/>
    <s v="excluir"/>
    <s v="no semana"/>
    <x v="0"/>
  </r>
  <r>
    <n v="3000001042"/>
    <d v="2025-03-05T00:00:00"/>
    <n v="14589841.32"/>
    <s v="Consultoria en Tecnologia de IBUENOS AIRES 00"/>
    <x v="128"/>
    <n v="14589841.32"/>
    <x v="31"/>
    <x v="0"/>
    <s v="pagado"/>
    <s v="pagado"/>
    <s v="excluir"/>
    <s v="no semana"/>
    <x v="0"/>
  </r>
  <r>
    <n v="3000001043"/>
    <d v="2025-03-05T00:00:00"/>
    <n v="4798943.4000000004"/>
    <s v="SEPULVEDA MONTAJES S.R.L. SAN ISIDRO DE LULES 14"/>
    <x v="129"/>
    <n v="4798943.4000000004"/>
    <x v="30"/>
    <x v="0"/>
    <s v="pagado"/>
    <s v="pagado"/>
    <s v="excluir"/>
    <s v="no semana"/>
    <x v="0"/>
  </r>
  <r>
    <n v="3000001044"/>
    <d v="2025-03-05T00:00:00"/>
    <n v="4287715.08"/>
    <s v="VISMA ARGENTINA SA CAPITAL FEDERAL 14"/>
    <x v="130"/>
    <n v="4287715.08"/>
    <x v="30"/>
    <x v="0"/>
    <s v="pagado"/>
    <s v="pagado"/>
    <s v="excluir"/>
    <s v="no semana"/>
    <x v="0"/>
  </r>
  <r>
    <n v="3000001169"/>
    <d v="2025-03-11T00:00:00"/>
    <n v="15000000"/>
    <s v="Jeblab S.R.L. YERBA BUENA 14"/>
    <x v="131"/>
    <n v="15000000"/>
    <x v="32"/>
    <x v="1"/>
    <s v="pagado"/>
    <s v="pagado"/>
    <s v="excluir"/>
    <s v="no semana"/>
    <x v="0"/>
  </r>
  <r>
    <n v="3000001169"/>
    <d v="2025-03-11T00:00:00"/>
    <n v="14900843.4"/>
    <s v="Jeblab S.R.L. YERBA BUENA 14"/>
    <x v="132"/>
    <n v="14900843.4"/>
    <x v="33"/>
    <x v="1"/>
    <s v="pagado"/>
    <s v="pagado"/>
    <s v="excluir"/>
    <s v="no semana"/>
    <x v="0"/>
  </r>
  <r>
    <n v="3000001168"/>
    <d v="2025-03-11T00:00:00"/>
    <n v="7563406.8799999999"/>
    <s v="Marchese Grandi Meson y Asoc SAN MIGUEL DE TUCUMAN 14"/>
    <x v="133"/>
    <n v="7563406.8799999999"/>
    <x v="32"/>
    <x v="1"/>
    <s v="pagado"/>
    <s v="pagado"/>
    <s v="excluir"/>
    <s v="no semana"/>
    <x v="0"/>
  </r>
  <r>
    <n v="3000001259"/>
    <d v="2025-03-17T00:00:00"/>
    <n v="47000000"/>
    <s v="TRUSARELLI CARLOS ALBERTO BANDA DEL RIO SALI 14"/>
    <x v="134"/>
    <n v="47000000"/>
    <x v="34"/>
    <x v="0"/>
    <s v="pagado"/>
    <s v="pagado"/>
    <s v="excluir"/>
    <s v="no semana"/>
    <x v="0"/>
  </r>
  <r>
    <n v="3000001259"/>
    <d v="2025-03-17T00:00:00"/>
    <n v="34077795.270000003"/>
    <s v="TRUSARELLI CARLOS ALBERTO BANDA DEL RIO SALI 14"/>
    <x v="135"/>
    <n v="34077795.270000003"/>
    <x v="35"/>
    <x v="0"/>
    <s v="pagado"/>
    <s v="pagado"/>
    <s v="excluir"/>
    <s v="no semana"/>
    <x v="0"/>
  </r>
  <r>
    <n v="3000001256"/>
    <d v="2025-03-17T00:00:00"/>
    <n v="4287667.2699999996"/>
    <s v="GCAMPO MAQUINARIAS S.R.L LAS TALITAS 14"/>
    <x v="136"/>
    <n v="4287667.2699999996"/>
    <x v="34"/>
    <x v="0"/>
    <s v="pagado"/>
    <s v="pagado"/>
    <s v="excluir"/>
    <s v="no semana"/>
    <x v="0"/>
  </r>
  <r>
    <n v="3000001257"/>
    <d v="2025-03-17T00:00:00"/>
    <n v="12403793.92"/>
    <s v="CAMPOAGRO SRL YERBA BUENA 14"/>
    <x v="137"/>
    <n v="12403793.92"/>
    <x v="34"/>
    <x v="0"/>
    <s v="pagado"/>
    <s v="pagado"/>
    <s v="excluir"/>
    <s v="no semana"/>
    <x v="0"/>
  </r>
  <r>
    <n v="3000001258"/>
    <d v="2025-03-17T00:00:00"/>
    <n v="5500449.4199999999"/>
    <s v="Servicom Group S.A. CAPITAL FEDERAL 00"/>
    <x v="138"/>
    <n v="5500449.4199999999"/>
    <x v="34"/>
    <x v="0"/>
    <s v="pagado"/>
    <s v="pagado"/>
    <s v="excluir"/>
    <s v="no semana"/>
    <x v="0"/>
  </r>
  <r>
    <n v="3000001277"/>
    <d v="2025-03-18T00:00:00"/>
    <n v="24000000"/>
    <s v="MG SERVICIOS AGROPECUARIOS SASTAFI VIEJO 14"/>
    <x v="139"/>
    <n v="24000000"/>
    <x v="36"/>
    <x v="0"/>
    <s v="pagado"/>
    <s v="pagado"/>
    <s v="excluir"/>
    <s v="no semana"/>
    <x v="0"/>
  </r>
  <r>
    <n v="3000001277"/>
    <d v="2025-03-18T00:00:00"/>
    <n v="6790472"/>
    <s v="MG SERVICIOS AGROPECUARIOS SASTAFI VIEJO 14"/>
    <x v="140"/>
    <n v="6790472"/>
    <x v="36"/>
    <x v="0"/>
    <s v="pagado"/>
    <s v="pagado"/>
    <s v="excluir"/>
    <s v="no semana"/>
    <x v="0"/>
  </r>
  <r>
    <n v="3000001277"/>
    <d v="2025-03-18T00:00:00"/>
    <n v="4304616"/>
    <s v="MG SERVICIOS AGROPECUARIOS SASTAFI VIEJO 14"/>
    <x v="141"/>
    <n v="4304616"/>
    <x v="36"/>
    <x v="0"/>
    <s v="pagado"/>
    <s v="pagado"/>
    <s v="excluir"/>
    <s v="no semana"/>
    <x v="0"/>
  </r>
  <r>
    <n v="3000001277"/>
    <d v="2025-03-18T00:00:00"/>
    <n v="2942799"/>
    <s v="MG SERVICIOS AGROPECUARIOS SASTAFI VIEJO 14"/>
    <x v="142"/>
    <n v="2942799"/>
    <x v="36"/>
    <x v="0"/>
    <s v="pagado"/>
    <s v="pagado"/>
    <s v="excluir"/>
    <s v="no semana"/>
    <x v="0"/>
  </r>
  <r>
    <n v="3000001277"/>
    <d v="2025-03-18T00:00:00"/>
    <n v="2710453"/>
    <s v="MG SERVICIOS AGROPECUARIOS SASTAFI VIEJO 14"/>
    <x v="143"/>
    <n v="2710453"/>
    <x v="36"/>
    <x v="0"/>
    <s v="pagado"/>
    <s v="pagado"/>
    <s v="excluir"/>
    <s v="no semana"/>
    <x v="0"/>
  </r>
  <r>
    <n v="3000001277"/>
    <d v="2025-03-18T00:00:00"/>
    <n v="2688000"/>
    <s v="MG SERVICIOS AGROPECUARIOS SASTAFI VIEJO 14"/>
    <x v="144"/>
    <n v="2688000"/>
    <x v="36"/>
    <x v="0"/>
    <s v="pagado"/>
    <s v="pagado"/>
    <s v="excluir"/>
    <s v="no semana"/>
    <x v="0"/>
  </r>
  <r>
    <n v="3000001277"/>
    <d v="2025-03-18T00:00:00"/>
    <n v="2151780"/>
    <s v="MG SERVICIOS AGROPECUARIOS SASTAFI VIEJO 14"/>
    <x v="145"/>
    <n v="2151780"/>
    <x v="36"/>
    <x v="0"/>
    <s v="pagado"/>
    <s v="pagado"/>
    <s v="excluir"/>
    <s v="no semana"/>
    <x v="0"/>
  </r>
  <r>
    <n v="3000001277"/>
    <d v="2025-03-18T00:00:00"/>
    <n v="1500402"/>
    <s v="MG SERVICIOS AGROPECUARIOS SASTAFI VIEJO 14"/>
    <x v="146"/>
    <n v="1500402"/>
    <x v="36"/>
    <x v="0"/>
    <s v="pagado"/>
    <s v="pagado"/>
    <s v="excluir"/>
    <s v="no semana"/>
    <x v="0"/>
  </r>
  <r>
    <n v="3000001277"/>
    <d v="2025-03-18T00:00:00"/>
    <n v="1370043"/>
    <s v="MG SERVICIOS AGROPECUARIOS SASTAFI VIEJO 14"/>
    <x v="147"/>
    <n v="1370043"/>
    <x v="36"/>
    <x v="0"/>
    <s v="pagado"/>
    <s v="pagado"/>
    <s v="excluir"/>
    <s v="no semana"/>
    <x v="0"/>
  </r>
  <r>
    <n v="3000001280"/>
    <d v="2025-03-18T00:00:00"/>
    <n v="10000000"/>
    <s v="Verde y Sol S.R.L. SAN MIGUEL DE TUCUMAN 14"/>
    <x v="148"/>
    <n v="10000000"/>
    <x v="37"/>
    <x v="0"/>
    <s v="pagado"/>
    <s v="pagado"/>
    <s v="excluir"/>
    <s v="no semana"/>
    <x v="0"/>
  </r>
  <r>
    <n v="3000001280"/>
    <d v="2025-03-18T00:00:00"/>
    <n v="10000000"/>
    <s v="Verde y Sol S.R.L. SAN MIGUEL DE TUCUMAN 14"/>
    <x v="149"/>
    <n v="10000000"/>
    <x v="37"/>
    <x v="0"/>
    <s v="pagado"/>
    <s v="pagado"/>
    <s v="excluir"/>
    <s v="no semana"/>
    <x v="0"/>
  </r>
  <r>
    <n v="3000001280"/>
    <d v="2025-03-18T00:00:00"/>
    <n v="10000000"/>
    <s v="Verde y Sol S.R.L. SAN MIGUEL DE TUCUMAN 14"/>
    <x v="150"/>
    <n v="10000000"/>
    <x v="37"/>
    <x v="0"/>
    <s v="pagado"/>
    <s v="pagado"/>
    <s v="excluir"/>
    <s v="no semana"/>
    <x v="0"/>
  </r>
  <r>
    <n v="3000001280"/>
    <d v="2025-03-18T00:00:00"/>
    <n v="7280559.9900000002"/>
    <s v="Verde y Sol S.R.L. SAN MIGUEL DE TUCUMAN 14"/>
    <x v="151"/>
    <n v="7280559.9900000002"/>
    <x v="37"/>
    <x v="0"/>
    <s v="pagado"/>
    <s v="pagado"/>
    <s v="excluir"/>
    <s v="no semana"/>
    <x v="0"/>
  </r>
  <r>
    <n v="3000001278"/>
    <d v="2025-03-18T00:00:00"/>
    <n v="34218093.759999998"/>
    <s v="ROMERO SERVICIOS S. A. S. ALPACHIRI 14"/>
    <x v="152"/>
    <n v="34218093.759999998"/>
    <x v="38"/>
    <x v="0"/>
    <s v="pagado"/>
    <s v="pagado"/>
    <s v="excluir"/>
    <s v="no semana"/>
    <x v="0"/>
  </r>
  <r>
    <n v="3000001282"/>
    <d v="2025-03-18T00:00:00"/>
    <n v="39000675.039999999"/>
    <s v="AGROPECUARIA MUNDO NUEVO SRL SAN PABLO 14"/>
    <x v="153"/>
    <n v="39000675.039999999"/>
    <x v="37"/>
    <x v="0"/>
    <s v="pagado"/>
    <s v="pagado"/>
    <s v="excluir"/>
    <s v="no semana"/>
    <x v="0"/>
  </r>
  <r>
    <n v="3000001283"/>
    <d v="2025-03-18T00:00:00"/>
    <n v="56110224.469999999"/>
    <s v="M. AMUCHASTEGUI S. R. L. YERBA BUENA 14"/>
    <x v="154"/>
    <n v="56110224.469999999"/>
    <x v="37"/>
    <x v="0"/>
    <s v="pagado"/>
    <s v="pagado"/>
    <s v="excluir"/>
    <s v="no semana"/>
    <x v="0"/>
  </r>
  <r>
    <n v="3000001284"/>
    <d v="2025-03-18T00:00:00"/>
    <n v="21569443.960000001"/>
    <s v="PAMPLONA SRL SAN MIGUEL DE TUCUMAN 14"/>
    <x v="155"/>
    <n v="21569443.960000001"/>
    <x v="37"/>
    <x v="0"/>
    <s v="pagado"/>
    <s v="pagado"/>
    <s v="excluir"/>
    <s v="no semana"/>
    <x v="0"/>
  </r>
  <r>
    <n v="3000001261"/>
    <d v="2025-03-17T00:00:00"/>
    <n v="116986990"/>
    <s v="EDET S.A. SAN MIGUEL DE TUCUMAN 14"/>
    <x v="156"/>
    <n v="116986990"/>
    <x v="39"/>
    <x v="1"/>
    <s v="pagado"/>
    <s v="pagado"/>
    <s v="excluir"/>
    <s v="no semana"/>
    <x v="0"/>
  </r>
  <r>
    <n v="3000001341"/>
    <d v="2025-03-20T00:00:00"/>
    <n v="5411260"/>
    <s v="EDET S.A. SAN MIGUEL DE TUCUMAN 14"/>
    <x v="157"/>
    <n v="5411260"/>
    <x v="40"/>
    <x v="1"/>
    <s v="pagado"/>
    <s v="pagado"/>
    <s v="excluir"/>
    <s v="no semana"/>
    <x v="0"/>
  </r>
  <r>
    <n v="3000001341"/>
    <d v="2025-03-21T00:00:00"/>
    <n v="94737770"/>
    <s v="EDET S.A. SAN MIGUEL DE TUCUMAN 14"/>
    <x v="158"/>
    <n v="94737770"/>
    <x v="37"/>
    <x v="1"/>
    <s v="pagado"/>
    <s v="pagado"/>
    <s v="excluir"/>
    <s v="no semana"/>
    <x v="0"/>
  </r>
  <r>
    <n v="3000001388"/>
    <d v="2025-03-25T00:00:00"/>
    <n v="15000000"/>
    <s v="SMART SEGURIDAD SA YERBA BUENA 14"/>
    <x v="159"/>
    <n v="15000000"/>
    <x v="41"/>
    <x v="0"/>
    <s v="pagado"/>
    <s v="pagado"/>
    <s v="excluir"/>
    <s v="no semana"/>
    <x v="0"/>
  </r>
  <r>
    <n v="3000001388"/>
    <d v="2025-03-25T00:00:00"/>
    <n v="17400526.27"/>
    <s v="SMART SEGURIDAD SA YERBA BUENA 14"/>
    <x v="160"/>
    <n v="17400526.27"/>
    <x v="42"/>
    <x v="0"/>
    <s v="pagado"/>
    <s v="pagado"/>
    <s v="excluir"/>
    <s v="no semana"/>
    <x v="0"/>
  </r>
  <r>
    <n v="3000001389"/>
    <d v="2025-03-25T00:00:00"/>
    <n v="15000000"/>
    <s v="MAINCAL S.A ROSARIO SUD 12"/>
    <x v="161"/>
    <n v="15000000"/>
    <x v="41"/>
    <x v="0"/>
    <s v="pagado"/>
    <s v="pagado"/>
    <s v="excluir"/>
    <s v="no semana"/>
    <x v="0"/>
  </r>
  <r>
    <n v="3000001389"/>
    <d v="2025-03-25T00:00:00"/>
    <n v="16657718.85"/>
    <s v="MAINCAL S.A ROSARIO SUD 12"/>
    <x v="162"/>
    <n v="16657718.85"/>
    <x v="42"/>
    <x v="0"/>
    <s v="pagado"/>
    <s v="pagado"/>
    <s v="excluir"/>
    <s v="no semana"/>
    <x v="0"/>
  </r>
  <r>
    <n v="3000001390"/>
    <d v="2025-03-25T00:00:00"/>
    <n v="23000000"/>
    <s v="AGROPECUARIA MUNDO NUEVO SRL SAN PABLO 14"/>
    <x v="163"/>
    <n v="23000000"/>
    <x v="41"/>
    <x v="0"/>
    <s v="pagado"/>
    <s v="pagado"/>
    <s v="excluir"/>
    <s v="no semana"/>
    <x v="0"/>
  </r>
  <r>
    <n v="3000001390"/>
    <d v="2025-03-25T00:00:00"/>
    <n v="22005290.809999999"/>
    <s v="AGROPECUARIA MUNDO NUEVO SRL SAN PABLO 14"/>
    <x v="164"/>
    <n v="22005290.809999999"/>
    <x v="42"/>
    <x v="0"/>
    <s v="pagado"/>
    <s v="pagado"/>
    <s v="excluir"/>
    <s v="no semana"/>
    <x v="0"/>
  </r>
  <r>
    <n v="3000001399"/>
    <d v="2025-03-25T00:00:00"/>
    <n v="10000000"/>
    <s v="BONSUR SA CAPITAL FEDERAL 00"/>
    <x v="165"/>
    <n v="10000000"/>
    <x v="41"/>
    <x v="0"/>
    <s v="pagado"/>
    <s v="pagado"/>
    <s v="excluir"/>
    <s v="no semana"/>
    <x v="0"/>
  </r>
  <r>
    <n v="3000001399"/>
    <d v="2025-03-25T00:00:00"/>
    <n v="11222167.92"/>
    <s v="BONSUR SA CAPITAL FEDERAL 00"/>
    <x v="166"/>
    <n v="11222167.92"/>
    <x v="42"/>
    <x v="0"/>
    <s v="pagado"/>
    <s v="pagado"/>
    <s v="excluir"/>
    <s v="no semana"/>
    <x v="0"/>
  </r>
  <r>
    <n v="3000001387"/>
    <d v="2025-03-25T00:00:00"/>
    <n v="14944109.720000001"/>
    <s v="NOBEN SRL SAN MIGUEL DE TUCUMAN 14"/>
    <x v="167"/>
    <n v="14944109.720000001"/>
    <x v="41"/>
    <x v="0"/>
    <s v="pagado"/>
    <s v="pagado"/>
    <s v="excluir"/>
    <s v="no semana"/>
    <x v="0"/>
  </r>
  <r>
    <n v="3000001391"/>
    <d v="2025-03-25T00:00:00"/>
    <n v="5568020.6299999999"/>
    <s v="ROMERO SERVICIOS S. A. S. ALPACHIRI 14"/>
    <x v="168"/>
    <n v="5568020.6299999999"/>
    <x v="41"/>
    <x v="0"/>
    <s v="pagado"/>
    <s v="pagado"/>
    <s v="excluir"/>
    <s v="no semana"/>
    <x v="0"/>
  </r>
  <r>
    <n v="3000001392"/>
    <d v="2025-03-25T00:00:00"/>
    <n v="2263591.1"/>
    <s v="MG SERVICIOS AGROPECUARIOS SASTAFI VIEJO 14"/>
    <x v="169"/>
    <n v="2263591.1"/>
    <x v="41"/>
    <x v="0"/>
    <s v="pagado"/>
    <s v="pagado"/>
    <s v="excluir"/>
    <s v="no semana"/>
    <x v="0"/>
  </r>
  <r>
    <n v="3000001393"/>
    <d v="2025-03-25T00:00:00"/>
    <n v="6752691.5999999996"/>
    <s v="TEKNOS TECHNOLOGY GROUP SA CAPITAL FEDERAL 00"/>
    <x v="170"/>
    <n v="6752691.5999999996"/>
    <x v="41"/>
    <x v="0"/>
    <s v="pagado"/>
    <s v="pagado"/>
    <s v="excluir"/>
    <s v="no semana"/>
    <x v="0"/>
  </r>
  <r>
    <n v="3000001394"/>
    <d v="2025-03-25T00:00:00"/>
    <n v="5423997.9699999997"/>
    <s v="LOGISTICA INTERNACIONAL S.A SAN MIGUEL DE TUCUMAN 14"/>
    <x v="171"/>
    <n v="5423997.9699999997"/>
    <x v="41"/>
    <x v="0"/>
    <s v="pagado"/>
    <s v="pagado"/>
    <s v="excluir"/>
    <s v="no semana"/>
    <x v="0"/>
  </r>
  <r>
    <n v="3000001395"/>
    <d v="2025-03-25T00:00:00"/>
    <n v="9994718.9800000004"/>
    <s v="Transportes La Sevillanita S.RALDERETES 14"/>
    <x v="172"/>
    <n v="9994718.9800000004"/>
    <x v="41"/>
    <x v="0"/>
    <s v="pagado"/>
    <s v="pagado"/>
    <s v="excluir"/>
    <s v="no semana"/>
    <x v="0"/>
  </r>
  <r>
    <n v="3000001396"/>
    <d v="2025-03-25T00:00:00"/>
    <n v="3615552.18"/>
    <s v="BUENOS AIRES COMEX S.R.L. BANFIELD 14"/>
    <x v="173"/>
    <n v="3615552.18"/>
    <x v="41"/>
    <x v="0"/>
    <s v="pagado"/>
    <s v="pagado"/>
    <s v="excluir"/>
    <s v="no semana"/>
    <x v="0"/>
  </r>
  <r>
    <n v="3000001397"/>
    <d v="2025-03-25T00:00:00"/>
    <n v="5901818.9199999999"/>
    <s v="TRANSPORTE LA TRADICION SRL ALDERETES 14"/>
    <x v="174"/>
    <n v="5901818.9199999999"/>
    <x v="41"/>
    <x v="0"/>
    <s v="pagado"/>
    <s v="pagado"/>
    <s v="excluir"/>
    <s v="no semana"/>
    <x v="0"/>
  </r>
  <r>
    <n v="3000001398"/>
    <d v="2025-03-25T00:00:00"/>
    <n v="3565296"/>
    <s v="JACQUET NORBERTO SALVADOR SAN JOSE 05"/>
    <x v="175"/>
    <n v="3565296"/>
    <x v="41"/>
    <x v="0"/>
    <s v="pagado"/>
    <s v="pagado"/>
    <s v="excluir"/>
    <s v="no semana"/>
    <x v="0"/>
  </r>
  <r>
    <n v="3000001400"/>
    <d v="2025-03-25T00:00:00"/>
    <n v="9183173.0800000001"/>
    <s v="Terminal 4 S.A. Puerto Nuevo 01"/>
    <x v="176"/>
    <n v="9183173.0800000001"/>
    <x v="41"/>
    <x v="0"/>
    <s v="pagado"/>
    <s v="pagado"/>
    <s v="excluir"/>
    <s v="no semana"/>
    <x v="0"/>
  </r>
  <r>
    <n v="3000001401"/>
    <d v="2025-03-25T00:00:00"/>
    <n v="5393304"/>
    <s v="RL SOLUCIONES S. A. S. SAN MIGUEL DE TUCUMAN 14"/>
    <x v="177"/>
    <n v="5393304"/>
    <x v="41"/>
    <x v="0"/>
    <s v="pagado"/>
    <s v="pagado"/>
    <s v="excluir"/>
    <s v="no semana"/>
    <x v="0"/>
  </r>
  <r>
    <n v="3000001402"/>
    <d v="2025-03-25T00:00:00"/>
    <n v="15528177.1"/>
    <s v="CAPETTA ANTONELLA ANAHI SAN MIGUEL DE TUCUMAN 14"/>
    <x v="178"/>
    <n v="15528177.1"/>
    <x v="41"/>
    <x v="0"/>
    <s v="pagado"/>
    <s v="pagado"/>
    <s v="excluir"/>
    <s v="no semana"/>
    <x v="0"/>
  </r>
  <r>
    <n v="3000001403"/>
    <d v="2025-03-25T00:00:00"/>
    <n v="3588227.54"/>
    <s v="MAC DONALD MIGUEL ALEJANDRO BANDA DEL RIO SALI 14"/>
    <x v="179"/>
    <n v="3588227.54"/>
    <x v="41"/>
    <x v="0"/>
    <s v="pagado"/>
    <s v="pagado"/>
    <s v="excluir"/>
    <s v="no semana"/>
    <x v="0"/>
  </r>
  <r>
    <n v="3000001472"/>
    <d v="2025-03-27T00:00:00"/>
    <n v="484544.99"/>
    <s v=". Tucumán"/>
    <x v="180"/>
    <n v="484544.99"/>
    <x v="37"/>
    <x v="1"/>
    <s v="pagado"/>
    <s v="pagado"/>
    <s v="excluir"/>
    <s v="no semana"/>
    <x v="0"/>
  </r>
  <r>
    <n v="3000001507"/>
    <d v="2025-03-31T00:00:00"/>
    <n v="3000860.08"/>
    <s v="SABIKA SRL CIUDAD AUTONOMA BUENOS AIRES 00"/>
    <x v="181"/>
    <n v="3000860.08"/>
    <x v="43"/>
    <x v="0"/>
    <s v="pagado"/>
    <s v="pagado"/>
    <s v="excluir"/>
    <s v="no semana"/>
    <x v="0"/>
  </r>
  <r>
    <n v="3000001508"/>
    <d v="2025-03-31T00:00:00"/>
    <n v="4482479.4000000004"/>
    <s v="MORILLO ANTONIO JOSE EMBARCACION 09"/>
    <x v="182"/>
    <n v="4482479.4000000004"/>
    <x v="43"/>
    <x v="0"/>
    <s v="pagado"/>
    <s v="pagado"/>
    <s v="excluir"/>
    <s v="no semana"/>
    <x v="0"/>
  </r>
  <r>
    <n v="3000001509"/>
    <d v="2025-03-31T00:00:00"/>
    <n v="3514213.5"/>
    <s v="DECIMA MANUEL ARMANDO SAN MIGUEL DE TUCUMAN 14"/>
    <x v="183"/>
    <n v="3514213.5"/>
    <x v="43"/>
    <x v="0"/>
    <s v="pagado"/>
    <s v="pagado"/>
    <s v="excluir"/>
    <s v="no semana"/>
    <x v="0"/>
  </r>
  <r>
    <n v="3000001510"/>
    <d v="2025-03-31T00:00:00"/>
    <n v="2614409.79"/>
    <s v="MONTEROS LEMON SAS TAFI VIEJO 14"/>
    <x v="184"/>
    <n v="2614409.79"/>
    <x v="43"/>
    <x v="0"/>
    <s v="pagado"/>
    <s v="pagado"/>
    <s v="excluir"/>
    <s v="no semana"/>
    <x v="0"/>
  </r>
  <r>
    <n v="3000001511"/>
    <d v="2025-03-31T00:00:00"/>
    <n v="7567193.4000000004"/>
    <s v="SOLUCIONES RANDSTAD S.A ROSARIO 12"/>
    <x v="185"/>
    <n v="7567193.4000000004"/>
    <x v="44"/>
    <x v="0"/>
    <s v="pagado"/>
    <s v="pagado"/>
    <s v="excluir"/>
    <s v="no semana"/>
    <x v="0"/>
  </r>
  <r>
    <n v="3000001512"/>
    <d v="2025-03-31T00:00:00"/>
    <n v="6615069.0300000003"/>
    <s v="JS NORTE INGENIERIA S.R.L ANDALGALA 02"/>
    <x v="186"/>
    <n v="6615069.0300000003"/>
    <x v="44"/>
    <x v="0"/>
    <s v="pagado"/>
    <s v="pagado"/>
    <s v="excluir"/>
    <s v="no semana"/>
    <x v="0"/>
  </r>
  <r>
    <n v="3000001513"/>
    <d v="2025-03-31T00:00:00"/>
    <n v="6788075"/>
    <s v="TEKNOS TECHNOLOGY GROUP SA CAPITAL FEDERAL 00"/>
    <x v="187"/>
    <n v="6788075"/>
    <x v="44"/>
    <x v="0"/>
    <s v="pagado"/>
    <s v="pagado"/>
    <s v="excluir"/>
    <s v="no semana"/>
    <x v="0"/>
  </r>
  <r>
    <n v="3000001514"/>
    <d v="2025-03-31T00:00:00"/>
    <n v="8007068.4000000004"/>
    <s v="GEOTECNOLOGIA S.R.L SAN MIGUEL DE TUCUMAN 14"/>
    <x v="188"/>
    <n v="8007068.4000000004"/>
    <x v="44"/>
    <x v="0"/>
    <s v="pagado"/>
    <s v="pagado"/>
    <s v="excluir"/>
    <s v="no semana"/>
    <x v="0"/>
  </r>
  <r>
    <n v="3000001561"/>
    <d v="2025-04-03T00:00:00"/>
    <n v="1335665.95"/>
    <s v="Expreso Bisonte S.R.L. BANDA DEL RIO SALI 14"/>
    <x v="189"/>
    <n v="1335665.95"/>
    <x v="45"/>
    <x v="0"/>
    <s v="pagado"/>
    <s v="pagado"/>
    <s v="excluir"/>
    <s v="no semana"/>
    <x v="0"/>
  </r>
  <r>
    <n v="3000001562"/>
    <d v="2025-04-03T00:00:00"/>
    <n v="12056607.32"/>
    <s v="MAC DONALD MIGUEL ALEJANDRO BANDA DEL RIO SALI 14"/>
    <x v="190"/>
    <n v="12056607.32"/>
    <x v="45"/>
    <x v="0"/>
    <s v="pagado"/>
    <s v="pagado"/>
    <s v="excluir"/>
    <s v="no semana"/>
    <x v="0"/>
  </r>
  <r>
    <n v="3000001563"/>
    <d v="2025-04-03T00:00:00"/>
    <n v="5064966.97"/>
    <s v="VILLAGRA VELEZ ROQUE RICARDO SAN MIGUEL DE TUCUMAN 14"/>
    <x v="191"/>
    <n v="5064966.97"/>
    <x v="45"/>
    <x v="0"/>
    <s v="pagado"/>
    <s v="pagado"/>
    <s v="excluir"/>
    <s v="no semana"/>
    <x v="0"/>
  </r>
  <r>
    <n v="3000001536"/>
    <d v="2025-04-03T00:00:00"/>
    <n v="2000000"/>
    <s v=". Tucumán"/>
    <x v="192"/>
    <n v="2000000"/>
    <x v="43"/>
    <x v="1"/>
    <s v="pagado"/>
    <s v="pagado"/>
    <s v="excluir"/>
    <s v="no semana"/>
    <x v="0"/>
  </r>
  <r>
    <n v="3000001642"/>
    <d v="2025-04-08T00:00:00"/>
    <n v="13000000"/>
    <s v="Verde y Sol S.R.L. SAN MIGUEL DE TUCUMAN 14"/>
    <x v="193"/>
    <n v="13000000"/>
    <x v="46"/>
    <x v="0"/>
    <s v="pagado"/>
    <s v="pagado"/>
    <s v="excluir"/>
    <s v="no semana"/>
    <x v="0"/>
  </r>
  <r>
    <n v="3000001642"/>
    <d v="2025-04-08T00:00:00"/>
    <n v="13000000"/>
    <s v="Verde y Sol S.R.L. SAN MIGUEL DE TUCUMAN 14"/>
    <x v="194"/>
    <n v="13000000"/>
    <x v="46"/>
    <x v="0"/>
    <s v="pagado"/>
    <s v="pagado"/>
    <s v="excluir"/>
    <s v="no semana"/>
    <x v="0"/>
  </r>
  <r>
    <n v="3000001642"/>
    <d v="2025-04-08T00:00:00"/>
    <n v="13000000"/>
    <s v="Verde y Sol S.R.L. SAN MIGUEL DE TUCUMAN 14"/>
    <x v="195"/>
    <n v="13000000"/>
    <x v="46"/>
    <x v="0"/>
    <s v="pagado"/>
    <s v="pagado"/>
    <s v="excluir"/>
    <s v="no semana"/>
    <x v="0"/>
  </r>
  <r>
    <n v="3000001642"/>
    <d v="2025-04-08T00:00:00"/>
    <n v="7582335.4199999999"/>
    <s v="Verde y Sol S.R.L. SAN MIGUEL DE TUCUMAN 14"/>
    <x v="196"/>
    <n v="7582335.4199999999"/>
    <x v="47"/>
    <x v="0"/>
    <s v="pagado"/>
    <s v="pagado"/>
    <s v="excluir"/>
    <s v="no semana"/>
    <x v="0"/>
  </r>
  <r>
    <n v="3000001644"/>
    <d v="2025-04-08T00:00:00"/>
    <n v="11000000"/>
    <s v="SEGURIDAD OMEGA SRL SAN FERNANDO DEL VALLE DE CATAMARCA 02"/>
    <x v="197"/>
    <n v="11000000"/>
    <x v="46"/>
    <x v="0"/>
    <s v="pagado"/>
    <s v="pagado"/>
    <s v="excluir"/>
    <s v="no semana"/>
    <x v="0"/>
  </r>
  <r>
    <n v="3000001644"/>
    <d v="2025-04-08T00:00:00"/>
    <n v="11099306.92"/>
    <s v="SEGURIDAD OMEGA SRL SAN FERNANDO DEL VALLE DE CATAMARCA 02"/>
    <x v="198"/>
    <n v="11099306.92"/>
    <x v="47"/>
    <x v="0"/>
    <s v="pagado"/>
    <s v="pagado"/>
    <s v="excluir"/>
    <s v="no semana"/>
    <x v="0"/>
  </r>
  <r>
    <n v="3000001645"/>
    <d v="2025-04-08T00:00:00"/>
    <n v="20000000"/>
    <s v="M. AMUCHASTEGUI S. R. L. YERBA BUENA 14"/>
    <x v="199"/>
    <n v="20000000"/>
    <x v="46"/>
    <x v="0"/>
    <s v="pagado"/>
    <s v="pagado"/>
    <s v="excluir"/>
    <s v="no semana"/>
    <x v="0"/>
  </r>
  <r>
    <n v="3000001645"/>
    <d v="2025-04-08T00:00:00"/>
    <n v="19337004.699999999"/>
    <s v="M. AMUCHASTEGUI S. R. L. YERBA BUENA 14"/>
    <x v="200"/>
    <n v="19337004.699999999"/>
    <x v="47"/>
    <x v="0"/>
    <s v="pagado"/>
    <s v="pagado"/>
    <s v="excluir"/>
    <s v="no semana"/>
    <x v="0"/>
  </r>
  <r>
    <n v="3000001649"/>
    <d v="2025-04-08T00:00:00"/>
    <n v="10000000"/>
    <s v="SMART SEGURIDAD SA YERBA BUENA 14"/>
    <x v="201"/>
    <n v="10000000"/>
    <x v="46"/>
    <x v="0"/>
    <s v="pagado"/>
    <s v="pagado"/>
    <s v="excluir"/>
    <s v="no semana"/>
    <x v="0"/>
  </r>
  <r>
    <n v="3000001649"/>
    <d v="2025-04-08T00:00:00"/>
    <n v="10252296.890000001"/>
    <s v="SMART SEGURIDAD SA YERBA BUENA 14"/>
    <x v="202"/>
    <n v="10252296.890000001"/>
    <x v="47"/>
    <x v="0"/>
    <s v="pagado"/>
    <s v="pagado"/>
    <s v="excluir"/>
    <s v="no semana"/>
    <x v="0"/>
  </r>
  <r>
    <n v="3000001654"/>
    <d v="2025-04-08T00:00:00"/>
    <n v="21000000"/>
    <s v="MERCATOR TRANSPORT ARGENTINA SBUENOS AIRES 01"/>
    <x v="203"/>
    <n v="21000000"/>
    <x v="47"/>
    <x v="0"/>
    <s v="pagado"/>
    <s v="pagado"/>
    <s v="excluir"/>
    <s v="no semana"/>
    <x v="0"/>
  </r>
  <r>
    <n v="3000001654"/>
    <d v="2025-04-08T00:00:00"/>
    <n v="21089967.289999999"/>
    <s v="MERCATOR TRANSPORT ARGENTINA SBUENOS AIRES 01"/>
    <x v="204"/>
    <n v="21089967.289999999"/>
    <x v="48"/>
    <x v="0"/>
    <s v="pagado"/>
    <s v="pagado"/>
    <s v="excluir"/>
    <s v="no semana"/>
    <x v="0"/>
  </r>
  <r>
    <n v="3000001655"/>
    <d v="2025-04-08T00:00:00"/>
    <n v="11000000"/>
    <s v="BUENOS AIRES COMEX S.R.L. BANFIELD 14"/>
    <x v="205"/>
    <n v="11000000"/>
    <x v="47"/>
    <x v="0"/>
    <s v="pagado"/>
    <s v="pagado"/>
    <s v="excluir"/>
    <s v="no semana"/>
    <x v="0"/>
  </r>
  <r>
    <n v="3000001655"/>
    <d v="2025-04-08T00:00:00"/>
    <n v="11031415.73"/>
    <s v="BUENOS AIRES COMEX S.R.L. BANFIELD 14"/>
    <x v="206"/>
    <n v="11031415.73"/>
    <x v="48"/>
    <x v="0"/>
    <s v="pagado"/>
    <s v="pagado"/>
    <s v="excluir"/>
    <s v="no semana"/>
    <x v="0"/>
  </r>
  <r>
    <n v="3000001640"/>
    <d v="2025-04-08T00:00:00"/>
    <n v="5779626.3899999997"/>
    <s v="RODRIGO HEREDIA PUIG LASTENIA 14"/>
    <x v="207"/>
    <n v="5779626.3899999997"/>
    <x v="46"/>
    <x v="0"/>
    <s v="pagado"/>
    <s v="pagado"/>
    <s v="excluir"/>
    <s v="no semana"/>
    <x v="0"/>
  </r>
  <r>
    <n v="3000001641"/>
    <d v="2025-04-08T00:00:00"/>
    <n v="27631343.399999999"/>
    <s v="SAUCE HUACHO SERVICIOS S.R.L MONTEROS 14"/>
    <x v="208"/>
    <n v="27631343.399999999"/>
    <x v="47"/>
    <x v="0"/>
    <s v="pagado"/>
    <s v="pagado"/>
    <s v="excluir"/>
    <s v="no semana"/>
    <x v="0"/>
  </r>
  <r>
    <n v="3000001643"/>
    <d v="2025-04-08T00:00:00"/>
    <n v="3689625.6000000001"/>
    <s v="J. SLEIMAN S.R.L SAN MIGUEL DE TUCUMAN 14"/>
    <x v="209"/>
    <n v="3689625.6000000001"/>
    <x v="46"/>
    <x v="0"/>
    <s v="pagado"/>
    <s v="pagado"/>
    <s v="excluir"/>
    <s v="no semana"/>
    <x v="0"/>
  </r>
  <r>
    <n v="3000001646"/>
    <d v="2025-04-08T00:00:00"/>
    <n v="3022076.78"/>
    <s v="Servicom Group S.A. CAPITAL FEDERAL 00"/>
    <x v="210"/>
    <n v="3022076.78"/>
    <x v="46"/>
    <x v="0"/>
    <s v="pagado"/>
    <s v="pagado"/>
    <s v="excluir"/>
    <s v="no semana"/>
    <x v="0"/>
  </r>
  <r>
    <n v="3000001647"/>
    <d v="2025-04-08T00:00:00"/>
    <n v="4375526.1900000004"/>
    <s v="PETROARSA S.A SAN MIGUEL DE TUCUMAN 14"/>
    <x v="211"/>
    <n v="4375526.1900000004"/>
    <x v="46"/>
    <x v="0"/>
    <s v="pagado"/>
    <s v="pagado"/>
    <s v="excluir"/>
    <s v="no semana"/>
    <x v="0"/>
  </r>
  <r>
    <n v="3000001648"/>
    <d v="2025-04-08T00:00:00"/>
    <n v="5222771.3"/>
    <s v="CAMPOAGRO SRL YERBA BUENA 14"/>
    <x v="212"/>
    <n v="5222771.3"/>
    <x v="46"/>
    <x v="0"/>
    <s v="pagado"/>
    <s v="pagado"/>
    <s v="excluir"/>
    <s v="no semana"/>
    <x v="0"/>
  </r>
  <r>
    <n v="3000001650"/>
    <d v="2025-04-08T00:00:00"/>
    <n v="7986987.4400000004"/>
    <s v="JACQUET NORBERTO SALVADOR SAN JOSE 05"/>
    <x v="213"/>
    <n v="7986987.4400000004"/>
    <x v="47"/>
    <x v="0"/>
    <s v="pagado"/>
    <s v="pagado"/>
    <s v="excluir"/>
    <s v="no semana"/>
    <x v="0"/>
  </r>
  <r>
    <n v="3000001651"/>
    <d v="2025-04-08T00:00:00"/>
    <n v="3700335.92"/>
    <s v="RL SOLUCIONES S. A. S. SAN MIGUEL DE TUCUMAN 14"/>
    <x v="214"/>
    <n v="3700335.92"/>
    <x v="47"/>
    <x v="0"/>
    <s v="pagado"/>
    <s v="pagado"/>
    <s v="excluir"/>
    <s v="no semana"/>
    <x v="0"/>
  </r>
  <r>
    <n v="3000001652"/>
    <d v="2025-04-08T00:00:00"/>
    <n v="18227468.949999999"/>
    <s v="CAPETTA ANTONELLA ANAHI SAN MIGUEL DE TUCUMAN 14"/>
    <x v="215"/>
    <n v="18227468.949999999"/>
    <x v="47"/>
    <x v="0"/>
    <s v="pagado"/>
    <s v="pagado"/>
    <s v="excluir"/>
    <s v="no semana"/>
    <x v="0"/>
  </r>
  <r>
    <n v="3000001653"/>
    <d v="2025-04-08T00:00:00"/>
    <n v="7235922.6500000004"/>
    <s v="CEMEVA SAS YERBA BUENA 14"/>
    <x v="216"/>
    <n v="7235922.6500000004"/>
    <x v="47"/>
    <x v="0"/>
    <s v="pagado"/>
    <s v="pagado"/>
    <s v="excluir"/>
    <s v="no semana"/>
    <x v="0"/>
  </r>
  <r>
    <n v="3000001656"/>
    <d v="2025-04-08T00:00:00"/>
    <n v="8567264.0299999993"/>
    <s v="LATCOMEX SA CAPITAL FEDERAL 00"/>
    <x v="217"/>
    <n v="8567264.0299999993"/>
    <x v="47"/>
    <x v="0"/>
    <s v="pagado"/>
    <s v="pagado"/>
    <s v="excluir"/>
    <s v="no semana"/>
    <x v="0"/>
  </r>
  <r>
    <n v="3000001687"/>
    <d v="2025-04-09T00:00:00"/>
    <n v="3888830"/>
    <s v="MG SERVICIOS AGROPECUARIOS SASTAFI VIEJO 14"/>
    <x v="218"/>
    <n v="3888830"/>
    <x v="47"/>
    <x v="1"/>
    <s v="pagado"/>
    <s v="pagado"/>
    <s v="excluir"/>
    <s v="no semana"/>
    <x v="0"/>
  </r>
  <r>
    <n v="3000001687"/>
    <d v="2025-04-09T00:00:00"/>
    <n v="3096372"/>
    <s v="MG SERVICIOS AGROPECUARIOS SASTAFI VIEJO 14"/>
    <x v="219"/>
    <n v="3096372"/>
    <x v="47"/>
    <x v="1"/>
    <s v="pagado"/>
    <s v="pagado"/>
    <s v="excluir"/>
    <s v="no semana"/>
    <x v="0"/>
  </r>
  <r>
    <n v="3000001687"/>
    <d v="2025-04-09T00:00:00"/>
    <n v="1243130"/>
    <s v="MG SERVICIOS AGROPECUARIOS SASTAFI VIEJO 14"/>
    <x v="220"/>
    <n v="1243130"/>
    <x v="47"/>
    <x v="1"/>
    <s v="pagado"/>
    <s v="pagado"/>
    <s v="excluir"/>
    <s v="no semana"/>
    <x v="0"/>
  </r>
  <r>
    <n v="3000001687"/>
    <d v="2025-04-09T00:00:00"/>
    <n v="5150000"/>
    <s v="MG SERVICIOS AGROPECUARIOS SASTAFI VIEJO 14"/>
    <x v="221"/>
    <n v="5150000"/>
    <x v="47"/>
    <x v="1"/>
    <s v="pagado"/>
    <s v="pagado"/>
    <s v="excluir"/>
    <s v="no semana"/>
    <x v="0"/>
  </r>
  <r>
    <n v="3000001687"/>
    <d v="2025-04-09T00:00:00"/>
    <n v="1365000"/>
    <s v="MG SERVICIOS AGROPECUARIOS SASTAFI VIEJO 14"/>
    <x v="222"/>
    <n v="1365000"/>
    <x v="47"/>
    <x v="1"/>
    <s v="pagado"/>
    <s v="pagado"/>
    <s v="excluir"/>
    <s v="no semana"/>
    <x v="0"/>
  </r>
  <r>
    <n v="3000001687"/>
    <d v="2025-04-09T00:00:00"/>
    <n v="3000000"/>
    <s v="MG SERVICIOS AGROPECUARIOS SASTAFI VIEJO 14"/>
    <x v="223"/>
    <n v="3000000"/>
    <x v="47"/>
    <x v="1"/>
    <s v="pagado"/>
    <s v="pagado"/>
    <s v="excluir"/>
    <s v="no semana"/>
    <x v="0"/>
  </r>
  <r>
    <n v="3000001687"/>
    <d v="2025-04-09T00:00:00"/>
    <n v="684493"/>
    <s v="MG SERVICIOS AGROPECUARIOS SASTAFI VIEJO 14"/>
    <x v="224"/>
    <n v="684493"/>
    <x v="47"/>
    <x v="1"/>
    <s v="pagado"/>
    <s v="pagado"/>
    <s v="excluir"/>
    <s v="no semana"/>
    <x v="0"/>
  </r>
  <r>
    <n v="3000001687"/>
    <d v="2025-04-09T00:00:00"/>
    <n v="116103690.52"/>
    <s v="MG SERVICIOS AGROPECUARIOS SASTAFI VIEJO 14"/>
    <x v="225"/>
    <n v="116103690.52"/>
    <x v="47"/>
    <x v="1"/>
    <s v="pagado"/>
    <s v="pagado"/>
    <s v="excluir"/>
    <s v="no semana"/>
    <x v="0"/>
  </r>
  <r>
    <n v="3000001723"/>
    <d v="2025-04-10T00:00:00"/>
    <n v="2947408.93"/>
    <s v="Fondo Fijo Administracion CitrNO TIENE"/>
    <x v="226"/>
    <n v="2947408.93"/>
    <x v="47"/>
    <x v="1"/>
    <s v="pagado"/>
    <s v="pagado"/>
    <s v="excluir"/>
    <s v="no semana"/>
    <x v="0"/>
  </r>
  <r>
    <n v="3000001786"/>
    <d v="2025-04-14T00:00:00"/>
    <n v="25000000"/>
    <s v="Trading Internacional S.A. ROSARIO 12"/>
    <x v="227"/>
    <n v="25000000"/>
    <x v="49"/>
    <x v="0"/>
    <s v="pagado"/>
    <s v="pagado"/>
    <s v="excluir"/>
    <s v="no semana"/>
    <x v="0"/>
  </r>
  <r>
    <n v="3000001786"/>
    <d v="2025-04-14T00:00:00"/>
    <n v="24282450"/>
    <s v="Trading Internacional S.A. ROSARIO 12"/>
    <x v="228"/>
    <n v="24282450"/>
    <x v="50"/>
    <x v="0"/>
    <s v="pagado"/>
    <s v="pagado"/>
    <s v="excluir"/>
    <s v="no semana"/>
    <x v="0"/>
  </r>
  <r>
    <n v="3000001788"/>
    <d v="2025-04-14T00:00:00"/>
    <n v="16000000"/>
    <s v="LA MARTINA SERV. AGRICOLAS S.RSAN PABLO 14"/>
    <x v="229"/>
    <n v="16000000"/>
    <x v="49"/>
    <x v="0"/>
    <s v="pagado"/>
    <s v="pagado"/>
    <s v="excluir"/>
    <s v="no semana"/>
    <x v="0"/>
  </r>
  <r>
    <n v="3000001788"/>
    <d v="2025-04-14T00:00:00"/>
    <n v="15007293.4"/>
    <s v="LA MARTINA SERV. AGRICOLAS S.RSAN PABLO 14"/>
    <x v="230"/>
    <n v="15007293.4"/>
    <x v="50"/>
    <x v="0"/>
    <s v="pagado"/>
    <s v="pagado"/>
    <s v="excluir"/>
    <s v="no semana"/>
    <x v="0"/>
  </r>
  <r>
    <n v="3000001789"/>
    <d v="2025-04-14T00:00:00"/>
    <n v="19000000"/>
    <s v="PAMPLONA SRL SAN MIGUEL DE TUCUMAN 14"/>
    <x v="231"/>
    <n v="19000000"/>
    <x v="49"/>
    <x v="0"/>
    <s v="pagado"/>
    <s v="pagado"/>
    <s v="excluir"/>
    <s v="no semana"/>
    <x v="0"/>
  </r>
  <r>
    <n v="3000001789"/>
    <d v="2025-04-14T00:00:00"/>
    <n v="19438843.399999999"/>
    <s v="PAMPLONA SRL SAN MIGUEL DE TUCUMAN 14"/>
    <x v="232"/>
    <n v="19438843.399999999"/>
    <x v="50"/>
    <x v="0"/>
    <s v="pagado"/>
    <s v="pagado"/>
    <s v="excluir"/>
    <s v="no semana"/>
    <x v="0"/>
  </r>
  <r>
    <n v="3000001791"/>
    <d v="2025-04-14T00:00:00"/>
    <n v="10000000"/>
    <s v="M. AMUCHASTEGUI S. R. L. YERBA BUENA 14"/>
    <x v="233"/>
    <n v="10000000"/>
    <x v="49"/>
    <x v="0"/>
    <s v="pagado"/>
    <s v="pagado"/>
    <s v="excluir"/>
    <s v="no semana"/>
    <x v="0"/>
  </r>
  <r>
    <n v="3000001791"/>
    <d v="2025-04-14T00:00:00"/>
    <n v="7384547.4400000004"/>
    <s v="M. AMUCHASTEGUI S. R. L. YERBA BUENA 14"/>
    <x v="234"/>
    <n v="7384547.4400000004"/>
    <x v="50"/>
    <x v="0"/>
    <s v="pagado"/>
    <s v="pagado"/>
    <s v="excluir"/>
    <s v="no semana"/>
    <x v="0"/>
  </r>
  <r>
    <n v="3000001792"/>
    <d v="2025-04-14T00:00:00"/>
    <n v="18000000"/>
    <s v="PAMPLONA SRL SAN MIGUEL DE TUCUMAN 14"/>
    <x v="235"/>
    <n v="18000000"/>
    <x v="49"/>
    <x v="0"/>
    <s v="pagado"/>
    <s v="pagado"/>
    <s v="excluir"/>
    <s v="no semana"/>
    <x v="0"/>
  </r>
  <r>
    <n v="3000001792"/>
    <d v="2025-04-14T00:00:00"/>
    <n v="19849823.140000001"/>
    <s v="PAMPLONA SRL SAN MIGUEL DE TUCUMAN 14"/>
    <x v="236"/>
    <n v="19849823.140000001"/>
    <x v="50"/>
    <x v="0"/>
    <s v="pagado"/>
    <s v="pagado"/>
    <s v="excluir"/>
    <s v="no semana"/>
    <x v="0"/>
  </r>
  <r>
    <n v="3000001793"/>
    <d v="2025-04-14T00:00:00"/>
    <n v="16000000"/>
    <s v="SMART SEGURIDAD SA YERBA BUENA 14"/>
    <x v="237"/>
    <n v="16000000"/>
    <x v="49"/>
    <x v="0"/>
    <s v="pagado"/>
    <s v="pagado"/>
    <s v="excluir"/>
    <s v="no semana"/>
    <x v="0"/>
  </r>
  <r>
    <n v="3000001793"/>
    <d v="2025-04-14T00:00:00"/>
    <n v="15470651.689999999"/>
    <s v="SMART SEGURIDAD SA YERBA BUENA 14"/>
    <x v="238"/>
    <n v="15470651.689999999"/>
    <x v="50"/>
    <x v="0"/>
    <s v="pagado"/>
    <s v="pagado"/>
    <s v="excluir"/>
    <s v="no semana"/>
    <x v="0"/>
  </r>
  <r>
    <n v="3000001794"/>
    <d v="2025-04-14T00:00:00"/>
    <n v="10000000"/>
    <s v="ADLER HASENCLEVER Y ASOCIADOS BUENOS AIRES 01"/>
    <x v="239"/>
    <n v="10000000"/>
    <x v="49"/>
    <x v="0"/>
    <s v="pagado"/>
    <s v="pagado"/>
    <s v="excluir"/>
    <s v="no semana"/>
    <x v="0"/>
  </r>
  <r>
    <n v="3000001794"/>
    <d v="2025-04-14T00:00:00"/>
    <n v="6295298.71"/>
    <s v="ADLER HASENCLEVER Y ASOCIADOS BUENOS AIRES 01"/>
    <x v="240"/>
    <n v="6295298.71"/>
    <x v="50"/>
    <x v="0"/>
    <s v="pagado"/>
    <s v="pagado"/>
    <s v="excluir"/>
    <s v="no semana"/>
    <x v="0"/>
  </r>
  <r>
    <n v="3000001797"/>
    <d v="2025-04-14T00:00:00"/>
    <n v="20000000"/>
    <s v="BONSUR SA CAPITAL FEDERAL 00"/>
    <x v="241"/>
    <n v="20000000"/>
    <x v="49"/>
    <x v="0"/>
    <s v="pagado"/>
    <s v="pagado"/>
    <s v="excluir"/>
    <s v="no semana"/>
    <x v="0"/>
  </r>
  <r>
    <n v="3000001797"/>
    <d v="2025-04-14T00:00:00"/>
    <n v="15075417.92"/>
    <s v="BONSUR SA CAPITAL FEDERAL 00"/>
    <x v="242"/>
    <n v="15075417.92"/>
    <x v="50"/>
    <x v="0"/>
    <s v="pagado"/>
    <s v="pagado"/>
    <s v="excluir"/>
    <s v="no semana"/>
    <x v="0"/>
  </r>
  <r>
    <n v="3000001798"/>
    <d v="2025-04-14T00:00:00"/>
    <n v="20000000"/>
    <s v="BUENOS AIRES COMEX S.R.L. BANFIELD 14"/>
    <x v="243"/>
    <n v="20000000"/>
    <x v="49"/>
    <x v="0"/>
    <s v="pagado"/>
    <s v="pagado"/>
    <s v="excluir"/>
    <s v="no semana"/>
    <x v="0"/>
  </r>
  <r>
    <n v="3000001798"/>
    <d v="2025-04-14T00:00:00"/>
    <n v="16728942.050000001"/>
    <s v="BUENOS AIRES COMEX S.R.L. BANFIELD 14"/>
    <x v="244"/>
    <n v="16728942.050000001"/>
    <x v="50"/>
    <x v="0"/>
    <s v="pagado"/>
    <s v="pagado"/>
    <s v="excluir"/>
    <s v="no semana"/>
    <x v="0"/>
  </r>
  <r>
    <n v="3000001787"/>
    <d v="2025-04-14T00:00:00"/>
    <n v="13815000"/>
    <s v="J. SLEIMAN S.R.L SAN MIGUEL DE TUCUMAN 14"/>
    <x v="245"/>
    <n v="13815000"/>
    <x v="49"/>
    <x v="0"/>
    <s v="pagado"/>
    <s v="pagado"/>
    <s v="excluir"/>
    <s v="no semana"/>
    <x v="0"/>
  </r>
  <r>
    <n v="3000001790"/>
    <d v="2025-04-14T00:00:00"/>
    <n v="11420400"/>
    <s v="SAUCE HUACHO SERVICIOS S.R.L MONTEROS 14"/>
    <x v="246"/>
    <n v="11420400"/>
    <x v="49"/>
    <x v="0"/>
    <s v="pagado"/>
    <s v="pagado"/>
    <s v="excluir"/>
    <s v="no semana"/>
    <x v="0"/>
  </r>
  <r>
    <n v="3000001795"/>
    <d v="2025-04-14T00:00:00"/>
    <n v="5097847.7699999996"/>
    <s v="PEREZ CURBELO HNOS SRL SAN MIGUEL DE TUCUMAN 14"/>
    <x v="247"/>
    <n v="5097847.7699999996"/>
    <x v="49"/>
    <x v="0"/>
    <s v="pagado"/>
    <s v="pagado"/>
    <s v="excluir"/>
    <s v="no semana"/>
    <x v="0"/>
  </r>
  <r>
    <n v="3000001796"/>
    <d v="2025-04-14T00:00:00"/>
    <n v="7403131.7400000002"/>
    <s v="RL SOLUCIONES S. A. S. SAN MIGUEL DE TUCUMAN 14"/>
    <x v="248"/>
    <n v="7403131.7400000002"/>
    <x v="49"/>
    <x v="0"/>
    <s v="pagado"/>
    <s v="pagado"/>
    <s v="excluir"/>
    <s v="no semana"/>
    <x v="0"/>
  </r>
  <r>
    <n v="3000001827"/>
    <d v="2025-04-15T00:00:00"/>
    <n v="92007690"/>
    <s v="EDET S.A. SAN MIGUEL DE TUCUMAN 14"/>
    <x v="249"/>
    <n v="92007690"/>
    <x v="49"/>
    <x v="1"/>
    <s v="pagado"/>
    <s v="pagado"/>
    <s v="excluir"/>
    <s v="no semana"/>
    <x v="0"/>
  </r>
  <r>
    <n v="3000001867"/>
    <d v="2025-04-16T00:00:00"/>
    <n v="6232980"/>
    <s v="EDET S.A. SAN MIGUEL DE TUCUMAN 14"/>
    <x v="250"/>
    <n v="6232980"/>
    <x v="50"/>
    <x v="1"/>
    <s v="pagado"/>
    <s v="pagado"/>
    <s v="excluir"/>
    <s v="no semana"/>
    <x v="0"/>
  </r>
  <r>
    <n v="3000001906"/>
    <d v="2025-04-21T00:00:00"/>
    <n v="3780852.71"/>
    <s v="AGROREDES S.R.L SAN ISIDRO 01"/>
    <x v="251"/>
    <n v="3780852.71"/>
    <x v="51"/>
    <x v="0"/>
    <s v="pagado"/>
    <s v="pagado"/>
    <s v="excluir"/>
    <s v="no semana"/>
    <x v="0"/>
  </r>
  <r>
    <n v="3000001908"/>
    <d v="2025-04-21T00:00:00"/>
    <n v="5763890.4000000004"/>
    <s v="COOPTRAR LTDA SAN MIGUEL DE TUCUMAN 14"/>
    <x v="252"/>
    <n v="5763890.4000000004"/>
    <x v="51"/>
    <x v="0"/>
    <s v="pagado"/>
    <s v="pagado"/>
    <s v="excluir"/>
    <s v="no semana"/>
    <x v="0"/>
  </r>
  <r>
    <n v="3000001907"/>
    <d v="2025-04-21T00:00:00"/>
    <n v="7855457.96"/>
    <s v="Consultoria en Tecnologia de IBUENOS AIRES 00"/>
    <x v="253"/>
    <n v="7855457.96"/>
    <x v="51"/>
    <x v="0"/>
    <s v="pagado"/>
    <s v="pagado"/>
    <s v="excluir"/>
    <s v="no semana"/>
    <x v="0"/>
  </r>
  <r>
    <n v="3000001924"/>
    <d v="2025-04-22T00:00:00"/>
    <n v="4300000"/>
    <s v="Archvil S.A. CEVIL POZO 14"/>
    <x v="254"/>
    <n v="4300000"/>
    <x v="51"/>
    <x v="1"/>
    <s v="pagado"/>
    <s v="pagado"/>
    <s v="excluir"/>
    <s v="no semana"/>
    <x v="0"/>
  </r>
  <r>
    <n v="3000001925"/>
    <d v="2025-04-22T00:00:00"/>
    <n v="106215990"/>
    <s v="EDET S.A. SAN MIGUEL DE TUCUMAN 14"/>
    <x v="255"/>
    <n v="106215990"/>
    <x v="51"/>
    <x v="1"/>
    <s v="pagado"/>
    <s v="pagado"/>
    <s v="excluir"/>
    <s v="no semana"/>
    <x v="0"/>
  </r>
  <r>
    <n v="3000001955"/>
    <d v="2025-04-23T00:00:00"/>
    <n v="14000000"/>
    <s v="CEFAS S.A CIUDAD AUTONOMA DE BUENOS AIRES 01"/>
    <x v="256"/>
    <n v="14000000"/>
    <x v="52"/>
    <x v="0"/>
    <s v="pagado"/>
    <s v="pagado"/>
    <s v="excluir"/>
    <s v="no semana"/>
    <x v="0"/>
  </r>
  <r>
    <n v="3000001955"/>
    <d v="2025-04-23T00:00:00"/>
    <n v="14516201.91"/>
    <s v="CEFAS S.A CIUDAD AUTONOMA DE BUENOS AIRES 01"/>
    <x v="257"/>
    <n v="14516201.91"/>
    <x v="53"/>
    <x v="0"/>
    <s v="pagado"/>
    <s v="pagado"/>
    <s v="excluir"/>
    <s v="no semana"/>
    <x v="0"/>
  </r>
  <r>
    <n v="3000001949"/>
    <d v="2025-04-23T00:00:00"/>
    <n v="7060640.9400000004"/>
    <s v="GOMEZ JUANA ROSA VILLA LA TRINIDAD 14"/>
    <x v="258"/>
    <n v="7060640.9400000004"/>
    <x v="52"/>
    <x v="0"/>
    <s v="pagado"/>
    <s v="pagado"/>
    <s v="excluir"/>
    <s v="no semana"/>
    <x v="0"/>
  </r>
  <r>
    <n v="3000001950"/>
    <d v="2025-04-23T00:00:00"/>
    <n v="5219613.87"/>
    <s v="PAEZ ANDRES ALEXIS MACIO 14"/>
    <x v="259"/>
    <n v="5219613.87"/>
    <x v="52"/>
    <x v="0"/>
    <s v="pagado"/>
    <s v="pagado"/>
    <s v="excluir"/>
    <s v="no semana"/>
    <x v="0"/>
  </r>
  <r>
    <n v="3000001951"/>
    <d v="2025-04-23T00:00:00"/>
    <n v="9195647.3100000005"/>
    <s v="Vaquera Francisco Alfredo Monteros 14"/>
    <x v="260"/>
    <n v="9195647.3100000005"/>
    <x v="52"/>
    <x v="0"/>
    <s v="pagado"/>
    <s v="pagado"/>
    <s v="excluir"/>
    <s v="no semana"/>
    <x v="0"/>
  </r>
  <r>
    <n v="3000001952"/>
    <d v="2025-04-23T00:00:00"/>
    <n v="12413816.960000001"/>
    <s v="D´ANDREA SERGIO FRANCISCO YERBA BUENA 14"/>
    <x v="261"/>
    <n v="12413816.960000001"/>
    <x v="52"/>
    <x v="0"/>
    <s v="pagado"/>
    <s v="pagado"/>
    <s v="excluir"/>
    <s v="no semana"/>
    <x v="0"/>
  </r>
  <r>
    <n v="3000001953"/>
    <d v="2025-04-23T00:00:00"/>
    <n v="7787644.6500000004"/>
    <s v="ACOSTA ROQUE RAMON SAN MIGUEL DE TUCUMAN 14"/>
    <x v="262"/>
    <n v="7787644.6500000004"/>
    <x v="52"/>
    <x v="0"/>
    <s v="pagado"/>
    <s v="pagado"/>
    <s v="excluir"/>
    <s v="no semana"/>
    <x v="0"/>
  </r>
  <r>
    <n v="3000001954"/>
    <d v="2025-04-23T00:00:00"/>
    <n v="9326652.8200000003"/>
    <s v="TRANSCARGO ARGENTINA SA CAPITAL FEDERAL 00"/>
    <x v="263"/>
    <n v="9326652.8200000003"/>
    <x v="52"/>
    <x v="0"/>
    <s v="pagado"/>
    <s v="pagado"/>
    <s v="excluir"/>
    <s v="no semana"/>
    <x v="0"/>
  </r>
  <r>
    <n v="3000002048"/>
    <d v="2025-04-28T00:00:00"/>
    <n v="5729492.2300000004"/>
    <s v="Anka SRL San Miguel de Tucumán 14"/>
    <x v="264"/>
    <n v="5729492.2300000004"/>
    <x v="54"/>
    <x v="2"/>
    <s v="pagado"/>
    <s v="pagado"/>
    <s v="excluir"/>
    <s v="no semana"/>
    <x v="0"/>
  </r>
  <r>
    <n v="3000002049"/>
    <d v="2025-04-28T00:00:00"/>
    <n v="5213600"/>
    <s v="Silver Freight Logistic SRL CAPITAL FEDERAL 00"/>
    <x v="265"/>
    <n v="5213600"/>
    <x v="54"/>
    <x v="2"/>
    <s v="pagado"/>
    <s v="pagado"/>
    <s v="excluir"/>
    <s v="no semana"/>
    <x v="0"/>
  </r>
  <r>
    <n v="3000002050"/>
    <d v="2025-04-28T00:00:00"/>
    <n v="4500000"/>
    <s v="LOBO BENICIO MARTIN ALDERETES 14"/>
    <x v="266"/>
    <n v="4500000"/>
    <x v="55"/>
    <x v="2"/>
    <s v="pagado"/>
    <s v="pagado"/>
    <s v="excluir"/>
    <s v="no semana"/>
    <x v="0"/>
  </r>
  <r>
    <n v="3000002050"/>
    <d v="2025-04-28T00:00:00"/>
    <n v="4198498.4000000004"/>
    <s v="LOBO BENICIO MARTIN ALDERETES 14"/>
    <x v="267"/>
    <n v="4198498.4000000004"/>
    <x v="56"/>
    <x v="2"/>
    <s v="pagado"/>
    <s v="pagado"/>
    <s v="excluir"/>
    <s v="no semana"/>
    <x v="0"/>
  </r>
  <r>
    <n v="3000002051"/>
    <d v="2025-04-28T00:00:00"/>
    <n v="5827443.4000000004"/>
    <s v="PABLO Y FERNANDO TACCHELLA S.RSAN MIGUEL DE TUCUMAN 14"/>
    <x v="268"/>
    <n v="5827443.4000000004"/>
    <x v="54"/>
    <x v="2"/>
    <s v="pagado"/>
    <s v="pagado"/>
    <s v="excluir"/>
    <s v="no semana"/>
    <x v="0"/>
  </r>
  <r>
    <n v="3000002052"/>
    <d v="2025-04-28T00:00:00"/>
    <n v="6277887.79"/>
    <s v="ROMERO SERVICIOS S. A. S. ALPACHIRI 14"/>
    <x v="269"/>
    <n v="6277887.79"/>
    <x v="54"/>
    <x v="2"/>
    <s v="pagado"/>
    <s v="pagado"/>
    <s v="excluir"/>
    <s v="no semana"/>
    <x v="0"/>
  </r>
  <r>
    <n v="3000002053"/>
    <d v="2025-04-28T00:00:00"/>
    <n v="8771216.5299999993"/>
    <s v="PAMPLONA SRL SAN MIGUEL DE TUCUMAN 14"/>
    <x v="270"/>
    <n v="8771216.5299999993"/>
    <x v="54"/>
    <x v="2"/>
    <s v="pagado"/>
    <s v="pagado"/>
    <s v="excluir"/>
    <s v="no semana"/>
    <x v="0"/>
  </r>
  <r>
    <n v="3000002054"/>
    <d v="2025-04-28T00:00:00"/>
    <n v="5825048.9199999999"/>
    <s v="RL SOLUCIONES S. A. S. SAN MIGUEL DE TUCUMAN 14"/>
    <x v="271"/>
    <n v="5825048.9199999999"/>
    <x v="54"/>
    <x v="2"/>
    <s v="pagado"/>
    <s v="pagado"/>
    <s v="excluir"/>
    <s v="no semana"/>
    <x v="0"/>
  </r>
  <r>
    <n v="3000002055"/>
    <d v="2025-04-28T00:00:00"/>
    <n v="5165591.09"/>
    <s v="VILLAGRA VELEZ ROQUE RICARDO SAN MIGUEL DE TUCUMAN 14"/>
    <x v="272"/>
    <n v="5165591.09"/>
    <x v="54"/>
    <x v="2"/>
    <s v="no pagado"/>
    <s v="fuera de fecha"/>
    <s v="excluir"/>
    <s v="no semana"/>
    <x v="0"/>
  </r>
  <r>
    <n v="3000002056"/>
    <d v="2025-04-28T00:00:00"/>
    <n v="6646805.7800000003"/>
    <s v="PERATO CRISTIAN LUIS BANDA DEL RIO SALI 14"/>
    <x v="273"/>
    <n v="6646805.7800000003"/>
    <x v="54"/>
    <x v="2"/>
    <s v="pagado"/>
    <s v="pagado"/>
    <s v="excluir"/>
    <s v="no semana"/>
    <x v="0"/>
  </r>
  <r>
    <n v="3000002057"/>
    <d v="2025-04-28T00:00:00"/>
    <n v="14607941.49"/>
    <s v="TUCUMAN PALLET SRL EL MANANTIAL 14"/>
    <x v="274"/>
    <n v="14607941.49"/>
    <x v="55"/>
    <x v="2"/>
    <s v="pagado"/>
    <s v="pagado"/>
    <s v="excluir"/>
    <s v="no semana"/>
    <x v="0"/>
  </r>
  <r>
    <n v="3000002058"/>
    <d v="2025-04-28T00:00:00"/>
    <n v="12404481.689999999"/>
    <s v="Pintureria España S.R.L SAN MIGUEL DE TUCUMAN 14"/>
    <x v="275"/>
    <n v="12404481.689999999"/>
    <x v="55"/>
    <x v="2"/>
    <s v="pagado"/>
    <s v="pagado"/>
    <s v="excluir"/>
    <s v="no semana"/>
    <x v="0"/>
  </r>
  <r>
    <n v="3000002059"/>
    <d v="2025-04-28T00:00:00"/>
    <n v="16619834.470000001"/>
    <s v="ADLER HASENCLEVER Y ASOCIADOS BUENOS AIRES 01"/>
    <x v="276"/>
    <n v="16619834.470000001"/>
    <x v="55"/>
    <x v="2"/>
    <s v="pagado"/>
    <s v="pagado"/>
    <s v="excluir"/>
    <s v="no semana"/>
    <x v="0"/>
  </r>
  <r>
    <n v="3000002060"/>
    <d v="2025-04-28T00:00:00"/>
    <n v="10551591.060000001"/>
    <s v="NOBEN SRL SAN MIGUEL DE TUCUMAN 14"/>
    <x v="277"/>
    <n v="10551591.060000001"/>
    <x v="55"/>
    <x v="2"/>
    <s v="pagado"/>
    <s v="pagado"/>
    <s v="excluir"/>
    <s v="no semana"/>
    <x v="0"/>
  </r>
  <r>
    <n v="3000002061"/>
    <d v="2025-04-28T00:00:00"/>
    <n v="10478610.35"/>
    <s v="Terminal 4 S.A. Puerto Nuevo 01"/>
    <x v="278"/>
    <n v="10478610.35"/>
    <x v="55"/>
    <x v="2"/>
    <s v="pagado"/>
    <s v="pagado"/>
    <s v="excluir"/>
    <s v="no semana"/>
    <x v="0"/>
  </r>
  <r>
    <n v="3000002062"/>
    <d v="2025-04-28T00:00:00"/>
    <n v="12186379.640000001"/>
    <s v="CAPETTA ANTONELLA ANAHI SAN MIGUEL DE TUCUMAN 14"/>
    <x v="279"/>
    <n v="12186379.640000001"/>
    <x v="55"/>
    <x v="2"/>
    <s v="pagado"/>
    <s v="pagado"/>
    <s v="excluir"/>
    <s v="no semana"/>
    <x v="0"/>
  </r>
  <r>
    <n v="3000002063"/>
    <d v="2025-04-28T00:00:00"/>
    <n v="20366767.350000001"/>
    <s v="LA MARTINA SERV. AGRICOLAS S.RSAN PABLO 14"/>
    <x v="280"/>
    <n v="20366767.350000001"/>
    <x v="55"/>
    <x v="2"/>
    <s v="pagado"/>
    <s v="pagado"/>
    <s v="excluir"/>
    <s v="no semana"/>
    <x v="0"/>
  </r>
  <r>
    <n v="3000002064"/>
    <d v="2025-04-28T00:00:00"/>
    <n v="20366767.350000001"/>
    <s v="LA MARTINA SERV. AGRICOLAS S.RSAN PABLO 14"/>
    <x v="281"/>
    <n v="20366767.350000001"/>
    <x v="55"/>
    <x v="2"/>
    <s v="pagado"/>
    <s v="pagado"/>
    <s v="excluir"/>
    <s v="no semana"/>
    <x v="0"/>
  </r>
  <r>
    <n v="3000002065"/>
    <d v="2025-04-28T00:00:00"/>
    <n v="1288083.04"/>
    <s v="SAUCE HUACHO SERVICIOS S.R.L MONTEROS 14"/>
    <x v="282"/>
    <n v="1288083.04"/>
    <x v="54"/>
    <x v="2"/>
    <s v="pagado"/>
    <s v="pagado"/>
    <s v="excluir"/>
    <s v="no semana"/>
    <x v="0"/>
  </r>
  <r>
    <n v="3000002066"/>
    <d v="2025-04-28T00:00:00"/>
    <n v="1288083.04"/>
    <s v="SAUCE HUACHO SERVICIOS S.R.L MONTEROS 14"/>
    <x v="283"/>
    <n v="1288083.04"/>
    <x v="54"/>
    <x v="2"/>
    <s v="pagado"/>
    <s v="pagado"/>
    <s v="excluir"/>
    <s v="no semana"/>
    <x v="0"/>
  </r>
  <r>
    <n v="3000002067"/>
    <d v="2025-04-28T00:00:00"/>
    <n v="2344000"/>
    <s v="MG SERVICIOS AGROPECUARIOS SASTAFI VIEJO 14"/>
    <x v="284"/>
    <n v="2344000"/>
    <x v="54"/>
    <x v="2"/>
    <s v="pagado"/>
    <s v="pagado"/>
    <s v="excluir"/>
    <s v="no semana"/>
    <x v="0"/>
  </r>
  <r>
    <n v="3000002067"/>
    <d v="2025-04-28T00:00:00"/>
    <n v="3788354"/>
    <s v="MG SERVICIOS AGROPECUARIOS SASTAFI VIEJO 14"/>
    <x v="285"/>
    <n v="3788354"/>
    <x v="54"/>
    <x v="2"/>
    <s v="pagado"/>
    <s v="pagado"/>
    <s v="excluir"/>
    <s v="no semana"/>
    <x v="0"/>
  </r>
  <r>
    <n v="3000002067"/>
    <d v="2025-04-28T00:00:00"/>
    <n v="9565507"/>
    <s v="MG SERVICIOS AGROPECUARIOS SASTAFI VIEJO 14"/>
    <x v="286"/>
    <n v="9565507"/>
    <x v="54"/>
    <x v="2"/>
    <s v="pagado"/>
    <s v="pagado"/>
    <s v="excluir"/>
    <s v="no semana"/>
    <x v="0"/>
  </r>
  <r>
    <n v="3000002067"/>
    <d v="2025-04-28T00:00:00"/>
    <n v="1000000"/>
    <s v="MG SERVICIOS AGROPECUARIOS SASTAFI VIEJO 14"/>
    <x v="287"/>
    <n v="1000000"/>
    <x v="54"/>
    <x v="2"/>
    <s v="pagado"/>
    <s v="pagado"/>
    <s v="excluir"/>
    <s v="no semana"/>
    <x v="0"/>
  </r>
  <r>
    <n v="3000002067"/>
    <d v="2025-04-28T00:00:00"/>
    <n v="2100000"/>
    <s v="MG SERVICIOS AGROPECUARIOS SASTAFI VIEJO 14"/>
    <x v="288"/>
    <n v="2100000"/>
    <x v="54"/>
    <x v="2"/>
    <s v="pagado"/>
    <s v="pagado"/>
    <s v="excluir"/>
    <s v="no semana"/>
    <x v="0"/>
  </r>
  <r>
    <n v="3000002067"/>
    <d v="2025-04-28T00:00:00"/>
    <n v="1892714"/>
    <s v="MG SERVICIOS AGROPECUARIOS SASTAFI VIEJO 14"/>
    <x v="289"/>
    <n v="1892714"/>
    <x v="54"/>
    <x v="2"/>
    <s v="pagado"/>
    <s v="pagado"/>
    <s v="excluir"/>
    <s v="no semana"/>
    <x v="0"/>
  </r>
  <r>
    <n v="3000002067"/>
    <d v="2025-04-28T00:00:00"/>
    <n v="7000000"/>
    <s v="MG SERVICIOS AGROPECUARIOS SASTAFI VIEJO 14"/>
    <x v="290"/>
    <n v="7000000"/>
    <x v="54"/>
    <x v="2"/>
    <s v="pagado"/>
    <s v="pagado"/>
    <s v="excluir"/>
    <s v="no semana"/>
    <x v="0"/>
  </r>
  <r>
    <n v="3000002067"/>
    <d v="2025-04-28T00:00:00"/>
    <n v="26590581.440000001"/>
    <s v="MG SERVICIOS AGROPECUARIOS SASTAFI VIEJO 14"/>
    <x v="291"/>
    <n v="26590581.440000001"/>
    <x v="54"/>
    <x v="2"/>
    <s v="pagado"/>
    <s v="pagado"/>
    <s v="excluir"/>
    <s v="no semana"/>
    <x v="0"/>
  </r>
  <r>
    <n v="3000002068"/>
    <d v="2025-04-28T00:00:00"/>
    <n v="2187069.77"/>
    <s v="TRANSPORTE MEDINA S.H. CRUZ ALTA 14"/>
    <x v="292"/>
    <n v="2187069.77"/>
    <x v="53"/>
    <x v="1"/>
    <s v="pagado"/>
    <s v="pagado"/>
    <s v="excluir"/>
    <s v="no semana"/>
    <x v="0"/>
  </r>
  <r>
    <n v="3000002169"/>
    <d v="2025-05-05T00:00:00"/>
    <n v="7600950"/>
    <s v="CEIVAC SAS SAN MIGUEL DE TUCUMAN 14"/>
    <x v="293"/>
    <n v="7600950"/>
    <x v="57"/>
    <x v="2"/>
    <s v="pagado"/>
    <s v="pagado"/>
    <s v="excluir"/>
    <s v="no semana"/>
    <x v="0"/>
  </r>
  <r>
    <n v="3000002170"/>
    <d v="2025-05-05T00:00:00"/>
    <n v="6838027.4000000004"/>
    <s v="TEKNOS TECHNOLOGY GROUP SA CAPITAL FEDERAL 00"/>
    <x v="294"/>
    <n v="6838027.4000000004"/>
    <x v="58"/>
    <x v="2"/>
    <s v="no pagado"/>
    <s v="fuera de fecha"/>
    <s v="excluir"/>
    <s v="no semana"/>
    <x v="0"/>
  </r>
  <r>
    <n v="3000002171"/>
    <d v="2025-05-05T00:00:00"/>
    <n v="4467346.46"/>
    <s v="VISMA ARGENTINA SA CAPITAL FEDERAL 14"/>
    <x v="295"/>
    <n v="4467346.46"/>
    <x v="57"/>
    <x v="2"/>
    <s v="pagado"/>
    <s v="pagado"/>
    <s v="excluir"/>
    <s v="no semana"/>
    <x v="0"/>
  </r>
  <r>
    <n v="3000002172"/>
    <d v="2025-05-05T00:00:00"/>
    <n v="17123544.879999999"/>
    <s v="PAMPLONA SRL SAN MIGUEL DE TUCUMAN 14"/>
    <x v="296"/>
    <n v="17123544.879999999"/>
    <x v="57"/>
    <x v="2"/>
    <s v="pagado"/>
    <s v="pagado"/>
    <s v="excluir"/>
    <s v="no semana"/>
    <x v="0"/>
  </r>
  <r>
    <n v="3000002173"/>
    <d v="2025-05-05T00:00:00"/>
    <n v="17154865.93"/>
    <s v="PAMPLONA SRL SAN MIGUEL DE TUCUMAN 14"/>
    <x v="297"/>
    <n v="17154865.93"/>
    <x v="58"/>
    <x v="2"/>
    <s v="pagado"/>
    <s v="pagado"/>
    <s v="excluir"/>
    <s v="no semana"/>
    <x v="0"/>
  </r>
  <r>
    <n v="3000002174"/>
    <d v="2025-05-05T00:00:00"/>
    <n v="12185040.48"/>
    <s v="ROMERO SERVICIOS S. A. S. ALPACHIRI 14"/>
    <x v="298"/>
    <n v="12185040.48"/>
    <x v="57"/>
    <x v="2"/>
    <s v="pagado"/>
    <s v="pagado"/>
    <s v="excluir"/>
    <s v="no semana"/>
    <x v="0"/>
  </r>
  <r>
    <n v="3000002175"/>
    <d v="2025-05-05T00:00:00"/>
    <n v="12153231.51"/>
    <s v="ROMERO SERVICIOS S. A. S. ALPACHIRI 14"/>
    <x v="299"/>
    <n v="12153231.51"/>
    <x v="58"/>
    <x v="2"/>
    <s v="pagado"/>
    <s v="pagado"/>
    <s v="excluir"/>
    <s v="no semana"/>
    <x v="0"/>
  </r>
  <r>
    <n v="3000002262"/>
    <d v="2025-05-08T00:00:00"/>
    <n v="9227933"/>
    <s v=". Tucumán"/>
    <x v="300"/>
    <n v="9227933"/>
    <x v="59"/>
    <x v="1"/>
    <s v="pagado"/>
    <s v="pagado"/>
    <s v="excluir"/>
    <s v="no semana"/>
    <x v="0"/>
  </r>
  <r>
    <n v="3000002229"/>
    <d v="2025-05-07T00:00:00"/>
    <n v="12000000"/>
    <s v="RL SOLUCIONES S. A. S. SAN MIGUEL DE TUCUMAN 14"/>
    <x v="301"/>
    <n v="12000000"/>
    <x v="59"/>
    <x v="0"/>
    <s v="pagado"/>
    <s v="pagado"/>
    <s v="excluir"/>
    <s v="no semana"/>
    <x v="0"/>
  </r>
  <r>
    <n v="3000002229"/>
    <d v="2025-05-07T00:00:00"/>
    <n v="11268737.619999999"/>
    <s v="RL SOLUCIONES S. A. S. SAN MIGUEL DE TUCUMAN 14"/>
    <x v="302"/>
    <n v="11268737.619999999"/>
    <x v="60"/>
    <x v="0"/>
    <s v="pagado"/>
    <s v="pagado"/>
    <s v="excluir"/>
    <s v="no semana"/>
    <x v="0"/>
  </r>
  <r>
    <n v="3000002231"/>
    <d v="2025-05-07T00:00:00"/>
    <n v="15000000"/>
    <s v="GAR S.A SAN MIGUEL DE TUCUMAN 14"/>
    <x v="303"/>
    <n v="15000000"/>
    <x v="59"/>
    <x v="0"/>
    <s v="pagado"/>
    <s v="pagado"/>
    <s v="excluir"/>
    <s v="no semana"/>
    <x v="0"/>
  </r>
  <r>
    <n v="3000002231"/>
    <d v="2025-05-07T00:00:00"/>
    <n v="16429407.18"/>
    <s v="GAR S.A SAN MIGUEL DE TUCUMAN 14"/>
    <x v="304"/>
    <n v="16429407.18"/>
    <x v="60"/>
    <x v="0"/>
    <s v="pagado"/>
    <s v="pagado"/>
    <s v="excluir"/>
    <s v="no semana"/>
    <x v="0"/>
  </r>
  <r>
    <n v="3000002216"/>
    <d v="2025-05-07T00:00:00"/>
    <n v="2692869.92"/>
    <s v="BESTANI LEANDRO EXEQUIEL SAN MIGUEL DE TUCUMAN 14"/>
    <x v="305"/>
    <n v="2692869.92"/>
    <x v="59"/>
    <x v="0"/>
    <s v="pagado"/>
    <s v="pagado"/>
    <s v="excluir"/>
    <s v="no semana"/>
    <x v="0"/>
  </r>
  <r>
    <n v="3000002217"/>
    <d v="2025-05-07T00:00:00"/>
    <n v="4535357.83"/>
    <s v="HERRERA RICARDO ALBERTO BANDA DEL RIO SALI 14"/>
    <x v="306"/>
    <n v="4535357.83"/>
    <x v="59"/>
    <x v="0"/>
    <s v="pagado"/>
    <s v="pagado"/>
    <s v="excluir"/>
    <s v="no semana"/>
    <x v="0"/>
  </r>
  <r>
    <n v="3000002218"/>
    <d v="2025-05-07T00:00:00"/>
    <n v="11519821.869999999"/>
    <s v="PERATO CRISTIAN LUIS BANDA DEL RIO SALI 14"/>
    <x v="307"/>
    <n v="11519821.869999999"/>
    <x v="59"/>
    <x v="0"/>
    <s v="pagado"/>
    <s v="pagado"/>
    <s v="excluir"/>
    <s v="no semana"/>
    <x v="0"/>
  </r>
  <r>
    <n v="3000002219"/>
    <d v="2025-05-07T00:00:00"/>
    <n v="5830302.0599999996"/>
    <s v="Sanchez Jose Mauricio San Miguel de Tucuman 14"/>
    <x v="308"/>
    <n v="5830302.0599999996"/>
    <x v="59"/>
    <x v="0"/>
    <s v="pagado"/>
    <s v="pagado"/>
    <s v="excluir"/>
    <s v="no semana"/>
    <x v="0"/>
  </r>
  <r>
    <n v="3000002220"/>
    <d v="2025-05-07T00:00:00"/>
    <n v="3661506.06"/>
    <s v="SUAREZ MIGUEL ANGEL ALDERETES 14"/>
    <x v="309"/>
    <n v="3661506.06"/>
    <x v="59"/>
    <x v="0"/>
    <s v="pagado"/>
    <s v="pagado"/>
    <s v="excluir"/>
    <s v="no semana"/>
    <x v="0"/>
  </r>
  <r>
    <n v="3000002221"/>
    <d v="2025-05-07T00:00:00"/>
    <n v="2735445.29"/>
    <s v="OLEA LUIS ARIEL LOS GUTIERREZ-ALDERETES 14"/>
    <x v="310"/>
    <n v="2735445.29"/>
    <x v="59"/>
    <x v="0"/>
    <s v="pagado"/>
    <s v="pagado"/>
    <s v="excluir"/>
    <s v="no semana"/>
    <x v="0"/>
  </r>
  <r>
    <n v="3000002222"/>
    <d v="2025-05-07T00:00:00"/>
    <n v="6199166.4900000002"/>
    <s v="PEDRO GABRIEL ALEJANDRO ALDERETES 14"/>
    <x v="311"/>
    <n v="6199166.4900000002"/>
    <x v="59"/>
    <x v="0"/>
    <s v="pagado"/>
    <s v="pagado"/>
    <s v="excluir"/>
    <s v="no semana"/>
    <x v="0"/>
  </r>
  <r>
    <n v="3000002223"/>
    <d v="2025-05-07T00:00:00"/>
    <n v="6149354.9299999997"/>
    <s v="Bustos Sergio Alejandro Banda Rio Sali 14"/>
    <x v="312"/>
    <n v="6149354.9299999997"/>
    <x v="59"/>
    <x v="0"/>
    <s v="pagado"/>
    <s v="pagado"/>
    <s v="excluir"/>
    <s v="no semana"/>
    <x v="0"/>
  </r>
  <r>
    <n v="3000002224"/>
    <d v="2025-05-07T00:00:00"/>
    <n v="5720794.4100000001"/>
    <s v="FERNANDEZ HECTOR JOSE SIMOCA 14"/>
    <x v="313"/>
    <n v="5720794.4100000001"/>
    <x v="59"/>
    <x v="0"/>
    <s v="pagado"/>
    <s v="pagado"/>
    <s v="excluir"/>
    <s v="no semana"/>
    <x v="0"/>
  </r>
  <r>
    <n v="3000002225"/>
    <d v="2025-05-07T00:00:00"/>
    <n v="4256646.51"/>
    <s v="PERATO LUIS ALBERTO BANDA DEL RIO SALI 14"/>
    <x v="314"/>
    <n v="4256646.51"/>
    <x v="59"/>
    <x v="0"/>
    <s v="pagado"/>
    <s v="pagado"/>
    <s v="excluir"/>
    <s v="no semana"/>
    <x v="0"/>
  </r>
  <r>
    <n v="3000002226"/>
    <d v="2025-05-07T00:00:00"/>
    <n v="4018981.05"/>
    <s v="MAC DONALD MIGUEL ALEJANDRO BANDA DEL RIO SALI 14"/>
    <x v="315"/>
    <n v="4018981.05"/>
    <x v="59"/>
    <x v="0"/>
    <s v="pagado"/>
    <s v="pagado"/>
    <s v="excluir"/>
    <s v="no semana"/>
    <x v="0"/>
  </r>
  <r>
    <n v="3000002227"/>
    <d v="2025-05-07T00:00:00"/>
    <n v="4112784.02"/>
    <s v="VILLAGRA VELEZ ROQUE RICARDO SAN MIGUEL DE TUCUMAN 14"/>
    <x v="316"/>
    <n v="4112784.02"/>
    <x v="59"/>
    <x v="0"/>
    <s v="pagado"/>
    <s v="pagado"/>
    <s v="excluir"/>
    <s v="no semana"/>
    <x v="0"/>
  </r>
  <r>
    <n v="3000002228"/>
    <d v="2025-05-07T00:00:00"/>
    <n v="3624413.92"/>
    <s v="MANGNUS TRADE LOGISTIC SA Caítal Federañ 00"/>
    <x v="317"/>
    <n v="3624413.92"/>
    <x v="59"/>
    <x v="0"/>
    <s v="pagado"/>
    <s v="pagado"/>
    <s v="excluir"/>
    <s v="no semana"/>
    <x v="0"/>
  </r>
  <r>
    <n v="3000002230"/>
    <d v="2025-05-07T00:00:00"/>
    <n v="10716513.73"/>
    <s v="GOMEZ JUANA ROSA VILLA LA TRINIDAD 14"/>
    <x v="318"/>
    <n v="10716513.73"/>
    <x v="59"/>
    <x v="0"/>
    <s v="pagado"/>
    <s v="pagado"/>
    <s v="excluir"/>
    <s v="no semana"/>
    <x v="0"/>
  </r>
  <r>
    <n v="3000002311"/>
    <d v="2025-05-12T00:00:00"/>
    <n v="33276593.399999999"/>
    <s v="Jeblab S.R.L. YERBA BUENA 14"/>
    <x v="319"/>
    <n v="33276593.399999999"/>
    <x v="61"/>
    <x v="2"/>
    <s v="pagado"/>
    <s v="pagado"/>
    <s v="excluir"/>
    <s v="no semana"/>
    <x v="0"/>
  </r>
  <r>
    <n v="3000002312"/>
    <d v="2025-05-12T00:00:00"/>
    <n v="30447393.280000001"/>
    <s v="SMART SEGURIDAD SA YERBA BUENA 14"/>
    <x v="320"/>
    <n v="30447393.280000001"/>
    <x v="61"/>
    <x v="2"/>
    <s v="pagado"/>
    <s v="pagado"/>
    <s v="excluir"/>
    <s v="no semana"/>
    <x v="0"/>
  </r>
  <r>
    <n v="3000002313"/>
    <d v="2025-05-12T00:00:00"/>
    <n v="19320905.600000001"/>
    <s v="NOBEN SRL SAN MIGUEL DE TUCUMAN 14"/>
    <x v="321"/>
    <n v="19320905.600000001"/>
    <x v="61"/>
    <x v="2"/>
    <s v="pagado"/>
    <s v="pagado"/>
    <s v="excluir"/>
    <s v="no semana"/>
    <x v="0"/>
  </r>
  <r>
    <n v="3000002314"/>
    <d v="2025-05-12T00:00:00"/>
    <n v="7084711.4400000004"/>
    <s v="CAMPOAGRO SRL YERBA BUENA 14"/>
    <x v="322"/>
    <n v="7084711.4400000004"/>
    <x v="61"/>
    <x v="2"/>
    <s v="pagado"/>
    <s v="pagado"/>
    <s v="excluir"/>
    <s v="no semana"/>
    <x v="0"/>
  </r>
  <r>
    <n v="3000002315"/>
    <d v="2025-05-12T00:00:00"/>
    <n v="36868867.93"/>
    <s v="VIRAL IMPORTS SA YERBA BUENA 14"/>
    <x v="323"/>
    <n v="36868867.93"/>
    <x v="61"/>
    <x v="2"/>
    <s v="pagado"/>
    <s v="pagado"/>
    <s v="excluir"/>
    <s v="no semana"/>
    <x v="0"/>
  </r>
  <r>
    <n v="3000002316"/>
    <d v="2025-05-12T00:00:00"/>
    <n v="5392607.0599999996"/>
    <s v="ADLER HASENCLEVER Y ASOCIADOS BUENOS AIRES 01"/>
    <x v="324"/>
    <n v="5392607.0599999996"/>
    <x v="61"/>
    <x v="2"/>
    <s v="pagado"/>
    <s v="pagado"/>
    <s v="excluir"/>
    <s v="no semana"/>
    <x v="0"/>
  </r>
  <r>
    <n v="3000002317"/>
    <d v="2025-05-12T00:00:00"/>
    <n v="6385601.3399999999"/>
    <s v="LANCHELA HECTOR ROLANDO CONCEPCION 14"/>
    <x v="325"/>
    <n v="6385601.3399999999"/>
    <x v="61"/>
    <x v="2"/>
    <s v="pagado"/>
    <s v="pagado"/>
    <s v="excluir"/>
    <s v="no semana"/>
    <x v="0"/>
  </r>
  <r>
    <n v="3000002318"/>
    <d v="2025-05-12T00:00:00"/>
    <n v="5054808.78"/>
    <s v="ALVAREZ RENE JOSE MARIA BELLA VISTA 14"/>
    <x v="326"/>
    <n v="5054808.78"/>
    <x v="61"/>
    <x v="2"/>
    <s v="pagado"/>
    <s v="pagado"/>
    <s v="excluir"/>
    <s v="no semana"/>
    <x v="0"/>
  </r>
  <r>
    <n v="3000002319"/>
    <d v="2025-05-12T00:00:00"/>
    <n v="15228403.48"/>
    <s v="D´ANDREA SERGIO FRANCISCO YERBA BUENA 14"/>
    <x v="327"/>
    <n v="15228403.48"/>
    <x v="61"/>
    <x v="2"/>
    <s v="pagado"/>
    <s v="pagado"/>
    <s v="excluir"/>
    <s v="no semana"/>
    <x v="0"/>
  </r>
  <r>
    <n v="3000002320"/>
    <d v="2025-05-12T00:00:00"/>
    <n v="14607941.49"/>
    <s v="TUCUMAN PALLET SRL EL MANANTIAL 14"/>
    <x v="328"/>
    <n v="14607941.49"/>
    <x v="62"/>
    <x v="2"/>
    <s v="pagado"/>
    <s v="pagado"/>
    <s v="excluir"/>
    <s v="no semana"/>
    <x v="0"/>
  </r>
  <r>
    <n v="3000002321"/>
    <d v="2025-05-12T00:00:00"/>
    <n v="28251232.370000001"/>
    <s v="CEFAS S.A CIUDAD AUTONOMA DE BUENOS AIRES 01"/>
    <x v="329"/>
    <n v="28251232.370000001"/>
    <x v="62"/>
    <x v="2"/>
    <s v="pagado"/>
    <s v="pagado"/>
    <s v="excluir"/>
    <s v="no semana"/>
    <x v="0"/>
  </r>
  <r>
    <n v="3000002323"/>
    <d v="2025-05-12T00:00:00"/>
    <n v="12932034.08"/>
    <s v="Vaquera Francisco Alfredo Monteros 14"/>
    <x v="330"/>
    <n v="12932034.08"/>
    <x v="61"/>
    <x v="2"/>
    <s v="pagado"/>
    <s v="pagado"/>
    <s v="excluir"/>
    <s v="no semana"/>
    <x v="0"/>
  </r>
  <r>
    <n v="3000002354"/>
    <d v="2025-05-13T00:00:00"/>
    <n v="27000000"/>
    <s v="Trading Internacional S.A. ROSARIO 12"/>
    <x v="331"/>
    <n v="27000000"/>
    <x v="61"/>
    <x v="0"/>
    <s v="pagado"/>
    <s v="pagado"/>
    <s v="excluir"/>
    <s v="no semana"/>
    <x v="0"/>
  </r>
  <r>
    <n v="3000002324"/>
    <d v="2025-05-12T00:00:00"/>
    <n v="6951570"/>
    <s v="MG SERVICIOS AGROPECUARIOS SASTAFI VIEJO 14"/>
    <x v="332"/>
    <n v="6951570"/>
    <x v="63"/>
    <x v="1"/>
    <s v="pagado"/>
    <s v="pagado"/>
    <s v="excluir"/>
    <s v="no semana"/>
    <x v="0"/>
  </r>
  <r>
    <n v="3000002324"/>
    <d v="2025-05-12T00:00:00"/>
    <n v="3900000"/>
    <s v="MG SERVICIOS AGROPECUARIOS SASTAFI VIEJO 14"/>
    <x v="333"/>
    <n v="3900000"/>
    <x v="63"/>
    <x v="1"/>
    <s v="pagado"/>
    <s v="pagado"/>
    <s v="excluir"/>
    <s v="no semana"/>
    <x v="0"/>
  </r>
  <r>
    <n v="3000002324"/>
    <d v="2025-05-12T00:00:00"/>
    <n v="3027000"/>
    <s v="MG SERVICIOS AGROPECUARIOS SASTAFI VIEJO 14"/>
    <x v="334"/>
    <n v="3027000"/>
    <x v="63"/>
    <x v="1"/>
    <s v="pagado"/>
    <s v="pagado"/>
    <s v="excluir"/>
    <s v="no semana"/>
    <x v="0"/>
  </r>
  <r>
    <n v="3000002324"/>
    <d v="2025-05-12T00:00:00"/>
    <n v="10000000"/>
    <s v="MG SERVICIOS AGROPECUARIOS SASTAFI VIEJO 14"/>
    <x v="335"/>
    <n v="10000000"/>
    <x v="63"/>
    <x v="1"/>
    <s v="pagado"/>
    <s v="pagado"/>
    <s v="excluir"/>
    <s v="no semana"/>
    <x v="0"/>
  </r>
  <r>
    <n v="3000002324"/>
    <d v="2025-05-12T00:00:00"/>
    <n v="46807100"/>
    <s v="MG SERVICIOS AGROPECUARIOS SASTAFI VIEJO 14"/>
    <x v="336"/>
    <n v="46807100"/>
    <x v="61"/>
    <x v="1"/>
    <s v="pagado"/>
    <s v="pagado"/>
    <s v="excluir"/>
    <s v="no semana"/>
    <x v="0"/>
  </r>
  <r>
    <n v="3000002324"/>
    <d v="2025-05-12T00:00:00"/>
    <n v="46807100.57"/>
    <s v="MG SERVICIOS AGROPECUARIOS SASTAFI VIEJO 14"/>
    <x v="337"/>
    <n v="46807100.57"/>
    <x v="61"/>
    <x v="1"/>
    <s v="pagado"/>
    <s v="pagado"/>
    <s v="excluir"/>
    <s v="no semana"/>
    <x v="0"/>
  </r>
  <r>
    <n v="3000002357"/>
    <d v="2025-05-13T00:00:00"/>
    <n v="585558.64"/>
    <s v="Fondo Fijo Administracion CitrNO TIENE"/>
    <x v="338"/>
    <n v="585558.64"/>
    <x v="61"/>
    <x v="1"/>
    <s v="pagado"/>
    <s v="pagado"/>
    <s v="excluir"/>
    <s v="no semana"/>
    <x v="0"/>
  </r>
  <r>
    <n v="3000002358"/>
    <d v="2025-05-13T00:00:00"/>
    <n v="839522.13"/>
    <s v="Fondo Fijo Administracion CitrNO TIENE"/>
    <x v="339"/>
    <n v="839522.13"/>
    <x v="61"/>
    <x v="1"/>
    <s v="pagado"/>
    <s v="pagado"/>
    <s v="excluir"/>
    <s v="no semana"/>
    <x v="0"/>
  </r>
  <r>
    <n v="3000002408"/>
    <d v="2025-05-14T00:00:00"/>
    <n v="2385141.9900000002"/>
    <s v="TRANSPORTE MEDINA S.H."/>
    <x v="340"/>
    <n v="2385141.9900000002"/>
    <x v="64"/>
    <x v="1"/>
    <s v="pagado"/>
    <s v="pagado"/>
    <s v="excluir"/>
    <s v="no semana"/>
    <x v="0"/>
  </r>
  <r>
    <n v="3000002391"/>
    <d v="2025-05-14T00:00:00"/>
    <n v="30000000"/>
    <s v="LA MARTINA SERV. AGRICOLAS S.RSAN PABLO 14"/>
    <x v="341"/>
    <n v="30000000"/>
    <x v="64"/>
    <x v="2"/>
    <s v="pagado"/>
    <s v="pagado"/>
    <s v="excluir"/>
    <s v="no semana"/>
    <x v="0"/>
  </r>
  <r>
    <n v="3000002391"/>
    <d v="2025-05-14T00:00:00"/>
    <n v="25433952.27"/>
    <s v="LA MARTINA SERV. AGRICOLAS S.RSAN PABLO 14"/>
    <x v="342"/>
    <n v="25433952.27"/>
    <x v="65"/>
    <x v="2"/>
    <s v="pagado"/>
    <s v="pagado"/>
    <s v="excluir"/>
    <s v="no semana"/>
    <x v="0"/>
  </r>
  <r>
    <n v="3000002392"/>
    <d v="2025-05-14T00:00:00"/>
    <n v="25000000"/>
    <s v="PAMPLONA SRL SAN MIGUEL DE TUCUMAN 14"/>
    <x v="343"/>
    <n v="25000000"/>
    <x v="64"/>
    <x v="2"/>
    <s v="pagado"/>
    <s v="pagado"/>
    <s v="excluir"/>
    <s v="no semana"/>
    <x v="0"/>
  </r>
  <r>
    <n v="3000002392"/>
    <d v="2025-05-14T00:00:00"/>
    <n v="21605498.289999999"/>
    <s v="PAMPLONA SRL SAN MIGUEL DE TUCUMAN 14"/>
    <x v="344"/>
    <n v="21605498.289999999"/>
    <x v="65"/>
    <x v="2"/>
    <s v="pagado"/>
    <s v="pagado"/>
    <s v="excluir"/>
    <s v="no semana"/>
    <x v="0"/>
  </r>
  <r>
    <n v="3000002393"/>
    <d v="2025-05-14T00:00:00"/>
    <n v="30000000"/>
    <s v="MG SERVICIOS AGROPECUARIOS SASTAFI VIEJO 14"/>
    <x v="345"/>
    <n v="30000000"/>
    <x v="64"/>
    <x v="2"/>
    <s v="pagado"/>
    <s v="pagado"/>
    <s v="excluir"/>
    <s v="no semana"/>
    <x v="0"/>
  </r>
  <r>
    <n v="3000002393"/>
    <d v="2025-05-14T00:00:00"/>
    <n v="23838706.789999999"/>
    <s v="MG SERVICIOS AGROPECUARIOS SASTAFI VIEJO 14"/>
    <x v="346"/>
    <n v="23838706.789999999"/>
    <x v="65"/>
    <x v="2"/>
    <s v="pagado"/>
    <s v="pagado"/>
    <s v="excluir"/>
    <s v="no semana"/>
    <x v="0"/>
  </r>
  <r>
    <n v="3000002394"/>
    <d v="2025-05-14T00:00:00"/>
    <n v="15000000"/>
    <s v="ROMERO SERVICIOS S. A. S. ALPACHIRI 14"/>
    <x v="347"/>
    <n v="15000000"/>
    <x v="64"/>
    <x v="2"/>
    <s v="pagado"/>
    <s v="pagado"/>
    <s v="excluir"/>
    <s v="no semana"/>
    <x v="0"/>
  </r>
  <r>
    <n v="3000002394"/>
    <d v="2025-05-14T00:00:00"/>
    <n v="16975231.34"/>
    <s v="ROMERO SERVICIOS S. A. S. ALPACHIRI 14"/>
    <x v="348"/>
    <n v="16975231.34"/>
    <x v="65"/>
    <x v="2"/>
    <s v="pagado"/>
    <s v="pagado"/>
    <s v="excluir"/>
    <s v="no semana"/>
    <x v="0"/>
  </r>
  <r>
    <n v="3000002404"/>
    <d v="2025-05-14T00:00:00"/>
    <n v="13000000"/>
    <s v="CAPETTA ANTONELLA ANAHI SAN MIGUEL DE TUCUMAN 14"/>
    <x v="349"/>
    <n v="13000000"/>
    <x v="64"/>
    <x v="2"/>
    <s v="pagado"/>
    <s v="pagado"/>
    <s v="excluir"/>
    <s v="no semana"/>
    <x v="0"/>
  </r>
  <r>
    <n v="3000002404"/>
    <d v="2025-05-14T00:00:00"/>
    <n v="10111952.289999999"/>
    <s v="CAPETTA ANTONELLA ANAHI SAN MIGUEL DE TUCUMAN 14"/>
    <x v="350"/>
    <n v="10111952.289999999"/>
    <x v="65"/>
    <x v="2"/>
    <s v="pagado"/>
    <s v="pagado"/>
    <s v="excluir"/>
    <s v="no semana"/>
    <x v="0"/>
  </r>
  <r>
    <n v="3000002406"/>
    <d v="2025-05-14T00:00:00"/>
    <n v="13000000"/>
    <s v="BUENOS AIRES COMEX S.R.L. BANFIELD 14"/>
    <x v="351"/>
    <n v="13000000"/>
    <x v="64"/>
    <x v="2"/>
    <s v="pagado"/>
    <s v="pagado"/>
    <s v="excluir"/>
    <s v="no semana"/>
    <x v="0"/>
  </r>
  <r>
    <n v="3000002406"/>
    <d v="2025-05-14T00:00:00"/>
    <n v="13767776.15"/>
    <s v="BUENOS AIRES COMEX S.R.L. BANFIELD 14"/>
    <x v="352"/>
    <n v="13767776.15"/>
    <x v="65"/>
    <x v="2"/>
    <s v="pagado"/>
    <s v="pagado"/>
    <s v="excluir"/>
    <s v="no semana"/>
    <x v="0"/>
  </r>
  <r>
    <n v="3000002395"/>
    <d v="2025-05-14T00:00:00"/>
    <n v="7444087.8899999997"/>
    <s v="SAUCE HUACHO SERVICIOS S.R.L MONTEROS 14"/>
    <x v="353"/>
    <n v="7444087.8899999997"/>
    <x v="64"/>
    <x v="2"/>
    <s v="pagado"/>
    <s v="pagado"/>
    <s v="excluir"/>
    <s v="no semana"/>
    <x v="0"/>
  </r>
  <r>
    <n v="3000002396"/>
    <d v="2025-05-14T00:00:00"/>
    <n v="6067519.3399999999"/>
    <s v="SUAREZ MANUEL RODOLFO ALDERETES 14"/>
    <x v="354"/>
    <n v="6067519.3399999999"/>
    <x v="64"/>
    <x v="2"/>
    <s v="pagado"/>
    <s v="pagado"/>
    <s v="excluir"/>
    <s v="no semana"/>
    <x v="0"/>
  </r>
  <r>
    <n v="3000002397"/>
    <d v="2025-05-14T00:00:00"/>
    <n v="3861031.53"/>
    <s v="GEREZ ALICIA ELEUTERIA SAN MIGUEL DE TUCUMAN 14"/>
    <x v="355"/>
    <n v="3861031.53"/>
    <x v="64"/>
    <x v="2"/>
    <s v="pagado"/>
    <s v="pagado"/>
    <s v="excluir"/>
    <s v="no semana"/>
    <x v="0"/>
  </r>
  <r>
    <n v="3000002398"/>
    <d v="2025-05-14T00:00:00"/>
    <n v="3077915.34"/>
    <s v="Cruz Jonas Marcos Tafi del Valle 14"/>
    <x v="356"/>
    <n v="3077915.34"/>
    <x v="64"/>
    <x v="2"/>
    <s v="pagado"/>
    <s v="pagado"/>
    <s v="excluir"/>
    <s v="no semana"/>
    <x v="0"/>
  </r>
  <r>
    <n v="3000002399"/>
    <d v="2025-05-14T00:00:00"/>
    <n v="3290202.86"/>
    <s v="Alcoba Luareano Arnaldo Concepcion 14"/>
    <x v="357"/>
    <n v="3290202.86"/>
    <x v="64"/>
    <x v="2"/>
    <s v="pagado"/>
    <s v="pagado"/>
    <s v="excluir"/>
    <s v="no semana"/>
    <x v="0"/>
  </r>
  <r>
    <n v="3000002400"/>
    <d v="2025-05-14T00:00:00"/>
    <n v="7019571.29"/>
    <s v="MOREY SERGIO GUILLERMO LOS GUTIERREZ-ALDERETES 14"/>
    <x v="358"/>
    <n v="7019571.29"/>
    <x v="64"/>
    <x v="2"/>
    <s v="pagado"/>
    <s v="pagado"/>
    <s v="excluir"/>
    <s v="no semana"/>
    <x v="0"/>
  </r>
  <r>
    <n v="3000002401"/>
    <d v="2025-05-14T00:00:00"/>
    <n v="6118915.0499999998"/>
    <s v="HERRERA RICARDO ALBERTO BANDA DEL RIO SALI 14"/>
    <x v="359"/>
    <n v="6118915.0499999998"/>
    <x v="64"/>
    <x v="2"/>
    <s v="pagado"/>
    <s v="pagado"/>
    <s v="excluir"/>
    <s v="no semana"/>
    <x v="0"/>
  </r>
  <r>
    <n v="3000002402"/>
    <d v="2025-05-14T00:00:00"/>
    <n v="11943173.76"/>
    <s v="ACOSTA ROQUE RAMON SAN MIGUEL DE TUCUMAN 14"/>
    <x v="360"/>
    <n v="11943173.76"/>
    <x v="64"/>
    <x v="2"/>
    <s v="pagado"/>
    <s v="pagado"/>
    <s v="excluir"/>
    <s v="no semana"/>
    <x v="0"/>
  </r>
  <r>
    <n v="3000002403"/>
    <d v="2025-05-14T00:00:00"/>
    <n v="6347733.6299999999"/>
    <s v="JACQUET NORBERTO SALVADOR SAN JOSE 05"/>
    <x v="361"/>
    <n v="6347733.6299999999"/>
    <x v="64"/>
    <x v="2"/>
    <s v="pagado"/>
    <s v="pagado"/>
    <s v="excluir"/>
    <s v="no semana"/>
    <x v="0"/>
  </r>
  <r>
    <n v="3000002405"/>
    <d v="2025-05-14T00:00:00"/>
    <n v="4957927.6100000003"/>
    <s v="PAEZ LEONEL EXEQUIEL MACIO 14"/>
    <x v="362"/>
    <n v="4957927.6100000003"/>
    <x v="64"/>
    <x v="2"/>
    <s v="pagado"/>
    <s v="pagado"/>
    <s v="excluir"/>
    <s v="no semana"/>
    <x v="0"/>
  </r>
  <r>
    <n v="3000002518"/>
    <d v="2025-05-20T00:00:00"/>
    <n v="23000000"/>
    <s v="CAPETTA ANTONELLA ANAHI SAN MIGUEL DE TUCUMAN 14"/>
    <x v="363"/>
    <n v="23000000"/>
    <x v="66"/>
    <x v="2"/>
    <s v="pagado"/>
    <s v="pagado"/>
    <s v="excluir"/>
    <s v="no semana"/>
    <x v="0"/>
  </r>
  <r>
    <n v="3000002518"/>
    <d v="2025-05-20T00:00:00"/>
    <n v="23674382.829999998"/>
    <s v="CAPETTA ANTONELLA ANAHI SAN MIGUEL DE TUCUMAN 14"/>
    <x v="364"/>
    <n v="23674382.829999998"/>
    <x v="67"/>
    <x v="2"/>
    <s v="pagado"/>
    <s v="pagado"/>
    <s v="excluir"/>
    <s v="no semana"/>
    <x v="0"/>
  </r>
  <r>
    <n v="3000002521"/>
    <d v="2025-05-20T00:00:00"/>
    <n v="1500000"/>
    <s v="VILLAGRA VELEZ ROQUE RICARDO SAN MIGUEL DE TUCUMAN 14"/>
    <x v="365"/>
    <n v="1500000"/>
    <x v="67"/>
    <x v="2"/>
    <s v="pagado"/>
    <s v="pagado"/>
    <s v="excluir"/>
    <s v="no semana"/>
    <x v="0"/>
  </r>
  <r>
    <n v="3000002521"/>
    <d v="2025-05-20T00:00:00"/>
    <n v="1500000"/>
    <s v="VILLAGRA VELEZ ROQUE RICARDO SAN MIGUEL DE TUCUMAN 14"/>
    <x v="366"/>
    <n v="1500000"/>
    <x v="67"/>
    <x v="2"/>
    <s v="pagado"/>
    <s v="pagado"/>
    <s v="excluir"/>
    <s v="no semana"/>
    <x v="0"/>
  </r>
  <r>
    <n v="3000002521"/>
    <d v="2025-05-20T00:00:00"/>
    <n v="1112616.1000000001"/>
    <s v="VILLAGRA VELEZ ROQUE RICARDO SAN MIGUEL DE TUCUMAN 14"/>
    <x v="367"/>
    <n v="1112616.1000000001"/>
    <x v="67"/>
    <x v="2"/>
    <s v="pagado"/>
    <s v="pagado"/>
    <s v="excluir"/>
    <s v="no semana"/>
    <x v="0"/>
  </r>
  <r>
    <n v="3000002522"/>
    <d v="2025-05-20T00:00:00"/>
    <n v="23000000"/>
    <s v="RL SOLUCIONES S. A. S. SAN MIGUEL DE TUCUMAN 14"/>
    <x v="368"/>
    <n v="23000000"/>
    <x v="66"/>
    <x v="2"/>
    <s v="pagado"/>
    <s v="pagado"/>
    <s v="excluir"/>
    <s v="no semana"/>
    <x v="0"/>
  </r>
  <r>
    <n v="3000002522"/>
    <d v="2025-05-20T00:00:00"/>
    <n v="20074788.77"/>
    <s v="RL SOLUCIONES S. A. S. SAN MIGUEL DE TUCUMAN 14"/>
    <x v="369"/>
    <n v="20074788.77"/>
    <x v="67"/>
    <x v="2"/>
    <s v="pagado"/>
    <s v="pagado"/>
    <s v="excluir"/>
    <s v="no semana"/>
    <x v="0"/>
  </r>
  <r>
    <n v="3000002510"/>
    <d v="2025-05-20T00:00:00"/>
    <n v="2997156.71"/>
    <s v="Consultoria en Tecnologia de IBUENOS AIRES 00"/>
    <x v="370"/>
    <n v="2997156.71"/>
    <x v="68"/>
    <x v="2"/>
    <s v="pagado"/>
    <s v="pagado"/>
    <s v="excluir"/>
    <s v="no semana"/>
    <x v="0"/>
  </r>
  <r>
    <n v="3000002513"/>
    <d v="2025-05-20T00:00:00"/>
    <n v="9254379.5700000003"/>
    <s v="ZYMO SA SAN MIGUEL DE TUCUMAN 00"/>
    <x v="371"/>
    <n v="9254379.5700000003"/>
    <x v="67"/>
    <x v="2"/>
    <s v="pagado"/>
    <s v="pagado"/>
    <s v="excluir"/>
    <s v="no semana"/>
    <x v="0"/>
  </r>
  <r>
    <n v="3000002514"/>
    <d v="2025-05-20T00:00:00"/>
    <n v="7650994.7699999996"/>
    <s v="Servicom Group S.A. CAPITAL FEDERAL 00"/>
    <x v="372"/>
    <n v="7650994.7699999996"/>
    <x v="67"/>
    <x v="2"/>
    <s v="pagado"/>
    <s v="pagado"/>
    <s v="excluir"/>
    <s v="no semana"/>
    <x v="0"/>
  </r>
  <r>
    <n v="3000002515"/>
    <d v="2025-05-20T00:00:00"/>
    <n v="2146156.1800000002"/>
    <s v="Air Liquide Argentina SA SAN MIGUEL DE TUCUMAN 14"/>
    <x v="373"/>
    <n v="2146156.1800000002"/>
    <x v="67"/>
    <x v="2"/>
    <s v="pagado"/>
    <s v="pagado"/>
    <s v="excluir"/>
    <s v="no semana"/>
    <x v="0"/>
  </r>
  <r>
    <n v="3000002517"/>
    <d v="2025-05-20T00:00:00"/>
    <n v="10666090.949999999"/>
    <s v="Terminal 4 S.A. Puerto Nuevo 01"/>
    <x v="374"/>
    <n v="10666090.949999999"/>
    <x v="67"/>
    <x v="2"/>
    <s v="pagado"/>
    <s v="pagado"/>
    <s v="excluir"/>
    <s v="no semana"/>
    <x v="0"/>
  </r>
  <r>
    <n v="3000002519"/>
    <d v="2025-05-20T00:00:00"/>
    <n v="5855240.5"/>
    <s v="CEMEVA SAS YERBA BUENA 14"/>
    <x v="375"/>
    <n v="5855240.5"/>
    <x v="67"/>
    <x v="2"/>
    <s v="pagado"/>
    <s v="pagado"/>
    <s v="excluir"/>
    <s v="no semana"/>
    <x v="0"/>
  </r>
  <r>
    <n v="3000002520"/>
    <d v="2025-05-20T00:00:00"/>
    <n v="4138777.78"/>
    <s v="MAC DONALD MIGUEL ALEJANDRO BANDA DEL RIO SALI 14"/>
    <x v="376"/>
    <n v="4138777.78"/>
    <x v="67"/>
    <x v="2"/>
    <s v="pagado"/>
    <s v="pagado"/>
    <s v="excluir"/>
    <s v="no semana"/>
    <x v="0"/>
  </r>
  <r>
    <n v="3000002523"/>
    <d v="2025-05-20T00:00:00"/>
    <n v="6720095.0300000003"/>
    <s v="Bustos Sergio Alejandro Banda Rio Sali 14"/>
    <x v="377"/>
    <n v="6720095.0300000003"/>
    <x v="67"/>
    <x v="2"/>
    <s v="pagado"/>
    <s v="pagado"/>
    <s v="excluir"/>
    <s v="no semana"/>
    <x v="0"/>
  </r>
  <r>
    <n v="3000002524"/>
    <d v="2025-05-20T00:00:00"/>
    <n v="5757903.9800000004"/>
    <s v="PAEZ ANDRES ALEXIS MACIO 14"/>
    <x v="378"/>
    <n v="5757903.9800000004"/>
    <x v="67"/>
    <x v="2"/>
    <s v="pagado"/>
    <s v="pagado"/>
    <s v="excluir"/>
    <s v="no semana"/>
    <x v="0"/>
  </r>
  <r>
    <n v="3000002525"/>
    <d v="2025-05-20T00:00:00"/>
    <n v="5402046.1399999997"/>
    <s v="LA MARTINA SERV. AGRICOLAS S.RSAN PABLO 14"/>
    <x v="379"/>
    <n v="5402046.1399999997"/>
    <x v="67"/>
    <x v="2"/>
    <s v="pagado"/>
    <s v="pagado"/>
    <s v="excluir"/>
    <s v="no semana"/>
    <x v="0"/>
  </r>
  <r>
    <n v="3000002526"/>
    <d v="2025-05-20T00:00:00"/>
    <n v="5589772.1699999999"/>
    <s v="PEDRO GABRIEL ALEJANDRO ALDERETES 14"/>
    <x v="380"/>
    <n v="5589772.1699999999"/>
    <x v="67"/>
    <x v="2"/>
    <s v="pagado"/>
    <s v="pagado"/>
    <s v="excluir"/>
    <s v="no semana"/>
    <x v="0"/>
  </r>
  <r>
    <n v="3000002468"/>
    <d v="2025-05-19T00:00:00"/>
    <n v="114648500"/>
    <s v="EDET S.A. SAN MIGUEL DE TUCUMAN 14"/>
    <x v="381"/>
    <n v="114648500"/>
    <x v="65"/>
    <x v="1"/>
    <s v="pagado"/>
    <s v="pagado"/>
    <s v="excluir"/>
    <s v="no semana"/>
    <x v="0"/>
  </r>
  <r>
    <n v="3000002577"/>
    <d v="2025-05-22T00:00:00"/>
    <n v="163996880"/>
    <s v="EDET S.A. SAN MIGUEL DE TUCUMAN 14"/>
    <x v="382"/>
    <n v="163996880"/>
    <x v="67"/>
    <x v="1"/>
    <s v="pagado"/>
    <s v="pagado"/>
    <s v="excluir"/>
    <s v="no semana"/>
    <x v="0"/>
  </r>
  <r>
    <n v="3000002635"/>
    <d v="2025-05-26T00:00:00"/>
    <n v="0"/>
    <s v="invalidado med.EOLIVERA -Destruido/ Sin uso"/>
    <x v="383"/>
    <n v="0"/>
    <x v="69"/>
    <x v="2"/>
    <s v="no pagado"/>
    <s v="fuera de fecha"/>
    <s v="excluir"/>
    <s v="no semana"/>
    <x v="0"/>
  </r>
  <r>
    <n v="3000002636"/>
    <d v="2025-05-26T00:00:00"/>
    <n v="0"/>
    <s v="invalidado med.EOLIVERA -Destruido/ Sin uso"/>
    <x v="384"/>
    <n v="0"/>
    <x v="69"/>
    <x v="2"/>
    <s v="no pagado"/>
    <s v="fuera de fecha"/>
    <s v="excluir"/>
    <s v="no semana"/>
    <x v="0"/>
  </r>
  <r>
    <n v="3000002637"/>
    <d v="2025-05-26T00:00:00"/>
    <n v="0"/>
    <s v="invalidado med.EOLIVERA -Destruido/ Sin uso"/>
    <x v="385"/>
    <n v="0"/>
    <x v="69"/>
    <x v="2"/>
    <s v="no pagado"/>
    <s v="fuera de fecha"/>
    <s v="excluir"/>
    <s v="no semana"/>
    <x v="0"/>
  </r>
  <r>
    <n v="3000002638"/>
    <d v="2025-05-26T00:00:00"/>
    <n v="0"/>
    <s v="invalidado med.EOLIVERA -Destruido/ Sin uso"/>
    <x v="386"/>
    <n v="0"/>
    <x v="69"/>
    <x v="2"/>
    <s v="no pagado"/>
    <s v="fuera de fecha"/>
    <s v="excluir"/>
    <s v="no semana"/>
    <x v="0"/>
  </r>
  <r>
    <n v="3000002638"/>
    <d v="2025-05-26T00:00:00"/>
    <n v="0"/>
    <s v="invalidado med.EOLIVERA -Destruido/ Sin uso"/>
    <x v="387"/>
    <n v="0"/>
    <x v="69"/>
    <x v="2"/>
    <s v="no pagado"/>
    <s v="fuera de fecha"/>
    <s v="excluir"/>
    <s v="no semana"/>
    <x v="0"/>
  </r>
  <r>
    <n v="3000002639"/>
    <d v="2025-05-26T00:00:00"/>
    <n v="0"/>
    <s v="invalidado med.EOLIVERA -Destruido/ Sin uso"/>
    <x v="388"/>
    <n v="0"/>
    <x v="69"/>
    <x v="2"/>
    <s v="no pagado"/>
    <s v="fuera de fecha"/>
    <s v="excluir"/>
    <s v="no semana"/>
    <x v="0"/>
  </r>
  <r>
    <n v="3000002639"/>
    <d v="2025-05-26T00:00:00"/>
    <n v="0"/>
    <s v="invalidado med.EOLIVERA -Destruido/ Sin uso"/>
    <x v="389"/>
    <n v="0"/>
    <x v="69"/>
    <x v="2"/>
    <s v="no pagado"/>
    <s v="fuera de fecha"/>
    <s v="excluir"/>
    <s v="no semana"/>
    <x v="0"/>
  </r>
  <r>
    <n v="3000002640"/>
    <d v="2025-05-26T00:00:00"/>
    <n v="0"/>
    <s v="invalidado med.EOLIVERA -Destruido/ Sin uso"/>
    <x v="390"/>
    <n v="0"/>
    <x v="69"/>
    <x v="2"/>
    <s v="no pagado"/>
    <s v="fuera de fecha"/>
    <s v="excluir"/>
    <s v="no semana"/>
    <x v="0"/>
  </r>
  <r>
    <n v="3000002641"/>
    <d v="2025-05-26T00:00:00"/>
    <n v="0"/>
    <s v="invalidado med.EOLIVERA -Destruido/ Sin uso"/>
    <x v="391"/>
    <n v="0"/>
    <x v="69"/>
    <x v="2"/>
    <s v="no pagado"/>
    <s v="fuera de fecha"/>
    <s v="excluir"/>
    <s v="no semana"/>
    <x v="0"/>
  </r>
  <r>
    <n v="3000002641"/>
    <d v="2025-05-26T00:00:00"/>
    <n v="0"/>
    <s v="invalidado med.EOLIVERA -Destruido/ Sin uso"/>
    <x v="392"/>
    <n v="0"/>
    <x v="69"/>
    <x v="2"/>
    <s v="no pagado"/>
    <s v="fuera de fecha"/>
    <s v="excluir"/>
    <s v="no semana"/>
    <x v="0"/>
  </r>
  <r>
    <n v="3000002642"/>
    <d v="2025-05-26T00:00:00"/>
    <n v="0"/>
    <s v="invalidado med.EOLIVERA -Destruido/ Sin uso"/>
    <x v="393"/>
    <n v="0"/>
    <x v="69"/>
    <x v="2"/>
    <s v="no pagado"/>
    <s v="fuera de fecha"/>
    <s v="excluir"/>
    <s v="no semana"/>
    <x v="0"/>
  </r>
  <r>
    <n v="3000002642"/>
    <d v="2025-05-26T00:00:00"/>
    <n v="0"/>
    <s v="invalidado med.EOLIVERA -Destruido/ Sin uso"/>
    <x v="394"/>
    <n v="0"/>
    <x v="69"/>
    <x v="2"/>
    <s v="no pagado"/>
    <s v="fuera de fecha"/>
    <s v="excluir"/>
    <s v="no semana"/>
    <x v="0"/>
  </r>
  <r>
    <n v="3000002643"/>
    <d v="2025-05-26T00:00:00"/>
    <n v="0"/>
    <s v="invalidado med.EOLIVERA -Destruido/ Sin uso"/>
    <x v="395"/>
    <n v="0"/>
    <x v="69"/>
    <x v="2"/>
    <s v="no pagado"/>
    <s v="fuera de fecha"/>
    <s v="excluir"/>
    <s v="no semana"/>
    <x v="0"/>
  </r>
  <r>
    <n v="3000002643"/>
    <d v="2025-05-26T00:00:00"/>
    <n v="0"/>
    <s v="invalidado med.EOLIVERA -Destruido/ Sin uso"/>
    <x v="396"/>
    <n v="0"/>
    <x v="69"/>
    <x v="2"/>
    <s v="no pagado"/>
    <s v="fuera de fecha"/>
    <s v="excluir"/>
    <s v="no semana"/>
    <x v="0"/>
  </r>
  <r>
    <n v="3000002644"/>
    <d v="2025-05-26T00:00:00"/>
    <n v="0"/>
    <s v="invalidado med.EOLIVERA -Destruido/ Sin uso"/>
    <x v="397"/>
    <n v="0"/>
    <x v="69"/>
    <x v="2"/>
    <s v="no pagado"/>
    <s v="fuera de fecha"/>
    <s v="excluir"/>
    <s v="no semana"/>
    <x v="0"/>
  </r>
  <r>
    <n v="3000002644"/>
    <d v="2025-05-26T00:00:00"/>
    <n v="0"/>
    <s v="invalidado med.EOLIVERA -Destruido/ Sin uso"/>
    <x v="398"/>
    <n v="0"/>
    <x v="69"/>
    <x v="2"/>
    <s v="no pagado"/>
    <s v="fuera de fecha"/>
    <s v="excluir"/>
    <s v="no semana"/>
    <x v="0"/>
  </r>
  <r>
    <n v="3000002645"/>
    <d v="2025-05-26T00:00:00"/>
    <n v="0"/>
    <s v="invalidado med.EOLIVERA -Destruido/ Sin uso"/>
    <x v="399"/>
    <n v="0"/>
    <x v="69"/>
    <x v="2"/>
    <s v="no pagado"/>
    <s v="fuera de fecha"/>
    <s v="excluir"/>
    <s v="no semana"/>
    <x v="0"/>
  </r>
  <r>
    <n v="3000002646"/>
    <d v="2025-05-26T00:00:00"/>
    <n v="0"/>
    <s v="invalidado med.EOLIVERA -Destruido/ Sin uso"/>
    <x v="400"/>
    <n v="0"/>
    <x v="69"/>
    <x v="2"/>
    <s v="no pagado"/>
    <s v="fuera de fecha"/>
    <s v="excluir"/>
    <s v="no semana"/>
    <x v="0"/>
  </r>
  <r>
    <n v="3000002647"/>
    <d v="2025-05-26T00:00:00"/>
    <n v="0"/>
    <s v="invalidado med.EOLIVERA -Destruido/ Sin uso"/>
    <x v="401"/>
    <n v="0"/>
    <x v="69"/>
    <x v="2"/>
    <s v="no pagado"/>
    <s v="fuera de fecha"/>
    <s v="excluir"/>
    <s v="no semana"/>
    <x v="0"/>
  </r>
  <r>
    <n v="3000002647"/>
    <d v="2025-05-26T00:00:00"/>
    <n v="0"/>
    <s v="invalidado med.EOLIVERA -Destruido/ Sin uso"/>
    <x v="402"/>
    <n v="0"/>
    <x v="69"/>
    <x v="2"/>
    <s v="no pagado"/>
    <s v="fuera de fecha"/>
    <s v="excluir"/>
    <s v="no semana"/>
    <x v="0"/>
  </r>
  <r>
    <n v="3000002635"/>
    <d v="2025-05-27T00:00:00"/>
    <n v="10952596.109999999"/>
    <s v="TUCUMAN PALLET SRL EL MANANTIAL 14"/>
    <x v="403"/>
    <n v="10952596.109999999"/>
    <x v="70"/>
    <x v="2"/>
    <s v="pagado"/>
    <s v="pagado"/>
    <s v="excluir"/>
    <s v="no semana"/>
    <x v="0"/>
  </r>
  <r>
    <n v="3000002636"/>
    <d v="2025-05-27T00:00:00"/>
    <n v="9575958.4900000002"/>
    <s v="EMPRESA MAYORISTA INDUSTRIAL SSAN MIGUEL DE TUCUMAN 14"/>
    <x v="404"/>
    <n v="9575958.4900000002"/>
    <x v="70"/>
    <x v="2"/>
    <s v="pagado"/>
    <s v="pagado"/>
    <s v="excluir"/>
    <s v="no semana"/>
    <x v="0"/>
  </r>
  <r>
    <n v="3000002637"/>
    <d v="2025-05-27T00:00:00"/>
    <n v="4316841.83"/>
    <s v="MG SERVICIOS AGROPECUARIOS SASTAFI VIEJO 14"/>
    <x v="405"/>
    <n v="4316841.83"/>
    <x v="70"/>
    <x v="2"/>
    <s v="pagado"/>
    <s v="pagado"/>
    <s v="excluir"/>
    <s v="no semana"/>
    <x v="0"/>
  </r>
  <r>
    <n v="3000002638"/>
    <d v="2025-05-27T00:00:00"/>
    <n v="20000000"/>
    <s v="CEFAS S.A CIUDAD AUTONOMA DE BUENOS AIRES 01"/>
    <x v="406"/>
    <n v="20000000"/>
    <x v="70"/>
    <x v="2"/>
    <s v="pagado"/>
    <s v="pagado"/>
    <s v="excluir"/>
    <s v="no semana"/>
    <x v="0"/>
  </r>
  <r>
    <n v="3000002638"/>
    <d v="2025-05-27T00:00:00"/>
    <n v="21600217.09"/>
    <s v="CEFAS S.A CIUDAD AUTONOMA DE BUENOS AIRES 01"/>
    <x v="407"/>
    <n v="21600217.09"/>
    <x v="71"/>
    <x v="2"/>
    <s v="pagado"/>
    <s v="pagado"/>
    <s v="excluir"/>
    <s v="no semana"/>
    <x v="0"/>
  </r>
  <r>
    <n v="3000002639"/>
    <d v="2025-05-27T00:00:00"/>
    <n v="15000000"/>
    <s v="SEGURIDAD OMEGA SRL SAN FERNANDO DEL VALLE DE CATAMARCA 02"/>
    <x v="408"/>
    <n v="15000000"/>
    <x v="70"/>
    <x v="2"/>
    <s v="pagado"/>
    <s v="pagado"/>
    <s v="excluir"/>
    <s v="no semana"/>
    <x v="0"/>
  </r>
  <r>
    <n v="3000002639"/>
    <d v="2025-05-27T00:00:00"/>
    <n v="16978029.890000001"/>
    <s v="SEGURIDAD OMEGA SRL SAN FERNANDO DEL VALLE DE CATAMARCA 02"/>
    <x v="409"/>
    <n v="16978029.890000001"/>
    <x v="71"/>
    <x v="2"/>
    <s v="pagado"/>
    <s v="pagado"/>
    <s v="excluir"/>
    <s v="no semana"/>
    <x v="0"/>
  </r>
  <r>
    <n v="3000002640"/>
    <d v="2025-05-27T00:00:00"/>
    <n v="8678438.1699999999"/>
    <s v="ROMERO SERVICIOS S. A. S. ALPACHIRI 14"/>
    <x v="410"/>
    <n v="8678438.1699999999"/>
    <x v="70"/>
    <x v="2"/>
    <s v="pagado"/>
    <s v="pagado"/>
    <s v="excluir"/>
    <s v="no semana"/>
    <x v="0"/>
  </r>
  <r>
    <n v="3000002641"/>
    <d v="2025-05-27T00:00:00"/>
    <n v="10000000"/>
    <s v="CORTEZ CHRISTIE ANA INES YERBA BUENA 14"/>
    <x v="411"/>
    <n v="10000000"/>
    <x v="70"/>
    <x v="2"/>
    <s v="pagado"/>
    <s v="pagado"/>
    <s v="excluir"/>
    <s v="no semana"/>
    <x v="0"/>
  </r>
  <r>
    <n v="3000002641"/>
    <d v="2025-05-27T00:00:00"/>
    <n v="11214656"/>
    <s v="CORTEZ CHRISTIE ANA INES YERBA BUENA 14"/>
    <x v="412"/>
    <n v="11214656"/>
    <x v="71"/>
    <x v="2"/>
    <s v="pagado"/>
    <s v="pagado"/>
    <s v="excluir"/>
    <s v="no semana"/>
    <x v="0"/>
  </r>
  <r>
    <n v="3000002642"/>
    <d v="2025-05-27T00:00:00"/>
    <n v="30000000"/>
    <s v="AGROPECUARIA MUNDO NUEVO SRL SAN PABLO 14"/>
    <x v="413"/>
    <n v="30000000"/>
    <x v="70"/>
    <x v="2"/>
    <s v="pagado"/>
    <s v="pagado"/>
    <s v="excluir"/>
    <s v="no semana"/>
    <x v="0"/>
  </r>
  <r>
    <n v="3000002642"/>
    <d v="2025-05-27T00:00:00"/>
    <n v="27399251.109999999"/>
    <s v="AGROPECUARIA MUNDO NUEVO SRL SAN PABLO 14"/>
    <x v="414"/>
    <n v="27399251.109999999"/>
    <x v="71"/>
    <x v="2"/>
    <s v="pagado"/>
    <s v="pagado"/>
    <s v="excluir"/>
    <s v="no semana"/>
    <x v="0"/>
  </r>
  <r>
    <n v="3000002643"/>
    <d v="2025-05-27T00:00:00"/>
    <n v="23000000"/>
    <s v="PAMPLONA SRL SAN MIGUEL DE TUCUMAN 14"/>
    <x v="415"/>
    <n v="23000000"/>
    <x v="70"/>
    <x v="2"/>
    <s v="pagado"/>
    <s v="pagado"/>
    <s v="excluir"/>
    <s v="no semana"/>
    <x v="0"/>
  </r>
  <r>
    <n v="3000002643"/>
    <d v="2025-05-27T00:00:00"/>
    <n v="23411366.57"/>
    <s v="PAMPLONA SRL SAN MIGUEL DE TUCUMAN 14"/>
    <x v="416"/>
    <n v="23411366.57"/>
    <x v="71"/>
    <x v="2"/>
    <s v="pagado"/>
    <s v="pagado"/>
    <s v="excluir"/>
    <s v="no semana"/>
    <x v="0"/>
  </r>
  <r>
    <n v="3000002644"/>
    <d v="2025-05-27T00:00:00"/>
    <n v="16000000"/>
    <s v="Excer S.R.L. Buenos Aires 01"/>
    <x v="417"/>
    <n v="16000000"/>
    <x v="70"/>
    <x v="2"/>
    <s v="pagado"/>
    <s v="pagado"/>
    <s v="excluir"/>
    <s v="no semana"/>
    <x v="0"/>
  </r>
  <r>
    <n v="3000002644"/>
    <d v="2025-05-27T00:00:00"/>
    <n v="16378667.92"/>
    <s v="Excer S.R.L. Buenos Aires 01"/>
    <x v="418"/>
    <n v="16378667.92"/>
    <x v="71"/>
    <x v="2"/>
    <s v="pagado"/>
    <s v="pagado"/>
    <s v="excluir"/>
    <s v="no semana"/>
    <x v="0"/>
  </r>
  <r>
    <n v="3000002645"/>
    <d v="2025-05-27T00:00:00"/>
    <n v="8552025.1400000006"/>
    <s v="PERATO CRISTIAN LUIS BANDA DEL RIO SALI 14"/>
    <x v="419"/>
    <n v="8552025.1400000006"/>
    <x v="70"/>
    <x v="2"/>
    <s v="pagado"/>
    <s v="pagado"/>
    <s v="excluir"/>
    <s v="no semana"/>
    <x v="0"/>
  </r>
  <r>
    <n v="3000002646"/>
    <d v="2025-05-27T00:00:00"/>
    <n v="11844434.27"/>
    <s v="BUENOS AIRES COMEX S.R.L. BANFIELD 14"/>
    <x v="420"/>
    <n v="11844434.27"/>
    <x v="70"/>
    <x v="2"/>
    <s v="pagado"/>
    <s v="pagado"/>
    <s v="excluir"/>
    <s v="no semana"/>
    <x v="0"/>
  </r>
  <r>
    <n v="3000002647"/>
    <d v="2025-05-27T00:00:00"/>
    <n v="17000000"/>
    <s v="LATCOMEX SA CAPITAL FEDERAL 00"/>
    <x v="421"/>
    <n v="17000000"/>
    <x v="70"/>
    <x v="2"/>
    <s v="pagado"/>
    <s v="pagado"/>
    <s v="excluir"/>
    <s v="no semana"/>
    <x v="0"/>
  </r>
  <r>
    <n v="3000002647"/>
    <d v="2025-05-27T00:00:00"/>
    <n v="18594664.16"/>
    <s v="LATCOMEX SA CAPITAL FEDERAL 00"/>
    <x v="422"/>
    <n v="18594664.16"/>
    <x v="71"/>
    <x v="2"/>
    <s v="pagado"/>
    <s v="pagado"/>
    <s v="excluir"/>
    <s v="no semana"/>
    <x v="0"/>
  </r>
  <r>
    <n v="3000002679"/>
    <d v="2025-05-27T00:00:00"/>
    <n v="30000000"/>
    <s v="LA MARTINA SERV. AGRICOLAS S.RSAN PABLO 14"/>
    <x v="423"/>
    <n v="30000000"/>
    <x v="70"/>
    <x v="2"/>
    <s v="pagado"/>
    <s v="pagado"/>
    <s v="excluir"/>
    <s v="no semana"/>
    <x v="0"/>
  </r>
  <r>
    <n v="3000002679"/>
    <d v="2025-05-27T00:00:00"/>
    <n v="24307046.09"/>
    <s v="LA MARTINA SERV. AGRICOLAS S.RSAN PABLO 14"/>
    <x v="424"/>
    <n v="24307046.09"/>
    <x v="70"/>
    <x v="2"/>
    <s v="pagado"/>
    <s v="pagado"/>
    <s v="excluir"/>
    <s v="no semana"/>
    <x v="0"/>
  </r>
  <r>
    <n v="3000002680"/>
    <d v="2025-05-27T00:00:00"/>
    <n v="14695554.199999999"/>
    <s v="SAUCE HUACHO SERVICIOS S.R.L MONTEROS 14"/>
    <x v="425"/>
    <n v="14695554.199999999"/>
    <x v="70"/>
    <x v="2"/>
    <s v="pagado"/>
    <s v="pagado"/>
    <s v="excluir"/>
    <s v="no semana"/>
    <x v="0"/>
  </r>
  <r>
    <n v="3000002681"/>
    <d v="2025-05-27T00:00:00"/>
    <n v="20000000"/>
    <s v="ROMERO SERVICIOS S. A. S. ALPACHIRI 14"/>
    <x v="426"/>
    <n v="20000000"/>
    <x v="70"/>
    <x v="2"/>
    <s v="pagado"/>
    <s v="pagado"/>
    <s v="excluir"/>
    <s v="no semana"/>
    <x v="0"/>
  </r>
  <r>
    <n v="3000002681"/>
    <d v="2025-05-27T00:00:00"/>
    <n v="14188889.76"/>
    <s v="ROMERO SERVICIOS S. A. S. ALPACHIRI 14"/>
    <x v="427"/>
    <n v="14188889.76"/>
    <x v="70"/>
    <x v="2"/>
    <s v="pagado"/>
    <s v="pagado"/>
    <s v="excluir"/>
    <s v="no semana"/>
    <x v="0"/>
  </r>
  <r>
    <n v="3000002682"/>
    <d v="2025-05-27T00:00:00"/>
    <n v="3000000"/>
    <s v="MG SERVICIOS AGROPECUARIOS SASTAFI VIEJO 14"/>
    <x v="428"/>
    <n v="3000000"/>
    <x v="70"/>
    <x v="1"/>
    <s v="pagado"/>
    <s v="pagado"/>
    <s v="excluir"/>
    <s v="no semana"/>
    <x v="0"/>
  </r>
  <r>
    <n v="3000002682"/>
    <d v="2025-05-27T00:00:00"/>
    <n v="4000000"/>
    <s v="MG SERVICIOS AGROPECUARIOS SASTAFI VIEJO 14"/>
    <x v="429"/>
    <n v="4000000"/>
    <x v="70"/>
    <x v="1"/>
    <s v="pagado"/>
    <s v="pagado"/>
    <s v="excluir"/>
    <s v="no semana"/>
    <x v="0"/>
  </r>
  <r>
    <n v="3000002682"/>
    <d v="2025-05-27T00:00:00"/>
    <n v="7309642.96"/>
    <s v="MG SERVICIOS AGROPECUARIOS SASTAFI VIEJO 14"/>
    <x v="430"/>
    <n v="7309642.96"/>
    <x v="70"/>
    <x v="1"/>
    <s v="pagado"/>
    <s v="pagado"/>
    <s v="excluir"/>
    <s v="no semana"/>
    <x v="0"/>
  </r>
  <r>
    <n v="3000002682"/>
    <d v="2025-05-27T00:00:00"/>
    <n v="12350000"/>
    <s v="MG SERVICIOS AGROPECUARIOS SASTAFI VIEJO 14"/>
    <x v="431"/>
    <n v="12350000"/>
    <x v="70"/>
    <x v="1"/>
    <s v="pagado"/>
    <s v="pagado"/>
    <s v="excluir"/>
    <s v="no semana"/>
    <x v="0"/>
  </r>
  <r>
    <n v="3000002682"/>
    <d v="2025-05-27T00:00:00"/>
    <n v="10000000"/>
    <s v="MG SERVICIOS AGROPECUARIOS SASTAFI VIEJO 14"/>
    <x v="432"/>
    <n v="10000000"/>
    <x v="71"/>
    <x v="1"/>
    <s v="pagado"/>
    <s v="pagado"/>
    <s v="excluir"/>
    <s v="no semana"/>
    <x v="0"/>
  </r>
  <r>
    <n v="3000002682"/>
    <d v="2025-05-27T00:00:00"/>
    <n v="10000000"/>
    <s v="MG SERVICIOS AGROPECUARIOS SASTAFI VIEJO 14"/>
    <x v="433"/>
    <n v="10000000"/>
    <x v="71"/>
    <x v="1"/>
    <s v="pagado"/>
    <s v="pagado"/>
    <s v="excluir"/>
    <s v="no semana"/>
    <x v="0"/>
  </r>
  <r>
    <n v="3000002682"/>
    <d v="2025-05-27T00:00:00"/>
    <n v="10000000"/>
    <s v="MG SERVICIOS AGROPECUARIOS SASTAFI VIEJO 14"/>
    <x v="434"/>
    <n v="10000000"/>
    <x v="71"/>
    <x v="1"/>
    <s v="pagado"/>
    <s v="pagado"/>
    <s v="excluir"/>
    <s v="no semana"/>
    <x v="0"/>
  </r>
  <r>
    <n v="3000002682"/>
    <d v="2025-05-27T00:00:00"/>
    <n v="10000000"/>
    <s v="MG SERVICIOS AGROPECUARIOS SASTAFI VIEJO 14"/>
    <x v="435"/>
    <n v="10000000"/>
    <x v="71"/>
    <x v="1"/>
    <s v="pagado"/>
    <s v="pagado"/>
    <s v="excluir"/>
    <s v="no semana"/>
    <x v="0"/>
  </r>
  <r>
    <n v="3000002726"/>
    <d v="2025-05-28T00:00:00"/>
    <n v="6077320.2599999998"/>
    <s v="FERNANDEZ HECTOR JOSE SIMOCA 14"/>
    <x v="436"/>
    <n v="6077320.2599999998"/>
    <x v="71"/>
    <x v="2"/>
    <s v="pagado"/>
    <s v="pagado"/>
    <s v="excluir"/>
    <s v="no semana"/>
    <x v="0"/>
  </r>
  <r>
    <n v="3000002727"/>
    <d v="2025-05-28T00:00:00"/>
    <n v="11194514.039999999"/>
    <s v="D´ANDREA SERGIO FRANCISCO YERBA BUENA 14"/>
    <x v="437"/>
    <n v="11194514.039999999"/>
    <x v="71"/>
    <x v="2"/>
    <s v="pagado"/>
    <s v="pagado"/>
    <s v="excluir"/>
    <s v="no semana"/>
    <x v="0"/>
  </r>
  <r>
    <n v="3000002715"/>
    <d v="2025-05-28T00:00:00"/>
    <n v="19200000"/>
    <s v="NAVATUC IND. METALURGICAS S.R.LASTENIA 14"/>
    <x v="438"/>
    <n v="19200000"/>
    <x v="70"/>
    <x v="2"/>
    <s v="pagado"/>
    <s v="pagado"/>
    <s v="excluir"/>
    <s v="no semana"/>
    <x v="0"/>
  </r>
  <r>
    <n v="3000002715"/>
    <d v="2025-05-28T00:00:00"/>
    <n v="19112616.789999999"/>
    <s v="NAVATUC IND. METALURGICAS S.R.LASTENIA 14"/>
    <x v="439"/>
    <n v="19112616.789999999"/>
    <x v="72"/>
    <x v="2"/>
    <s v="pagado"/>
    <s v="pagado"/>
    <s v="excluir"/>
    <s v="no semana"/>
    <x v="0"/>
  </r>
  <r>
    <n v="3000002719"/>
    <d v="2025-05-28T00:00:00"/>
    <n v="20000000"/>
    <s v="TRANSPORTE FRIOS DEL NORTE S.RSAN MIGUEL DE TUCUMAN 14"/>
    <x v="440"/>
    <n v="20000000"/>
    <x v="71"/>
    <x v="2"/>
    <s v="pagado"/>
    <s v="pagado"/>
    <s v="excluir"/>
    <s v="no semana"/>
    <x v="0"/>
  </r>
  <r>
    <n v="3000002719"/>
    <d v="2025-05-28T00:00:00"/>
    <n v="12750498.57"/>
    <s v="TRANSPORTE FRIOS DEL NORTE S.RSAN MIGUEL DE TUCUMAN 14"/>
    <x v="441"/>
    <n v="12750498.57"/>
    <x v="73"/>
    <x v="2"/>
    <s v="pagado"/>
    <s v="pagado"/>
    <s v="excluir"/>
    <s v="no semana"/>
    <x v="0"/>
  </r>
  <r>
    <n v="3000002722"/>
    <d v="2025-05-28T00:00:00"/>
    <n v="25000000"/>
    <s v="CAPETTA ANTONELLA ANAHI SAN MIGUEL DE TUCUMAN 14"/>
    <x v="442"/>
    <n v="25000000"/>
    <x v="71"/>
    <x v="2"/>
    <s v="pagado"/>
    <s v="pagado"/>
    <s v="excluir"/>
    <s v="no semana"/>
    <x v="0"/>
  </r>
  <r>
    <n v="3000002722"/>
    <d v="2025-05-28T00:00:00"/>
    <n v="20210584.18"/>
    <s v="CAPETTA ANTONELLA ANAHI SAN MIGUEL DE TUCUMAN 14"/>
    <x v="443"/>
    <n v="20210584.18"/>
    <x v="73"/>
    <x v="2"/>
    <s v="pagado"/>
    <s v="pagado"/>
    <s v="excluir"/>
    <s v="no semana"/>
    <x v="0"/>
  </r>
  <r>
    <n v="3000002718"/>
    <d v="2025-05-28T00:00:00"/>
    <n v="4000351.91"/>
    <s v="Transporte CDC S.A. CAPITAL FEDERAL 00"/>
    <x v="444"/>
    <n v="4000351.91"/>
    <x v="71"/>
    <x v="2"/>
    <s v="pagado"/>
    <s v="pagado"/>
    <s v="excluir"/>
    <s v="no semana"/>
    <x v="0"/>
  </r>
  <r>
    <n v="3000002720"/>
    <d v="2025-05-28T00:00:00"/>
    <n v="14064999.18"/>
    <s v="RL SOLUCIONES S. A. S. SAN MIGUEL DE TUCUMAN 14"/>
    <x v="445"/>
    <n v="14064999.18"/>
    <x v="71"/>
    <x v="2"/>
    <s v="pagado"/>
    <s v="pagado"/>
    <s v="excluir"/>
    <s v="no semana"/>
    <x v="0"/>
  </r>
  <r>
    <n v="3000002721"/>
    <d v="2025-05-28T00:00:00"/>
    <n v="10221937.060000001"/>
    <s v="JACQUET NORBERTO SALVADOR SAN JOSE 05"/>
    <x v="446"/>
    <n v="10221937.060000001"/>
    <x v="71"/>
    <x v="2"/>
    <s v="pagado"/>
    <s v="pagado"/>
    <s v="excluir"/>
    <s v="no semana"/>
    <x v="0"/>
  </r>
  <r>
    <n v="3000002723"/>
    <d v="2025-05-28T00:00:00"/>
    <n v="4930812.3499999996"/>
    <s v="PERATO LUIS ALBERTO BANDA DEL RIO SALI 14"/>
    <x v="447"/>
    <n v="4930812.3499999996"/>
    <x v="71"/>
    <x v="2"/>
    <s v="pagado"/>
    <s v="pagado"/>
    <s v="excluir"/>
    <s v="no semana"/>
    <x v="0"/>
  </r>
  <r>
    <n v="3000002724"/>
    <d v="2025-05-28T00:00:00"/>
    <n v="5945997.5300000003"/>
    <s v="MOREY SERGIO GUILLERMO LOS GUTIERREZ-ALDERETES 14"/>
    <x v="448"/>
    <n v="5945997.5300000003"/>
    <x v="71"/>
    <x v="2"/>
    <s v="pagado"/>
    <s v="pagado"/>
    <s v="excluir"/>
    <s v="no semana"/>
    <x v="0"/>
  </r>
  <r>
    <n v="3000002725"/>
    <d v="2025-05-28T00:00:00"/>
    <n v="5200719.67"/>
    <s v="HERRERA RICARDO ALBERTO BANDA DEL RIO SALI 14"/>
    <x v="449"/>
    <n v="5200719.67"/>
    <x v="71"/>
    <x v="2"/>
    <s v="pagado"/>
    <s v="pagado"/>
    <s v="excluir"/>
    <s v="no semana"/>
    <x v="0"/>
  </r>
  <r>
    <n v="3000002806"/>
    <d v="2025-06-02T00:00:00"/>
    <n v="15000000"/>
    <s v="MURATO CONSTRUCCIONES S.R.L YERBA BUENA 14"/>
    <x v="450"/>
    <n v="15000000"/>
    <x v="74"/>
    <x v="2"/>
    <s v="pagado"/>
    <s v="pagado"/>
    <s v="excluir"/>
    <s v="no semana"/>
    <x v="0"/>
  </r>
  <r>
    <n v="3000002806"/>
    <d v="2025-06-02T00:00:00"/>
    <n v="15000000"/>
    <s v="MURATO CONSTRUCCIONES S.R.L YERBA BUENA 14"/>
    <x v="451"/>
    <n v="15000000"/>
    <x v="74"/>
    <x v="2"/>
    <s v="pagado"/>
    <s v="pagado"/>
    <s v="excluir"/>
    <s v="no semana"/>
    <x v="0"/>
  </r>
  <r>
    <n v="3000002806"/>
    <d v="2025-06-02T00:00:00"/>
    <n v="11500244.5"/>
    <s v="MURATO CONSTRUCCIONES S.R.L YERBA BUENA 14"/>
    <x v="452"/>
    <n v="11500244.5"/>
    <x v="75"/>
    <x v="2"/>
    <s v="pagado"/>
    <s v="pagado"/>
    <s v="excluir"/>
    <s v="no semana"/>
    <x v="0"/>
  </r>
  <r>
    <n v="3000002811"/>
    <d v="2025-06-02T00:00:00"/>
    <n v="22000000"/>
    <s v="PAMPLONA SRL SAN MIGUEL DE TUCUMAN 14"/>
    <x v="453"/>
    <n v="22000000"/>
    <x v="76"/>
    <x v="2"/>
    <s v="pagado"/>
    <s v="pagado"/>
    <s v="excluir"/>
    <s v="no semana"/>
    <x v="0"/>
  </r>
  <r>
    <n v="3000002811"/>
    <d v="2025-06-02T00:00:00"/>
    <n v="20668509.609999999"/>
    <s v="PAMPLONA SRL SAN MIGUEL DE TUCUMAN 14"/>
    <x v="454"/>
    <n v="20668509.609999999"/>
    <x v="74"/>
    <x v="2"/>
    <s v="pagado"/>
    <s v="pagado"/>
    <s v="excluir"/>
    <s v="no semana"/>
    <x v="0"/>
  </r>
  <r>
    <n v="3000002805"/>
    <d v="2025-06-02T00:00:00"/>
    <n v="9740054.5500000007"/>
    <s v="Servicom Group S.A. CAPITAL FEDERAL 00"/>
    <x v="455"/>
    <n v="9740054.5500000007"/>
    <x v="74"/>
    <x v="2"/>
    <s v="pagado"/>
    <s v="pagado"/>
    <s v="excluir"/>
    <s v="no semana"/>
    <x v="0"/>
  </r>
  <r>
    <n v="3000002807"/>
    <d v="2025-06-02T00:00:00"/>
    <n v="8267414.4100000001"/>
    <s v="ACOSTA ROQUE RAMON SAN MIGUEL DE TUCUMAN 14"/>
    <x v="456"/>
    <n v="8267414.4100000001"/>
    <x v="74"/>
    <x v="2"/>
    <s v="pagado"/>
    <s v="pagado"/>
    <s v="excluir"/>
    <s v="no semana"/>
    <x v="0"/>
  </r>
  <r>
    <n v="3000002808"/>
    <d v="2025-06-02T00:00:00"/>
    <n v="4387794.96"/>
    <s v="SUAREZ MANUEL RODOLFO ALDERETES 14"/>
    <x v="457"/>
    <n v="4387794.96"/>
    <x v="74"/>
    <x v="2"/>
    <s v="pagado"/>
    <s v="pagado"/>
    <s v="excluir"/>
    <s v="no semana"/>
    <x v="0"/>
  </r>
  <r>
    <n v="3000002809"/>
    <d v="2025-06-02T00:00:00"/>
    <n v="4178097.48"/>
    <s v="Sanchez Jose Mauricio San Miguel de Tucuman 14"/>
    <x v="458"/>
    <n v="4178097.48"/>
    <x v="74"/>
    <x v="2"/>
    <s v="pagado"/>
    <s v="pagado"/>
    <s v="excluir"/>
    <s v="no semana"/>
    <x v="0"/>
  </r>
  <r>
    <n v="3000002810"/>
    <d v="2025-06-02T00:00:00"/>
    <n v="5700497.5999999996"/>
    <s v="CORTEZ CHRISTIE ANA INES YERBA BUENA 14"/>
    <x v="459"/>
    <n v="5700497.5999999996"/>
    <x v="74"/>
    <x v="2"/>
    <s v="pagado"/>
    <s v="pagado"/>
    <s v="excluir"/>
    <s v="no semana"/>
    <x v="0"/>
  </r>
  <r>
    <n v="3000002827"/>
    <d v="2025-06-03T00:00:00"/>
    <n v="10296886"/>
    <s v="INSITU S.R.L SAN MIGUEL DE TUCUMAN 14"/>
    <x v="460"/>
    <n v="10296886"/>
    <x v="74"/>
    <x v="2"/>
    <s v="pagado"/>
    <s v="pagado"/>
    <s v="excluir"/>
    <s v="no semana"/>
    <x v="0"/>
  </r>
  <r>
    <n v="3000002804"/>
    <d v="2025-06-02T00:00:00"/>
    <n v="3094360"/>
    <s v="EDET S.A. SAN MIGUEL DE TUCUMAN 14"/>
    <x v="461"/>
    <n v="3094360"/>
    <x v="77"/>
    <x v="1"/>
    <s v="pagado"/>
    <s v="pagado"/>
    <s v="excluir"/>
    <s v="no semana"/>
    <x v="0"/>
  </r>
  <r>
    <n v="3000002826"/>
    <d v="2025-06-03T00:00:00"/>
    <n v="2257247.9300000002"/>
    <s v="TRANSPORTE MEDINA S.H. CRUZ ALTA 14"/>
    <x v="462"/>
    <n v="2257247.9300000002"/>
    <x v="74"/>
    <x v="1"/>
    <s v="pagado"/>
    <s v="pagado"/>
    <s v="excluir"/>
    <s v="no semana"/>
    <x v="0"/>
  </r>
  <r>
    <n v="3000002855"/>
    <d v="2025-06-04T00:00:00"/>
    <n v="2958892.92"/>
    <s v="BARBARISI JUAREZ PABLO EMANUELSAN JUAN 10"/>
    <x v="463"/>
    <n v="2958892.92"/>
    <x v="75"/>
    <x v="2"/>
    <s v="pagado"/>
    <s v="pagado"/>
    <s v="excluir"/>
    <s v="no semana"/>
    <x v="0"/>
  </r>
  <r>
    <n v="3000002856"/>
    <d v="2025-06-04T00:00:00"/>
    <n v="7986987.4299999997"/>
    <s v="JACQUET NORBERTO SALVADOR SAN JOSE 05"/>
    <x v="464"/>
    <n v="7986987.4299999997"/>
    <x v="75"/>
    <x v="2"/>
    <s v="pagado"/>
    <s v="pagado"/>
    <s v="excluir"/>
    <s v="no semana"/>
    <x v="0"/>
  </r>
  <r>
    <n v="3000002857"/>
    <d v="2025-06-04T00:00:00"/>
    <n v="7018095.9199999999"/>
    <s v="TRANSPORTE FRIOS DEL NORTE S.RSAN MIGUEL DE TUCUMAN 14"/>
    <x v="465"/>
    <n v="7018095.9199999999"/>
    <x v="75"/>
    <x v="2"/>
    <s v="pagado"/>
    <s v="pagado"/>
    <s v="excluir"/>
    <s v="no semana"/>
    <x v="0"/>
  </r>
  <r>
    <n v="3000002858"/>
    <d v="2025-06-04T00:00:00"/>
    <n v="4018981.05"/>
    <s v="MAC DONALD MIGUEL ALEJANDRO BANDA DEL RIO SALI 14"/>
    <x v="466"/>
    <n v="4018981.05"/>
    <x v="75"/>
    <x v="2"/>
    <s v="pagado"/>
    <s v="pagado"/>
    <s v="excluir"/>
    <s v="no semana"/>
    <x v="0"/>
  </r>
  <r>
    <n v="3000002859"/>
    <d v="2025-06-04T00:00:00"/>
    <n v="8054729.7400000002"/>
    <s v="RL SOLUCIONES S. A. S. SAN MIGUEL DE TUCUMAN 14"/>
    <x v="467"/>
    <n v="8054729.7400000002"/>
    <x v="75"/>
    <x v="2"/>
    <s v="pagado"/>
    <s v="pagado"/>
    <s v="excluir"/>
    <s v="no semana"/>
    <x v="0"/>
  </r>
  <r>
    <n v="3000002860"/>
    <d v="2025-06-04T00:00:00"/>
    <n v="28238867.920000002"/>
    <s v="LATCOMEX SA CAPITAL FEDERAL 00"/>
    <x v="468"/>
    <n v="28238867.920000002"/>
    <x v="75"/>
    <x v="2"/>
    <s v="pagado"/>
    <s v="pagado"/>
    <s v="excluir"/>
    <s v="no semana"/>
    <x v="0"/>
  </r>
  <r>
    <n v="3000002861"/>
    <d v="2025-06-04T00:00:00"/>
    <n v="2122166.35"/>
    <s v="Southatlantic Maritime S.A. BUENOS AIRES 01"/>
    <x v="469"/>
    <n v="2122166.35"/>
    <x v="75"/>
    <x v="2"/>
    <s v="pagado"/>
    <s v="pagado"/>
    <s v="excluir"/>
    <s v="no semana"/>
    <x v="0"/>
  </r>
  <r>
    <n v="3000002862"/>
    <d v="2025-06-04T00:00:00"/>
    <n v="7230530.2599999998"/>
    <s v="ALVAREZ RENE JOSE MARIA BELLA VISTA 14"/>
    <x v="470"/>
    <n v="7230530.2599999998"/>
    <x v="75"/>
    <x v="2"/>
    <s v="pagado"/>
    <s v="pagado"/>
    <s v="excluir"/>
    <s v="no semana"/>
    <x v="0"/>
  </r>
  <r>
    <n v="3000002863"/>
    <d v="2025-06-04T00:00:00"/>
    <n v="2500204.92"/>
    <s v="BESTANI LEANDRO EXEQUIEL SAN MIGUEL DE TUCUMAN 14"/>
    <x v="471"/>
    <n v="2500204.92"/>
    <x v="75"/>
    <x v="2"/>
    <s v="pagado"/>
    <s v="pagado"/>
    <s v="excluir"/>
    <s v="no semana"/>
    <x v="0"/>
  </r>
  <r>
    <n v="3000002864"/>
    <d v="2025-06-04T00:00:00"/>
    <n v="2402209.67"/>
    <s v="Alcoba Luareano Arnaldo Concepcion 14"/>
    <x v="472"/>
    <n v="2402209.67"/>
    <x v="75"/>
    <x v="2"/>
    <s v="pagado"/>
    <s v="pagado"/>
    <s v="excluir"/>
    <s v="no semana"/>
    <x v="0"/>
  </r>
  <r>
    <n v="3000002865"/>
    <d v="2025-06-04T00:00:00"/>
    <n v="6105815.0300000003"/>
    <s v="TRANSPORTE MARIANITA S.R.L SAN MIGUEL DE TUCUMAN 14"/>
    <x v="473"/>
    <n v="6105815.0300000003"/>
    <x v="75"/>
    <x v="2"/>
    <s v="pagado"/>
    <s v="pagado"/>
    <s v="excluir"/>
    <s v="no semana"/>
    <x v="0"/>
  </r>
  <r>
    <n v="3000002866"/>
    <d v="2025-06-04T00:00:00"/>
    <n v="2437827.3199999998"/>
    <s v="GEREZ ALICIA ELEUTERIA SAN MIGUEL DE TUCUMAN 14"/>
    <x v="474"/>
    <n v="2437827.3199999998"/>
    <x v="75"/>
    <x v="2"/>
    <s v="pagado"/>
    <s v="pagado"/>
    <s v="excluir"/>
    <s v="no semana"/>
    <x v="0"/>
  </r>
  <r>
    <n v="3000002867"/>
    <d v="2025-06-04T00:00:00"/>
    <n v="3003338.5"/>
    <s v="Pedro Angel Michael Alderetes 14"/>
    <x v="475"/>
    <n v="3003338.5"/>
    <x v="75"/>
    <x v="2"/>
    <s v="pagado"/>
    <s v="pagado"/>
    <s v="excluir"/>
    <s v="no semana"/>
    <x v="0"/>
  </r>
  <r>
    <n v="3000002868"/>
    <d v="2025-06-04T00:00:00"/>
    <n v="3258808.3"/>
    <s v="PAEZ ANDRES ALEXIS MACIO 14"/>
    <x v="476"/>
    <n v="3258808.3"/>
    <x v="75"/>
    <x v="2"/>
    <s v="pagado"/>
    <s v="pagado"/>
    <s v="excluir"/>
    <s v="no semana"/>
    <x v="0"/>
  </r>
  <r>
    <n v="3000002869"/>
    <d v="2025-06-04T00:00:00"/>
    <n v="3158687.5"/>
    <s v="TORRES JUAN RAMON ALDERETES 14"/>
    <x v="477"/>
    <n v="3158687.5"/>
    <x v="75"/>
    <x v="2"/>
    <s v="pagado"/>
    <s v="pagado"/>
    <s v="excluir"/>
    <s v="no semana"/>
    <x v="0"/>
  </r>
  <r>
    <n v="3000002870"/>
    <d v="2025-06-04T00:00:00"/>
    <n v="5640600.9299999997"/>
    <s v="VIDES GUSTAVO ENRIQUE LA TRINIDAD 14"/>
    <x v="478"/>
    <n v="5640600.9299999997"/>
    <x v="75"/>
    <x v="2"/>
    <s v="pagado"/>
    <s v="pagado"/>
    <s v="excluir"/>
    <s v="no semana"/>
    <x v="0"/>
  </r>
  <r>
    <n v="3000002968"/>
    <d v="2025-06-09T00:00:00"/>
    <n v="1911957"/>
    <s v="MG SERVICIOS AGROPECUARIOS SASTAFI VIEJO 14"/>
    <x v="479"/>
    <n v="1911957"/>
    <x v="78"/>
    <x v="2"/>
    <s v="pagado"/>
    <s v="pagado"/>
    <s v="excluir"/>
    <s v="no semana"/>
    <x v="0"/>
  </r>
  <r>
    <n v="3000002968"/>
    <d v="2025-06-09T00:00:00"/>
    <n v="1111712"/>
    <s v="MG SERVICIOS AGROPECUARIOS SASTAFI VIEJO 14"/>
    <x v="480"/>
    <n v="1111712"/>
    <x v="78"/>
    <x v="2"/>
    <s v="pagado"/>
    <s v="pagado"/>
    <s v="excluir"/>
    <s v="no semana"/>
    <x v="0"/>
  </r>
  <r>
    <n v="3000002968"/>
    <d v="2025-06-09T00:00:00"/>
    <n v="1805529"/>
    <s v="MG SERVICIOS AGROPECUARIOS SASTAFI VIEJO 14"/>
    <x v="481"/>
    <n v="1805529"/>
    <x v="78"/>
    <x v="2"/>
    <s v="pagado"/>
    <s v="pagado"/>
    <s v="excluir"/>
    <s v="no semana"/>
    <x v="0"/>
  </r>
  <r>
    <n v="3000002968"/>
    <d v="2025-06-09T00:00:00"/>
    <n v="1856299"/>
    <s v="MG SERVICIOS AGROPECUARIOS SASTAFI VIEJO 14"/>
    <x v="482"/>
    <n v="1856299"/>
    <x v="78"/>
    <x v="2"/>
    <s v="pagado"/>
    <s v="pagado"/>
    <s v="excluir"/>
    <s v="no semana"/>
    <x v="0"/>
  </r>
  <r>
    <n v="3000002968"/>
    <d v="2025-06-09T00:00:00"/>
    <n v="8377145"/>
    <s v="MG SERVICIOS AGROPECUARIOS SASTAFI VIEJO 14"/>
    <x v="483"/>
    <n v="8377145"/>
    <x v="78"/>
    <x v="2"/>
    <s v="pagado"/>
    <s v="pagado"/>
    <s v="excluir"/>
    <s v="no semana"/>
    <x v="0"/>
  </r>
  <r>
    <n v="3000002968"/>
    <d v="2025-06-09T00:00:00"/>
    <n v="4329071"/>
    <s v="MG SERVICIOS AGROPECUARIOS SASTAFI VIEJO 14"/>
    <x v="484"/>
    <n v="4329071"/>
    <x v="78"/>
    <x v="2"/>
    <s v="pagado"/>
    <s v="pagado"/>
    <s v="excluir"/>
    <s v="no semana"/>
    <x v="0"/>
  </r>
  <r>
    <n v="3000002968"/>
    <d v="2025-06-09T00:00:00"/>
    <n v="6150000"/>
    <s v="MG SERVICIOS AGROPECUARIOS SASTAFI VIEJO 14"/>
    <x v="485"/>
    <n v="6150000"/>
    <x v="78"/>
    <x v="2"/>
    <s v="pagado"/>
    <s v="pagado"/>
    <s v="excluir"/>
    <s v="no semana"/>
    <x v="0"/>
  </r>
  <r>
    <n v="3000002968"/>
    <d v="2025-06-09T00:00:00"/>
    <n v="1530610"/>
    <s v="MG SERVICIOS AGROPECUARIOS SASTAFI VIEJO 14"/>
    <x v="486"/>
    <n v="1530610"/>
    <x v="78"/>
    <x v="2"/>
    <s v="pagado"/>
    <s v="pagado"/>
    <s v="excluir"/>
    <s v="no semana"/>
    <x v="0"/>
  </r>
  <r>
    <n v="3000002968"/>
    <d v="2025-06-09T00:00:00"/>
    <n v="2555000"/>
    <s v="MG SERVICIOS AGROPECUARIOS SASTAFI VIEJO 14"/>
    <x v="487"/>
    <n v="2555000"/>
    <x v="78"/>
    <x v="2"/>
    <s v="pagado"/>
    <s v="pagado"/>
    <s v="excluir"/>
    <s v="no semana"/>
    <x v="0"/>
  </r>
  <r>
    <n v="3000002968"/>
    <d v="2025-06-09T00:00:00"/>
    <n v="3354900"/>
    <s v="MG SERVICIOS AGROPECUARIOS SASTAFI VIEJO 14"/>
    <x v="488"/>
    <n v="3354900"/>
    <x v="78"/>
    <x v="2"/>
    <s v="pagado"/>
    <s v="pagado"/>
    <s v="excluir"/>
    <s v="no semana"/>
    <x v="0"/>
  </r>
  <r>
    <n v="3000002968"/>
    <d v="2025-06-09T00:00:00"/>
    <n v="7000000"/>
    <s v="MG SERVICIOS AGROPECUARIOS SASTAFI VIEJO 14"/>
    <x v="489"/>
    <n v="7000000"/>
    <x v="78"/>
    <x v="2"/>
    <s v="pagado"/>
    <s v="pagado"/>
    <s v="excluir"/>
    <s v="no semana"/>
    <x v="0"/>
  </r>
  <r>
    <n v="3000002968"/>
    <d v="2025-06-09T00:00:00"/>
    <n v="4832639"/>
    <s v="MG SERVICIOS AGROPECUARIOS SASTAFI VIEJO 14"/>
    <x v="490"/>
    <n v="4832639"/>
    <x v="78"/>
    <x v="2"/>
    <s v="pagado"/>
    <s v="pagado"/>
    <s v="excluir"/>
    <s v="no semana"/>
    <x v="0"/>
  </r>
  <r>
    <n v="3000002969"/>
    <d v="2025-06-09T00:00:00"/>
    <n v="10000000"/>
    <s v="Verde y Sol S.R.L. SAN MIGUEL DE TUCUMAN 14"/>
    <x v="491"/>
    <n v="10000000"/>
    <x v="78"/>
    <x v="2"/>
    <s v="pagado"/>
    <s v="pagado"/>
    <s v="excluir"/>
    <s v="no semana"/>
    <x v="0"/>
  </r>
  <r>
    <n v="3000002969"/>
    <d v="2025-06-09T00:00:00"/>
    <n v="11377284.92"/>
    <s v="Verde y Sol S.R.L. SAN MIGUEL DE TUCUMAN 14"/>
    <x v="492"/>
    <n v="11377284.92"/>
    <x v="79"/>
    <x v="2"/>
    <s v="pagado"/>
    <s v="pagado"/>
    <s v="excluir"/>
    <s v="no semana"/>
    <x v="0"/>
  </r>
  <r>
    <n v="3000002970"/>
    <d v="2025-06-09T00:00:00"/>
    <n v="15000000"/>
    <s v="NOBEN SRL SAN MIGUEL DE TUCUMAN 14"/>
    <x v="493"/>
    <n v="15000000"/>
    <x v="78"/>
    <x v="2"/>
    <s v="pagado"/>
    <s v="pagado"/>
    <s v="excluir"/>
    <s v="no semana"/>
    <x v="0"/>
  </r>
  <r>
    <n v="3000002970"/>
    <d v="2025-06-09T00:00:00"/>
    <n v="14192776.15"/>
    <s v="NOBEN SRL SAN MIGUEL DE TUCUMAN 14"/>
    <x v="494"/>
    <n v="14192776.15"/>
    <x v="79"/>
    <x v="2"/>
    <s v="pagado"/>
    <s v="pagado"/>
    <s v="excluir"/>
    <s v="no semana"/>
    <x v="0"/>
  </r>
  <r>
    <n v="3000002971"/>
    <d v="2025-06-09T00:00:00"/>
    <n v="17000000"/>
    <s v="TRUSARELLI CARLOS ALBERTO BANDA DEL RIO SALI 14"/>
    <x v="495"/>
    <n v="17000000"/>
    <x v="78"/>
    <x v="2"/>
    <s v="pagado"/>
    <s v="pagado"/>
    <s v="excluir"/>
    <s v="no semana"/>
    <x v="0"/>
  </r>
  <r>
    <n v="3000002971"/>
    <d v="2025-06-09T00:00:00"/>
    <n v="17845578.190000001"/>
    <s v="TRUSARELLI CARLOS ALBERTO BANDA DEL RIO SALI 14"/>
    <x v="496"/>
    <n v="17845578.190000001"/>
    <x v="79"/>
    <x v="2"/>
    <s v="pagado"/>
    <s v="pagado"/>
    <s v="excluir"/>
    <s v="no semana"/>
    <x v="0"/>
  </r>
  <r>
    <n v="3000002972"/>
    <d v="2025-06-09T00:00:00"/>
    <n v="11000000"/>
    <s v="PAMPLONA SRL SAN MIGUEL DE TUCUMAN 14"/>
    <x v="497"/>
    <n v="11000000"/>
    <x v="78"/>
    <x v="2"/>
    <s v="pagado"/>
    <s v="pagado"/>
    <s v="excluir"/>
    <s v="no semana"/>
    <x v="0"/>
  </r>
  <r>
    <n v="3000002972"/>
    <d v="2025-06-09T00:00:00"/>
    <n v="11086105.07"/>
    <s v="PAMPLONA SRL SAN MIGUEL DE TUCUMAN 14"/>
    <x v="498"/>
    <n v="11086105.07"/>
    <x v="79"/>
    <x v="2"/>
    <s v="pagado"/>
    <s v="pagado"/>
    <s v="excluir"/>
    <s v="no semana"/>
    <x v="0"/>
  </r>
  <r>
    <n v="3000002967"/>
    <d v="2025-06-09T00:00:00"/>
    <n v="5730784.9699999997"/>
    <s v="Servicom Group S.A. CAPITAL FEDERAL 00"/>
    <x v="499"/>
    <n v="5730784.9699999997"/>
    <x v="78"/>
    <x v="2"/>
    <s v="pagado"/>
    <s v="pagado"/>
    <s v="excluir"/>
    <s v="no semana"/>
    <x v="0"/>
  </r>
  <r>
    <n v="3000002973"/>
    <d v="2025-06-09T00:00:00"/>
    <n v="4316064.2"/>
    <s v="INSITU S.R.L SAN MIGUEL DE TUCUMAN 14"/>
    <x v="500"/>
    <n v="4316064.2"/>
    <x v="78"/>
    <x v="2"/>
    <s v="pagado"/>
    <s v="pagado"/>
    <s v="excluir"/>
    <s v="no semana"/>
    <x v="0"/>
  </r>
  <r>
    <n v="3000002974"/>
    <d v="2025-06-09T00:00:00"/>
    <n v="12294522.08"/>
    <s v="CAMPOAGRO SRL YERBA BUENA 14"/>
    <x v="501"/>
    <n v="12294522.08"/>
    <x v="78"/>
    <x v="2"/>
    <s v="pagado"/>
    <s v="pagado"/>
    <s v="excluir"/>
    <s v="no semana"/>
    <x v="0"/>
  </r>
  <r>
    <n v="3000002975"/>
    <d v="2025-06-09T00:00:00"/>
    <n v="7947151"/>
    <s v="SANTEX S. A. LOS NOGALES 14"/>
    <x v="502"/>
    <n v="7947151"/>
    <x v="79"/>
    <x v="2"/>
    <s v="pagado"/>
    <s v="pagado"/>
    <s v="excluir"/>
    <s v="no semana"/>
    <x v="0"/>
  </r>
  <r>
    <n v="3000002976"/>
    <d v="2025-06-09T00:00:00"/>
    <n v="4434292.0999999996"/>
    <s v="ADLER HASENCLEVER Y ASOCIADOS BUENOS AIRES 01"/>
    <x v="503"/>
    <n v="4434292.0999999996"/>
    <x v="79"/>
    <x v="2"/>
    <s v="pagado"/>
    <s v="pagado"/>
    <s v="excluir"/>
    <s v="no semana"/>
    <x v="0"/>
  </r>
  <r>
    <n v="3000003019"/>
    <d v="2025-06-10T00:00:00"/>
    <n v="22000000"/>
    <s v="PAMPLONA SRL SAN MIGUEL DE TUCUMAN 14"/>
    <x v="504"/>
    <n v="22000000"/>
    <x v="79"/>
    <x v="2"/>
    <s v="pagado"/>
    <s v="pagado"/>
    <s v="excluir"/>
    <s v="no semana"/>
    <x v="0"/>
  </r>
  <r>
    <n v="3000003019"/>
    <d v="2025-06-10T00:00:00"/>
    <n v="20941125.5"/>
    <s v="PAMPLONA SRL SAN MIGUEL DE TUCUMAN 14"/>
    <x v="505"/>
    <n v="20941125.5"/>
    <x v="80"/>
    <x v="2"/>
    <s v="pagado"/>
    <s v="pagado"/>
    <s v="excluir"/>
    <s v="no semana"/>
    <x v="0"/>
  </r>
  <r>
    <n v="3000003020"/>
    <d v="2025-06-10T00:00:00"/>
    <n v="20000000"/>
    <s v="ROMERO SERVICIOS S. A. S. ALPACHIRI 14"/>
    <x v="506"/>
    <n v="20000000"/>
    <x v="79"/>
    <x v="2"/>
    <s v="pagado"/>
    <s v="pagado"/>
    <s v="excluir"/>
    <s v="no semana"/>
    <x v="0"/>
  </r>
  <r>
    <n v="3000003020"/>
    <d v="2025-06-10T00:00:00"/>
    <n v="18021035.59"/>
    <s v="ROMERO SERVICIOS S. A. S. ALPACHIRI 14"/>
    <x v="507"/>
    <n v="18021035.59"/>
    <x v="80"/>
    <x v="2"/>
    <s v="pagado"/>
    <s v="pagado"/>
    <s v="excluir"/>
    <s v="no semana"/>
    <x v="0"/>
  </r>
  <r>
    <n v="3000003021"/>
    <d v="2025-06-10T00:00:00"/>
    <n v="19774783.579999998"/>
    <s v="SAUCE HUACHO SERVICIOS S.R.L MONTEROS 14"/>
    <x v="508"/>
    <n v="19774783.579999998"/>
    <x v="79"/>
    <x v="2"/>
    <s v="pagado"/>
    <s v="pagado"/>
    <s v="excluir"/>
    <s v="no semana"/>
    <x v="0"/>
  </r>
  <r>
    <n v="3000003045"/>
    <d v="2025-06-11T00:00:00"/>
    <n v="7391148.2000000002"/>
    <s v="FERNANDEZ HECTOR JOSE SIMOCA 14"/>
    <x v="509"/>
    <n v="7391148.2000000002"/>
    <x v="81"/>
    <x v="2"/>
    <s v="pagado"/>
    <s v="pagado"/>
    <s v="excluir"/>
    <s v="no semana"/>
    <x v="0"/>
  </r>
  <r>
    <n v="3000003046"/>
    <d v="2025-06-11T00:00:00"/>
    <n v="4232024.63"/>
    <s v="JACQUET NORBERTO SALVADOR SAN JOSE 05"/>
    <x v="510"/>
    <n v="4232024.63"/>
    <x v="81"/>
    <x v="2"/>
    <s v="pagado"/>
    <s v="pagado"/>
    <s v="excluir"/>
    <s v="no semana"/>
    <x v="0"/>
  </r>
  <r>
    <n v="3000003047"/>
    <d v="2025-06-11T00:00:00"/>
    <n v="4018813.13"/>
    <s v="MAC DONALD MIGUEL ALEJANDRO BANDA DEL RIO SALI 14"/>
    <x v="511"/>
    <n v="4018813.13"/>
    <x v="81"/>
    <x v="2"/>
    <s v="pagado"/>
    <s v="pagado"/>
    <s v="excluir"/>
    <s v="no semana"/>
    <x v="0"/>
  </r>
  <r>
    <n v="3000003048"/>
    <d v="2025-06-11T00:00:00"/>
    <n v="36245528.310000002"/>
    <s v="CAPETTA ANTONELLA ANAHI SAN MIGUEL DE TUCUMAN 14"/>
    <x v="512"/>
    <n v="36245528.310000002"/>
    <x v="81"/>
    <x v="2"/>
    <s v="pagado"/>
    <s v="pagado"/>
    <s v="excluir"/>
    <s v="no semana"/>
    <x v="0"/>
  </r>
  <r>
    <n v="3000003049"/>
    <d v="2025-06-11T00:00:00"/>
    <n v="3990443.34"/>
    <s v="VILLAGRA VELEZ ROQUE RICARDO SAN MIGUEL DE TUCUMAN 14"/>
    <x v="513"/>
    <n v="3990443.34"/>
    <x v="81"/>
    <x v="2"/>
    <s v="pagado"/>
    <s v="pagado"/>
    <s v="excluir"/>
    <s v="no semana"/>
    <x v="0"/>
  </r>
  <r>
    <n v="3000003050"/>
    <d v="2025-06-11T00:00:00"/>
    <n v="20256723.109999999"/>
    <s v="RL SOLUCIONES S. A. S. SAN MIGUEL DE TUCUMAN 14"/>
    <x v="514"/>
    <n v="20256723.109999999"/>
    <x v="81"/>
    <x v="2"/>
    <s v="pagado"/>
    <s v="pagado"/>
    <s v="excluir"/>
    <s v="no semana"/>
    <x v="0"/>
  </r>
  <r>
    <n v="3000003051"/>
    <d v="2025-06-11T00:00:00"/>
    <n v="11371273.550000001"/>
    <s v="Terminal 4 S.A. Puerto Nuevo 01"/>
    <x v="515"/>
    <n v="11371273.550000001"/>
    <x v="81"/>
    <x v="2"/>
    <s v="pagado"/>
    <s v="pagado"/>
    <s v="excluir"/>
    <s v="no semana"/>
    <x v="0"/>
  </r>
  <r>
    <n v="3000003052"/>
    <d v="2025-06-11T00:00:00"/>
    <n v="24563659.02"/>
    <s v="Vaquera Francisco Alfredo Monteros 14"/>
    <x v="516"/>
    <n v="24563659.02"/>
    <x v="81"/>
    <x v="2"/>
    <s v="pagado"/>
    <s v="pagado"/>
    <s v="excluir"/>
    <s v="no semana"/>
    <x v="0"/>
  </r>
  <r>
    <n v="3000003053"/>
    <d v="2025-06-11T00:00:00"/>
    <n v="11023782"/>
    <s v="PERATO CRISTIAN LUIS BANDA DEL RIO SALI 14"/>
    <x v="517"/>
    <n v="11023782"/>
    <x v="81"/>
    <x v="2"/>
    <s v="pagado"/>
    <s v="pagado"/>
    <s v="excluir"/>
    <s v="no semana"/>
    <x v="0"/>
  </r>
  <r>
    <n v="3000003054"/>
    <d v="2025-06-11T00:00:00"/>
    <n v="9357237.3200000003"/>
    <s v="TRANSPORTE FRIOS DEL NORTE S.RSAN MIGUEL DE TUCUMAN 14"/>
    <x v="518"/>
    <n v="9357237.3200000003"/>
    <x v="81"/>
    <x v="2"/>
    <s v="pagado"/>
    <s v="pagado"/>
    <s v="excluir"/>
    <s v="no semana"/>
    <x v="0"/>
  </r>
  <r>
    <n v="3000003096"/>
    <d v="2025-06-12T00:00:00"/>
    <n v="1600000"/>
    <s v=". Tucumán"/>
    <x v="519"/>
    <n v="1600000"/>
    <x v="80"/>
    <x v="1"/>
    <s v="pagado"/>
    <s v="pagado"/>
    <s v="excluir"/>
    <s v="no semana"/>
    <x v="0"/>
  </r>
  <r>
    <n v="3000003144"/>
    <d v="2025-06-13T00:00:00"/>
    <n v="3409708.93"/>
    <s v="GEREZ ALICIA ELEUTERIA SAN MIGUEL DE TUCUMAN 14"/>
    <x v="520"/>
    <n v="3409708.93"/>
    <x v="82"/>
    <x v="2"/>
    <s v="pagado"/>
    <s v="pagado"/>
    <s v="excluir"/>
    <s v="no semana"/>
    <x v="0"/>
  </r>
  <r>
    <n v="3000003145"/>
    <d v="2025-06-13T00:00:00"/>
    <n v="3533592.22"/>
    <s v="SANTILLI CARLOS MIGUEL SAN MIGUEL DE TUCUMAN 14"/>
    <x v="521"/>
    <n v="3533592.22"/>
    <x v="82"/>
    <x v="2"/>
    <s v="pagado"/>
    <s v="pagado"/>
    <s v="excluir"/>
    <s v="no semana"/>
    <x v="0"/>
  </r>
  <r>
    <n v="3000003146"/>
    <d v="2025-06-13T00:00:00"/>
    <n v="31798200"/>
    <s v="LATCOMEX SA CAPITAL FEDERAL 00"/>
    <x v="522"/>
    <n v="31798200"/>
    <x v="82"/>
    <x v="2"/>
    <s v="pagado"/>
    <s v="pagado"/>
    <s v="excluir"/>
    <s v="no semana"/>
    <x v="0"/>
  </r>
  <r>
    <n v="3000003148"/>
    <d v="2025-06-13T00:00:00"/>
    <n v="4851099.5999999996"/>
    <s v="VIDES HECTOR FERNANDO VILLA LA TRINIDAD 14"/>
    <x v="523"/>
    <n v="4851099.5999999996"/>
    <x v="82"/>
    <x v="2"/>
    <s v="pagado"/>
    <s v="pagado"/>
    <s v="excluir"/>
    <s v="no semana"/>
    <x v="0"/>
  </r>
  <r>
    <n v="3000003149"/>
    <d v="2025-06-13T00:00:00"/>
    <n v="4967307.03"/>
    <s v="Sanchez Jose Mauricio San Miguel de Tucuman 14"/>
    <x v="524"/>
    <n v="4967307.03"/>
    <x v="82"/>
    <x v="2"/>
    <s v="pagado"/>
    <s v="pagado"/>
    <s v="excluir"/>
    <s v="no semana"/>
    <x v="0"/>
  </r>
  <r>
    <n v="3000003150"/>
    <d v="2025-06-13T00:00:00"/>
    <n v="3713118.49"/>
    <s v="MOYANO JUAN VICTOR TUCUMAN 14"/>
    <x v="525"/>
    <n v="3713118.49"/>
    <x v="82"/>
    <x v="2"/>
    <s v="pagado"/>
    <s v="pagado"/>
    <s v="excluir"/>
    <s v="no semana"/>
    <x v="0"/>
  </r>
  <r>
    <n v="3000003151"/>
    <d v="2025-06-13T00:00:00"/>
    <n v="3410663.1"/>
    <s v="Racedo Martin MONTEROS 14"/>
    <x v="526"/>
    <n v="3410663.1"/>
    <x v="82"/>
    <x v="2"/>
    <s v="pagado"/>
    <s v="pagado"/>
    <s v="excluir"/>
    <s v="no semana"/>
    <x v="0"/>
  </r>
  <r>
    <n v="3000003152"/>
    <d v="2025-06-13T00:00:00"/>
    <n v="5675483.3499999996"/>
    <s v="PERATO LUIS ALBERTO BANDA DEL RIO SALI 14"/>
    <x v="527"/>
    <n v="5675483.3499999996"/>
    <x v="82"/>
    <x v="2"/>
    <s v="pagado"/>
    <s v="pagado"/>
    <s v="excluir"/>
    <s v="no semana"/>
    <x v="0"/>
  </r>
  <r>
    <n v="3000003153"/>
    <d v="2025-06-13T00:00:00"/>
    <n v="5813690.2999999998"/>
    <s v="GOMEZ JUANA ROSA VILLA LA TRINIDAD 14"/>
    <x v="528"/>
    <n v="5813690.2999999998"/>
    <x v="82"/>
    <x v="2"/>
    <s v="pagado"/>
    <s v="pagado"/>
    <s v="excluir"/>
    <s v="no semana"/>
    <x v="0"/>
  </r>
  <r>
    <n v="3000003154"/>
    <d v="2025-06-13T00:00:00"/>
    <n v="9314352.7899999991"/>
    <s v="ALVAREZ RENE JOSE MARIA BELLA VISTA 14"/>
    <x v="529"/>
    <n v="9314352.7899999991"/>
    <x v="82"/>
    <x v="2"/>
    <s v="pagado"/>
    <s v="pagado"/>
    <s v="excluir"/>
    <s v="no semana"/>
    <x v="0"/>
  </r>
  <r>
    <n v="3000003155"/>
    <d v="2025-06-13T00:00:00"/>
    <n v="7000000"/>
    <s v="MG SERVICIOS AGROPECUARIOS SASTAFI VIEJO 14"/>
    <x v="530"/>
    <n v="7000000"/>
    <x v="82"/>
    <x v="2"/>
    <s v="pagado"/>
    <s v="pagado"/>
    <s v="excluir"/>
    <s v="no semana"/>
    <x v="0"/>
  </r>
  <r>
    <n v="3000003155"/>
    <d v="2025-06-13T00:00:00"/>
    <n v="5000000"/>
    <s v="MG SERVICIOS AGROPECUARIOS SASTAFI VIEJO 14"/>
    <x v="531"/>
    <n v="5000000"/>
    <x v="82"/>
    <x v="2"/>
    <s v="pagado"/>
    <s v="pagado"/>
    <s v="excluir"/>
    <s v="no semana"/>
    <x v="0"/>
  </r>
  <r>
    <n v="3000003155"/>
    <d v="2025-06-13T00:00:00"/>
    <n v="10000000"/>
    <s v="MG SERVICIOS AGROPECUARIOS SASTAFI VIEJO 14"/>
    <x v="532"/>
    <n v="10000000"/>
    <x v="82"/>
    <x v="2"/>
    <s v="pagado"/>
    <s v="pagado"/>
    <s v="excluir"/>
    <s v="no semana"/>
    <x v="0"/>
  </r>
  <r>
    <n v="3000003155"/>
    <d v="2025-06-13T00:00:00"/>
    <n v="30000000"/>
    <s v="MG SERVICIOS AGROPECUARIOS SASTAFI VIEJO 14"/>
    <x v="533"/>
    <n v="30000000"/>
    <x v="82"/>
    <x v="2"/>
    <s v="pagado"/>
    <s v="pagado"/>
    <s v="excluir"/>
    <s v="no semana"/>
    <x v="0"/>
  </r>
  <r>
    <n v="3000003155"/>
    <d v="2025-06-13T00:00:00"/>
    <n v="35678329.469999999"/>
    <s v="MG SERVICIOS AGROPECUARIOS SASTAFI VIEJO 14"/>
    <x v="534"/>
    <n v="35678329.469999999"/>
    <x v="82"/>
    <x v="2"/>
    <s v="pagado"/>
    <s v="pagado"/>
    <s v="excluir"/>
    <s v="no semana"/>
    <x v="0"/>
  </r>
  <r>
    <n v="3000003192"/>
    <d v="2025-06-17T00:00:00"/>
    <n v="4630820.46"/>
    <s v="BESTANI LEANDRO EXEQUIEL SAN MIGUEL DE TUCUMAN 14"/>
    <x v="535"/>
    <n v="4630820.46"/>
    <x v="82"/>
    <x v="0"/>
    <s v="pagado"/>
    <s v="pagado"/>
    <s v="excluir"/>
    <s v="no semana"/>
    <x v="0"/>
  </r>
  <r>
    <n v="3000003193"/>
    <d v="2025-06-17T00:00:00"/>
    <n v="10000000"/>
    <s v="RL SOLUCIONES S. A. S. SAN MIGUEL DE TUCUMAN 14"/>
    <x v="536"/>
    <n v="10000000"/>
    <x v="82"/>
    <x v="0"/>
    <s v="pagado"/>
    <s v="pagado"/>
    <s v="excluir"/>
    <s v="no semana"/>
    <x v="0"/>
  </r>
  <r>
    <n v="3000003193"/>
    <d v="2025-06-17T00:00:00"/>
    <n v="10083327.779999999"/>
    <s v="RL SOLUCIONES S. A. S. SAN MIGUEL DE TUCUMAN 14"/>
    <x v="537"/>
    <n v="10083327.779999999"/>
    <x v="83"/>
    <x v="0"/>
    <s v="pagado"/>
    <s v="pagado"/>
    <s v="excluir"/>
    <s v="no semana"/>
    <x v="0"/>
  </r>
  <r>
    <n v="3000003194"/>
    <d v="2025-06-17T00:00:00"/>
    <n v="16000000"/>
    <s v="CAPETTA ANTONELLA ANAHI SAN MIGUEL DE TUCUMAN 14"/>
    <x v="538"/>
    <n v="16000000"/>
    <x v="82"/>
    <x v="0"/>
    <s v="pagado"/>
    <s v="pagado"/>
    <s v="excluir"/>
    <s v="no semana"/>
    <x v="0"/>
  </r>
  <r>
    <n v="3000003194"/>
    <d v="2025-06-17T00:00:00"/>
    <n v="16218247.369999999"/>
    <s v="CAPETTA ANTONELLA ANAHI SAN MIGUEL DE TUCUMAN 14"/>
    <x v="539"/>
    <n v="16218247.369999999"/>
    <x v="83"/>
    <x v="0"/>
    <s v="pagado"/>
    <s v="pagado"/>
    <s v="excluir"/>
    <s v="no semana"/>
    <x v="0"/>
  </r>
  <r>
    <n v="3000003195"/>
    <d v="2025-06-17T00:00:00"/>
    <n v="11000000"/>
    <s v="TRANSPORTE FRIOS DEL NORTE S.RSAN MIGUEL DE TUCUMAN 14"/>
    <x v="540"/>
    <n v="11000000"/>
    <x v="82"/>
    <x v="0"/>
    <s v="pagado"/>
    <s v="pagado"/>
    <s v="excluir"/>
    <s v="no semana"/>
    <x v="0"/>
  </r>
  <r>
    <n v="3000003195"/>
    <d v="2025-06-17T00:00:00"/>
    <n v="10053783.98"/>
    <s v="TRANSPORTE FRIOS DEL NORTE S.RSAN MIGUEL DE TUCUMAN 14"/>
    <x v="541"/>
    <n v="10053783.98"/>
    <x v="83"/>
    <x v="0"/>
    <s v="pagado"/>
    <s v="pagado"/>
    <s v="excluir"/>
    <s v="no semana"/>
    <x v="0"/>
  </r>
  <r>
    <n v="3000003196"/>
    <d v="2025-06-17T00:00:00"/>
    <n v="10000000"/>
    <s v="Silver Freight Logistic SRL CAPITAL FEDERAL 00"/>
    <x v="542"/>
    <n v="10000000"/>
    <x v="82"/>
    <x v="0"/>
    <s v="pagado"/>
    <s v="pagado"/>
    <s v="excluir"/>
    <s v="no semana"/>
    <x v="0"/>
  </r>
  <r>
    <n v="3000003196"/>
    <d v="2025-06-17T00:00:00"/>
    <n v="10887200"/>
    <s v="Silver Freight Logistic SRL CAPITAL FEDERAL 00"/>
    <x v="543"/>
    <n v="10887200"/>
    <x v="83"/>
    <x v="0"/>
    <s v="pagado"/>
    <s v="pagado"/>
    <s v="excluir"/>
    <s v="no semana"/>
    <x v="0"/>
  </r>
  <r>
    <n v="3000003197"/>
    <d v="2025-06-17T00:00:00"/>
    <n v="12330887.6"/>
    <s v="BUENOS AIRES COMEX S.R.L. BANFIELD 14"/>
    <x v="544"/>
    <n v="12330887.6"/>
    <x v="82"/>
    <x v="0"/>
    <s v="pagado"/>
    <s v="pagado"/>
    <s v="excluir"/>
    <s v="no semana"/>
    <x v="0"/>
  </r>
  <r>
    <n v="3000003198"/>
    <d v="2025-06-17T00:00:00"/>
    <n v="5966191.7400000002"/>
    <s v="MOREY SERGIO GUILLERMO LOS GUTIERREZ-ALDERETES 14"/>
    <x v="545"/>
    <n v="5966191.7400000002"/>
    <x v="82"/>
    <x v="0"/>
    <s v="pagado"/>
    <s v="pagado"/>
    <s v="excluir"/>
    <s v="no semana"/>
    <x v="0"/>
  </r>
  <r>
    <n v="3000003199"/>
    <d v="2025-06-17T00:00:00"/>
    <n v="6980091.1399999997"/>
    <s v="Bustos Sergio Alejandro Banda Rio Sali 14"/>
    <x v="546"/>
    <n v="6980091.1399999997"/>
    <x v="82"/>
    <x v="0"/>
    <s v="pagado"/>
    <s v="pagado"/>
    <s v="excluir"/>
    <s v="no semana"/>
    <x v="0"/>
  </r>
  <r>
    <n v="3000003200"/>
    <d v="2025-06-17T00:00:00"/>
    <n v="9602807.5899999999"/>
    <s v="Ag Naum SA SAN MIGUEL DE TUCUMAN 14"/>
    <x v="547"/>
    <n v="9602807.5899999999"/>
    <x v="82"/>
    <x v="0"/>
    <s v="pagado"/>
    <s v="pagado"/>
    <s v="excluir"/>
    <s v="no semana"/>
    <x v="0"/>
  </r>
  <r>
    <n v="3000003201"/>
    <d v="2025-06-17T00:00:00"/>
    <n v="6749707.1799999997"/>
    <s v="JLA ARGENTINA S A GENERAL CABRERA 03"/>
    <x v="548"/>
    <n v="6749707.1799999997"/>
    <x v="82"/>
    <x v="0"/>
    <s v="pagado"/>
    <s v="pagado"/>
    <s v="excluir"/>
    <s v="no semana"/>
    <x v="0"/>
  </r>
  <r>
    <n v="3000003202"/>
    <d v="2025-06-17T00:00:00"/>
    <n v="20000000"/>
    <s v="Jeblab S.R.L. YERBA BUENA 14"/>
    <x v="549"/>
    <n v="20000000"/>
    <x v="82"/>
    <x v="0"/>
    <s v="pagado"/>
    <s v="pagado"/>
    <s v="excluir"/>
    <s v="no semana"/>
    <x v="0"/>
  </r>
  <r>
    <n v="3000003202"/>
    <d v="2025-06-17T00:00:00"/>
    <n v="15205593.4"/>
    <s v="Jeblab S.R.L. YERBA BUENA 14"/>
    <x v="550"/>
    <n v="15205593.4"/>
    <x v="83"/>
    <x v="0"/>
    <s v="pagado"/>
    <s v="pagado"/>
    <s v="excluir"/>
    <s v="no semana"/>
    <x v="0"/>
  </r>
  <r>
    <n v="3000003203"/>
    <d v="2025-06-17T00:00:00"/>
    <n v="8000000"/>
    <s v="MG SERVICIOS AGROPECUARIOS SASTAFI VIEJO 14"/>
    <x v="551"/>
    <n v="8000000"/>
    <x v="82"/>
    <x v="0"/>
    <s v="pagado"/>
    <s v="pagado"/>
    <s v="excluir"/>
    <s v="no semana"/>
    <x v="0"/>
  </r>
  <r>
    <n v="3000003203"/>
    <d v="2025-06-17T00:00:00"/>
    <n v="7251223.9299999997"/>
    <s v="MG SERVICIOS AGROPECUARIOS SASTAFI VIEJO 14"/>
    <x v="552"/>
    <n v="7251223.9299999997"/>
    <x v="83"/>
    <x v="0"/>
    <s v="pagado"/>
    <s v="pagado"/>
    <s v="excluir"/>
    <s v="no semana"/>
    <x v="0"/>
  </r>
  <r>
    <n v="3000003204"/>
    <d v="2025-06-17T00:00:00"/>
    <n v="20000000"/>
    <s v="SMART SEGURIDAD SA YERBA BUENA 14"/>
    <x v="553"/>
    <n v="20000000"/>
    <x v="82"/>
    <x v="0"/>
    <s v="pagado"/>
    <s v="pagado"/>
    <s v="excluir"/>
    <s v="no semana"/>
    <x v="0"/>
  </r>
  <r>
    <n v="3000003204"/>
    <d v="2025-06-17T00:00:00"/>
    <n v="14349218.08"/>
    <s v="SMART SEGURIDAD SA YERBA BUENA 14"/>
    <x v="554"/>
    <n v="14349218.08"/>
    <x v="83"/>
    <x v="0"/>
    <s v="pagado"/>
    <s v="pagado"/>
    <s v="excluir"/>
    <s v="no semana"/>
    <x v="0"/>
  </r>
  <r>
    <n v="3000003205"/>
    <d v="2025-06-17T00:00:00"/>
    <n v="2835506.02"/>
    <s v="HERECITRUS SRL SAN MIGUEL DE TUCUMAN 14"/>
    <x v="555"/>
    <n v="2835506.02"/>
    <x v="82"/>
    <x v="0"/>
    <s v="pagado"/>
    <s v="pagado"/>
    <s v="excluir"/>
    <s v="no semana"/>
    <x v="0"/>
  </r>
  <r>
    <n v="3000003206"/>
    <d v="2025-06-17T00:00:00"/>
    <n v="3429507.82"/>
    <s v="JOSE DUMIT SA SAN MIGUEL DE TUCUMAN 14"/>
    <x v="556"/>
    <n v="3429507.82"/>
    <x v="82"/>
    <x v="0"/>
    <s v="pagado"/>
    <s v="pagado"/>
    <s v="excluir"/>
    <s v="no semana"/>
    <x v="0"/>
  </r>
  <r>
    <n v="3000003207"/>
    <d v="2025-06-17T00:00:00"/>
    <n v="14179847.67"/>
    <s v="CITRAR SRL SAN MIGUEL DE TUCUMAN 14"/>
    <x v="557"/>
    <n v="14179847.67"/>
    <x v="82"/>
    <x v="0"/>
    <s v="pagado"/>
    <s v="pagado"/>
    <s v="excluir"/>
    <s v="no semana"/>
    <x v="0"/>
  </r>
  <r>
    <n v="3000003191"/>
    <d v="2025-06-17T00:00:00"/>
    <n v="42588420"/>
    <s v="EDET S.A. SAN MIGUEL DE TUCUMAN 14"/>
    <x v="558"/>
    <n v="42588420"/>
    <x v="84"/>
    <x v="1"/>
    <s v="pagado"/>
    <s v="pagado"/>
    <s v="excluir"/>
    <s v="no semana"/>
    <x v="0"/>
  </r>
  <r>
    <n v="3000003292"/>
    <d v="2025-06-23T00:00:00"/>
    <n v="27787142"/>
    <s v="TUCUMAN PALLET SRL EL MANANTIAL 14"/>
    <x v="559"/>
    <n v="27787142"/>
    <x v="85"/>
    <x v="2"/>
    <s v="pagado"/>
    <s v="pagado"/>
    <s v="excluir"/>
    <s v="no semana"/>
    <x v="0"/>
  </r>
  <r>
    <n v="3000003294"/>
    <d v="2025-06-23T00:00:00"/>
    <n v="3579105"/>
    <s v="TRUSARELLI CARLOS ALBERTO BANDA DEL RIO SALI 14"/>
    <x v="560"/>
    <n v="3579105"/>
    <x v="85"/>
    <x v="2"/>
    <s v="pagado"/>
    <s v="pagado"/>
    <s v="excluir"/>
    <s v="no semana"/>
    <x v="0"/>
  </r>
  <r>
    <n v="3000003295"/>
    <d v="2025-06-23T00:00:00"/>
    <n v="8194737.7000000002"/>
    <s v="ROMERO SERVICIOS S. A. S. ALPACHIRI 14"/>
    <x v="561"/>
    <n v="8194737.7000000002"/>
    <x v="85"/>
    <x v="2"/>
    <s v="pagado"/>
    <s v="pagado"/>
    <s v="excluir"/>
    <s v="no semana"/>
    <x v="0"/>
  </r>
  <r>
    <n v="3000003296"/>
    <d v="2025-06-23T00:00:00"/>
    <n v="10038095.4"/>
    <s v="SEGURIDAD OMEGA SRL SAN FERNANDO DEL VALLE DE CATAMARCA 02"/>
    <x v="562"/>
    <n v="10038095.4"/>
    <x v="86"/>
    <x v="2"/>
    <s v="pagado"/>
    <s v="pagado"/>
    <s v="excluir"/>
    <s v="no semana"/>
    <x v="0"/>
  </r>
  <r>
    <n v="3000003304"/>
    <d v="2025-06-23T00:00:00"/>
    <n v="7548120.8099999996"/>
    <s v="PAMPLONA SRL SAN MIGUEL DE TUCUMAN 14"/>
    <x v="563"/>
    <n v="7548120.8099999996"/>
    <x v="85"/>
    <x v="2"/>
    <s v="pagado"/>
    <s v="pagado"/>
    <s v="excluir"/>
    <s v="no semana"/>
    <x v="0"/>
  </r>
  <r>
    <n v="3000003306"/>
    <d v="2025-06-23T00:00:00"/>
    <n v="18435105.66"/>
    <s v="VIRAL IMPORTS SA YERBA BUENA 14"/>
    <x v="564"/>
    <n v="18435105.66"/>
    <x v="86"/>
    <x v="2"/>
    <s v="pagado"/>
    <s v="pagado"/>
    <s v="excluir"/>
    <s v="no semana"/>
    <x v="0"/>
  </r>
  <r>
    <n v="3000003307"/>
    <d v="2025-06-23T00:00:00"/>
    <n v="5325235.5"/>
    <s v="ANJOR SA CORDOBA 03"/>
    <x v="565"/>
    <n v="5325235.5"/>
    <x v="85"/>
    <x v="2"/>
    <s v="pagado"/>
    <s v="pagado"/>
    <s v="excluir"/>
    <s v="no semana"/>
    <x v="0"/>
  </r>
  <r>
    <n v="3000003309"/>
    <d v="2025-06-23T00:00:00"/>
    <n v="0"/>
    <s v="invalidado med.EOLIVERA -Vencimiento BCRA"/>
    <x v="566"/>
    <n v="0"/>
    <x v="85"/>
    <x v="2"/>
    <s v="no pagado"/>
    <s v="fuera de fecha"/>
    <s v="excluir"/>
    <s v="no semana"/>
    <x v="0"/>
  </r>
  <r>
    <n v="3000003310"/>
    <d v="2025-06-23T00:00:00"/>
    <n v="4711555.01"/>
    <s v="Arias Gonzalo Alejandro San Miguel de Tucumán 14"/>
    <x v="567"/>
    <n v="4711555.01"/>
    <x v="85"/>
    <x v="2"/>
    <s v="pagado"/>
    <s v="pagado"/>
    <s v="excluir"/>
    <s v="no semana"/>
    <x v="0"/>
  </r>
  <r>
    <n v="3000003312"/>
    <d v="2025-06-23T00:00:00"/>
    <n v="3023142.36"/>
    <s v="SLEIMAN JOSE RODOLFO ALDERETES 14"/>
    <x v="568"/>
    <n v="3023142.36"/>
    <x v="85"/>
    <x v="2"/>
    <s v="pagado"/>
    <s v="pagado"/>
    <s v="excluir"/>
    <s v="no semana"/>
    <x v="0"/>
  </r>
  <r>
    <n v="3000003313"/>
    <d v="2025-06-23T00:00:00"/>
    <n v="13996405.65"/>
    <s v="ACOSTA ROQUE RAMON SAN MIGUEL DE TUCUMAN 14"/>
    <x v="569"/>
    <n v="13996405.65"/>
    <x v="85"/>
    <x v="2"/>
    <s v="pagado"/>
    <s v="pagado"/>
    <s v="excluir"/>
    <s v="no semana"/>
    <x v="0"/>
  </r>
  <r>
    <n v="3000003314"/>
    <d v="2025-06-23T00:00:00"/>
    <n v="2198231.7799999998"/>
    <s v="GONZALEZ SANTIAGO ROQUE TAFI VIEJO 14"/>
    <x v="570"/>
    <n v="2198231.7799999998"/>
    <x v="85"/>
    <x v="2"/>
    <s v="no pagado"/>
    <s v="fuera de fecha"/>
    <s v="excluir"/>
    <s v="no semana"/>
    <x v="0"/>
  </r>
  <r>
    <n v="3000003315"/>
    <d v="2025-06-23T00:00:00"/>
    <n v="6957670.3899999997"/>
    <s v="SUAREZ MANUEL RODOLFO ALDERETES 14"/>
    <x v="571"/>
    <n v="6957670.3899999997"/>
    <x v="85"/>
    <x v="2"/>
    <s v="pagado"/>
    <s v="pagado"/>
    <s v="excluir"/>
    <s v="no semana"/>
    <x v="0"/>
  </r>
  <r>
    <n v="3000003317"/>
    <d v="2025-06-23T00:00:00"/>
    <n v="5723915.6299999999"/>
    <s v="HERRERA RICARDO ALBERTO BANDA DEL RIO SALI 14"/>
    <x v="572"/>
    <n v="5723915.6299999999"/>
    <x v="85"/>
    <x v="2"/>
    <s v="pagado"/>
    <s v="pagado"/>
    <s v="excluir"/>
    <s v="no semana"/>
    <x v="0"/>
  </r>
  <r>
    <n v="3000003318"/>
    <d v="2025-06-23T00:00:00"/>
    <n v="4592469.97"/>
    <s v="LOBO BENICIO MARTIN ALDERETES 14"/>
    <x v="573"/>
    <n v="4592469.97"/>
    <x v="85"/>
    <x v="2"/>
    <s v="pagado"/>
    <s v="pagado"/>
    <s v="excluir"/>
    <s v="no semana"/>
    <x v="0"/>
  </r>
  <r>
    <n v="3000003319"/>
    <d v="2025-06-23T00:00:00"/>
    <n v="21294050.120000001"/>
    <s v="CEFAS S.A CIUDAD AUTONOMA DE BUENOS AIRES 01"/>
    <x v="574"/>
    <n v="21294050.120000001"/>
    <x v="87"/>
    <x v="2"/>
    <s v="pagado"/>
    <s v="pagado"/>
    <s v="excluir"/>
    <s v="no semana"/>
    <x v="0"/>
  </r>
  <r>
    <n v="3000003290"/>
    <d v="2025-06-23T00:00:00"/>
    <n v="219588080"/>
    <s v="EDET S.A. SAN MIGUEL DE TUCUMAN 14"/>
    <x v="575"/>
    <n v="219588080"/>
    <x v="83"/>
    <x v="0"/>
    <s v="pagado"/>
    <s v="pagado"/>
    <s v="excluir"/>
    <s v="no semana"/>
    <x v="0"/>
  </r>
  <r>
    <n v="3000003356"/>
    <d v="2025-06-24T00:00:00"/>
    <n v="2263590"/>
    <s v="EDET S.A. SAN MIGUEL DE TUCUMAN 14"/>
    <x v="576"/>
    <n v="2263590"/>
    <x v="85"/>
    <x v="0"/>
    <s v="pagado"/>
    <s v="pagado"/>
    <s v="excluir"/>
    <s v="no semana"/>
    <x v="0"/>
  </r>
  <r>
    <n v="3000003393"/>
    <d v="2025-06-25T00:00:00"/>
    <n v="3203580.11"/>
    <s v="TRANSPORTE MEDINA S.H. CRUZ ALTA 14"/>
    <x v="577"/>
    <n v="3203580.11"/>
    <x v="86"/>
    <x v="0"/>
    <s v="pagado"/>
    <s v="pagado"/>
    <s v="excluir"/>
    <s v="no semana"/>
    <x v="0"/>
  </r>
  <r>
    <n v="3000003394"/>
    <d v="2025-06-25T00:00:00"/>
    <n v="20874644.699999999"/>
    <s v="AGRO ALIANZA SA TAFI VIEJO 14"/>
    <x v="578"/>
    <n v="20874644.699999999"/>
    <x v="87"/>
    <x v="2"/>
    <s v="pagado"/>
    <s v="pagado"/>
    <s v="excluir"/>
    <s v="no semana"/>
    <x v="0"/>
  </r>
  <r>
    <n v="3000003395"/>
    <d v="2025-06-25T00:00:00"/>
    <n v="3350566.66"/>
    <s v="MENDEZ, MARTIN ALBERTO SAN MIGUEL DE TUCUMAN 14"/>
    <x v="579"/>
    <n v="3350566.66"/>
    <x v="87"/>
    <x v="2"/>
    <s v="pagado"/>
    <s v="pagado"/>
    <s v="excluir"/>
    <s v="no semana"/>
    <x v="0"/>
  </r>
  <r>
    <n v="3000003396"/>
    <d v="2025-06-25T00:00:00"/>
    <n v="21074118.09"/>
    <s v="ROMERO SERVICIOS S. A. S. ALPACHIRI 14"/>
    <x v="580"/>
    <n v="21074118.09"/>
    <x v="87"/>
    <x v="2"/>
    <s v="pagado"/>
    <s v="pagado"/>
    <s v="excluir"/>
    <s v="no semana"/>
    <x v="0"/>
  </r>
  <r>
    <n v="3000003397"/>
    <d v="2025-06-25T00:00:00"/>
    <n v="39978715.689999998"/>
    <s v="PAMPLONA SRL SAN MIGUEL DE TUCUMAN 14"/>
    <x v="581"/>
    <n v="39978715.689999998"/>
    <x v="87"/>
    <x v="2"/>
    <s v="pagado"/>
    <s v="pagado"/>
    <s v="excluir"/>
    <s v="no semana"/>
    <x v="0"/>
  </r>
  <r>
    <n v="3000003398"/>
    <d v="2025-06-25T00:00:00"/>
    <n v="12536088.23"/>
    <s v="SAUCE HUACHO SERVICIOS S.R.L MONTEROS 14"/>
    <x v="582"/>
    <n v="12536088.23"/>
    <x v="87"/>
    <x v="2"/>
    <s v="pagado"/>
    <s v="pagado"/>
    <s v="excluir"/>
    <s v="no semana"/>
    <x v="0"/>
  </r>
  <r>
    <n v="3000003399"/>
    <d v="2025-06-25T00:00:00"/>
    <n v="11883729.300000001"/>
    <s v="INSITU S.R.L SAN MIGUEL DE TUCUMAN 14"/>
    <x v="583"/>
    <n v="11883729.300000001"/>
    <x v="87"/>
    <x v="2"/>
    <s v="pagado"/>
    <s v="pagado"/>
    <s v="excluir"/>
    <s v="no semana"/>
    <x v="0"/>
  </r>
  <r>
    <n v="3000003400"/>
    <d v="2025-06-25T00:00:00"/>
    <n v="4557000"/>
    <s v="MARIN TOMAS LAZARO CAFAYATE - SALTA 09"/>
    <x v="584"/>
    <n v="4557000"/>
    <x v="87"/>
    <x v="2"/>
    <s v="pagado"/>
    <s v="pagado"/>
    <s v="excluir"/>
    <s v="no semana"/>
    <x v="0"/>
  </r>
  <r>
    <n v="3000003401"/>
    <d v="2025-06-25T00:00:00"/>
    <n v="7694216.2000000002"/>
    <s v="Gonzalez Jose Luis Lastenia 14"/>
    <x v="585"/>
    <n v="7694216.2000000002"/>
    <x v="88"/>
    <x v="2"/>
    <s v="pagado"/>
    <s v="pagado"/>
    <s v="excluir"/>
    <s v="no semana"/>
    <x v="0"/>
  </r>
  <r>
    <n v="3000003402"/>
    <d v="2025-06-25T00:00:00"/>
    <n v="15309349.109999999"/>
    <s v="D´ANDREA SERGIO FRANCISCO YERBA BUENA 14"/>
    <x v="586"/>
    <n v="15309349.109999999"/>
    <x v="88"/>
    <x v="2"/>
    <s v="pagado"/>
    <s v="pagado"/>
    <s v="excluir"/>
    <s v="no semana"/>
    <x v="0"/>
  </r>
  <r>
    <n v="3000003403"/>
    <d v="2025-06-25T00:00:00"/>
    <n v="4113417.9"/>
    <s v="PERATO LUIS ALBERTO BANDA DEL RIO SALI 14"/>
    <x v="587"/>
    <n v="4113417.9"/>
    <x v="88"/>
    <x v="2"/>
    <s v="pagado"/>
    <s v="pagado"/>
    <s v="excluir"/>
    <s v="no semana"/>
    <x v="0"/>
  </r>
  <r>
    <n v="3000003404"/>
    <d v="2025-06-25T00:00:00"/>
    <n v="3764402.17"/>
    <s v="PEDRO GABRIEL ALEJANDRO ALDERETES 14"/>
    <x v="588"/>
    <n v="3764402.17"/>
    <x v="88"/>
    <x v="2"/>
    <s v="pagado"/>
    <s v="pagado"/>
    <s v="excluir"/>
    <s v="no semana"/>
    <x v="0"/>
  </r>
  <r>
    <n v="3000003405"/>
    <d v="2025-06-25T00:00:00"/>
    <n v="11395701.310000001"/>
    <s v="Vaquera Francisco Alfredo Monteros 14"/>
    <x v="589"/>
    <n v="11395701.310000001"/>
    <x v="88"/>
    <x v="2"/>
    <s v="pagado"/>
    <s v="pagado"/>
    <s v="excluir"/>
    <s v="no semana"/>
    <x v="0"/>
  </r>
  <r>
    <n v="3000003406"/>
    <d v="2025-06-25T00:00:00"/>
    <n v="9357237.3200000003"/>
    <s v="TRANSPORTE FRIOS DEL NORTE S.RSAN MIGUEL DE TUCUMAN 14"/>
    <x v="590"/>
    <n v="9357237.3200000003"/>
    <x v="88"/>
    <x v="2"/>
    <s v="pagado"/>
    <s v="pagado"/>
    <s v="excluir"/>
    <s v="no semana"/>
    <x v="0"/>
  </r>
  <r>
    <n v="3000003407"/>
    <d v="2025-06-25T00:00:00"/>
    <n v="14382842.76"/>
    <s v="RL SOLUCIONES S. A. S. SAN MIGUEL DE TUCUMAN 14"/>
    <x v="591"/>
    <n v="14382842.76"/>
    <x v="88"/>
    <x v="2"/>
    <s v="pagado"/>
    <s v="pagado"/>
    <s v="excluir"/>
    <s v="no semana"/>
    <x v="0"/>
  </r>
  <r>
    <n v="3000003408"/>
    <d v="2025-06-25T00:00:00"/>
    <n v="8292873.4000000004"/>
    <s v="CAPETTA ANTONELLA ANAHI SAN MIGUEL DE TUCUMAN 14"/>
    <x v="592"/>
    <n v="8292873.4000000004"/>
    <x v="88"/>
    <x v="2"/>
    <s v="pagado"/>
    <s v="pagado"/>
    <s v="excluir"/>
    <s v="no semana"/>
    <x v="0"/>
  </r>
  <r>
    <n v="3000003409"/>
    <d v="2025-06-25T00:00:00"/>
    <n v="4138777.77"/>
    <s v="MAC DONALD MIGUEL ALEJANDRO BANDA DEL RIO SALI 14"/>
    <x v="593"/>
    <n v="4138777.77"/>
    <x v="88"/>
    <x v="2"/>
    <s v="pagado"/>
    <s v="pagado"/>
    <s v="excluir"/>
    <s v="no semana"/>
    <x v="0"/>
  </r>
  <r>
    <n v="3000003410"/>
    <d v="2025-06-25T00:00:00"/>
    <n v="4231992.71"/>
    <s v="LOGISTICA Y DISTRIBUCION FEDE CAPITAL FEDERAL 00"/>
    <x v="594"/>
    <n v="4231992.71"/>
    <x v="88"/>
    <x v="2"/>
    <s v="pagado"/>
    <s v="pagado"/>
    <s v="excluir"/>
    <s v="no semana"/>
    <x v="0"/>
  </r>
  <r>
    <n v="3000003411"/>
    <d v="2025-06-25T00:00:00"/>
    <n v="4353550.68"/>
    <s v="FERNANDEZ HECTOR JOSE SIMOCA 14"/>
    <x v="595"/>
    <n v="4353550.68"/>
    <x v="88"/>
    <x v="2"/>
    <s v="pagado"/>
    <s v="pagado"/>
    <s v="excluir"/>
    <s v="no semana"/>
    <x v="0"/>
  </r>
  <r>
    <n v="3000003412"/>
    <d v="2025-06-25T00:00:00"/>
    <n v="3488147.05"/>
    <s v="Arias Gonzalo Alejandro San Miguel de Tucumán 14"/>
    <x v="596"/>
    <n v="3488147.05"/>
    <x v="88"/>
    <x v="2"/>
    <s v="pagado"/>
    <s v="pagado"/>
    <s v="excluir"/>
    <s v="no semana"/>
    <x v="0"/>
  </r>
  <r>
    <n v="3000003413"/>
    <d v="2025-06-25T00:00:00"/>
    <n v="6078687.3300000001"/>
    <s v="Bustos Sergio Alejandro Banda Rio Sali 14"/>
    <x v="597"/>
    <n v="6078687.3300000001"/>
    <x v="88"/>
    <x v="2"/>
    <s v="pagado"/>
    <s v="pagado"/>
    <s v="excluir"/>
    <s v="no semana"/>
    <x v="0"/>
  </r>
  <r>
    <n v="3000003414"/>
    <d v="2025-06-25T00:00:00"/>
    <n v="4253920.29"/>
    <s v="TORRES JUAN RAMON ALDERETES 14"/>
    <x v="598"/>
    <n v="4253920.29"/>
    <x v="88"/>
    <x v="2"/>
    <s v="pagado"/>
    <s v="pagado"/>
    <s v="excluir"/>
    <s v="no semana"/>
    <x v="0"/>
  </r>
  <r>
    <n v="3000003415"/>
    <d v="2025-06-25T00:00:00"/>
    <n v="8428990.5999999996"/>
    <s v="PERATO CRISTIAN LUIS BANDA DEL RIO SALI 14"/>
    <x v="599"/>
    <n v="8428990.5999999996"/>
    <x v="88"/>
    <x v="2"/>
    <s v="pagado"/>
    <s v="pagado"/>
    <s v="excluir"/>
    <s v="no semana"/>
    <x v="0"/>
  </r>
  <r>
    <n v="3000003416"/>
    <d v="2025-06-25T00:00:00"/>
    <n v="7865678"/>
    <s v="CEMEVA SAS YERBA BUENA 14"/>
    <x v="600"/>
    <n v="7865678"/>
    <x v="88"/>
    <x v="2"/>
    <s v="pagado"/>
    <s v="pagado"/>
    <s v="excluir"/>
    <s v="no semana"/>
    <x v="0"/>
  </r>
  <r>
    <n v="3000003417"/>
    <d v="2025-06-25T00:00:00"/>
    <n v="5990114.6299999999"/>
    <s v="VILLAGRA VELEZ ROQUE RICARDO SAN MIGUEL DE TUCUMAN 14"/>
    <x v="601"/>
    <n v="5990114.6299999999"/>
    <x v="88"/>
    <x v="2"/>
    <s v="pagado"/>
    <s v="pagado"/>
    <s v="excluir"/>
    <s v="no semana"/>
    <x v="0"/>
  </r>
  <r>
    <n v="3000003418"/>
    <d v="2025-06-25T00:00:00"/>
    <n v="19970612.600000001"/>
    <s v="LANCHELA HECTOR ROLANDO CONCEPCION 14"/>
    <x v="602"/>
    <n v="19970612.600000001"/>
    <x v="88"/>
    <x v="2"/>
    <s v="pagado"/>
    <s v="pagado"/>
    <s v="excluir"/>
    <s v="no semana"/>
    <x v="0"/>
  </r>
  <r>
    <n v="3000003493"/>
    <d v="2025-06-30T00:00:00"/>
    <n v="54814678.590000004"/>
    <s v="COVIL S.A. CEVIL POZO 14"/>
    <x v="603"/>
    <n v="54814678.590000004"/>
    <x v="89"/>
    <x v="2"/>
    <s v="pagado"/>
    <s v="pagado"/>
    <s v="excluir"/>
    <s v="no semana"/>
    <x v="0"/>
  </r>
  <r>
    <n v="3000003493"/>
    <d v="2025-06-30T00:00:00"/>
    <n v="1133271.3999999999"/>
    <s v="COVIL S.A. CEVIL POZO 14"/>
    <x v="604"/>
    <n v="1133271.3999999999"/>
    <x v="89"/>
    <x v="2"/>
    <s v="pagado"/>
    <s v="pagado"/>
    <s v="excluir"/>
    <s v="no semana"/>
    <x v="0"/>
  </r>
  <r>
    <n v="3000003493"/>
    <d v="2025-06-30T00:00:00"/>
    <n v="2732562.03"/>
    <s v="COVIL S.A. CEVIL POZO 14"/>
    <x v="605"/>
    <n v="2732562.03"/>
    <x v="89"/>
    <x v="2"/>
    <s v="pagado"/>
    <s v="pagado"/>
    <s v="excluir"/>
    <s v="no semana"/>
    <x v="0"/>
  </r>
  <r>
    <n v="3000003493"/>
    <d v="2025-06-30T00:00:00"/>
    <n v="7070542.9000000004"/>
    <s v="COVIL S.A. CEVIL POZO 14"/>
    <x v="606"/>
    <n v="7070542.9000000004"/>
    <x v="89"/>
    <x v="2"/>
    <s v="pagado"/>
    <s v="pagado"/>
    <s v="excluir"/>
    <s v="no semana"/>
    <x v="0"/>
  </r>
  <r>
    <n v="3000003493"/>
    <d v="2025-06-30T00:00:00"/>
    <n v="2343060.31"/>
    <s v="COVIL S.A. CEVIL POZO 14"/>
    <x v="607"/>
    <n v="2343060.31"/>
    <x v="89"/>
    <x v="2"/>
    <s v="pagado"/>
    <s v="pagado"/>
    <s v="excluir"/>
    <s v="no semana"/>
    <x v="0"/>
  </r>
  <r>
    <n v="3000003493"/>
    <d v="2025-06-30T00:00:00"/>
    <n v="872386.75"/>
    <s v="COVIL S.A. CEVIL POZO 14"/>
    <x v="608"/>
    <n v="872386.75"/>
    <x v="89"/>
    <x v="2"/>
    <s v="pagado"/>
    <s v="pagado"/>
    <s v="excluir"/>
    <s v="no semana"/>
    <x v="0"/>
  </r>
  <r>
    <n v="3000003493"/>
    <d v="2025-06-30T00:00:00"/>
    <n v="444050.81"/>
    <s v="COVIL S.A. CEVIL POZO 14"/>
    <x v="609"/>
    <n v="444050.81"/>
    <x v="90"/>
    <x v="2"/>
    <s v="pagado"/>
    <s v="pagado"/>
    <s v="excluir"/>
    <s v="no semana"/>
    <x v="0"/>
  </r>
  <r>
    <n v="3000003493"/>
    <d v="2025-06-30T00:00:00"/>
    <n v="1859238.66"/>
    <s v="COVIL S.A. CEVIL POZO 14"/>
    <x v="610"/>
    <n v="1859238.66"/>
    <x v="90"/>
    <x v="2"/>
    <s v="pagado"/>
    <s v="pagado"/>
    <s v="excluir"/>
    <s v="no semana"/>
    <x v="0"/>
  </r>
  <r>
    <n v="3000003493"/>
    <d v="2025-06-30T00:00:00"/>
    <n v="401930.27"/>
    <s v="COVIL S.A. CEVIL POZO 14"/>
    <x v="611"/>
    <n v="401930.27"/>
    <x v="90"/>
    <x v="2"/>
    <s v="pagado"/>
    <s v="pagado"/>
    <s v="excluir"/>
    <s v="no semana"/>
    <x v="0"/>
  </r>
  <r>
    <n v="3000003493"/>
    <d v="2025-06-30T00:00:00"/>
    <n v="1548233.05"/>
    <s v="COVIL S.A. CEVIL POZO 14"/>
    <x v="612"/>
    <n v="1548233.05"/>
    <x v="90"/>
    <x v="2"/>
    <s v="pagado"/>
    <s v="pagado"/>
    <s v="excluir"/>
    <s v="no semana"/>
    <x v="0"/>
  </r>
  <r>
    <n v="3000003493"/>
    <d v="2025-06-30T00:00:00"/>
    <n v="268429.75"/>
    <s v="COVIL S.A. CEVIL POZO 14"/>
    <x v="613"/>
    <n v="268429.75"/>
    <x v="90"/>
    <x v="2"/>
    <s v="pagado"/>
    <s v="pagado"/>
    <s v="excluir"/>
    <s v="no semana"/>
    <x v="0"/>
  </r>
  <r>
    <n v="3000003493"/>
    <d v="2025-06-30T00:00:00"/>
    <n v="4941397.2"/>
    <s v="COVIL S.A. CEVIL POZO 14"/>
    <x v="614"/>
    <n v="4941397.2"/>
    <x v="90"/>
    <x v="2"/>
    <s v="pagado"/>
    <s v="pagado"/>
    <s v="excluir"/>
    <s v="no semana"/>
    <x v="0"/>
  </r>
  <r>
    <n v="3000003493"/>
    <d v="2025-06-30T00:00:00"/>
    <n v="833793.9"/>
    <s v="COVIL S.A. CEVIL POZO 14"/>
    <x v="615"/>
    <n v="833793.9"/>
    <x v="90"/>
    <x v="2"/>
    <s v="no pagado"/>
    <s v="fuera de fecha"/>
    <s v="excluir"/>
    <s v="no semana"/>
    <x v="0"/>
  </r>
  <r>
    <n v="3000003493"/>
    <d v="2025-06-30T00:00:00"/>
    <n v="61573593.240000002"/>
    <s v="COVIL S.A. CEVIL POZO 14"/>
    <x v="616"/>
    <n v="61573593.240000002"/>
    <x v="90"/>
    <x v="2"/>
    <s v="pagado"/>
    <s v="pagado"/>
    <s v="excluir"/>
    <s v="no semana"/>
    <x v="0"/>
  </r>
  <r>
    <n v="3000003493"/>
    <d v="2025-06-30T00:00:00"/>
    <n v="5746954.3200000003"/>
    <s v="COVIL S.A. CEVIL POZO 14"/>
    <x v="617"/>
    <n v="5746954.3200000003"/>
    <x v="90"/>
    <x v="2"/>
    <s v="pagado"/>
    <s v="pagado"/>
    <s v="excluir"/>
    <s v="no semana"/>
    <x v="0"/>
  </r>
  <r>
    <n v="3000003493"/>
    <d v="2025-06-30T00:00:00"/>
    <n v="365483.4"/>
    <s v="COVIL S.A. CEVIL POZO 14"/>
    <x v="618"/>
    <n v="365483.4"/>
    <x v="90"/>
    <x v="2"/>
    <s v="pagado"/>
    <s v="pagado"/>
    <s v="excluir"/>
    <s v="no semana"/>
    <x v="0"/>
  </r>
  <r>
    <n v="3000003493"/>
    <d v="2025-06-30T00:00:00"/>
    <n v="3974983.52"/>
    <s v="COVIL S.A. CEVIL POZO 14"/>
    <x v="619"/>
    <n v="3974983.52"/>
    <x v="90"/>
    <x v="2"/>
    <s v="pagado"/>
    <s v="pagado"/>
    <s v="excluir"/>
    <s v="no semana"/>
    <x v="0"/>
  </r>
  <r>
    <n v="3000003493"/>
    <d v="2025-06-30T00:00:00"/>
    <n v="38083000.799999997"/>
    <s v="COVIL S.A. CEVIL POZO 14"/>
    <x v="620"/>
    <n v="38083000.799999997"/>
    <x v="90"/>
    <x v="2"/>
    <s v="pagado"/>
    <s v="pagado"/>
    <s v="excluir"/>
    <s v="no semana"/>
    <x v="0"/>
  </r>
  <r>
    <n v="3000003493"/>
    <d v="2025-06-30T00:00:00"/>
    <n v="18662149.899999999"/>
    <s v="COVIL S.A. CEVIL POZO 14"/>
    <x v="621"/>
    <n v="18662149.899999999"/>
    <x v="90"/>
    <x v="2"/>
    <s v="pagado"/>
    <s v="pagado"/>
    <s v="excluir"/>
    <s v="no semana"/>
    <x v="0"/>
  </r>
  <r>
    <n v="3000003493"/>
    <d v="2025-06-30T00:00:00"/>
    <n v="8662942.3599999994"/>
    <s v="COVIL S.A. CEVIL POZO 14"/>
    <x v="622"/>
    <n v="8662942.3599999994"/>
    <x v="90"/>
    <x v="2"/>
    <s v="pagado"/>
    <s v="pagado"/>
    <s v="excluir"/>
    <s v="no semana"/>
    <x v="0"/>
  </r>
  <r>
    <n v="3000003493"/>
    <d v="2025-06-30T00:00:00"/>
    <n v="1117822.3400000001"/>
    <s v="COVIL S.A. CEVIL POZO 14"/>
    <x v="623"/>
    <n v="1117822.3400000001"/>
    <x v="90"/>
    <x v="2"/>
    <s v="pagado"/>
    <s v="pagado"/>
    <s v="excluir"/>
    <s v="no semana"/>
    <x v="0"/>
  </r>
  <r>
    <n v="3000003493"/>
    <d v="2025-06-30T00:00:00"/>
    <n v="1517147.52"/>
    <s v="COVIL S.A. CEVIL POZO 14"/>
    <x v="624"/>
    <n v="1517147.52"/>
    <x v="90"/>
    <x v="2"/>
    <s v="pagado"/>
    <s v="pagado"/>
    <s v="excluir"/>
    <s v="no semana"/>
    <x v="0"/>
  </r>
  <r>
    <n v="3000003493"/>
    <d v="2025-06-30T00:00:00"/>
    <n v="3993372.93"/>
    <s v="COVIL S.A. CEVIL POZO 14"/>
    <x v="625"/>
    <n v="3993372.93"/>
    <x v="90"/>
    <x v="2"/>
    <s v="pagado"/>
    <s v="pagado"/>
    <s v="excluir"/>
    <s v="no semana"/>
    <x v="0"/>
  </r>
  <r>
    <n v="3000003493"/>
    <d v="2025-06-30T00:00:00"/>
    <n v="1912648.4"/>
    <s v="COVIL S.A. CEVIL POZO 14"/>
    <x v="626"/>
    <n v="1912648.4"/>
    <x v="90"/>
    <x v="2"/>
    <s v="pagado"/>
    <s v="pagado"/>
    <s v="excluir"/>
    <s v="no semana"/>
    <x v="0"/>
  </r>
  <r>
    <n v="3000003493"/>
    <d v="2025-06-30T00:00:00"/>
    <n v="122000000"/>
    <s v="COVIL S.A. CEVIL POZO 14"/>
    <x v="627"/>
    <n v="122000000"/>
    <x v="90"/>
    <x v="2"/>
    <s v="pagado"/>
    <s v="pagado"/>
    <s v="excluir"/>
    <s v="no semana"/>
    <x v="0"/>
  </r>
  <r>
    <n v="3000003493"/>
    <d v="2025-06-30T00:00:00"/>
    <n v="300000000"/>
    <s v="COVIL S.A. CEVIL POZO 14"/>
    <x v="628"/>
    <n v="300000000"/>
    <x v="90"/>
    <x v="2"/>
    <s v="pagado"/>
    <s v="pagado"/>
    <s v="excluir"/>
    <s v="no semana"/>
    <x v="0"/>
  </r>
  <r>
    <n v="3000003493"/>
    <d v="2025-06-30T00:00:00"/>
    <n v="50000000"/>
    <s v="COVIL S.A. CEVIL POZO 14"/>
    <x v="629"/>
    <n v="50000000"/>
    <x v="90"/>
    <x v="2"/>
    <s v="pagado"/>
    <s v="pagado"/>
    <s v="excluir"/>
    <s v="no semana"/>
    <x v="0"/>
  </r>
  <r>
    <n v="3000003493"/>
    <d v="2025-06-30T00:00:00"/>
    <n v="50000000"/>
    <s v="COVIL S.A. CEVIL POZO 14"/>
    <x v="630"/>
    <n v="50000000"/>
    <x v="90"/>
    <x v="2"/>
    <s v="pagado"/>
    <s v="pagado"/>
    <s v="excluir"/>
    <s v="no semana"/>
    <x v="0"/>
  </r>
  <r>
    <n v="3000003493"/>
    <d v="2025-06-30T00:00:00"/>
    <n v="50000000"/>
    <s v="COVIL S.A. CEVIL POZO 14"/>
    <x v="631"/>
    <n v="50000000"/>
    <x v="90"/>
    <x v="2"/>
    <s v="pagado"/>
    <s v="pagado"/>
    <s v="excluir"/>
    <s v="no semana"/>
    <x v="0"/>
  </r>
  <r>
    <n v="3000003493"/>
    <d v="2025-06-30T00:00:00"/>
    <n v="50000000"/>
    <s v="COVIL S.A. CEVIL POZO 14"/>
    <x v="632"/>
    <n v="50000000"/>
    <x v="90"/>
    <x v="2"/>
    <s v="pagado"/>
    <s v="pagado"/>
    <s v="excluir"/>
    <s v="no semana"/>
    <x v="0"/>
  </r>
  <r>
    <n v="3000003493"/>
    <d v="2025-06-30T00:00:00"/>
    <n v="50000000"/>
    <s v="COVIL S.A. CEVIL POZO 14"/>
    <x v="633"/>
    <n v="50000000"/>
    <x v="90"/>
    <x v="2"/>
    <s v="pagado"/>
    <s v="pagado"/>
    <s v="excluir"/>
    <s v="no semana"/>
    <x v="0"/>
  </r>
  <r>
    <n v="3000003493"/>
    <d v="2025-06-30T00:00:00"/>
    <n v="32467453.350000001"/>
    <s v="COVIL S.A. CEVIL POZO 14"/>
    <x v="634"/>
    <n v="32467453.350000001"/>
    <x v="90"/>
    <x v="2"/>
    <s v="pagado"/>
    <s v="pagado"/>
    <s v="excluir"/>
    <s v="no semana"/>
    <x v="0"/>
  </r>
  <r>
    <n v="3000003498"/>
    <d v="2025-06-30T00:00:00"/>
    <n v="6158806.5300000003"/>
    <s v="MG SERVICIOS AGROPECUARIOS SASTAFI VIEJO 14"/>
    <x v="635"/>
    <n v="6158806.5300000003"/>
    <x v="90"/>
    <x v="2"/>
    <s v="pagado"/>
    <s v="pagado"/>
    <s v="excluir"/>
    <s v="no semana"/>
    <x v="0"/>
  </r>
  <r>
    <n v="3000003499"/>
    <d v="2025-06-30T00:00:00"/>
    <n v="4354537.47"/>
    <s v="GYE S.A ROSARIO SUD 12"/>
    <x v="636"/>
    <n v="4354537.47"/>
    <x v="91"/>
    <x v="2"/>
    <s v="pagado"/>
    <s v="pagado"/>
    <s v="excluir"/>
    <s v="no semana"/>
    <x v="0"/>
  </r>
  <r>
    <n v="3000003500"/>
    <d v="2025-06-30T00:00:00"/>
    <n v="7305998.1799999997"/>
    <s v="TUCUMAN PALLET SRL EL MANANTIAL 14"/>
    <x v="637"/>
    <n v="7305998.1799999997"/>
    <x v="90"/>
    <x v="2"/>
    <s v="pagado"/>
    <s v="pagado"/>
    <s v="excluir"/>
    <s v="no semana"/>
    <x v="0"/>
  </r>
  <r>
    <n v="3000003501"/>
    <d v="2025-06-30T00:00:00"/>
    <n v="15000000"/>
    <s v="MARTINEZ ZUCCARDI JORGE AGUSTISANTA LUCIA 14"/>
    <x v="638"/>
    <n v="15000000"/>
    <x v="90"/>
    <x v="2"/>
    <s v="pagado"/>
    <s v="pagado"/>
    <s v="excluir"/>
    <s v="no semana"/>
    <x v="0"/>
  </r>
  <r>
    <n v="3000003501"/>
    <d v="2025-06-30T00:00:00"/>
    <n v="15870968.109999999"/>
    <s v="MARTINEZ ZUCCARDI JORGE AGUSTISANTA LUCIA 14"/>
    <x v="639"/>
    <n v="15870968.109999999"/>
    <x v="91"/>
    <x v="2"/>
    <s v="pagado"/>
    <s v="pagado"/>
    <s v="excluir"/>
    <s v="no semana"/>
    <x v="0"/>
  </r>
  <r>
    <n v="3000003502"/>
    <d v="2025-06-30T00:00:00"/>
    <n v="9957268.25"/>
    <s v="AGRICOLA MARES S.A FAMAILLA 14"/>
    <x v="640"/>
    <n v="9957268.25"/>
    <x v="90"/>
    <x v="2"/>
    <s v="pagado"/>
    <s v="pagado"/>
    <s v="excluir"/>
    <s v="no semana"/>
    <x v="0"/>
  </r>
  <r>
    <n v="3000003503"/>
    <d v="2025-06-30T00:00:00"/>
    <n v="6263730.8300000001"/>
    <s v="fyl trans srl SAN MIGUEL DE TUCUMAN 14"/>
    <x v="641"/>
    <n v="6263730.8300000001"/>
    <x v="90"/>
    <x v="2"/>
    <s v="pagado"/>
    <s v="pagado"/>
    <s v="excluir"/>
    <s v="no semana"/>
    <x v="0"/>
  </r>
  <r>
    <n v="3000003504"/>
    <d v="2025-06-30T00:00:00"/>
    <n v="6586616.4699999997"/>
    <s v="M.A.D Serv y mant eléctri SAN MIGUEL DE TUCUMAN 14"/>
    <x v="642"/>
    <n v="6586616.4699999997"/>
    <x v="90"/>
    <x v="2"/>
    <s v="pagado"/>
    <s v="pagado"/>
    <s v="excluir"/>
    <s v="no semana"/>
    <x v="0"/>
  </r>
  <r>
    <n v="3000003505"/>
    <d v="2025-06-30T00:00:00"/>
    <n v="10967169.91"/>
    <s v="CAD SOLUTIONS S.A. CAPITAL FEDERAL 00"/>
    <x v="643"/>
    <n v="10967169.91"/>
    <x v="90"/>
    <x v="2"/>
    <s v="pagado"/>
    <s v="pagado"/>
    <s v="excluir"/>
    <s v="no semana"/>
    <x v="0"/>
  </r>
  <r>
    <n v="3000003506"/>
    <d v="2025-06-30T00:00:00"/>
    <n v="8381553.0800000001"/>
    <s v="Martinez Zuccardi Emma CeciliaSAN MIGUEL DE TUCUMAN 14"/>
    <x v="644"/>
    <n v="8381553.0800000001"/>
    <x v="90"/>
    <x v="2"/>
    <s v="pagado"/>
    <s v="pagado"/>
    <s v="excluir"/>
    <s v="no semana"/>
    <x v="0"/>
  </r>
  <r>
    <n v="3000003507"/>
    <d v="2025-06-30T00:00:00"/>
    <n v="45000000"/>
    <s v="MG SERVICIOS AGROPECUARIOS SASTAFI VIEJO 14"/>
    <x v="645"/>
    <n v="45000000"/>
    <x v="90"/>
    <x v="2"/>
    <s v="pagado"/>
    <s v="pagado"/>
    <s v="excluir"/>
    <s v="no semana"/>
    <x v="0"/>
  </r>
  <r>
    <n v="3000003507"/>
    <d v="2025-06-30T00:00:00"/>
    <n v="23000000"/>
    <s v="MG SERVICIOS AGROPECUARIOS SASTAFI VIEJO 14"/>
    <x v="646"/>
    <n v="23000000"/>
    <x v="91"/>
    <x v="2"/>
    <s v="pagado"/>
    <s v="pagado"/>
    <s v="excluir"/>
    <s v="no semana"/>
    <x v="0"/>
  </r>
  <r>
    <n v="3000003507"/>
    <d v="2025-06-30T00:00:00"/>
    <n v="7000000"/>
    <s v="MG SERVICIOS AGROPECUARIOS SASTAFI VIEJO 14"/>
    <x v="647"/>
    <n v="7000000"/>
    <x v="91"/>
    <x v="2"/>
    <s v="pagado"/>
    <s v="pagado"/>
    <s v="excluir"/>
    <s v="no semana"/>
    <x v="0"/>
  </r>
  <r>
    <n v="3000003507"/>
    <d v="2025-06-30T00:00:00"/>
    <n v="3415405.07"/>
    <s v="MG SERVICIOS AGROPECUARIOS SASTAFI VIEJO 14"/>
    <x v="648"/>
    <n v="3415405.07"/>
    <x v="91"/>
    <x v="2"/>
    <s v="pagado"/>
    <s v="pagado"/>
    <s v="excluir"/>
    <s v="no semana"/>
    <x v="0"/>
  </r>
  <r>
    <n v="3000003517"/>
    <d v="2025-07-01T00:00:00"/>
    <n v="4856074.25"/>
    <s v="PERATO CRISTIAN LUIS BANDA DEL RIO SALI 14"/>
    <x v="649"/>
    <n v="4856074.25"/>
    <x v="91"/>
    <x v="2"/>
    <s v="pagado"/>
    <s v="pagado"/>
    <s v="excluir"/>
    <s v="no semana"/>
    <x v="0"/>
  </r>
  <r>
    <n v="3000003518"/>
    <d v="2025-07-01T00:00:00"/>
    <n v="3233798.57"/>
    <s v="Sereno Carlos Luis Los Gutierrez 14"/>
    <x v="650"/>
    <n v="3233798.57"/>
    <x v="91"/>
    <x v="2"/>
    <s v="pagado"/>
    <s v="pagado"/>
    <s v="excluir"/>
    <s v="no semana"/>
    <x v="0"/>
  </r>
  <r>
    <n v="3000003519"/>
    <d v="2025-07-01T00:00:00"/>
    <n v="6098541.5499999998"/>
    <s v="Sanchez Jose Mauricio San Miguel de Tucuman 14"/>
    <x v="651"/>
    <n v="6098541.5499999998"/>
    <x v="91"/>
    <x v="2"/>
    <s v="pagado"/>
    <s v="pagado"/>
    <s v="excluir"/>
    <s v="no semana"/>
    <x v="0"/>
  </r>
  <r>
    <n v="3000003520"/>
    <d v="2025-07-01T00:00:00"/>
    <n v="6866727.3300000001"/>
    <s v="MOREY SERGIO GUILLERMO LOS GUTIERREZ-ALDERETES 14"/>
    <x v="652"/>
    <n v="6866727.3300000001"/>
    <x v="91"/>
    <x v="2"/>
    <s v="pagado"/>
    <s v="pagado"/>
    <s v="excluir"/>
    <s v="no semana"/>
    <x v="0"/>
  </r>
  <r>
    <n v="3000003521"/>
    <d v="2025-07-01T00:00:00"/>
    <n v="4122092.11"/>
    <s v="Arias Carlos Alberto SAN MIGUEL DE TUCUMAN 14"/>
    <x v="653"/>
    <n v="4122092.11"/>
    <x v="91"/>
    <x v="2"/>
    <s v="pagado"/>
    <s v="pagado"/>
    <s v="excluir"/>
    <s v="no semana"/>
    <x v="0"/>
  </r>
  <r>
    <n v="3000003522"/>
    <d v="2025-07-01T00:00:00"/>
    <n v="14947995.310000001"/>
    <s v="CAPETTA ANTONELLA ANAHI SAN MIGUEL DE TUCUMAN 14"/>
    <x v="654"/>
    <n v="14947995.310000001"/>
    <x v="91"/>
    <x v="2"/>
    <s v="pagado"/>
    <s v="pagado"/>
    <s v="excluir"/>
    <s v="no semana"/>
    <x v="0"/>
  </r>
  <r>
    <n v="3000003523"/>
    <d v="2025-07-01T00:00:00"/>
    <n v="8000000"/>
    <s v="RL SOLUCIONES S. A. S. SAN MIGUEL DE TUCUMAN 14"/>
    <x v="655"/>
    <n v="8000000"/>
    <x v="91"/>
    <x v="2"/>
    <s v="pagado"/>
    <s v="pagado"/>
    <s v="excluir"/>
    <s v="no semana"/>
    <x v="0"/>
  </r>
  <r>
    <n v="3000003523"/>
    <d v="2025-07-01T00:00:00"/>
    <n v="8875156.7300000004"/>
    <s v="RL SOLUCIONES S. A. S. SAN MIGUEL DE TUCUMAN 14"/>
    <x v="656"/>
    <n v="8875156.7300000004"/>
    <x v="92"/>
    <x v="2"/>
    <s v="pagado"/>
    <s v="pagado"/>
    <s v="excluir"/>
    <s v="no semana"/>
    <x v="0"/>
  </r>
  <r>
    <n v="3000003524"/>
    <d v="2025-07-01T00:00:00"/>
    <n v="20000000"/>
    <s v="TRANSPORTE FRIOS DEL NORTE S.RSAN MIGUEL DE TUCUMAN 14"/>
    <x v="657"/>
    <n v="20000000"/>
    <x v="91"/>
    <x v="2"/>
    <s v="pagado"/>
    <s v="pagado"/>
    <s v="excluir"/>
    <s v="no semana"/>
    <x v="0"/>
  </r>
  <r>
    <n v="3000003524"/>
    <d v="2025-07-01T00:00:00"/>
    <n v="14715513.439999999"/>
    <s v="TRANSPORTE FRIOS DEL NORTE S.RSAN MIGUEL DE TUCUMAN 14"/>
    <x v="658"/>
    <n v="14715513.439999999"/>
    <x v="92"/>
    <x v="2"/>
    <s v="pagado"/>
    <s v="pagado"/>
    <s v="excluir"/>
    <s v="no semana"/>
    <x v="0"/>
  </r>
  <r>
    <n v="3000003525"/>
    <d v="2025-07-01T00:00:00"/>
    <n v="8070083.9699999997"/>
    <s v="Terminal 4 S.A. Puerto Nuevo 01"/>
    <x v="659"/>
    <n v="8070083.9699999997"/>
    <x v="91"/>
    <x v="2"/>
    <s v="pagado"/>
    <s v="pagado"/>
    <s v="excluir"/>
    <s v="no semana"/>
    <x v="0"/>
  </r>
  <r>
    <n v="3000003526"/>
    <d v="2025-07-01T00:00:00"/>
    <n v="12874847.92"/>
    <s v="BONSUR SA CAPITAL FEDERAL 00"/>
    <x v="660"/>
    <n v="12874847.92"/>
    <x v="91"/>
    <x v="2"/>
    <s v="pagado"/>
    <s v="pagado"/>
    <s v="excluir"/>
    <s v="no semana"/>
    <x v="0"/>
  </r>
  <r>
    <n v="3000003527"/>
    <d v="2025-07-01T00:00:00"/>
    <n v="10000000"/>
    <s v="LATCOMEX SA CAPITAL FEDERAL 00"/>
    <x v="661"/>
    <n v="10000000"/>
    <x v="91"/>
    <x v="2"/>
    <s v="pagado"/>
    <s v="pagado"/>
    <s v="excluir"/>
    <s v="no semana"/>
    <x v="0"/>
  </r>
  <r>
    <n v="3000003527"/>
    <d v="2025-07-01T00:00:00"/>
    <n v="10170667.92"/>
    <s v="LATCOMEX SA CAPITAL FEDERAL 00"/>
    <x v="662"/>
    <n v="10170667.92"/>
    <x v="92"/>
    <x v="2"/>
    <s v="pagado"/>
    <s v="pagado"/>
    <s v="excluir"/>
    <s v="no semana"/>
    <x v="0"/>
  </r>
  <r>
    <n v="3000003528"/>
    <d v="2025-07-01T00:00:00"/>
    <n v="10000000"/>
    <s v="D´ANDREA SERGIO FRANCISCO YERBA BUENA 14"/>
    <x v="663"/>
    <n v="10000000"/>
    <x v="91"/>
    <x v="2"/>
    <s v="pagado"/>
    <s v="pagado"/>
    <s v="excluir"/>
    <s v="no semana"/>
    <x v="0"/>
  </r>
  <r>
    <n v="3000003528"/>
    <d v="2025-07-01T00:00:00"/>
    <n v="8430989.8900000006"/>
    <s v="D´ANDREA SERGIO FRANCISCO YERBA BUENA 14"/>
    <x v="664"/>
    <n v="8430989.8900000006"/>
    <x v="92"/>
    <x v="2"/>
    <s v="pagado"/>
    <s v="pagado"/>
    <s v="excluir"/>
    <s v="no semana"/>
    <x v="0"/>
  </r>
  <r>
    <n v="3000003529"/>
    <d v="2025-07-01T00:00:00"/>
    <n v="6622806.2800000003"/>
    <s v="GEREZ ALICIA ELEUTERIA SAN MIGUEL DE TUCUMAN 14"/>
    <x v="665"/>
    <n v="6622806.2800000003"/>
    <x v="91"/>
    <x v="2"/>
    <s v="pagado"/>
    <s v="pagado"/>
    <s v="excluir"/>
    <s v="no semana"/>
    <x v="0"/>
  </r>
  <r>
    <n v="3000003530"/>
    <d v="2025-07-02T00:00:00"/>
    <n v="9020002.0299999993"/>
    <s v="AUAD ANDREA ALEJANDRA SAN MIGUEL DE TUCUMAN 14"/>
    <x v="666"/>
    <n v="9020002.0299999993"/>
    <x v="92"/>
    <x v="2"/>
    <s v="pagado"/>
    <s v="pagado"/>
    <s v="excluir"/>
    <s v="no semana"/>
    <x v="0"/>
  </r>
  <r>
    <n v="3000003531"/>
    <d v="2025-07-02T00:00:00"/>
    <n v="25615103.690000001"/>
    <s v="EXPORTADORA DEL LITORAL SA SAN PEDRO 01"/>
    <x v="667"/>
    <n v="25615103.690000001"/>
    <x v="92"/>
    <x v="2"/>
    <s v="pagado"/>
    <s v="pagado"/>
    <s v="excluir"/>
    <s v="no semana"/>
    <x v="0"/>
  </r>
  <r>
    <n v="3000003634"/>
    <d v="2025-07-03T00:00:00"/>
    <n v="5196842.9800000004"/>
    <s v="FICOVIL TUCUMAN"/>
    <x v="668"/>
    <n v="5196842.9800000004"/>
    <x v="93"/>
    <x v="2"/>
    <s v="pagado"/>
    <s v="pagado"/>
    <s v="excluir"/>
    <s v="no semana"/>
    <x v="0"/>
  </r>
  <r>
    <n v="3000003634"/>
    <d v="2025-07-03T00:00:00"/>
    <n v="46811.51"/>
    <s v="FICOVIL TUCUMAN"/>
    <x v="669"/>
    <n v="46811.51"/>
    <x v="93"/>
    <x v="2"/>
    <s v="pagado"/>
    <s v="pagado"/>
    <s v="excluir"/>
    <s v="no semana"/>
    <x v="0"/>
  </r>
  <r>
    <n v="3000003634"/>
    <d v="2025-07-03T00:00:00"/>
    <n v="2758609.5"/>
    <s v="FICOVIL TUCUMAN"/>
    <x v="670"/>
    <n v="2758609.5"/>
    <x v="93"/>
    <x v="2"/>
    <s v="pagado"/>
    <s v="pagado"/>
    <s v="excluir"/>
    <s v="no semana"/>
    <x v="0"/>
  </r>
  <r>
    <n v="3000003634"/>
    <d v="2025-07-03T00:00:00"/>
    <n v="2758609.5"/>
    <s v="FICOVIL TUCUMAN"/>
    <x v="671"/>
    <n v="2758609.5"/>
    <x v="93"/>
    <x v="2"/>
    <s v="pagado"/>
    <s v="pagado"/>
    <s v="excluir"/>
    <s v="no semana"/>
    <x v="0"/>
  </r>
  <r>
    <n v="3000003634"/>
    <d v="2025-07-03T00:00:00"/>
    <n v="38049786.170000002"/>
    <s v="FICOVIL TUCUMAN"/>
    <x v="672"/>
    <n v="38049786.170000002"/>
    <x v="93"/>
    <x v="2"/>
    <s v="pagado"/>
    <s v="pagado"/>
    <s v="excluir"/>
    <s v="no semana"/>
    <x v="0"/>
  </r>
  <r>
    <n v="3000003635"/>
    <d v="2025-07-03T00:00:00"/>
    <n v="6829004.1900000004"/>
    <s v="FICODAL TUCUMAN"/>
    <x v="673"/>
    <n v="6829004.1900000004"/>
    <x v="93"/>
    <x v="2"/>
    <s v="pagado"/>
    <s v="pagado"/>
    <s v="excluir"/>
    <s v="no semana"/>
    <x v="0"/>
  </r>
  <r>
    <n v="3000003635"/>
    <d v="2025-07-03T00:00:00"/>
    <n v="61513.5"/>
    <s v="FICODAL TUCUMAN"/>
    <x v="674"/>
    <n v="61513.5"/>
    <x v="93"/>
    <x v="2"/>
    <s v="pagado"/>
    <s v="pagado"/>
    <s v="excluir"/>
    <s v="no semana"/>
    <x v="0"/>
  </r>
  <r>
    <n v="3000003635"/>
    <d v="2025-07-03T00:00:00"/>
    <n v="3625000"/>
    <s v="FICODAL TUCUMAN"/>
    <x v="675"/>
    <n v="3625000"/>
    <x v="93"/>
    <x v="2"/>
    <s v="pagado"/>
    <s v="pagado"/>
    <s v="excluir"/>
    <s v="no semana"/>
    <x v="0"/>
  </r>
  <r>
    <n v="3000003635"/>
    <d v="2025-07-03T00:00:00"/>
    <n v="3625000"/>
    <s v="FICODAL TUCUMAN"/>
    <x v="676"/>
    <n v="3625000"/>
    <x v="93"/>
    <x v="2"/>
    <s v="pagado"/>
    <s v="pagado"/>
    <s v="excluir"/>
    <s v="no semana"/>
    <x v="0"/>
  </r>
  <r>
    <n v="3000003635"/>
    <d v="2025-07-03T00:00:00"/>
    <n v="50000000"/>
    <s v="FICODAL TUCUMAN"/>
    <x v="677"/>
    <n v="50000000"/>
    <x v="93"/>
    <x v="2"/>
    <s v="pagado"/>
    <s v="pagado"/>
    <s v="excluir"/>
    <s v="no semana"/>
    <x v="0"/>
  </r>
  <r>
    <n v="3000003636"/>
    <d v="2025-07-03T00:00:00"/>
    <n v="1632161.21"/>
    <s v="FICOPEL TUCUMAN"/>
    <x v="678"/>
    <n v="1632161.21"/>
    <x v="93"/>
    <x v="2"/>
    <s v="pagado"/>
    <s v="pagado"/>
    <s v="excluir"/>
    <s v="no semana"/>
    <x v="0"/>
  </r>
  <r>
    <n v="3000003636"/>
    <d v="2025-07-03T00:00:00"/>
    <n v="14701.99"/>
    <s v="FICOPEL TUCUMAN"/>
    <x v="679"/>
    <n v="14701.99"/>
    <x v="93"/>
    <x v="2"/>
    <s v="pagado"/>
    <s v="pagado"/>
    <s v="excluir"/>
    <s v="no semana"/>
    <x v="0"/>
  </r>
  <r>
    <n v="3000003636"/>
    <d v="2025-07-03T00:00:00"/>
    <n v="866390.5"/>
    <s v="FICOPEL TUCUMAN"/>
    <x v="680"/>
    <n v="866390.5"/>
    <x v="93"/>
    <x v="2"/>
    <s v="pagado"/>
    <s v="pagado"/>
    <s v="excluir"/>
    <s v="no semana"/>
    <x v="0"/>
  </r>
  <r>
    <n v="3000003636"/>
    <d v="2025-07-03T00:00:00"/>
    <n v="866390.5"/>
    <s v="FICOPEL TUCUMAN"/>
    <x v="681"/>
    <n v="866390.5"/>
    <x v="93"/>
    <x v="2"/>
    <s v="pagado"/>
    <s v="pagado"/>
    <s v="excluir"/>
    <s v="no semana"/>
    <x v="0"/>
  </r>
  <r>
    <n v="3000003636"/>
    <d v="2025-07-03T00:00:00"/>
    <n v="11950213.83"/>
    <s v="FICOPEL TUCUMAN"/>
    <x v="682"/>
    <n v="11950213.83"/>
    <x v="93"/>
    <x v="2"/>
    <s v="pagado"/>
    <s v="pagado"/>
    <s v="excluir"/>
    <s v="no semana"/>
    <x v="0"/>
  </r>
  <r>
    <n v="3000003637"/>
    <d v="2025-07-03T00:00:00"/>
    <n v="45802777.619999997"/>
    <s v="FICOVIL TUCUMAN"/>
    <x v="683"/>
    <n v="45802777.619999997"/>
    <x v="93"/>
    <x v="2"/>
    <s v="pagado"/>
    <s v="pagado"/>
    <s v="excluir"/>
    <s v="no semana"/>
    <x v="0"/>
  </r>
  <r>
    <n v="3000003637"/>
    <d v="2025-07-03T00:00:00"/>
    <n v="518336.5"/>
    <s v="FICOVIL TUCUMAN"/>
    <x v="684"/>
    <n v="518336.5"/>
    <x v="93"/>
    <x v="2"/>
    <s v="pagado"/>
    <s v="pagado"/>
    <s v="excluir"/>
    <s v="no semana"/>
    <x v="0"/>
  </r>
  <r>
    <n v="3000003637"/>
    <d v="2025-07-03T00:00:00"/>
    <n v="32627008.489999998"/>
    <s v="FICOVIL TUCUMAN"/>
    <x v="685"/>
    <n v="32627008.489999998"/>
    <x v="93"/>
    <x v="2"/>
    <s v="pagado"/>
    <s v="pagado"/>
    <s v="excluir"/>
    <s v="no semana"/>
    <x v="0"/>
  </r>
  <r>
    <n v="3000003637"/>
    <d v="2025-07-03T00:00:00"/>
    <n v="29915816.530000001"/>
    <s v="FICOVIL TUCUMAN"/>
    <x v="686"/>
    <n v="29915816.530000001"/>
    <x v="93"/>
    <x v="2"/>
    <s v="pagado"/>
    <s v="pagado"/>
    <s v="excluir"/>
    <s v="no semana"/>
    <x v="0"/>
  </r>
  <r>
    <n v="3000003637"/>
    <d v="2025-07-03T00:00:00"/>
    <n v="29915816.52"/>
    <s v="FICOVIL TUCUMAN"/>
    <x v="687"/>
    <n v="29915816.52"/>
    <x v="93"/>
    <x v="2"/>
    <s v="pagado"/>
    <s v="pagado"/>
    <s v="excluir"/>
    <s v="no semana"/>
    <x v="0"/>
  </r>
  <r>
    <n v="3000003638"/>
    <d v="2025-07-03T00:00:00"/>
    <n v="681129.32"/>
    <s v="FICODAL TUCUMAN"/>
    <x v="688"/>
    <n v="681129.32"/>
    <x v="93"/>
    <x v="2"/>
    <s v="pagado"/>
    <s v="pagado"/>
    <s v="excluir"/>
    <s v="no semana"/>
    <x v="0"/>
  </r>
  <r>
    <n v="3000003638"/>
    <d v="2025-07-03T00:00:00"/>
    <n v="42874102.289999999"/>
    <s v="FICODAL TUCUMAN"/>
    <x v="689"/>
    <n v="42874102.289999999"/>
    <x v="93"/>
    <x v="2"/>
    <s v="pagado"/>
    <s v="pagado"/>
    <s v="excluir"/>
    <s v="no semana"/>
    <x v="0"/>
  </r>
  <r>
    <n v="3000003638"/>
    <d v="2025-07-03T00:00:00"/>
    <n v="39311412.149999999"/>
    <s v="FICODAL TUCUMAN"/>
    <x v="690"/>
    <n v="39311412.149999999"/>
    <x v="93"/>
    <x v="2"/>
    <s v="pagado"/>
    <s v="pagado"/>
    <s v="excluir"/>
    <s v="no semana"/>
    <x v="0"/>
  </r>
  <r>
    <n v="3000003638"/>
    <d v="2025-07-03T00:00:00"/>
    <n v="39311412.149999999"/>
    <s v="FICODAL TUCUMAN"/>
    <x v="691"/>
    <n v="39311412.149999999"/>
    <x v="93"/>
    <x v="2"/>
    <s v="pagado"/>
    <s v="pagado"/>
    <s v="excluir"/>
    <s v="no semana"/>
    <x v="0"/>
  </r>
  <r>
    <n v="3000003639"/>
    <d v="2025-07-03T00:00:00"/>
    <n v="14385179.029999999"/>
    <s v="FICOPEL TUCUMAN"/>
    <x v="692"/>
    <n v="14385179.029999999"/>
    <x v="93"/>
    <x v="2"/>
    <s v="pagado"/>
    <s v="pagado"/>
    <s v="excluir"/>
    <s v="no semana"/>
    <x v="0"/>
  </r>
  <r>
    <n v="3000003639"/>
    <d v="2025-07-03T00:00:00"/>
    <n v="162792.82"/>
    <s v="FICOPEL TUCUMAN"/>
    <x v="693"/>
    <n v="162792.82"/>
    <x v="93"/>
    <x v="2"/>
    <s v="pagado"/>
    <s v="pagado"/>
    <s v="excluir"/>
    <s v="no semana"/>
    <x v="0"/>
  </r>
  <r>
    <n v="3000003639"/>
    <d v="2025-07-03T00:00:00"/>
    <n v="10247093.800000001"/>
    <s v="FICOPEL TUCUMAN"/>
    <x v="694"/>
    <n v="10247093.800000001"/>
    <x v="93"/>
    <x v="2"/>
    <s v="pagado"/>
    <s v="pagado"/>
    <s v="excluir"/>
    <s v="no semana"/>
    <x v="0"/>
  </r>
  <r>
    <n v="3000003639"/>
    <d v="2025-07-03T00:00:00"/>
    <n v="26913913.91"/>
    <s v="FICOPEL TUCUMAN"/>
    <x v="695"/>
    <n v="26913913.91"/>
    <x v="93"/>
    <x v="2"/>
    <s v="pagado"/>
    <s v="pagado"/>
    <s v="excluir"/>
    <s v="no semana"/>
    <x v="0"/>
  </r>
  <r>
    <n v="3000003639"/>
    <d v="2025-07-03T00:00:00"/>
    <n v="9395595.6199999992"/>
    <s v="FICOPEL TUCUMAN"/>
    <x v="696"/>
    <n v="9395595.6199999992"/>
    <x v="93"/>
    <x v="2"/>
    <s v="pagado"/>
    <s v="pagado"/>
    <s v="excluir"/>
    <s v="no semana"/>
    <x v="0"/>
  </r>
  <r>
    <n v="3000003639"/>
    <d v="2025-07-03T00:00:00"/>
    <n v="9395595.6199999992"/>
    <s v="FICOPEL TUCUMAN"/>
    <x v="697"/>
    <n v="9395595.6199999992"/>
    <x v="93"/>
    <x v="2"/>
    <s v="pagado"/>
    <s v="pagado"/>
    <s v="excluir"/>
    <s v="no semana"/>
    <x v="0"/>
  </r>
  <r>
    <n v="3000003640"/>
    <d v="2025-07-03T00:00:00"/>
    <n v="19613283.219999999"/>
    <s v="FICOPEL TUCUMAN"/>
    <x v="698"/>
    <n v="19613283.219999999"/>
    <x v="93"/>
    <x v="2"/>
    <s v="pagado"/>
    <s v="pagado"/>
    <s v="excluir"/>
    <s v="no semana"/>
    <x v="0"/>
  </r>
  <r>
    <n v="3000003625"/>
    <d v="2025-07-03T00:00:00"/>
    <n v="0"/>
    <s v="FICOVIL TUCUMAN"/>
    <x v="699"/>
    <n v="0"/>
    <x v="90"/>
    <x v="0"/>
    <s v="no pagado"/>
    <s v="fuera de fecha"/>
    <s v="excluir"/>
    <s v="no semana"/>
    <x v="0"/>
  </r>
  <r>
    <n v="3000003626"/>
    <d v="2025-07-03T00:00:00"/>
    <n v="0"/>
    <s v="FICODAL TUCUMAN"/>
    <x v="700"/>
    <n v="0"/>
    <x v="90"/>
    <x v="0"/>
    <s v="no pagado"/>
    <s v="fuera de fecha"/>
    <s v="excluir"/>
    <s v="no semana"/>
    <x v="0"/>
  </r>
  <r>
    <n v="3000003627"/>
    <d v="2025-07-03T00:00:00"/>
    <n v="0"/>
    <s v="FICOPEL TUCUMAN"/>
    <x v="701"/>
    <n v="0"/>
    <x v="90"/>
    <x v="0"/>
    <s v="no pagado"/>
    <s v="fuera de fecha"/>
    <s v="excluir"/>
    <s v="no semana"/>
    <x v="0"/>
  </r>
  <r>
    <n v="3000003628"/>
    <d v="2025-07-03T00:00:00"/>
    <n v="0"/>
    <s v="FICOVIL TUCUMAN"/>
    <x v="702"/>
    <n v="0"/>
    <x v="90"/>
    <x v="0"/>
    <s v="no pagado"/>
    <s v="fuera de fecha"/>
    <s v="excluir"/>
    <s v="no semana"/>
    <x v="0"/>
  </r>
  <r>
    <n v="3000003629"/>
    <d v="2025-07-03T00:00:00"/>
    <n v="0"/>
    <s v="FICODAL TUCUMAN"/>
    <x v="703"/>
    <n v="0"/>
    <x v="90"/>
    <x v="0"/>
    <s v="no pagado"/>
    <s v="fuera de fecha"/>
    <s v="excluir"/>
    <s v="no semana"/>
    <x v="0"/>
  </r>
  <r>
    <n v="3000003630"/>
    <d v="2025-07-03T00:00:00"/>
    <n v="0"/>
    <s v="FICOPEL TUCUMAN"/>
    <x v="704"/>
    <n v="0"/>
    <x v="90"/>
    <x v="0"/>
    <s v="no pagado"/>
    <s v="fuera de fecha"/>
    <s v="excluir"/>
    <s v="no semana"/>
    <x v="0"/>
  </r>
  <r>
    <n v="3000003631"/>
    <d v="2025-07-03T00:00:00"/>
    <n v="0"/>
    <s v="FICOVIL TUCUMAN"/>
    <x v="705"/>
    <n v="0"/>
    <x v="90"/>
    <x v="0"/>
    <s v="no pagado"/>
    <s v="fuera de fecha"/>
    <s v="excluir"/>
    <s v="no semana"/>
    <x v="0"/>
  </r>
  <r>
    <n v="3000003632"/>
    <d v="2025-07-03T00:00:00"/>
    <n v="0"/>
    <s v="FICODAL TUCUMAN"/>
    <x v="706"/>
    <n v="0"/>
    <x v="90"/>
    <x v="0"/>
    <s v="no pagado"/>
    <s v="fuera de fecha"/>
    <s v="excluir"/>
    <s v="no semana"/>
    <x v="0"/>
  </r>
  <r>
    <n v="3000003633"/>
    <d v="2025-07-03T00:00:00"/>
    <n v="0"/>
    <s v="FICOPEL TUCUMAN"/>
    <x v="707"/>
    <n v="0"/>
    <x v="90"/>
    <x v="0"/>
    <s v="no pagado"/>
    <s v="fuera de fecha"/>
    <s v="excluir"/>
    <s v="no semana"/>
    <x v="0"/>
  </r>
  <r>
    <n v="3000003583"/>
    <d v="2025-07-02T00:00:00"/>
    <n v="1626930.2"/>
    <s v="TRANSPORTE MEDINA S.H."/>
    <x v="708"/>
    <n v="1626930.2"/>
    <x v="92"/>
    <x v="0"/>
    <s v="no pagado"/>
    <s v="fuera de fecha"/>
    <s v="excluir"/>
    <s v="no semana"/>
    <x v="0"/>
  </r>
  <r>
    <n v="3000003730"/>
    <d v="2025-07-08T00:00:00"/>
    <n v="20000000"/>
    <s v="Jeblab S.R.L. YERBA BUENA 14"/>
    <x v="709"/>
    <n v="20000000"/>
    <x v="94"/>
    <x v="2"/>
    <s v="pagado"/>
    <s v="pagado"/>
    <s v="excluir"/>
    <s v="no semana"/>
    <x v="0"/>
  </r>
  <r>
    <n v="3000003730"/>
    <d v="2025-07-08T00:00:00"/>
    <n v="14723343.4"/>
    <s v="Jeblab S.R.L. YERBA BUENA 14"/>
    <x v="710"/>
    <n v="14723343.4"/>
    <x v="95"/>
    <x v="2"/>
    <s v="pagado"/>
    <s v="pagado"/>
    <s v="excluir"/>
    <s v="no semana"/>
    <x v="0"/>
  </r>
  <r>
    <n v="3000003731"/>
    <d v="2025-07-08T00:00:00"/>
    <n v="7354746.9699999997"/>
    <s v="Marchese Grandi Meson y Asoc SAN MIGUEL DE TUCUMAN 14"/>
    <x v="711"/>
    <n v="7354746.9699999997"/>
    <x v="94"/>
    <x v="2"/>
    <s v="pagado"/>
    <s v="pagado"/>
    <s v="excluir"/>
    <s v="no semana"/>
    <x v="0"/>
  </r>
  <r>
    <n v="3000003732"/>
    <d v="2025-07-08T00:00:00"/>
    <n v="5758114.7300000004"/>
    <s v="NORTE DISTRIBUCIONES S.R.L SAN MIGUEL DE TUCUMAN 14"/>
    <x v="712"/>
    <n v="5758114.7300000004"/>
    <x v="94"/>
    <x v="2"/>
    <s v="pagado"/>
    <s v="pagado"/>
    <s v="excluir"/>
    <s v="no semana"/>
    <x v="0"/>
  </r>
  <r>
    <n v="3000003733"/>
    <d v="2025-07-08T00:00:00"/>
    <n v="7476575.6299999999"/>
    <s v="CAFELI S.R.L. SAN MIGUEL DE TUCUMAN 14"/>
    <x v="713"/>
    <n v="7476575.6299999999"/>
    <x v="94"/>
    <x v="2"/>
    <s v="pagado"/>
    <s v="pagado"/>
    <s v="excluir"/>
    <s v="no semana"/>
    <x v="0"/>
  </r>
  <r>
    <n v="3000003734"/>
    <d v="2025-07-08T00:00:00"/>
    <n v="5020319.4000000004"/>
    <s v="SEGURIDAD OMEGA SRL SAN FERNANDO DEL VALLE DE CATAMARCA 02"/>
    <x v="714"/>
    <n v="5020319.4000000004"/>
    <x v="94"/>
    <x v="2"/>
    <s v="pagado"/>
    <s v="pagado"/>
    <s v="excluir"/>
    <s v="no semana"/>
    <x v="0"/>
  </r>
  <r>
    <n v="3000003735"/>
    <d v="2025-07-08T00:00:00"/>
    <n v="20000000"/>
    <s v="SMART SEGURIDAD SA YERBA BUENA 14"/>
    <x v="715"/>
    <n v="20000000"/>
    <x v="94"/>
    <x v="2"/>
    <s v="pagado"/>
    <s v="pagado"/>
    <s v="excluir"/>
    <s v="no semana"/>
    <x v="0"/>
  </r>
  <r>
    <n v="3000003735"/>
    <d v="2025-07-08T00:00:00"/>
    <n v="13230697.699999999"/>
    <s v="SMART SEGURIDAD SA YERBA BUENA 14"/>
    <x v="716"/>
    <n v="13230697.699999999"/>
    <x v="95"/>
    <x v="2"/>
    <s v="pagado"/>
    <s v="pagado"/>
    <s v="excluir"/>
    <s v="no semana"/>
    <x v="0"/>
  </r>
  <r>
    <n v="3000003736"/>
    <d v="2025-07-08T00:00:00"/>
    <n v="24000000"/>
    <s v="M. AMUCHASTEGUI S. R. L. YERBA BUENA 14"/>
    <x v="717"/>
    <n v="24000000"/>
    <x v="94"/>
    <x v="2"/>
    <s v="pagado"/>
    <s v="pagado"/>
    <s v="excluir"/>
    <s v="no semana"/>
    <x v="0"/>
  </r>
  <r>
    <n v="3000003736"/>
    <d v="2025-07-08T00:00:00"/>
    <n v="24201797.289999999"/>
    <s v="M. AMUCHASTEGUI S. R. L. YERBA BUENA 14"/>
    <x v="718"/>
    <n v="24201797.289999999"/>
    <x v="95"/>
    <x v="2"/>
    <s v="pagado"/>
    <s v="pagado"/>
    <s v="excluir"/>
    <s v="no semana"/>
    <x v="0"/>
  </r>
  <r>
    <n v="3000003737"/>
    <d v="2025-07-08T00:00:00"/>
    <n v="24000000"/>
    <s v="TRUSARELLI CARLOS ALBERTO BANDA DEL RIO SALI 14"/>
    <x v="719"/>
    <n v="24000000"/>
    <x v="94"/>
    <x v="2"/>
    <s v="pagado"/>
    <s v="pagado"/>
    <s v="excluir"/>
    <s v="no semana"/>
    <x v="0"/>
  </r>
  <r>
    <n v="3000003737"/>
    <d v="2025-07-08T00:00:00"/>
    <n v="23499662.199999999"/>
    <s v="TRUSARELLI CARLOS ALBERTO BANDA DEL RIO SALI 14"/>
    <x v="720"/>
    <n v="23499662.199999999"/>
    <x v="95"/>
    <x v="2"/>
    <s v="pagado"/>
    <s v="pagado"/>
    <s v="excluir"/>
    <s v="no semana"/>
    <x v="0"/>
  </r>
  <r>
    <n v="3000003738"/>
    <d v="2025-07-08T00:00:00"/>
    <n v="10000000"/>
    <s v="CAMPOAGRO SRL YERBA BUENA 14"/>
    <x v="721"/>
    <n v="10000000"/>
    <x v="94"/>
    <x v="2"/>
    <s v="pagado"/>
    <s v="pagado"/>
    <s v="excluir"/>
    <s v="no semana"/>
    <x v="0"/>
  </r>
  <r>
    <n v="3000003738"/>
    <d v="2025-07-08T00:00:00"/>
    <n v="7766457.1500000004"/>
    <s v="CAMPOAGRO SRL YERBA BUENA 14"/>
    <x v="722"/>
    <n v="7766457.1500000004"/>
    <x v="95"/>
    <x v="2"/>
    <s v="pagado"/>
    <s v="pagado"/>
    <s v="excluir"/>
    <s v="no semana"/>
    <x v="0"/>
  </r>
  <r>
    <n v="3000003739"/>
    <d v="2025-07-08T00:00:00"/>
    <n v="10000000"/>
    <s v="Verde y Sol S.R.L. SAN MIGUEL DE TUCUMAN 14"/>
    <x v="723"/>
    <n v="10000000"/>
    <x v="94"/>
    <x v="2"/>
    <s v="pagado"/>
    <s v="pagado"/>
    <s v="excluir"/>
    <s v="no semana"/>
    <x v="0"/>
  </r>
  <r>
    <n v="3000003739"/>
    <d v="2025-07-08T00:00:00"/>
    <n v="6764504.54"/>
    <s v="Verde y Sol S.R.L. SAN MIGUEL DE TUCUMAN 14"/>
    <x v="724"/>
    <n v="6764504.54"/>
    <x v="95"/>
    <x v="2"/>
    <s v="pagado"/>
    <s v="pagado"/>
    <s v="excluir"/>
    <s v="no semana"/>
    <x v="0"/>
  </r>
  <r>
    <n v="3000003740"/>
    <d v="2025-07-08T00:00:00"/>
    <n v="6208715.3499999996"/>
    <s v="fyl trans srl SAN MIGUEL DE TUCUMAN 14"/>
    <x v="725"/>
    <n v="6208715.3499999996"/>
    <x v="94"/>
    <x v="2"/>
    <s v="pagado"/>
    <s v="pagado"/>
    <s v="excluir"/>
    <s v="no semana"/>
    <x v="0"/>
  </r>
  <r>
    <n v="3000003741"/>
    <d v="2025-07-08T00:00:00"/>
    <n v="20000000"/>
    <s v="MARTINEZ ZUCCARDI JORGE AGUSTISANTA LUCIA 14"/>
    <x v="726"/>
    <n v="20000000"/>
    <x v="94"/>
    <x v="2"/>
    <s v="pagado"/>
    <s v="pagado"/>
    <s v="excluir"/>
    <s v="no semana"/>
    <x v="0"/>
  </r>
  <r>
    <n v="3000003741"/>
    <d v="2025-07-08T00:00:00"/>
    <n v="15614443.08"/>
    <s v="MARTINEZ ZUCCARDI JORGE AGUSTISANTA LUCIA 14"/>
    <x v="727"/>
    <n v="15614443.08"/>
    <x v="95"/>
    <x v="2"/>
    <s v="pagado"/>
    <s v="pagado"/>
    <s v="excluir"/>
    <s v="no semana"/>
    <x v="0"/>
  </r>
  <r>
    <n v="3000003742"/>
    <d v="2025-07-08T00:00:00"/>
    <n v="25000000"/>
    <s v="Mudad Francisco Esteban Los Nogales 14"/>
    <x v="728"/>
    <n v="25000000"/>
    <x v="94"/>
    <x v="2"/>
    <s v="pagado"/>
    <s v="pagado"/>
    <s v="excluir"/>
    <s v="no semana"/>
    <x v="0"/>
  </r>
  <r>
    <n v="3000003742"/>
    <d v="2025-07-08T00:00:00"/>
    <n v="24680603.440000001"/>
    <s v="Mudad Francisco Esteban Los Nogales 14"/>
    <x v="729"/>
    <n v="24680603.440000001"/>
    <x v="95"/>
    <x v="2"/>
    <s v="pagado"/>
    <s v="pagado"/>
    <s v="excluir"/>
    <s v="no semana"/>
    <x v="0"/>
  </r>
  <r>
    <n v="3000003743"/>
    <d v="2025-07-08T00:00:00"/>
    <n v="15000000"/>
    <s v="MG SERVICIOS AGROPECUARIOS SASTAFI VIEJO 14"/>
    <x v="730"/>
    <n v="15000000"/>
    <x v="94"/>
    <x v="2"/>
    <s v="pagado"/>
    <s v="pagado"/>
    <s v="excluir"/>
    <s v="no semana"/>
    <x v="0"/>
  </r>
  <r>
    <n v="3000003743"/>
    <d v="2025-07-08T00:00:00"/>
    <n v="15000000"/>
    <s v="MG SERVICIOS AGROPECUARIOS SASTAFI VIEJO 14"/>
    <x v="731"/>
    <n v="15000000"/>
    <x v="94"/>
    <x v="2"/>
    <s v="pagado"/>
    <s v="pagado"/>
    <s v="excluir"/>
    <s v="no semana"/>
    <x v="0"/>
  </r>
  <r>
    <n v="3000003743"/>
    <d v="2025-07-08T00:00:00"/>
    <n v="15000000"/>
    <s v="MG SERVICIOS AGROPECUARIOS SASTAFI VIEJO 14"/>
    <x v="732"/>
    <n v="15000000"/>
    <x v="95"/>
    <x v="2"/>
    <s v="pagado"/>
    <s v="pagado"/>
    <s v="excluir"/>
    <s v="no semana"/>
    <x v="0"/>
  </r>
  <r>
    <n v="3000003743"/>
    <d v="2025-07-08T00:00:00"/>
    <n v="15326630.699999999"/>
    <s v="MG SERVICIOS AGROPECUARIOS SASTAFI VIEJO 14"/>
    <x v="733"/>
    <n v="15326630.699999999"/>
    <x v="95"/>
    <x v="2"/>
    <s v="pagado"/>
    <s v="pagado"/>
    <s v="excluir"/>
    <s v="no semana"/>
    <x v="0"/>
  </r>
  <r>
    <n v="3000003744"/>
    <d v="2025-07-08T00:00:00"/>
    <n v="5633692.1699999999"/>
    <s v="DUN Y BRADSTREET S.A CIUDAD AUTONOMA DE BUENOS AIRES 01"/>
    <x v="734"/>
    <n v="5633692.1699999999"/>
    <x v="94"/>
    <x v="2"/>
    <s v="pagado"/>
    <s v="pagado"/>
    <s v="excluir"/>
    <s v="no semana"/>
    <x v="0"/>
  </r>
  <r>
    <n v="3000003745"/>
    <d v="2025-07-08T00:00:00"/>
    <n v="7658980"/>
    <s v="Atenor Hnos. S.R.L SAN MIGUEL DE TUCUMAN 14"/>
    <x v="735"/>
    <n v="7658980"/>
    <x v="94"/>
    <x v="2"/>
    <s v="pagado"/>
    <s v="pagado"/>
    <s v="excluir"/>
    <s v="no semana"/>
    <x v="0"/>
  </r>
  <r>
    <n v="3000003746"/>
    <d v="2025-07-08T00:00:00"/>
    <n v="6217335.1100000003"/>
    <s v="TUCUMAN PALLET SRL EL MANANTIAL 14"/>
    <x v="736"/>
    <n v="6217335.1100000003"/>
    <x v="94"/>
    <x v="2"/>
    <s v="pagado"/>
    <s v="pagado"/>
    <s v="excluir"/>
    <s v="no semana"/>
    <x v="0"/>
  </r>
  <r>
    <n v="3000003747"/>
    <d v="2025-07-08T00:00:00"/>
    <n v="10000000"/>
    <s v="Asoc. Coop.Fac.Cie.Exac.y Tec.SAN MIGUEL DE TUCUMAN 14"/>
    <x v="737"/>
    <n v="10000000"/>
    <x v="94"/>
    <x v="2"/>
    <s v="pagado"/>
    <s v="pagado"/>
    <s v="excluir"/>
    <s v="no semana"/>
    <x v="0"/>
  </r>
  <r>
    <n v="3000003747"/>
    <d v="2025-07-08T00:00:00"/>
    <n v="9331743"/>
    <s v="Asoc. Coop.Fac.Cie.Exac.y Tec.SAN MIGUEL DE TUCUMAN 14"/>
    <x v="738"/>
    <n v="9331743"/>
    <x v="95"/>
    <x v="2"/>
    <s v="pagado"/>
    <s v="pagado"/>
    <s v="excluir"/>
    <s v="no semana"/>
    <x v="0"/>
  </r>
  <r>
    <n v="3000003748"/>
    <d v="2025-07-08T00:00:00"/>
    <n v="22000000"/>
    <s v="CEFAS S.A CIUDAD AUTONOMA DE BUENOS AIRES 01"/>
    <x v="739"/>
    <n v="22000000"/>
    <x v="94"/>
    <x v="2"/>
    <s v="pagado"/>
    <s v="pagado"/>
    <s v="excluir"/>
    <s v="no semana"/>
    <x v="0"/>
  </r>
  <r>
    <n v="3000003748"/>
    <d v="2025-07-08T00:00:00"/>
    <n v="20944742.699999999"/>
    <s v="CEFAS S.A CIUDAD AUTONOMA DE BUENOS AIRES 01"/>
    <x v="740"/>
    <n v="20944742.699999999"/>
    <x v="95"/>
    <x v="2"/>
    <s v="pagado"/>
    <s v="pagado"/>
    <s v="excluir"/>
    <s v="no semana"/>
    <x v="0"/>
  </r>
  <r>
    <n v="3000003749"/>
    <d v="2025-07-08T00:00:00"/>
    <n v="13000000"/>
    <s v="CORTEZ CHRISTIE ANA INES YERBA BUENA 14"/>
    <x v="741"/>
    <n v="13000000"/>
    <x v="94"/>
    <x v="2"/>
    <s v="pagado"/>
    <s v="pagado"/>
    <s v="excluir"/>
    <s v="no semana"/>
    <x v="0"/>
  </r>
  <r>
    <n v="3000003749"/>
    <d v="2025-07-08T00:00:00"/>
    <n v="10211664"/>
    <s v="CORTEZ CHRISTIE ANA INES YERBA BUENA 14"/>
    <x v="742"/>
    <n v="10211664"/>
    <x v="95"/>
    <x v="2"/>
    <s v="pagado"/>
    <s v="pagado"/>
    <s v="excluir"/>
    <s v="no semana"/>
    <x v="0"/>
  </r>
  <r>
    <n v="3000003750"/>
    <d v="2025-07-08T00:00:00"/>
    <n v="36000000"/>
    <s v="LA MARTINA SERV. AGRICOLAS S.RSAN PABLO 14"/>
    <x v="743"/>
    <n v="36000000"/>
    <x v="94"/>
    <x v="2"/>
    <s v="pagado"/>
    <s v="pagado"/>
    <s v="excluir"/>
    <s v="no semana"/>
    <x v="0"/>
  </r>
  <r>
    <n v="3000003750"/>
    <d v="2025-07-08T00:00:00"/>
    <n v="30093588.199999999"/>
    <s v="LA MARTINA SERV. AGRICOLAS S.RSAN PABLO 14"/>
    <x v="744"/>
    <n v="30093588.199999999"/>
    <x v="95"/>
    <x v="2"/>
    <s v="pagado"/>
    <s v="pagado"/>
    <s v="excluir"/>
    <s v="no semana"/>
    <x v="0"/>
  </r>
  <r>
    <n v="3000003751"/>
    <d v="2025-07-08T00:00:00"/>
    <n v="20000000"/>
    <s v="PAMPLONA SRL SAN MIGUEL DE TUCUMAN 14"/>
    <x v="745"/>
    <n v="20000000"/>
    <x v="94"/>
    <x v="2"/>
    <s v="pagado"/>
    <s v="pagado"/>
    <s v="excluir"/>
    <s v="no semana"/>
    <x v="0"/>
  </r>
  <r>
    <n v="3000003751"/>
    <d v="2025-07-08T00:00:00"/>
    <n v="18158856.329999998"/>
    <s v="PAMPLONA SRL SAN MIGUEL DE TUCUMAN 14"/>
    <x v="746"/>
    <n v="18158856.329999998"/>
    <x v="95"/>
    <x v="2"/>
    <s v="pagado"/>
    <s v="pagado"/>
    <s v="excluir"/>
    <s v="no semana"/>
    <x v="0"/>
  </r>
  <r>
    <n v="3000003752"/>
    <d v="2025-07-08T00:00:00"/>
    <n v="15000000"/>
    <s v="ROMERO SERVICIOS S. A. S. ALPACHIRI 14"/>
    <x v="747"/>
    <n v="15000000"/>
    <x v="94"/>
    <x v="2"/>
    <s v="pagado"/>
    <s v="pagado"/>
    <s v="excluir"/>
    <s v="no semana"/>
    <x v="0"/>
  </r>
  <r>
    <n v="3000003752"/>
    <d v="2025-07-08T00:00:00"/>
    <n v="12332042.08"/>
    <s v="ROMERO SERVICIOS S. A. S. ALPACHIRI 14"/>
    <x v="748"/>
    <n v="12332042.08"/>
    <x v="95"/>
    <x v="2"/>
    <s v="pagado"/>
    <s v="pagado"/>
    <s v="excluir"/>
    <s v="no semana"/>
    <x v="0"/>
  </r>
  <r>
    <n v="3000003753"/>
    <d v="2025-07-08T00:00:00"/>
    <n v="12752756.26"/>
    <s v="SAUCE HUACHO SERVICIOS S.R.L MONTEROS 14"/>
    <x v="749"/>
    <n v="12752756.26"/>
    <x v="94"/>
    <x v="2"/>
    <s v="pagado"/>
    <s v="pagado"/>
    <s v="excluir"/>
    <s v="no semana"/>
    <x v="0"/>
  </r>
  <r>
    <n v="3000003754"/>
    <d v="2025-07-08T00:00:00"/>
    <n v="10000000"/>
    <s v="MG SERVICIOS AGROPECUARIOS SASTAFI VIEJO 14"/>
    <x v="750"/>
    <n v="10000000"/>
    <x v="94"/>
    <x v="2"/>
    <s v="pagado"/>
    <s v="pagado"/>
    <s v="excluir"/>
    <s v="no semana"/>
    <x v="0"/>
  </r>
  <r>
    <n v="3000003754"/>
    <d v="2025-07-08T00:00:00"/>
    <n v="10000000"/>
    <s v="MG SERVICIOS AGROPECUARIOS SASTAFI VIEJO 14"/>
    <x v="751"/>
    <n v="10000000"/>
    <x v="94"/>
    <x v="2"/>
    <s v="pagado"/>
    <s v="pagado"/>
    <s v="excluir"/>
    <s v="no semana"/>
    <x v="0"/>
  </r>
  <r>
    <n v="3000003754"/>
    <d v="2025-07-08T00:00:00"/>
    <n v="10000000"/>
    <s v="MG SERVICIOS AGROPECUARIOS SASTAFI VIEJO 14"/>
    <x v="752"/>
    <n v="10000000"/>
    <x v="94"/>
    <x v="2"/>
    <s v="pagado"/>
    <s v="pagado"/>
    <s v="excluir"/>
    <s v="no semana"/>
    <x v="0"/>
  </r>
  <r>
    <n v="3000003754"/>
    <d v="2025-07-08T00:00:00"/>
    <n v="10000000"/>
    <s v="MG SERVICIOS AGROPECUARIOS SASTAFI VIEJO 14"/>
    <x v="753"/>
    <n v="10000000"/>
    <x v="94"/>
    <x v="2"/>
    <s v="pagado"/>
    <s v="pagado"/>
    <s v="excluir"/>
    <s v="no semana"/>
    <x v="0"/>
  </r>
  <r>
    <n v="3000003754"/>
    <d v="2025-07-08T00:00:00"/>
    <n v="20000000"/>
    <s v="MG SERVICIOS AGROPECUARIOS SASTAFI VIEJO 14"/>
    <x v="754"/>
    <n v="20000000"/>
    <x v="95"/>
    <x v="2"/>
    <s v="pagado"/>
    <s v="pagado"/>
    <s v="excluir"/>
    <s v="no semana"/>
    <x v="0"/>
  </r>
  <r>
    <n v="3000003754"/>
    <d v="2025-07-08T00:00:00"/>
    <n v="23236134.239999998"/>
    <s v="MG SERVICIOS AGROPECUARIOS SASTAFI VIEJO 14"/>
    <x v="755"/>
    <n v="23236134.239999998"/>
    <x v="95"/>
    <x v="2"/>
    <s v="pagado"/>
    <s v="pagado"/>
    <s v="excluir"/>
    <s v="no semana"/>
    <x v="0"/>
  </r>
  <r>
    <n v="3000003755"/>
    <d v="2025-07-08T00:00:00"/>
    <n v="15939620.75"/>
    <s v="EXPORTADORA DEL LITORAL SA SAN PEDRO 01"/>
    <x v="756"/>
    <n v="15939620.75"/>
    <x v="94"/>
    <x v="2"/>
    <s v="pagado"/>
    <s v="pagado"/>
    <s v="excluir"/>
    <s v="no semana"/>
    <x v="0"/>
  </r>
  <r>
    <n v="3000003811"/>
    <d v="2025-07-10T00:00:00"/>
    <n v="6710848.5599999996"/>
    <s v="PAEZ LEONEL EXEQUIEL MACIO 14"/>
    <x v="757"/>
    <n v="6710848.5599999996"/>
    <x v="96"/>
    <x v="2"/>
    <s v="pagado"/>
    <s v="pagado"/>
    <s v="excluir"/>
    <s v="no semana"/>
    <x v="0"/>
  </r>
  <r>
    <n v="3000003812"/>
    <d v="2025-07-10T00:00:00"/>
    <n v="6753755.9000000004"/>
    <s v="HERRERA RICARDO ALBERTO BANDA DEL RIO SALI 14"/>
    <x v="758"/>
    <n v="6753755.9000000004"/>
    <x v="96"/>
    <x v="2"/>
    <s v="pagado"/>
    <s v="pagado"/>
    <s v="excluir"/>
    <s v="no semana"/>
    <x v="0"/>
  </r>
  <r>
    <n v="3000003813"/>
    <d v="2025-07-10T00:00:00"/>
    <n v="4831229.0199999996"/>
    <s v="VIDES HECTOR FERNANDO VILLA LA TRINIDAD 14"/>
    <x v="759"/>
    <n v="4831229.0199999996"/>
    <x v="96"/>
    <x v="2"/>
    <s v="pagado"/>
    <s v="pagado"/>
    <s v="excluir"/>
    <s v="no semana"/>
    <x v="0"/>
  </r>
  <r>
    <n v="3000003814"/>
    <d v="2025-07-10T00:00:00"/>
    <n v="17357672.760000002"/>
    <s v="TRANSPORTE FRIOS DEL NORTE S.RSAN MIGUEL DE TUCUMAN 14"/>
    <x v="760"/>
    <n v="17357672.760000002"/>
    <x v="96"/>
    <x v="2"/>
    <s v="pagado"/>
    <s v="pagado"/>
    <s v="excluir"/>
    <s v="no semana"/>
    <x v="0"/>
  </r>
  <r>
    <n v="3000003815"/>
    <d v="2025-07-10T00:00:00"/>
    <n v="20000000"/>
    <s v="CAPETTA ANTONELLA ANAHI SAN MIGUEL DE TUCUMAN 14"/>
    <x v="761"/>
    <n v="20000000"/>
    <x v="96"/>
    <x v="2"/>
    <s v="pagado"/>
    <s v="pagado"/>
    <s v="excluir"/>
    <s v="no semana"/>
    <x v="0"/>
  </r>
  <r>
    <n v="3000003815"/>
    <d v="2025-07-10T00:00:00"/>
    <n v="14533641.789999999"/>
    <s v="CAPETTA ANTONELLA ANAHI SAN MIGUEL DE TUCUMAN 14"/>
    <x v="762"/>
    <n v="14533641.789999999"/>
    <x v="96"/>
    <x v="2"/>
    <s v="pagado"/>
    <s v="pagado"/>
    <s v="excluir"/>
    <s v="no semana"/>
    <x v="0"/>
  </r>
  <r>
    <n v="3000003816"/>
    <d v="2025-07-10T00:00:00"/>
    <n v="0"/>
    <s v="invalidado med.EOLIVERA -Destruido/ Sin uso"/>
    <x v="763"/>
    <n v="0"/>
    <x v="96"/>
    <x v="2"/>
    <s v="no pagado"/>
    <s v="fuera de fecha"/>
    <s v="excluir"/>
    <s v="no semana"/>
    <x v="0"/>
  </r>
  <r>
    <n v="3000003816"/>
    <d v="2025-07-10T00:00:00"/>
    <n v="10914260.119999999"/>
    <s v="RL SOLUCIONES S. A. S. SAN MIGUEL DE TUCUMAN 14"/>
    <x v="764"/>
    <n v="10914260.119999999"/>
    <x v="96"/>
    <x v="2"/>
    <s v="pagado"/>
    <s v="pagado"/>
    <s v="excluir"/>
    <s v="no semana"/>
    <x v="0"/>
  </r>
  <r>
    <n v="3000003817"/>
    <d v="2025-07-10T00:00:00"/>
    <n v="4260111.08"/>
    <s v="MAC DONALD MIGUEL ALEJANDRO BANDA DEL RIO SALI 14"/>
    <x v="765"/>
    <n v="4260111.08"/>
    <x v="96"/>
    <x v="2"/>
    <s v="pagado"/>
    <s v="pagado"/>
    <s v="excluir"/>
    <s v="no semana"/>
    <x v="0"/>
  </r>
  <r>
    <n v="3000003818"/>
    <d v="2025-07-10T00:00:00"/>
    <n v="8466031.1600000001"/>
    <s v="JACQUET NORBERTO SALVADOR SAN JOSE 05"/>
    <x v="766"/>
    <n v="8466031.1600000001"/>
    <x v="96"/>
    <x v="2"/>
    <s v="pagado"/>
    <s v="pagado"/>
    <s v="excluir"/>
    <s v="no semana"/>
    <x v="0"/>
  </r>
  <r>
    <n v="3000003819"/>
    <d v="2025-07-10T00:00:00"/>
    <n v="0"/>
    <s v="invalidado med.EOLIVERA -Destruido/ Sin uso"/>
    <x v="767"/>
    <n v="0"/>
    <x v="96"/>
    <x v="2"/>
    <s v="no pagado"/>
    <s v="fuera de fecha"/>
    <s v="excluir"/>
    <s v="no semana"/>
    <x v="0"/>
  </r>
  <r>
    <n v="3000003820"/>
    <d v="2025-07-10T00:00:00"/>
    <n v="7000000"/>
    <s v="D´ANDREA SERGIO FRANCISCO YERBA BUENA 14"/>
    <x v="768"/>
    <n v="7000000"/>
    <x v="96"/>
    <x v="2"/>
    <s v="pagado"/>
    <s v="pagado"/>
    <s v="excluir"/>
    <s v="no semana"/>
    <x v="0"/>
  </r>
  <r>
    <n v="3000003820"/>
    <d v="2025-07-10T00:00:00"/>
    <n v="8136224.2400000002"/>
    <s v="D´ANDREA SERGIO FRANCISCO YERBA BUENA 14"/>
    <x v="769"/>
    <n v="8136224.2400000002"/>
    <x v="96"/>
    <x v="2"/>
    <s v="pagado"/>
    <s v="pagado"/>
    <s v="excluir"/>
    <s v="no semana"/>
    <x v="0"/>
  </r>
  <r>
    <n v="3000003900"/>
    <d v="2025-07-14T00:00:00"/>
    <n v="10261641.91"/>
    <s v="VISMA ARGENTINA SA CAPITAL FEDERAL 14"/>
    <x v="770"/>
    <n v="10261641.91"/>
    <x v="97"/>
    <x v="2"/>
    <s v="pagado"/>
    <s v="pagado"/>
    <s v="excluir"/>
    <s v="no semana"/>
    <x v="0"/>
  </r>
  <r>
    <n v="3000003901"/>
    <d v="2025-07-14T00:00:00"/>
    <n v="30000000"/>
    <s v="GALINDO CONSTRUCCIONES SRL SAN MIGUEL DE TUCUMAN 14"/>
    <x v="771"/>
    <n v="30000000"/>
    <x v="97"/>
    <x v="2"/>
    <s v="pagado"/>
    <s v="pagado"/>
    <s v="excluir"/>
    <s v="no semana"/>
    <x v="0"/>
  </r>
  <r>
    <n v="3000003901"/>
    <d v="2025-07-14T00:00:00"/>
    <n v="22220964.949999999"/>
    <s v="GALINDO CONSTRUCCIONES SRL SAN MIGUEL DE TUCUMAN 14"/>
    <x v="772"/>
    <n v="22220964.949999999"/>
    <x v="98"/>
    <x v="2"/>
    <s v="pagado"/>
    <s v="pagado"/>
    <s v="excluir"/>
    <s v="no semana"/>
    <x v="0"/>
  </r>
  <r>
    <n v="3000003902"/>
    <d v="2025-07-14T00:00:00"/>
    <n v="13699381.84"/>
    <s v="PAMPLONA SRL SAN MIGUEL DE TUCUMAN 14"/>
    <x v="773"/>
    <n v="13699381.84"/>
    <x v="97"/>
    <x v="2"/>
    <s v="pagado"/>
    <s v="pagado"/>
    <s v="excluir"/>
    <s v="no semana"/>
    <x v="0"/>
  </r>
  <r>
    <n v="3000003903"/>
    <d v="2025-07-14T00:00:00"/>
    <n v="7800000"/>
    <s v="MELIAN MASSERA MARIA DE LAS MESAN MIGUEL DE TUCUMAN 14"/>
    <x v="774"/>
    <n v="7800000"/>
    <x v="97"/>
    <x v="2"/>
    <s v="pagado"/>
    <s v="pagado"/>
    <s v="excluir"/>
    <s v="no semana"/>
    <x v="0"/>
  </r>
  <r>
    <n v="3000003904"/>
    <d v="2025-07-14T00:00:00"/>
    <n v="4353141.97"/>
    <s v="CARAM ERNESTO JOSE SAN MIGUEL DE TUCUMAN 14"/>
    <x v="775"/>
    <n v="4353141.97"/>
    <x v="97"/>
    <x v="2"/>
    <s v="pagado"/>
    <s v="pagado"/>
    <s v="excluir"/>
    <s v="no semana"/>
    <x v="0"/>
  </r>
  <r>
    <n v="3000003905"/>
    <d v="2025-07-14T00:00:00"/>
    <n v="13488459.039999999"/>
    <s v="CITRAR SRL SAN MIGUEL DE TUCUMAN 14"/>
    <x v="776"/>
    <n v="13488459.039999999"/>
    <x v="97"/>
    <x v="2"/>
    <s v="pagado"/>
    <s v="pagado"/>
    <s v="excluir"/>
    <s v="no semana"/>
    <x v="0"/>
  </r>
  <r>
    <n v="3000003907"/>
    <d v="2025-07-14T00:00:00"/>
    <n v="6569181.9100000001"/>
    <s v="MANCERA JOSEFINA REMIGIA SAN MIGUEL DE TUCUMAN 14"/>
    <x v="777"/>
    <n v="6569181.9100000001"/>
    <x v="97"/>
    <x v="2"/>
    <s v="pagado"/>
    <s v="pagado"/>
    <s v="excluir"/>
    <s v="no semana"/>
    <x v="0"/>
  </r>
  <r>
    <n v="3000003908"/>
    <d v="2025-07-14T00:00:00"/>
    <n v="0"/>
    <s v="Anulado"/>
    <x v="778"/>
    <n v="0"/>
    <x v="97"/>
    <x v="2"/>
    <s v="no pagado"/>
    <s v="fuera de fecha"/>
    <s v="excluir"/>
    <s v="no semana"/>
    <x v="0"/>
  </r>
  <r>
    <n v="3000003908"/>
    <d v="2025-07-14T00:00:00"/>
    <n v="0"/>
    <s v="Anulado"/>
    <x v="779"/>
    <n v="0"/>
    <x v="98"/>
    <x v="2"/>
    <s v="no pagado"/>
    <s v="fuera de fecha"/>
    <s v="excluir"/>
    <s v="no semana"/>
    <x v="0"/>
  </r>
  <r>
    <n v="3000003909"/>
    <d v="2025-07-14T00:00:00"/>
    <n v="12489750"/>
    <s v="TUCUMAN PALLET SRL EL MANANTIAL 14"/>
    <x v="780"/>
    <n v="12489750"/>
    <x v="97"/>
    <x v="2"/>
    <s v="pagado"/>
    <s v="pagado"/>
    <s v="excluir"/>
    <s v="no semana"/>
    <x v="0"/>
  </r>
  <r>
    <n v="3000003910"/>
    <d v="2025-07-14T00:00:00"/>
    <n v="6983753.46"/>
    <s v="M.A.D Serv y mant eléctri SAN MIGUEL DE TUCUMAN 14"/>
    <x v="781"/>
    <n v="6983753.46"/>
    <x v="97"/>
    <x v="2"/>
    <s v="pagado"/>
    <s v="pagado"/>
    <s v="excluir"/>
    <s v="no semana"/>
    <x v="0"/>
  </r>
  <r>
    <n v="3000003965"/>
    <d v="2025-07-16T00:00:00"/>
    <n v="10000000"/>
    <s v="MOLINA JUAN F. Y MOLINA ROQUE Lastenia 14"/>
    <x v="782"/>
    <n v="10000000"/>
    <x v="98"/>
    <x v="2"/>
    <s v="pagado"/>
    <s v="pagado"/>
    <s v="excluir"/>
    <s v="no semana"/>
    <x v="0"/>
  </r>
  <r>
    <n v="3000003965"/>
    <d v="2025-07-16T00:00:00"/>
    <n v="10713128.49"/>
    <s v="MOLINA JUAN F. Y MOLINA ROQUE Lastenia 14"/>
    <x v="783"/>
    <n v="10713128.49"/>
    <x v="99"/>
    <x v="2"/>
    <s v="pagado"/>
    <s v="pagado"/>
    <s v="excluir"/>
    <s v="no semana"/>
    <x v="0"/>
  </r>
  <r>
    <n v="3000003966"/>
    <d v="2025-07-16T00:00:00"/>
    <n v="10000000"/>
    <s v="BONSUR SA CAPITAL FEDERAL 00"/>
    <x v="784"/>
    <n v="10000000"/>
    <x v="98"/>
    <x v="2"/>
    <s v="pagado"/>
    <s v="pagado"/>
    <s v="excluir"/>
    <s v="no semana"/>
    <x v="0"/>
  </r>
  <r>
    <n v="3000003966"/>
    <d v="2025-07-16T00:00:00"/>
    <n v="8034755"/>
    <s v="BONSUR SA CAPITAL FEDERAL 00"/>
    <x v="785"/>
    <n v="8034755"/>
    <x v="99"/>
    <x v="2"/>
    <s v="pagado"/>
    <s v="pagado"/>
    <s v="excluir"/>
    <s v="no semana"/>
    <x v="0"/>
  </r>
  <r>
    <n v="3000003967"/>
    <d v="2025-07-16T00:00:00"/>
    <n v="12492016.390000001"/>
    <s v="CEMEVA SAS YERBA BUENA 14"/>
    <x v="786"/>
    <n v="12492016.390000001"/>
    <x v="98"/>
    <x v="2"/>
    <s v="pagado"/>
    <s v="pagado"/>
    <s v="excluir"/>
    <s v="no semana"/>
    <x v="0"/>
  </r>
  <r>
    <n v="3000003968"/>
    <d v="2025-07-16T00:00:00"/>
    <n v="4233015.58"/>
    <s v="JACQUET NORBERTO SALVADOR SAN JOSE 05"/>
    <x v="787"/>
    <n v="4233015.58"/>
    <x v="98"/>
    <x v="2"/>
    <s v="pagado"/>
    <s v="pagado"/>
    <s v="excluir"/>
    <s v="no semana"/>
    <x v="0"/>
  </r>
  <r>
    <n v="3000003969"/>
    <d v="2025-07-16T00:00:00"/>
    <n v="0"/>
    <s v="invalidado med.EOLIVERA -Destruido/ Sin uso"/>
    <x v="788"/>
    <n v="0"/>
    <x v="98"/>
    <x v="2"/>
    <s v="no pagado"/>
    <s v="fuera de fecha"/>
    <s v="excluir"/>
    <s v="no semana"/>
    <x v="0"/>
  </r>
  <r>
    <n v="3000003970"/>
    <d v="2025-07-16T00:00:00"/>
    <n v="25000000"/>
    <s v="CAPETTA ANTONELLA ANAHI SAN MIGUEL DE TUCUMAN 14"/>
    <x v="789"/>
    <n v="25000000"/>
    <x v="98"/>
    <x v="2"/>
    <s v="pagado"/>
    <s v="pagado"/>
    <s v="excluir"/>
    <s v="no semana"/>
    <x v="0"/>
  </r>
  <r>
    <n v="3000003970"/>
    <d v="2025-07-16T00:00:00"/>
    <n v="21218891.469999999"/>
    <s v="CAPETTA ANTONELLA ANAHI SAN MIGUEL DE TUCUMAN 14"/>
    <x v="790"/>
    <n v="21218891.469999999"/>
    <x v="99"/>
    <x v="2"/>
    <s v="pagado"/>
    <s v="pagado"/>
    <s v="excluir"/>
    <s v="no semana"/>
    <x v="0"/>
  </r>
  <r>
    <n v="3000003971"/>
    <d v="2025-07-16T00:00:00"/>
    <n v="5801867.54"/>
    <s v="TRANSPORTE FRIOS DEL NORTE S.RSAN MIGUEL DE TUCUMAN 14"/>
    <x v="791"/>
    <n v="5801867.54"/>
    <x v="98"/>
    <x v="2"/>
    <s v="pagado"/>
    <s v="pagado"/>
    <s v="excluir"/>
    <s v="no semana"/>
    <x v="0"/>
  </r>
  <r>
    <n v="3000003972"/>
    <d v="2025-07-16T00:00:00"/>
    <n v="4491060.1900000004"/>
    <s v="Bustos Sergio Alejandro Banda Rio Sali 14"/>
    <x v="792"/>
    <n v="4491060.1900000004"/>
    <x v="98"/>
    <x v="2"/>
    <s v="pagado"/>
    <s v="pagado"/>
    <s v="excluir"/>
    <s v="no semana"/>
    <x v="0"/>
  </r>
  <r>
    <n v="3000003973"/>
    <d v="2025-07-16T00:00:00"/>
    <n v="5061103.07"/>
    <s v="PERATO LUIS ALBERTO BANDA DEL RIO SALI 14"/>
    <x v="793"/>
    <n v="5061103.07"/>
    <x v="98"/>
    <x v="2"/>
    <s v="pagado"/>
    <s v="pagado"/>
    <s v="excluir"/>
    <s v="no semana"/>
    <x v="0"/>
  </r>
  <r>
    <n v="3000003974"/>
    <d v="2025-07-16T00:00:00"/>
    <n v="10000000"/>
    <s v="SUAREZ MANUEL RODOLFO ALDERETES 14"/>
    <x v="794"/>
    <n v="10000000"/>
    <x v="98"/>
    <x v="2"/>
    <s v="pagado"/>
    <s v="pagado"/>
    <s v="excluir"/>
    <s v="no semana"/>
    <x v="0"/>
  </r>
  <r>
    <n v="3000003974"/>
    <d v="2025-07-16T00:00:00"/>
    <n v="9550707.5500000007"/>
    <s v="SUAREZ MANUEL RODOLFO ALDERETES 14"/>
    <x v="795"/>
    <n v="9550707.5500000007"/>
    <x v="99"/>
    <x v="2"/>
    <s v="pagado"/>
    <s v="pagado"/>
    <s v="excluir"/>
    <s v="no semana"/>
    <x v="0"/>
  </r>
  <r>
    <n v="3000003975"/>
    <d v="2025-07-16T00:00:00"/>
    <n v="13413612.02"/>
    <s v="Terminal 4 S.A. Puerto Nuevo 01"/>
    <x v="796"/>
    <n v="13413612.02"/>
    <x v="98"/>
    <x v="2"/>
    <s v="pagado"/>
    <s v="pagado"/>
    <s v="excluir"/>
    <s v="no semana"/>
    <x v="0"/>
  </r>
  <r>
    <n v="3000003976"/>
    <d v="2025-07-16T00:00:00"/>
    <n v="10621473.99"/>
    <s v="FERNANDEZ HECTOR JOSE SIMOCA 14"/>
    <x v="797"/>
    <n v="10621473.99"/>
    <x v="98"/>
    <x v="2"/>
    <s v="pagado"/>
    <s v="pagado"/>
    <s v="excluir"/>
    <s v="no semana"/>
    <x v="0"/>
  </r>
  <r>
    <n v="3000003977"/>
    <d v="2025-07-16T00:00:00"/>
    <n v="10000000"/>
    <s v="PERATO CRISTIAN LUIS BANDA DEL RIO SALI 14"/>
    <x v="798"/>
    <n v="10000000"/>
    <x v="98"/>
    <x v="2"/>
    <s v="pagado"/>
    <s v="pagado"/>
    <s v="excluir"/>
    <s v="no semana"/>
    <x v="0"/>
  </r>
  <r>
    <n v="3000003977"/>
    <d v="2025-07-16T00:00:00"/>
    <n v="6641609.0599999996"/>
    <s v="PERATO CRISTIAN LUIS BANDA DEL RIO SALI 14"/>
    <x v="799"/>
    <n v="6641609.0599999996"/>
    <x v="99"/>
    <x v="2"/>
    <s v="pagado"/>
    <s v="pagado"/>
    <s v="excluir"/>
    <s v="no semana"/>
    <x v="0"/>
  </r>
  <r>
    <n v="3000003978"/>
    <d v="2025-07-16T00:00:00"/>
    <n v="4521811.55"/>
    <s v="PEDRO GABRIEL ALEJANDRO ALDERETES 14"/>
    <x v="800"/>
    <n v="4521811.55"/>
    <x v="98"/>
    <x v="2"/>
    <s v="pagado"/>
    <s v="pagado"/>
    <s v="excluir"/>
    <s v="no semana"/>
    <x v="0"/>
  </r>
  <r>
    <n v="3000003979"/>
    <d v="2025-07-16T00:00:00"/>
    <n v="7632102.7000000002"/>
    <s v="ALVAREZ RENE JOSE MARIA BELLA VISTA 14"/>
    <x v="801"/>
    <n v="7632102.7000000002"/>
    <x v="98"/>
    <x v="2"/>
    <s v="pagado"/>
    <s v="pagado"/>
    <s v="excluir"/>
    <s v="no semana"/>
    <x v="0"/>
  </r>
  <r>
    <n v="3000003980"/>
    <d v="2025-07-16T00:00:00"/>
    <n v="3955942.8"/>
    <s v="Transportes La Sevillanita S.RALDERETES 14"/>
    <x v="802"/>
    <n v="3955942.8"/>
    <x v="98"/>
    <x v="2"/>
    <s v="pagado"/>
    <s v="pagado"/>
    <s v="excluir"/>
    <s v="no semana"/>
    <x v="0"/>
  </r>
  <r>
    <n v="3000003981"/>
    <d v="2025-07-16T00:00:00"/>
    <n v="5113517.75"/>
    <s v="TRANSPORTE MEDINA S.H. CRUZ ALTA 14"/>
    <x v="803"/>
    <n v="5113517.75"/>
    <x v="98"/>
    <x v="0"/>
    <s v="pagado"/>
    <s v="pagado"/>
    <s v="excluir"/>
    <s v="no semana"/>
    <x v="0"/>
  </r>
  <r>
    <n v="3000004017"/>
    <d v="2025-07-17T00:00:00"/>
    <n v="44511430"/>
    <s v="EDET S.A. SAN MIGUEL DE TUCUMAN 14"/>
    <x v="804"/>
    <n v="44511430"/>
    <x v="98"/>
    <x v="0"/>
    <s v="pagado"/>
    <s v="pagado"/>
    <s v="excluir"/>
    <s v="no semana"/>
    <x v="0"/>
  </r>
  <r>
    <n v="3000004035"/>
    <d v="2025-07-18T00:00:00"/>
    <n v="48913640"/>
    <s v="EDET S.A. SAN MIGUEL DE TUCUMAN 14"/>
    <x v="805"/>
    <n v="48913640"/>
    <x v="99"/>
    <x v="0"/>
    <s v="pagado"/>
    <s v="pagado"/>
    <s v="excluir"/>
    <s v="no semana"/>
    <x v="0"/>
  </r>
  <r>
    <n v="3000004127"/>
    <d v="2025-07-22T00:00:00"/>
    <n v="189261030"/>
    <s v="EDET S.A. SAN MIGUEL DE TUCUMAN 14"/>
    <x v="806"/>
    <n v="189261030"/>
    <x v="100"/>
    <x v="0"/>
    <s v="pagado"/>
    <s v="pagado"/>
    <s v="excluir"/>
    <s v="no semana"/>
    <x v="0"/>
  </r>
  <r>
    <n v="3000004145"/>
    <d v="2025-07-22T00:00:00"/>
    <n v="11607857.279999999"/>
    <s v="BUSTOS GUILLERMO DARIO ALDERETES 14"/>
    <x v="807"/>
    <n v="11607857.279999999"/>
    <x v="101"/>
    <x v="0"/>
    <s v="pagado"/>
    <s v="pagado"/>
    <s v="excluir"/>
    <s v="no semana"/>
    <x v="0"/>
  </r>
  <r>
    <n v="3000004146"/>
    <d v="2025-07-22T00:00:00"/>
    <n v="2916734.73"/>
    <s v="TRANSPORTE MEDINA S.H. CRUZ ALTA 14"/>
    <x v="808"/>
    <n v="2916734.73"/>
    <x v="101"/>
    <x v="0"/>
    <s v="pagado"/>
    <s v="pagado"/>
    <s v="excluir"/>
    <s v="no semana"/>
    <x v="0"/>
  </r>
  <r>
    <n v="3000004075"/>
    <d v="2025-07-22T00:00:00"/>
    <n v="15115990.58"/>
    <s v="Vaquera Francisco Alfredo Monteros 14"/>
    <x v="809"/>
    <n v="15115990.58"/>
    <x v="100"/>
    <x v="0"/>
    <s v="pagado"/>
    <s v="pagado"/>
    <s v="excluir"/>
    <s v="no semana"/>
    <x v="0"/>
  </r>
  <r>
    <n v="3000004076"/>
    <d v="2025-07-22T00:00:00"/>
    <n v="5122469.21"/>
    <s v="Arias Carlos Alberto SAN MIGUEL DE TUCUMAN 14"/>
    <x v="810"/>
    <n v="5122469.21"/>
    <x v="100"/>
    <x v="0"/>
    <s v="pagado"/>
    <s v="pagado"/>
    <s v="excluir"/>
    <s v="no semana"/>
    <x v="0"/>
  </r>
  <r>
    <n v="3000004077"/>
    <d v="2025-07-22T00:00:00"/>
    <n v="5121589.4400000004"/>
    <s v="NARANJO GONZALO JOSE TARUCA PAMPA 14"/>
    <x v="811"/>
    <n v="5121589.4400000004"/>
    <x v="100"/>
    <x v="0"/>
    <s v="pagado"/>
    <s v="pagado"/>
    <s v="excluir"/>
    <s v="no semana"/>
    <x v="0"/>
  </r>
  <r>
    <n v="3000004078"/>
    <d v="2025-07-22T00:00:00"/>
    <n v="13226597.09"/>
    <s v="SERV.AGROP VILLA PAPADAKIS S.RSALTA 09"/>
    <x v="812"/>
    <n v="13226597.09"/>
    <x v="100"/>
    <x v="0"/>
    <s v="pagado"/>
    <s v="pagado"/>
    <s v="excluir"/>
    <s v="no semana"/>
    <x v="0"/>
  </r>
  <r>
    <n v="3000004079"/>
    <d v="2025-07-22T00:00:00"/>
    <n v="38157945.75"/>
    <s v="COMPAÑIA INVERSORA DE ENERGIA CIUDAD AUTONOMA BUENOS AIRES 00"/>
    <x v="813"/>
    <n v="38157945.75"/>
    <x v="102"/>
    <x v="0"/>
    <s v="pagado"/>
    <s v="pagado"/>
    <s v="excluir"/>
    <s v="no semana"/>
    <x v="0"/>
  </r>
  <r>
    <n v="3000004080"/>
    <d v="2025-07-22T00:00:00"/>
    <n v="7637657.4900000002"/>
    <s v="INSITU S.R.L SAN MIGUEL DE TUCUMAN 14"/>
    <x v="814"/>
    <n v="7637657.4900000002"/>
    <x v="100"/>
    <x v="0"/>
    <s v="pagado"/>
    <s v="pagado"/>
    <s v="excluir"/>
    <s v="no semana"/>
    <x v="0"/>
  </r>
  <r>
    <n v="3000004081"/>
    <d v="2025-07-22T00:00:00"/>
    <n v="5362448.92"/>
    <s v="LABAC S.A. COLON 01"/>
    <x v="815"/>
    <n v="5362448.92"/>
    <x v="103"/>
    <x v="0"/>
    <s v="pagado"/>
    <s v="pagado"/>
    <s v="excluir"/>
    <s v="no semana"/>
    <x v="0"/>
  </r>
  <r>
    <n v="3000004082"/>
    <d v="2025-07-22T00:00:00"/>
    <n v="18435105.66"/>
    <s v="VIRAL IMPORTS SA YERBA BUENA 14"/>
    <x v="816"/>
    <n v="18435105.66"/>
    <x v="100"/>
    <x v="0"/>
    <s v="pagado"/>
    <s v="pagado"/>
    <s v="excluir"/>
    <s v="no semana"/>
    <x v="0"/>
  </r>
  <r>
    <n v="3000004083"/>
    <d v="2025-07-22T00:00:00"/>
    <n v="6240742.1100000003"/>
    <s v="PAMPLONA SRL SAN MIGUEL DE TUCUMAN 14"/>
    <x v="817"/>
    <n v="6240742.1100000003"/>
    <x v="100"/>
    <x v="0"/>
    <s v="pagado"/>
    <s v="pagado"/>
    <s v="excluir"/>
    <s v="no semana"/>
    <x v="0"/>
  </r>
  <r>
    <n v="3000004084"/>
    <d v="2025-07-22T00:00:00"/>
    <n v="2189670.7400000002"/>
    <s v="MG SERVICIOS AGROPECUARIOS SASTAFI VIEJO 14"/>
    <x v="818"/>
    <n v="2189670.7400000002"/>
    <x v="100"/>
    <x v="0"/>
    <s v="pagado"/>
    <s v="pagado"/>
    <s v="excluir"/>
    <s v="no semana"/>
    <x v="0"/>
  </r>
  <r>
    <n v="3000004085"/>
    <d v="2025-07-22T00:00:00"/>
    <n v="7196152.6200000001"/>
    <s v="ROMERO SERVICIOS S. A. S. ALPACHIRI 14"/>
    <x v="819"/>
    <n v="7196152.6200000001"/>
    <x v="100"/>
    <x v="0"/>
    <s v="pagado"/>
    <s v="pagado"/>
    <s v="excluir"/>
    <s v="no semana"/>
    <x v="0"/>
  </r>
  <r>
    <n v="3000004086"/>
    <d v="2025-07-22T00:00:00"/>
    <n v="25000000"/>
    <s v="AGROPECUARIA MUNDO NUEVO SRL SAN PABLO 14"/>
    <x v="820"/>
    <n v="25000000"/>
    <x v="100"/>
    <x v="0"/>
    <s v="pagado"/>
    <s v="pagado"/>
    <s v="excluir"/>
    <s v="no semana"/>
    <x v="0"/>
  </r>
  <r>
    <n v="3000004086"/>
    <d v="2025-07-22T00:00:00"/>
    <n v="26192022.579999998"/>
    <s v="AGROPECUARIA MUNDO NUEVO SRL SAN PABLO 14"/>
    <x v="821"/>
    <n v="26192022.579999998"/>
    <x v="101"/>
    <x v="0"/>
    <s v="pagado"/>
    <s v="pagado"/>
    <s v="excluir"/>
    <s v="no semana"/>
    <x v="0"/>
  </r>
  <r>
    <n v="3000004128"/>
    <d v="2025-07-22T00:00:00"/>
    <n v="7506500.5099999998"/>
    <s v="MOREY SERGIO GUILLERMO LOS GUTIERREZ-ALDERETES 14"/>
    <x v="822"/>
    <n v="7506500.5099999998"/>
    <x v="101"/>
    <x v="2"/>
    <s v="pagado"/>
    <s v="pagado"/>
    <s v="excluir"/>
    <s v="no semana"/>
    <x v="0"/>
  </r>
  <r>
    <n v="3000004129"/>
    <d v="2025-07-22T00:00:00"/>
    <n v="7012480.2999999998"/>
    <s v="ABALOS ENZO FEDERICO Villa Mariano Moreno 14"/>
    <x v="823"/>
    <n v="7012480.2999999998"/>
    <x v="101"/>
    <x v="2"/>
    <s v="pagado"/>
    <s v="pagado"/>
    <s v="excluir"/>
    <s v="no semana"/>
    <x v="0"/>
  </r>
  <r>
    <n v="3000004130"/>
    <d v="2025-07-22T00:00:00"/>
    <n v="11858051.880000001"/>
    <s v="Gonzalez Jose Luis Lastenia 14"/>
    <x v="824"/>
    <n v="11858051.880000001"/>
    <x v="101"/>
    <x v="2"/>
    <s v="pagado"/>
    <s v="pagado"/>
    <s v="excluir"/>
    <s v="no semana"/>
    <x v="0"/>
  </r>
  <r>
    <n v="3000004131"/>
    <d v="2025-07-22T00:00:00"/>
    <n v="13101023.1"/>
    <s v="LA MARTINA SERV. AGRICOLAS S.RSAN PABLO 14"/>
    <x v="825"/>
    <n v="13101023.1"/>
    <x v="101"/>
    <x v="2"/>
    <s v="pagado"/>
    <s v="pagado"/>
    <s v="excluir"/>
    <s v="no semana"/>
    <x v="0"/>
  </r>
  <r>
    <n v="3000004132"/>
    <d v="2025-07-22T00:00:00"/>
    <n v="6259914.4400000004"/>
    <s v="ALBERTUS JUAN CARLOS SAN MIGUEL DE TUCUMAN 14"/>
    <x v="826"/>
    <n v="6259914.4400000004"/>
    <x v="101"/>
    <x v="2"/>
    <s v="pagado"/>
    <s v="pagado"/>
    <s v="excluir"/>
    <s v="no semana"/>
    <x v="0"/>
  </r>
  <r>
    <n v="3000004133"/>
    <d v="2025-07-22T00:00:00"/>
    <n v="5690038.3399999999"/>
    <s v="Arias Gonzalo Alejandro San Miguel de Tucumán 14"/>
    <x v="827"/>
    <n v="5690038.3399999999"/>
    <x v="101"/>
    <x v="2"/>
    <s v="pagado"/>
    <s v="pagado"/>
    <s v="excluir"/>
    <s v="no semana"/>
    <x v="0"/>
  </r>
  <r>
    <n v="3000004134"/>
    <d v="2025-07-22T00:00:00"/>
    <n v="5814069.0499999998"/>
    <s v="GEREZ ALICIA ELEUTERIA SAN MIGUEL DE TUCUMAN 14"/>
    <x v="828"/>
    <n v="5814069.0499999998"/>
    <x v="101"/>
    <x v="2"/>
    <s v="pagado"/>
    <s v="pagado"/>
    <s v="excluir"/>
    <s v="no semana"/>
    <x v="0"/>
  </r>
  <r>
    <n v="3000004135"/>
    <d v="2025-07-22T00:00:00"/>
    <n v="9394026.8300000001"/>
    <s v="PERATO CRISTIAN LUIS BANDA DEL RIO SALI 14"/>
    <x v="829"/>
    <n v="9394026.8300000001"/>
    <x v="101"/>
    <x v="2"/>
    <s v="pagado"/>
    <s v="pagado"/>
    <s v="excluir"/>
    <s v="no semana"/>
    <x v="0"/>
  </r>
  <r>
    <n v="3000004136"/>
    <d v="2025-07-22T00:00:00"/>
    <n v="7618149.7800000003"/>
    <s v="BESTANI LEANDRO EXEQUIEL SAN MIGUEL DE TUCUMAN 14"/>
    <x v="830"/>
    <n v="7618149.7800000003"/>
    <x v="101"/>
    <x v="2"/>
    <s v="pagado"/>
    <s v="pagado"/>
    <s v="excluir"/>
    <s v="no semana"/>
    <x v="0"/>
  </r>
  <r>
    <n v="3000004137"/>
    <d v="2025-07-22T00:00:00"/>
    <n v="6489570"/>
    <s v="Cia. Azucarera Los Balcanes S.Ingenio La Florida 14"/>
    <x v="831"/>
    <n v="6489570"/>
    <x v="101"/>
    <x v="2"/>
    <s v="pagado"/>
    <s v="pagado"/>
    <s v="excluir"/>
    <s v="no semana"/>
    <x v="0"/>
  </r>
  <r>
    <n v="3000004138"/>
    <d v="2025-07-22T00:00:00"/>
    <n v="10581942.369999999"/>
    <s v="JACQUET NORBERTO SALVADOR SAN JOSE 05"/>
    <x v="832"/>
    <n v="10581942.369999999"/>
    <x v="101"/>
    <x v="2"/>
    <s v="pagado"/>
    <s v="pagado"/>
    <s v="excluir"/>
    <s v="no semana"/>
    <x v="0"/>
  </r>
  <r>
    <n v="3000004139"/>
    <d v="2025-07-22T00:00:00"/>
    <n v="7439002.6100000003"/>
    <s v="TRANSPORTE FRIOS DEL NORTE S.RSAN MIGUEL DE TUCUMAN 14"/>
    <x v="833"/>
    <n v="7439002.6100000003"/>
    <x v="101"/>
    <x v="2"/>
    <s v="pagado"/>
    <s v="pagado"/>
    <s v="excluir"/>
    <s v="no semana"/>
    <x v="0"/>
  </r>
  <r>
    <n v="3000004140"/>
    <d v="2025-07-22T00:00:00"/>
    <n v="16760640.93"/>
    <s v="RL SOLUCIONES S. A. S. SAN MIGUEL DE TUCUMAN 14"/>
    <x v="834"/>
    <n v="16760640.93"/>
    <x v="101"/>
    <x v="2"/>
    <s v="pagado"/>
    <s v="pagado"/>
    <s v="excluir"/>
    <s v="no semana"/>
    <x v="0"/>
  </r>
  <r>
    <n v="3000004141"/>
    <d v="2025-07-22T00:00:00"/>
    <n v="20883015.079999998"/>
    <s v="CEMEVA SAS YERBA BUENA 14"/>
    <x v="835"/>
    <n v="20883015.079999998"/>
    <x v="101"/>
    <x v="2"/>
    <s v="pagado"/>
    <s v="pagado"/>
    <s v="excluir"/>
    <s v="no semana"/>
    <x v="0"/>
  </r>
  <r>
    <n v="3000004142"/>
    <d v="2025-07-22T00:00:00"/>
    <n v="25000000"/>
    <s v="CAPETTA ANTONELLA ANAHI SAN MIGUEL DE TUCUMAN 14"/>
    <x v="836"/>
    <n v="25000000"/>
    <x v="101"/>
    <x v="2"/>
    <s v="pagado"/>
    <s v="pagado"/>
    <s v="excluir"/>
    <s v="no semana"/>
    <x v="0"/>
  </r>
  <r>
    <n v="3000004142"/>
    <d v="2025-07-22T00:00:00"/>
    <n v="24729825.289999999"/>
    <s v="CAPETTA ANTONELLA ANAHI SAN MIGUEL DE TUCUMAN 14"/>
    <x v="837"/>
    <n v="24729825.289999999"/>
    <x v="103"/>
    <x v="2"/>
    <s v="pagado"/>
    <s v="pagado"/>
    <s v="excluir"/>
    <s v="no semana"/>
    <x v="0"/>
  </r>
  <r>
    <n v="3000004143"/>
    <d v="2025-07-22T00:00:00"/>
    <n v="9099778.7200000007"/>
    <s v="Terminal 4 S.A. Puerto Nuevo 01"/>
    <x v="838"/>
    <n v="9099778.7200000007"/>
    <x v="101"/>
    <x v="2"/>
    <s v="pagado"/>
    <s v="pagado"/>
    <s v="excluir"/>
    <s v="no semana"/>
    <x v="0"/>
  </r>
  <r>
    <n v="3000004144"/>
    <d v="2025-07-22T00:00:00"/>
    <n v="16015964.869999999"/>
    <s v="Hierronort Salta S.R.L. SAN MIGUEL DE TUCUMAN 14"/>
    <x v="839"/>
    <n v="16015964.869999999"/>
    <x v="101"/>
    <x v="2"/>
    <s v="pagado"/>
    <s v="pagado"/>
    <s v="excluir"/>
    <s v="no semana"/>
    <x v="0"/>
  </r>
  <r>
    <n v="3000004185"/>
    <d v="2025-07-24T00:00:00"/>
    <n v="50000000"/>
    <s v="MG SERVICIOS AGROPECUARIOS SASTAFI VIEJO 14"/>
    <x v="840"/>
    <n v="50000000"/>
    <x v="103"/>
    <x v="2"/>
    <s v="pagado"/>
    <s v="pagado"/>
    <s v="excluir"/>
    <s v="no semana"/>
    <x v="0"/>
  </r>
  <r>
    <n v="3000004185"/>
    <d v="2025-07-24T00:00:00"/>
    <n v="12000000"/>
    <s v="MG SERVICIOS AGROPECUARIOS SASTAFI VIEJO 14"/>
    <x v="841"/>
    <n v="12000000"/>
    <x v="104"/>
    <x v="2"/>
    <s v="pagado"/>
    <s v="pagado"/>
    <s v="excluir"/>
    <s v="no semana"/>
    <x v="0"/>
  </r>
  <r>
    <n v="3000004185"/>
    <d v="2025-07-24T00:00:00"/>
    <n v="4000000"/>
    <s v="MG SERVICIOS AGROPECUARIOS SASTAFI VIEJO 14"/>
    <x v="842"/>
    <n v="4000000"/>
    <x v="104"/>
    <x v="2"/>
    <s v="pagado"/>
    <s v="pagado"/>
    <s v="excluir"/>
    <s v="no semana"/>
    <x v="0"/>
  </r>
  <r>
    <n v="3000004185"/>
    <d v="2025-07-24T00:00:00"/>
    <n v="20324226.940000001"/>
    <s v="MG SERVICIOS AGROPECUARIOS SASTAFI VIEJO 14"/>
    <x v="843"/>
    <n v="20324226.940000001"/>
    <x v="104"/>
    <x v="2"/>
    <s v="pagado"/>
    <s v="pagado"/>
    <s v="excluir"/>
    <s v="no semana"/>
    <x v="0"/>
  </r>
  <r>
    <n v="3000004183"/>
    <d v="2025-07-24T00:00:00"/>
    <n v="11000000"/>
    <s v="SAUCE HUACHO SERVICIOS S.R.L MONTEROS 14"/>
    <x v="844"/>
    <n v="11000000"/>
    <x v="103"/>
    <x v="2"/>
    <s v="pagado"/>
    <s v="pagado"/>
    <s v="excluir"/>
    <s v="no semana"/>
    <x v="0"/>
  </r>
  <r>
    <n v="3000004183"/>
    <d v="2025-07-24T00:00:00"/>
    <n v="10561784.689999999"/>
    <s v="SAUCE HUACHO SERVICIOS S.R.L MONTEROS 14"/>
    <x v="845"/>
    <n v="10561784.689999999"/>
    <x v="104"/>
    <x v="2"/>
    <s v="pagado"/>
    <s v="pagado"/>
    <s v="excluir"/>
    <s v="no semana"/>
    <x v="0"/>
  </r>
  <r>
    <n v="3000004184"/>
    <d v="2025-07-24T00:00:00"/>
    <n v="20000000"/>
    <s v="ROMERO SERVICIOS S. A. S. ALPACHIRI 14"/>
    <x v="846"/>
    <n v="20000000"/>
    <x v="103"/>
    <x v="2"/>
    <s v="pagado"/>
    <s v="pagado"/>
    <s v="excluir"/>
    <s v="no semana"/>
    <x v="0"/>
  </r>
  <r>
    <n v="3000004184"/>
    <d v="2025-07-24T00:00:00"/>
    <n v="18589587.239999998"/>
    <s v="ROMERO SERVICIOS S. A. S. ALPACHIRI 14"/>
    <x v="847"/>
    <n v="18589587.239999998"/>
    <x v="104"/>
    <x v="2"/>
    <s v="pagado"/>
    <s v="pagado"/>
    <s v="excluir"/>
    <s v="no semana"/>
    <x v="0"/>
  </r>
  <r>
    <n v="3000004247"/>
    <d v="2025-07-28T00:00:00"/>
    <n v="15035698.949999999"/>
    <s v="EMPRESA MAYORISTA INDUSTRIAL SSAN MIGUEL DE TUCUMAN 14"/>
    <x v="848"/>
    <n v="15035698.949999999"/>
    <x v="105"/>
    <x v="2"/>
    <s v="pagado"/>
    <s v="pagado"/>
    <s v="excluir"/>
    <s v="no semana"/>
    <x v="0"/>
  </r>
  <r>
    <n v="3000004248"/>
    <d v="2025-07-28T00:00:00"/>
    <n v="5293576.8"/>
    <s v="ARMERIA ARMAR SAS SAN MIGUEL DE TUCUMAN 14"/>
    <x v="849"/>
    <n v="5293576.8"/>
    <x v="105"/>
    <x v="2"/>
    <s v="pagado"/>
    <s v="pagado"/>
    <s v="excluir"/>
    <s v="no semana"/>
    <x v="0"/>
  </r>
  <r>
    <n v="3000004249"/>
    <d v="2025-07-28T00:00:00"/>
    <n v="6965375.6699999999"/>
    <s v="Bureau Veritas Arg.S.A. CIUDAD AUTONOMA DE BUENOS AIRES 01"/>
    <x v="850"/>
    <n v="6965375.6699999999"/>
    <x v="105"/>
    <x v="2"/>
    <s v="pagado"/>
    <s v="pagado"/>
    <s v="excluir"/>
    <s v="no semana"/>
    <x v="0"/>
  </r>
  <r>
    <n v="3000004250"/>
    <d v="2025-07-28T00:00:00"/>
    <n v="27924624"/>
    <s v="CORTEZ CHRISTIE ANA INES YERBA BUENA 14"/>
    <x v="851"/>
    <n v="27924624"/>
    <x v="106"/>
    <x v="2"/>
    <s v="pagado"/>
    <s v="pagado"/>
    <s v="excluir"/>
    <s v="no semana"/>
    <x v="0"/>
  </r>
  <r>
    <n v="3000004251"/>
    <d v="2025-07-28T00:00:00"/>
    <n v="25346948.370000001"/>
    <s v="Poda Verde SRL SAN MIGUEL DE TUCUMAN 14"/>
    <x v="852"/>
    <n v="25346948.370000001"/>
    <x v="106"/>
    <x v="2"/>
    <s v="pagado"/>
    <s v="pagado"/>
    <s v="excluir"/>
    <s v="no semana"/>
    <x v="0"/>
  </r>
  <r>
    <n v="3000004252"/>
    <d v="2025-07-28T00:00:00"/>
    <n v="7719986.5199999996"/>
    <s v="PEDRO GABRIEL ALEJANDRO ALDERETES 14"/>
    <x v="853"/>
    <n v="7719986.5199999996"/>
    <x v="106"/>
    <x v="2"/>
    <s v="pagado"/>
    <s v="pagado"/>
    <s v="excluir"/>
    <s v="no semana"/>
    <x v="0"/>
  </r>
  <r>
    <n v="3000004253"/>
    <d v="2025-07-28T00:00:00"/>
    <n v="5717634.7599999998"/>
    <s v="Arias Carlos Alberto SAN MIGUEL DE TUCUMAN 14"/>
    <x v="854"/>
    <n v="5717634.7599999998"/>
    <x v="106"/>
    <x v="2"/>
    <s v="pagado"/>
    <s v="pagado"/>
    <s v="excluir"/>
    <s v="no semana"/>
    <x v="0"/>
  </r>
  <r>
    <n v="3000004254"/>
    <d v="2025-07-28T00:00:00"/>
    <n v="6121182.0199999996"/>
    <s v="HERRERA RICARDO ALBERTO BANDA DEL RIO SALI 14"/>
    <x v="855"/>
    <n v="6121182.0199999996"/>
    <x v="106"/>
    <x v="2"/>
    <s v="pagado"/>
    <s v="pagado"/>
    <s v="excluir"/>
    <s v="no semana"/>
    <x v="0"/>
  </r>
  <r>
    <n v="3000004255"/>
    <d v="2025-07-28T00:00:00"/>
    <n v="8687860.3599999994"/>
    <s v="TRANSPORTE MARIANITA S.R.L SAN MIGUEL DE TUCUMAN 14"/>
    <x v="856"/>
    <n v="8687860.3599999994"/>
    <x v="106"/>
    <x v="2"/>
    <s v="pagado"/>
    <s v="pagado"/>
    <s v="excluir"/>
    <s v="no semana"/>
    <x v="0"/>
  </r>
  <r>
    <n v="3000004256"/>
    <d v="2025-07-28T00:00:00"/>
    <n v="4404313.99"/>
    <s v="OLEA LUIS ARIEL LOS GUTIERREZ-ALDERETES 14"/>
    <x v="857"/>
    <n v="4404313.99"/>
    <x v="106"/>
    <x v="2"/>
    <s v="pagado"/>
    <s v="pagado"/>
    <s v="excluir"/>
    <s v="no semana"/>
    <x v="0"/>
  </r>
  <r>
    <n v="3000004257"/>
    <d v="2025-07-28T00:00:00"/>
    <n v="13201996.35"/>
    <s v="ACOSTA ROQUE RAMON SAN MIGUEL DE TUCUMAN 14"/>
    <x v="858"/>
    <n v="13201996.35"/>
    <x v="106"/>
    <x v="2"/>
    <s v="pagado"/>
    <s v="pagado"/>
    <s v="excluir"/>
    <s v="no semana"/>
    <x v="0"/>
  </r>
  <r>
    <n v="3000004258"/>
    <d v="2025-07-28T00:00:00"/>
    <n v="4566260"/>
    <s v="LOBO BENICIO MARTIN ALDERETES 14"/>
    <x v="859"/>
    <n v="4566260"/>
    <x v="106"/>
    <x v="2"/>
    <s v="pagado"/>
    <s v="pagado"/>
    <s v="excluir"/>
    <s v="no semana"/>
    <x v="0"/>
  </r>
  <r>
    <n v="3000004259"/>
    <d v="2025-07-28T00:00:00"/>
    <n v="20046117.960000001"/>
    <s v="VIRAL IMPORTS SA YERBA BUENA 14"/>
    <x v="860"/>
    <n v="20046117.960000001"/>
    <x v="107"/>
    <x v="2"/>
    <s v="pagado"/>
    <s v="pagado"/>
    <s v="excluir"/>
    <s v="no semana"/>
    <x v="0"/>
  </r>
  <r>
    <n v="3000004260"/>
    <d v="2025-07-28T00:00:00"/>
    <n v="14250175.550000001"/>
    <s v="CEFAS S.A CIUDAD AUTONOMA DE BUENOS AIRES 01"/>
    <x v="861"/>
    <n v="14250175.550000001"/>
    <x v="107"/>
    <x v="2"/>
    <s v="pagado"/>
    <s v="pagado"/>
    <s v="excluir"/>
    <s v="no semana"/>
    <x v="0"/>
  </r>
  <r>
    <n v="3000004288"/>
    <d v="2025-07-29T00:00:00"/>
    <n v="7737056.5999999996"/>
    <s v="ALVAREZ RENE JOSE MARIA BELLA VISTA 14"/>
    <x v="862"/>
    <n v="7737056.5999999996"/>
    <x v="107"/>
    <x v="2"/>
    <s v="pagado"/>
    <s v="pagado"/>
    <s v="excluir"/>
    <s v="no semana"/>
    <x v="0"/>
  </r>
  <r>
    <n v="3000004289"/>
    <d v="2025-07-29T00:00:00"/>
    <n v="3829588.61"/>
    <s v="GEREZ ALICIA ELEUTERIA SAN MIGUEL DE TUCUMAN 14"/>
    <x v="863"/>
    <n v="3829588.61"/>
    <x v="107"/>
    <x v="2"/>
    <s v="pagado"/>
    <s v="pagado"/>
    <s v="excluir"/>
    <s v="no semana"/>
    <x v="0"/>
  </r>
  <r>
    <n v="3000004290"/>
    <d v="2025-07-29T00:00:00"/>
    <n v="4027360.32"/>
    <s v="SANTILLI CARLOS MIGUEL SAN MIGUEL DE TUCUMAN 14"/>
    <x v="864"/>
    <n v="4027360.32"/>
    <x v="107"/>
    <x v="2"/>
    <s v="pagado"/>
    <s v="pagado"/>
    <s v="excluir"/>
    <s v="no semana"/>
    <x v="0"/>
  </r>
  <r>
    <n v="3000004291"/>
    <d v="2025-07-29T00:00:00"/>
    <n v="10522290.970000001"/>
    <s v="FERNANDEZ HECTOR JOSE SIMOCA 14"/>
    <x v="865"/>
    <n v="10522290.970000001"/>
    <x v="107"/>
    <x v="2"/>
    <s v="pagado"/>
    <s v="pagado"/>
    <s v="excluir"/>
    <s v="no semana"/>
    <x v="0"/>
  </r>
  <r>
    <n v="3000004292"/>
    <d v="2025-07-29T00:00:00"/>
    <n v="6055353.7800000003"/>
    <s v="HERRERA RICARDO ALBERTO BANDA DEL RIO SALI 14"/>
    <x v="866"/>
    <n v="6055353.7800000003"/>
    <x v="107"/>
    <x v="2"/>
    <s v="pagado"/>
    <s v="pagado"/>
    <s v="excluir"/>
    <s v="no semana"/>
    <x v="0"/>
  </r>
  <r>
    <n v="3000004293"/>
    <d v="2025-07-29T00:00:00"/>
    <n v="5302077.43"/>
    <s v="PAEZ LEONEL EXEQUIEL MACIO 14"/>
    <x v="867"/>
    <n v="5302077.43"/>
    <x v="107"/>
    <x v="2"/>
    <s v="pagado"/>
    <s v="pagado"/>
    <s v="excluir"/>
    <s v="no semana"/>
    <x v="0"/>
  </r>
  <r>
    <n v="3000004294"/>
    <d v="2025-07-29T00:00:00"/>
    <n v="5468317.8399999999"/>
    <s v="Arias Gonzalo Alejandro San Miguel de Tucumán 14"/>
    <x v="868"/>
    <n v="5468317.8399999999"/>
    <x v="107"/>
    <x v="2"/>
    <s v="pagado"/>
    <s v="pagado"/>
    <s v="excluir"/>
    <s v="no semana"/>
    <x v="0"/>
  </r>
  <r>
    <n v="3000004295"/>
    <d v="2025-07-29T00:00:00"/>
    <n v="3075986.31"/>
    <s v="CARABAJAL FABIO OMAR ALDERETES 14"/>
    <x v="869"/>
    <n v="3075986.31"/>
    <x v="107"/>
    <x v="2"/>
    <s v="pagado"/>
    <s v="pagado"/>
    <s v="excluir"/>
    <s v="no semana"/>
    <x v="0"/>
  </r>
  <r>
    <n v="3000004296"/>
    <d v="2025-07-29T00:00:00"/>
    <n v="5269400.38"/>
    <s v="ABALOS ENZO FEDERICO Villa Mariano Moreno 14"/>
    <x v="870"/>
    <n v="5269400.38"/>
    <x v="107"/>
    <x v="2"/>
    <s v="pagado"/>
    <s v="pagado"/>
    <s v="excluir"/>
    <s v="no semana"/>
    <x v="0"/>
  </r>
  <r>
    <n v="3000004297"/>
    <d v="2025-07-29T00:00:00"/>
    <n v="8928263.0500000007"/>
    <s v="D´ANDREA SERGIO FRANCISCO YERBA BUENA 14"/>
    <x v="871"/>
    <n v="8928263.0500000007"/>
    <x v="107"/>
    <x v="2"/>
    <s v="pagado"/>
    <s v="pagado"/>
    <s v="excluir"/>
    <s v="no semana"/>
    <x v="0"/>
  </r>
  <r>
    <n v="3000004298"/>
    <d v="2025-07-29T00:00:00"/>
    <n v="9064926.8800000008"/>
    <s v="MOREY SERGIO GUILLERMO LOS GUTIERREZ-ALDERETES 14"/>
    <x v="872"/>
    <n v="9064926.8800000008"/>
    <x v="107"/>
    <x v="2"/>
    <s v="pagado"/>
    <s v="pagado"/>
    <s v="excluir"/>
    <s v="no semana"/>
    <x v="0"/>
  </r>
  <r>
    <n v="3000004299"/>
    <d v="2025-07-29T00:00:00"/>
    <n v="3113090.53"/>
    <s v="Alcoba Luareano Arnaldo Concepcion 14"/>
    <x v="873"/>
    <n v="3113090.53"/>
    <x v="107"/>
    <x v="2"/>
    <s v="pagado"/>
    <s v="pagado"/>
    <s v="excluir"/>
    <s v="no semana"/>
    <x v="0"/>
  </r>
  <r>
    <n v="3000004300"/>
    <d v="2025-07-29T00:00:00"/>
    <n v="25000000"/>
    <s v="CAPETTA ANTONELLA ANAHI SAN MIGUEL DE TUCUMAN 14"/>
    <x v="874"/>
    <n v="25000000"/>
    <x v="107"/>
    <x v="2"/>
    <s v="pagado"/>
    <s v="pagado"/>
    <s v="excluir"/>
    <s v="no semana"/>
    <x v="0"/>
  </r>
  <r>
    <n v="3000004300"/>
    <d v="2025-07-29T00:00:00"/>
    <n v="22086717.969999999"/>
    <s v="CAPETTA ANTONELLA ANAHI SAN MIGUEL DE TUCUMAN 14"/>
    <x v="875"/>
    <n v="22086717.969999999"/>
    <x v="108"/>
    <x v="2"/>
    <s v="pagado"/>
    <s v="pagado"/>
    <s v="excluir"/>
    <s v="no semana"/>
    <x v="0"/>
  </r>
  <r>
    <n v="3000004301"/>
    <d v="2025-07-29T00:00:00"/>
    <n v="8496549.0700000003"/>
    <s v="CEMEVA SAS YERBA BUENA 14"/>
    <x v="876"/>
    <n v="8496549.0700000003"/>
    <x v="107"/>
    <x v="2"/>
    <s v="pagado"/>
    <s v="pagado"/>
    <s v="excluir"/>
    <s v="no semana"/>
    <x v="0"/>
  </r>
  <r>
    <n v="3000004302"/>
    <d v="2025-07-29T00:00:00"/>
    <n v="8466031.1500000004"/>
    <s v="RL SOLUCIONES S. A. S. SAN MIGUEL DE TUCUMAN 14"/>
    <x v="877"/>
    <n v="8466031.1500000004"/>
    <x v="107"/>
    <x v="2"/>
    <s v="pagado"/>
    <s v="pagado"/>
    <s v="excluir"/>
    <s v="no semana"/>
    <x v="0"/>
  </r>
  <r>
    <n v="3000004303"/>
    <d v="2025-07-29T00:00:00"/>
    <n v="4259943.16"/>
    <s v="MAC DONALD MIGUEL ALEJANDRO BANDA DEL RIO SALI 14"/>
    <x v="878"/>
    <n v="4259943.16"/>
    <x v="107"/>
    <x v="2"/>
    <s v="pagado"/>
    <s v="pagado"/>
    <s v="excluir"/>
    <s v="no semana"/>
    <x v="0"/>
  </r>
  <r>
    <n v="3000004304"/>
    <d v="2025-07-29T00:00:00"/>
    <n v="6349523.3700000001"/>
    <s v="LOGISTICA Y DISTRIBUCION FEDE CAPITAL FEDERAL 00"/>
    <x v="879"/>
    <n v="6349523.3700000001"/>
    <x v="107"/>
    <x v="2"/>
    <s v="pagado"/>
    <s v="pagado"/>
    <s v="excluir"/>
    <s v="no semana"/>
    <x v="0"/>
  </r>
  <r>
    <n v="3000004305"/>
    <d v="2025-07-29T00:00:00"/>
    <n v="14878005.23"/>
    <s v="TRANSPORTE FRIOS DEL NORTE S.RSAN MIGUEL DE TUCUMAN 14"/>
    <x v="880"/>
    <n v="14878005.23"/>
    <x v="107"/>
    <x v="2"/>
    <s v="pagado"/>
    <s v="pagado"/>
    <s v="excluir"/>
    <s v="no semana"/>
    <x v="0"/>
  </r>
  <r>
    <n v="3000004306"/>
    <d v="2025-07-29T00:00:00"/>
    <n v="24204600"/>
    <s v="LATCOMEX SA CAPITAL FEDERAL 00"/>
    <x v="881"/>
    <n v="24204600"/>
    <x v="107"/>
    <x v="2"/>
    <s v="pagado"/>
    <s v="pagado"/>
    <s v="excluir"/>
    <s v="no semana"/>
    <x v="0"/>
  </r>
  <r>
    <n v="3000004307"/>
    <d v="2025-07-29T00:00:00"/>
    <n v="28589441.109999999"/>
    <s v="LANCHELA HECTOR ROLANDO CONCEPCION 14"/>
    <x v="882"/>
    <n v="28589441.109999999"/>
    <x v="107"/>
    <x v="2"/>
    <s v="pagado"/>
    <s v="pagado"/>
    <s v="excluir"/>
    <s v="no semana"/>
    <x v="0"/>
  </r>
  <r>
    <n v="3000004308"/>
    <d v="2025-07-29T00:00:00"/>
    <n v="10637000"/>
    <s v="Silver Freight Logistic SRL CAPITAL FEDERAL 00"/>
    <x v="883"/>
    <n v="10637000"/>
    <x v="107"/>
    <x v="2"/>
    <s v="pagado"/>
    <s v="pagado"/>
    <s v="excluir"/>
    <s v="no semana"/>
    <x v="0"/>
  </r>
  <r>
    <n v="3000004416"/>
    <d v="2025-08-04T00:00:00"/>
    <n v="2000000"/>
    <s v="ZYLBERMINC CARLOS MANUEL CAPITAL FEDERAL 00"/>
    <x v="884"/>
    <n v="2000000"/>
    <x v="109"/>
    <x v="2"/>
    <s v="pagado"/>
    <s v="pagado"/>
    <s v="excluir"/>
    <s v="no semana"/>
    <x v="0"/>
  </r>
  <r>
    <n v="3000004416"/>
    <d v="2025-08-04T00:00:00"/>
    <n v="1500000"/>
    <s v="ZYLBERMINC CARLOS MANUEL CAPITAL FEDERAL 00"/>
    <x v="885"/>
    <n v="1500000"/>
    <x v="110"/>
    <x v="2"/>
    <s v="pagado"/>
    <s v="pagado"/>
    <s v="excluir"/>
    <s v="no semana"/>
    <x v="0"/>
  </r>
  <r>
    <n v="3000004416"/>
    <d v="2025-08-04T00:00:00"/>
    <n v="1633105"/>
    <s v="ZYLBERMINC CARLOS MANUEL CAPITAL FEDERAL 00"/>
    <x v="886"/>
    <n v="1633105"/>
    <x v="111"/>
    <x v="2"/>
    <s v="pagado"/>
    <s v="pagado"/>
    <s v="excluir"/>
    <s v="no semana"/>
    <x v="0"/>
  </r>
  <r>
    <n v="3000004417"/>
    <d v="2025-08-04T00:00:00"/>
    <n v="11024516.85"/>
    <s v="FERRO JOSE NICOLAS FAMAILLA 14"/>
    <x v="887"/>
    <n v="11024516.85"/>
    <x v="109"/>
    <x v="2"/>
    <s v="pagado"/>
    <s v="pagado"/>
    <s v="excluir"/>
    <s v="no semana"/>
    <x v="0"/>
  </r>
  <r>
    <n v="3000004418"/>
    <d v="2025-08-04T00:00:00"/>
    <n v="3940857.2"/>
    <s v="Sergio Scopel SAN MIGUEL DE TUCUMAN 14"/>
    <x v="888"/>
    <n v="3940857.2"/>
    <x v="109"/>
    <x v="2"/>
    <s v="pagado"/>
    <s v="pagado"/>
    <s v="excluir"/>
    <s v="no semana"/>
    <x v="0"/>
  </r>
  <r>
    <n v="3000004419"/>
    <d v="2025-08-04T00:00:00"/>
    <n v="5743027.8600000003"/>
    <s v="VISMA ARGENTINA SA CAPITAL FEDERAL 14"/>
    <x v="889"/>
    <n v="5743027.8600000003"/>
    <x v="109"/>
    <x v="2"/>
    <s v="pagado"/>
    <s v="pagado"/>
    <s v="excluir"/>
    <s v="no semana"/>
    <x v="0"/>
  </r>
  <r>
    <n v="3000004420"/>
    <d v="2025-08-04T00:00:00"/>
    <n v="4713247.1900000004"/>
    <s v="POLITUC S.R.L. SAN MIGUEL DE TUCUMAN 14"/>
    <x v="890"/>
    <n v="4713247.1900000004"/>
    <x v="112"/>
    <x v="2"/>
    <s v="pagado"/>
    <s v="pagado"/>
    <s v="excluir"/>
    <s v="no semana"/>
    <x v="0"/>
  </r>
  <r>
    <n v="3000004421"/>
    <d v="2025-08-04T00:00:00"/>
    <n v="14084891.720000001"/>
    <s v="CEFAS S.A CIUDAD AUTONOMA DE BUENOS AIRES 01"/>
    <x v="891"/>
    <n v="14084891.720000001"/>
    <x v="112"/>
    <x v="2"/>
    <s v="pagado"/>
    <s v="pagado"/>
    <s v="excluir"/>
    <s v="no semana"/>
    <x v="0"/>
  </r>
  <r>
    <n v="3000004422"/>
    <d v="2025-08-04T00:00:00"/>
    <n v="16044280"/>
    <s v="HELUANE PABLO DARIO SAN MIGUEL DE TUCUMAN 14"/>
    <x v="892"/>
    <n v="16044280"/>
    <x v="113"/>
    <x v="2"/>
    <s v="pagado"/>
    <s v="pagado"/>
    <s v="excluir"/>
    <s v="no semana"/>
    <x v="0"/>
  </r>
  <r>
    <n v="3000004423"/>
    <d v="2025-08-04T00:00:00"/>
    <n v="8035282.5"/>
    <s v="TUCUMAN PALLET SRL EL MANANTIAL 14"/>
    <x v="893"/>
    <n v="8035282.5"/>
    <x v="113"/>
    <x v="2"/>
    <s v="pagado"/>
    <s v="pagado"/>
    <s v="excluir"/>
    <s v="no semana"/>
    <x v="0"/>
  </r>
  <r>
    <n v="3000004461"/>
    <d v="2025-08-05T00:00:00"/>
    <n v="16993152.620000001"/>
    <s v="CEMEVA SAS YERBA BUENA 14"/>
    <x v="894"/>
    <n v="16993152.620000001"/>
    <x v="113"/>
    <x v="2"/>
    <s v="pagado"/>
    <s v="pagado"/>
    <s v="excluir"/>
    <s v="no semana"/>
    <x v="0"/>
  </r>
  <r>
    <n v="3000004462"/>
    <d v="2025-08-05T00:00:00"/>
    <n v="20000000"/>
    <s v="CAPETTA ANTONELLA ANAHI SAN MIGUEL DE TUCUMAN 14"/>
    <x v="895"/>
    <n v="20000000"/>
    <x v="113"/>
    <x v="2"/>
    <s v="pagado"/>
    <s v="pagado"/>
    <s v="excluir"/>
    <s v="no semana"/>
    <x v="0"/>
  </r>
  <r>
    <n v="3000004462"/>
    <d v="2025-08-05T00:00:00"/>
    <n v="19009118.850000001"/>
    <s v="CAPETTA ANTONELLA ANAHI SAN MIGUEL DE TUCUMAN 14"/>
    <x v="896"/>
    <n v="19009118.850000001"/>
    <x v="114"/>
    <x v="2"/>
    <s v="pagado"/>
    <s v="pagado"/>
    <s v="excluir"/>
    <s v="no semana"/>
    <x v="0"/>
  </r>
  <r>
    <n v="3000004463"/>
    <d v="2025-08-05T00:00:00"/>
    <n v="4359541.6399999997"/>
    <s v="VILLAGRA VELEZ ROQUE RICARDO SAN MIGUEL DE TUCUMAN 14"/>
    <x v="897"/>
    <n v="4359541.6399999997"/>
    <x v="113"/>
    <x v="2"/>
    <s v="pagado"/>
    <s v="pagado"/>
    <s v="excluir"/>
    <s v="no semana"/>
    <x v="0"/>
  </r>
  <r>
    <n v="3000004464"/>
    <d v="2025-08-05T00:00:00"/>
    <n v="4269086.9400000004"/>
    <s v="CARTER INTERNACIONAL S. A. S. SAN MIGUEL DE TUCUMAN 14"/>
    <x v="898"/>
    <n v="4269086.9400000004"/>
    <x v="113"/>
    <x v="2"/>
    <s v="pagado"/>
    <s v="pagado"/>
    <s v="excluir"/>
    <s v="no semana"/>
    <x v="0"/>
  </r>
  <r>
    <n v="3000004465"/>
    <d v="2025-08-05T00:00:00"/>
    <n v="14878173.140000001"/>
    <s v="TRANSPORTE FRIOS DEL NORTE S.RSAN MIGUEL DE TUCUMAN 14"/>
    <x v="899"/>
    <n v="14878173.140000001"/>
    <x v="113"/>
    <x v="2"/>
    <s v="pagado"/>
    <s v="pagado"/>
    <s v="excluir"/>
    <s v="no semana"/>
    <x v="0"/>
  </r>
  <r>
    <n v="3000004466"/>
    <d v="2025-08-05T00:00:00"/>
    <n v="6390082.6600000001"/>
    <s v="MAC DONALD MIGUEL ALEJANDRO BANDA DEL RIO SALI 14"/>
    <x v="900"/>
    <n v="6390082.6600000001"/>
    <x v="113"/>
    <x v="2"/>
    <s v="pagado"/>
    <s v="pagado"/>
    <s v="excluir"/>
    <s v="no semana"/>
    <x v="0"/>
  </r>
  <r>
    <n v="3000004467"/>
    <d v="2025-08-05T00:00:00"/>
    <n v="14163345.369999999"/>
    <s v="TRANSPORTE MARIANITA S.R.L SAN MIGUEL DE TUCUMAN 14"/>
    <x v="901"/>
    <n v="14163345.369999999"/>
    <x v="113"/>
    <x v="2"/>
    <s v="pagado"/>
    <s v="pagado"/>
    <s v="excluir"/>
    <s v="no semana"/>
    <x v="0"/>
  </r>
  <r>
    <n v="3000004468"/>
    <d v="2025-08-05T00:00:00"/>
    <n v="15161549.550000001"/>
    <s v="Vaquera Francisco Alfredo Monteros 14"/>
    <x v="902"/>
    <n v="15161549.550000001"/>
    <x v="113"/>
    <x v="2"/>
    <s v="pagado"/>
    <s v="pagado"/>
    <s v="excluir"/>
    <s v="no semana"/>
    <x v="0"/>
  </r>
  <r>
    <n v="3000004469"/>
    <d v="2025-08-05T00:00:00"/>
    <n v="4416003.25"/>
    <s v="TORRES JUAN RAMON ALDERETES 14"/>
    <x v="903"/>
    <n v="4416003.25"/>
    <x v="113"/>
    <x v="2"/>
    <s v="pagado"/>
    <s v="pagado"/>
    <s v="excluir"/>
    <s v="no semana"/>
    <x v="0"/>
  </r>
  <r>
    <n v="3000004470"/>
    <d v="2025-08-05T00:00:00"/>
    <n v="9357744.5800000001"/>
    <s v="SUAREZ MANUEL RODOLFO ALDERETES 14"/>
    <x v="904"/>
    <n v="9357744.5800000001"/>
    <x v="113"/>
    <x v="2"/>
    <s v="pagado"/>
    <s v="pagado"/>
    <s v="excluir"/>
    <s v="no semana"/>
    <x v="0"/>
  </r>
  <r>
    <n v="3000004471"/>
    <d v="2025-08-05T00:00:00"/>
    <n v="17000000"/>
    <s v="ACOSTA ROQUE RAMON SAN MIGUEL DE TUCUMAN 14"/>
    <x v="905"/>
    <n v="17000000"/>
    <x v="113"/>
    <x v="2"/>
    <s v="pagado"/>
    <s v="pagado"/>
    <s v="excluir"/>
    <s v="no semana"/>
    <x v="0"/>
  </r>
  <r>
    <n v="3000004471"/>
    <d v="2025-08-05T00:00:00"/>
    <n v="16714517.289999999"/>
    <s v="ACOSTA ROQUE RAMON SAN MIGUEL DE TUCUMAN 14"/>
    <x v="906"/>
    <n v="16714517.289999999"/>
    <x v="114"/>
    <x v="2"/>
    <s v="pagado"/>
    <s v="pagado"/>
    <s v="excluir"/>
    <s v="no semana"/>
    <x v="0"/>
  </r>
  <r>
    <n v="3000004472"/>
    <d v="2025-08-05T00:00:00"/>
    <n v="11721110.939999999"/>
    <s v="MOYANO JUAN VICTOR TUCUMAN 14"/>
    <x v="907"/>
    <n v="11721110.939999999"/>
    <x v="113"/>
    <x v="2"/>
    <s v="pagado"/>
    <s v="pagado"/>
    <s v="excluir"/>
    <s v="no semana"/>
    <x v="0"/>
  </r>
  <r>
    <n v="3000004473"/>
    <d v="2025-08-05T00:00:00"/>
    <n v="5802448.8200000003"/>
    <s v="GONZALEZ SANTIAGO ROQUE TAFI VIEJO 14"/>
    <x v="908"/>
    <n v="5802448.8200000003"/>
    <x v="113"/>
    <x v="2"/>
    <s v="pagado"/>
    <s v="pagado"/>
    <s v="excluir"/>
    <s v="no semana"/>
    <x v="0"/>
  </r>
  <r>
    <n v="3000004474"/>
    <d v="2025-08-05T00:00:00"/>
    <n v="18834275.710000001"/>
    <s v="MOLINA JUAN F. Y MOLINA ROQUE Lastenia 14"/>
    <x v="909"/>
    <n v="18834275.710000001"/>
    <x v="113"/>
    <x v="2"/>
    <s v="pagado"/>
    <s v="pagado"/>
    <s v="excluir"/>
    <s v="no semana"/>
    <x v="0"/>
  </r>
  <r>
    <n v="3000004475"/>
    <d v="2025-08-05T00:00:00"/>
    <n v="494932.56"/>
    <s v="Barrera Juan Jose San Miguel De Tucuman 14"/>
    <x v="910"/>
    <n v="494932.56"/>
    <x v="113"/>
    <x v="2"/>
    <s v="pagado"/>
    <s v="pagado"/>
    <s v="excluir"/>
    <s v="no semana"/>
    <x v="0"/>
  </r>
  <r>
    <n v="3000004621"/>
    <d v="2025-08-12T00:00:00"/>
    <n v="25000000"/>
    <s v="ROMERO SERVICIOS S. A. S. ALPACHIRI 14"/>
    <x v="911"/>
    <n v="25000000"/>
    <x v="115"/>
    <x v="2"/>
    <s v="pagado"/>
    <s v="pagado"/>
    <s v="excluir"/>
    <s v="no semana"/>
    <x v="0"/>
  </r>
  <r>
    <n v="3000004621"/>
    <d v="2025-08-12T00:00:00"/>
    <n v="23343278.77"/>
    <s v="ROMERO SERVICIOS S. A. S. ALPACHIRI 14"/>
    <x v="912"/>
    <n v="23343278.77"/>
    <x v="110"/>
    <x v="2"/>
    <s v="pagado"/>
    <s v="pagado"/>
    <s v="excluir"/>
    <s v="no semana"/>
    <x v="0"/>
  </r>
  <r>
    <n v="3000004622"/>
    <d v="2025-08-12T00:00:00"/>
    <n v="11000000"/>
    <s v="Verde y Sol S.R.L. SAN MIGUEL DE TUCUMAN 14"/>
    <x v="913"/>
    <n v="11000000"/>
    <x v="115"/>
    <x v="2"/>
    <s v="pagado"/>
    <s v="pagado"/>
    <s v="excluir"/>
    <s v="no semana"/>
    <x v="0"/>
  </r>
  <r>
    <n v="3000004622"/>
    <d v="2025-08-12T00:00:00"/>
    <n v="10034812.949999999"/>
    <s v="Verde y Sol S.R.L. SAN MIGUEL DE TUCUMAN 14"/>
    <x v="914"/>
    <n v="10034812.949999999"/>
    <x v="110"/>
    <x v="2"/>
    <s v="pagado"/>
    <s v="pagado"/>
    <s v="excluir"/>
    <s v="no semana"/>
    <x v="0"/>
  </r>
  <r>
    <n v="3000004623"/>
    <d v="2025-08-12T00:00:00"/>
    <n v="20000000"/>
    <s v="Poda Verde SRL SAN MIGUEL DE TUCUMAN 14"/>
    <x v="915"/>
    <n v="20000000"/>
    <x v="115"/>
    <x v="2"/>
    <s v="pagado"/>
    <s v="pagado"/>
    <s v="excluir"/>
    <s v="no semana"/>
    <x v="0"/>
  </r>
  <r>
    <n v="3000004623"/>
    <d v="2025-08-12T00:00:00"/>
    <n v="17423293.870000001"/>
    <s v="Poda Verde SRL SAN MIGUEL DE TUCUMAN 14"/>
    <x v="916"/>
    <n v="17423293.870000001"/>
    <x v="110"/>
    <x v="2"/>
    <s v="pagado"/>
    <s v="pagado"/>
    <s v="excluir"/>
    <s v="no semana"/>
    <x v="0"/>
  </r>
  <r>
    <n v="3000004624"/>
    <d v="2025-08-12T00:00:00"/>
    <n v="10000000"/>
    <s v="CAMPOAGRO SRL YERBA BUENA 14"/>
    <x v="917"/>
    <n v="10000000"/>
    <x v="115"/>
    <x v="2"/>
    <s v="pagado"/>
    <s v="pagado"/>
    <s v="excluir"/>
    <s v="no semana"/>
    <x v="0"/>
  </r>
  <r>
    <n v="3000004624"/>
    <d v="2025-08-12T00:00:00"/>
    <n v="7123598.3499999996"/>
    <s v="CAMPOAGRO SRL YERBA BUENA 14"/>
    <x v="918"/>
    <n v="7123598.3499999996"/>
    <x v="110"/>
    <x v="2"/>
    <s v="pagado"/>
    <s v="pagado"/>
    <s v="excluir"/>
    <s v="no semana"/>
    <x v="0"/>
  </r>
  <r>
    <n v="3000004625"/>
    <d v="2025-08-12T00:00:00"/>
    <n v="10000000"/>
    <s v="PAMPLONA SRL SAN MIGUEL DE TUCUMAN 14"/>
    <x v="919"/>
    <n v="10000000"/>
    <x v="115"/>
    <x v="2"/>
    <s v="pagado"/>
    <s v="pagado"/>
    <s v="excluir"/>
    <s v="no semana"/>
    <x v="0"/>
  </r>
  <r>
    <n v="3000004625"/>
    <d v="2025-08-12T00:00:00"/>
    <n v="11482137.98"/>
    <s v="PAMPLONA SRL SAN MIGUEL DE TUCUMAN 14"/>
    <x v="920"/>
    <n v="11482137.98"/>
    <x v="110"/>
    <x v="2"/>
    <s v="pagado"/>
    <s v="pagado"/>
    <s v="excluir"/>
    <s v="no semana"/>
    <x v="0"/>
  </r>
  <r>
    <n v="3000004633"/>
    <d v="2025-08-12T00:00:00"/>
    <n v="5000000"/>
    <s v="MG SERVICIOS AGROPECUARIOS SASTAFI VIEJO 14"/>
    <x v="921"/>
    <n v="5000000"/>
    <x v="115"/>
    <x v="2"/>
    <s v="pagado"/>
    <s v="pagado"/>
    <s v="excluir"/>
    <s v="no semana"/>
    <x v="0"/>
  </r>
  <r>
    <n v="3000004633"/>
    <d v="2025-08-12T00:00:00"/>
    <n v="3000000"/>
    <s v="MG SERVICIOS AGROPECUARIOS SASTAFI VIEJO 14"/>
    <x v="922"/>
    <n v="3000000"/>
    <x v="115"/>
    <x v="2"/>
    <s v="pagado"/>
    <s v="pagado"/>
    <s v="excluir"/>
    <s v="no semana"/>
    <x v="0"/>
  </r>
  <r>
    <n v="3000004633"/>
    <d v="2025-08-12T00:00:00"/>
    <n v="40000000"/>
    <s v="MG SERVICIOS AGROPECUARIOS SASTAFI VIEJO 14"/>
    <x v="923"/>
    <n v="40000000"/>
    <x v="110"/>
    <x v="2"/>
    <s v="pagado"/>
    <s v="pagado"/>
    <s v="excluir"/>
    <s v="no semana"/>
    <x v="0"/>
  </r>
  <r>
    <n v="3000004633"/>
    <d v="2025-08-12T00:00:00"/>
    <n v="38130377.240000002"/>
    <s v="MG SERVICIOS AGROPECUARIOS SASTAFI VIEJO 14"/>
    <x v="924"/>
    <n v="38130377.240000002"/>
    <x v="116"/>
    <x v="2"/>
    <s v="pagado"/>
    <s v="pagado"/>
    <s v="excluir"/>
    <s v="no semana"/>
    <x v="0"/>
  </r>
  <r>
    <n v="3000004635"/>
    <d v="2025-08-12T00:00:00"/>
    <n v="10000000"/>
    <s v="ROMERO SERVICIOS S. A. S. ALPACHIRI 14"/>
    <x v="925"/>
    <n v="10000000"/>
    <x v="115"/>
    <x v="2"/>
    <s v="pagado"/>
    <s v="pagado"/>
    <s v="excluir"/>
    <s v="no semana"/>
    <x v="0"/>
  </r>
  <r>
    <n v="3000004635"/>
    <d v="2025-08-12T00:00:00"/>
    <n v="9804474.1300000008"/>
    <s v="ROMERO SERVICIOS S. A. S. ALPACHIRI 14"/>
    <x v="926"/>
    <n v="9804474.1300000008"/>
    <x v="110"/>
    <x v="2"/>
    <s v="pagado"/>
    <s v="pagado"/>
    <s v="excluir"/>
    <s v="no semana"/>
    <x v="0"/>
  </r>
  <r>
    <n v="3000004640"/>
    <d v="2025-08-12T00:00:00"/>
    <n v="17000000"/>
    <s v="MG SERVICIOS AGROPECUARIOS SASTAFI VIEJO 14"/>
    <x v="927"/>
    <n v="17000000"/>
    <x v="115"/>
    <x v="2"/>
    <s v="pagado"/>
    <s v="pagado"/>
    <s v="excluir"/>
    <s v="no semana"/>
    <x v="0"/>
  </r>
  <r>
    <n v="3000004640"/>
    <d v="2025-08-12T00:00:00"/>
    <n v="12000000"/>
    <s v="MG SERVICIOS AGROPECUARIOS SASTAFI VIEJO 14"/>
    <x v="928"/>
    <n v="12000000"/>
    <x v="110"/>
    <x v="2"/>
    <s v="pagado"/>
    <s v="pagado"/>
    <s v="excluir"/>
    <s v="no semana"/>
    <x v="0"/>
  </r>
  <r>
    <n v="3000004640"/>
    <d v="2025-08-12T00:00:00"/>
    <n v="40000000"/>
    <s v="MG SERVICIOS AGROPECUARIOS SASTAFI VIEJO 14"/>
    <x v="929"/>
    <n v="40000000"/>
    <x v="116"/>
    <x v="2"/>
    <s v="pagado"/>
    <s v="pagado"/>
    <s v="excluir"/>
    <s v="no semana"/>
    <x v="0"/>
  </r>
  <r>
    <n v="3000004640"/>
    <d v="2025-08-12T00:00:00"/>
    <n v="32950998.350000001"/>
    <s v="MG SERVICIOS AGROPECUARIOS SASTAFI VIEJO 14"/>
    <x v="930"/>
    <n v="32950998.350000001"/>
    <x v="117"/>
    <x v="2"/>
    <s v="pagado"/>
    <s v="pagado"/>
    <s v="excluir"/>
    <s v="no semana"/>
    <x v="0"/>
  </r>
  <r>
    <n v="3000004620"/>
    <d v="2025-08-12T00:00:00"/>
    <n v="56179595.159999996"/>
    <s v="DECU3 S.R.L. YERBA BUENA 14"/>
    <x v="931"/>
    <n v="56179595.159999996"/>
    <x v="115"/>
    <x v="2"/>
    <s v="pagado"/>
    <s v="pagado"/>
    <s v="excluir"/>
    <s v="no semana"/>
    <x v="0"/>
  </r>
  <r>
    <n v="3000004626"/>
    <d v="2025-08-12T00:00:00"/>
    <n v="8203044.7800000003"/>
    <s v="MOYANO JUAN MANUEL ORAN 09"/>
    <x v="932"/>
    <n v="8203044.7800000003"/>
    <x v="115"/>
    <x v="2"/>
    <s v="pagado"/>
    <s v="pagado"/>
    <s v="excluir"/>
    <s v="no semana"/>
    <x v="0"/>
  </r>
  <r>
    <n v="3000004627"/>
    <d v="2025-08-12T00:00:00"/>
    <n v="7764115.8499999996"/>
    <s v="MONTEROS LEMON SAS TAFI VIEJO 14"/>
    <x v="933"/>
    <n v="7764115.8499999996"/>
    <x v="115"/>
    <x v="2"/>
    <s v="pagado"/>
    <s v="pagado"/>
    <s v="excluir"/>
    <s v="no semana"/>
    <x v="0"/>
  </r>
  <r>
    <n v="3000004628"/>
    <d v="2025-08-12T00:00:00"/>
    <n v="12494485.41"/>
    <s v="TS OASIS SRL BANDA DEL RIO SALI 14"/>
    <x v="934"/>
    <n v="12494485.41"/>
    <x v="115"/>
    <x v="2"/>
    <s v="pagado"/>
    <s v="pagado"/>
    <s v="excluir"/>
    <s v="no semana"/>
    <x v="0"/>
  </r>
  <r>
    <n v="3000004629"/>
    <d v="2025-08-12T00:00:00"/>
    <n v="9873360.3100000005"/>
    <s v="SMART SEGURIDAD SA YERBA BUENA 14"/>
    <x v="935"/>
    <n v="9873360.3100000005"/>
    <x v="115"/>
    <x v="2"/>
    <s v="pagado"/>
    <s v="pagado"/>
    <s v="excluir"/>
    <s v="no semana"/>
    <x v="0"/>
  </r>
  <r>
    <n v="3000004630"/>
    <d v="2025-08-12T00:00:00"/>
    <n v="7049695.46"/>
    <s v="Agricola Garcia S.A. SAN MIGUEL DE TUCUMAN 14"/>
    <x v="936"/>
    <n v="7049695.46"/>
    <x v="115"/>
    <x v="2"/>
    <s v="pagado"/>
    <s v="pagado"/>
    <s v="excluir"/>
    <s v="no semana"/>
    <x v="0"/>
  </r>
  <r>
    <n v="3000004631"/>
    <d v="2025-08-12T00:00:00"/>
    <n v="3946929"/>
    <s v="Transportes Gelvez SA LUJAN DEL CUYO 07"/>
    <x v="937"/>
    <n v="3946929"/>
    <x v="115"/>
    <x v="2"/>
    <s v="pagado"/>
    <s v="pagado"/>
    <s v="excluir"/>
    <s v="no semana"/>
    <x v="0"/>
  </r>
  <r>
    <n v="3000004632"/>
    <d v="2025-08-12T00:00:00"/>
    <n v="4104639.91"/>
    <s v="CENTRO HIDRAULICO S.A VENADO TUERTO 12"/>
    <x v="938"/>
    <n v="4104639.91"/>
    <x v="115"/>
    <x v="2"/>
    <s v="pagado"/>
    <s v="pagado"/>
    <s v="excluir"/>
    <s v="no semana"/>
    <x v="0"/>
  </r>
  <r>
    <n v="3000004634"/>
    <d v="2025-08-12T00:00:00"/>
    <n v="6624227"/>
    <s v="Marchese Grandi Meson y Asoc SAN MIGUEL DE TUCUMAN 14"/>
    <x v="939"/>
    <n v="6624227"/>
    <x v="115"/>
    <x v="2"/>
    <s v="pagado"/>
    <s v="pagado"/>
    <s v="excluir"/>
    <s v="no semana"/>
    <x v="0"/>
  </r>
  <r>
    <n v="3000004636"/>
    <d v="2025-08-12T00:00:00"/>
    <n v="14426000.24"/>
    <s v="SAUCE HUACHO SERVICIOS S.R.L MONTEROS 14"/>
    <x v="940"/>
    <n v="14426000.24"/>
    <x v="115"/>
    <x v="2"/>
    <s v="pagado"/>
    <s v="pagado"/>
    <s v="excluir"/>
    <s v="no semana"/>
    <x v="0"/>
  </r>
  <r>
    <n v="3000004637"/>
    <d v="2025-08-12T00:00:00"/>
    <n v="5662656.8099999996"/>
    <s v="TORRES JUAN RAMON ALDERETES 14"/>
    <x v="941"/>
    <n v="5662656.8099999996"/>
    <x v="115"/>
    <x v="2"/>
    <s v="pagado"/>
    <s v="pagado"/>
    <s v="excluir"/>
    <s v="no semana"/>
    <x v="0"/>
  </r>
  <r>
    <n v="3000004638"/>
    <d v="2025-08-12T00:00:00"/>
    <n v="8426925.8499999996"/>
    <s v="FERNANDEZ HECTOR JOSE SIMOCA 14"/>
    <x v="942"/>
    <n v="8426925.8499999996"/>
    <x v="115"/>
    <x v="2"/>
    <s v="pagado"/>
    <s v="pagado"/>
    <s v="excluir"/>
    <s v="no semana"/>
    <x v="0"/>
  </r>
  <r>
    <n v="3000004639"/>
    <d v="2025-08-12T00:00:00"/>
    <n v="5062829.5"/>
    <s v="PERATO LUIS ALBERTO BANDA DEL RIO SALI 14"/>
    <x v="943"/>
    <n v="5062829.5"/>
    <x v="115"/>
    <x v="2"/>
    <s v="pagado"/>
    <s v="pagado"/>
    <s v="excluir"/>
    <s v="no semana"/>
    <x v="0"/>
  </r>
  <r>
    <n v="3000004701"/>
    <d v="2025-08-13T00:00:00"/>
    <n v="46240760"/>
    <s v="EDET S.A. SAN MIGUEL DE TUCUMAN 14"/>
    <x v="944"/>
    <n v="46240760"/>
    <x v="110"/>
    <x v="0"/>
    <s v="pagado"/>
    <s v="pagado"/>
    <s v="excluir"/>
    <s v="no semana"/>
    <x v="0"/>
  </r>
  <r>
    <n v="3000004702"/>
    <d v="2025-08-13T00:00:00"/>
    <n v="8344187.6699999999"/>
    <s v="Mudad Francisco Esteban Los Nogales 14"/>
    <x v="945"/>
    <n v="8344187.6699999999"/>
    <x v="116"/>
    <x v="0"/>
    <s v="pagado"/>
    <s v="pagado"/>
    <s v="excluir"/>
    <s v="no semana"/>
    <x v="0"/>
  </r>
  <r>
    <n v="3000004703"/>
    <d v="2025-08-13T00:00:00"/>
    <n v="3573850.16"/>
    <s v="MANCERA JOSEFINA REMIGIA SAN MIGUEL DE TUCUMAN 14"/>
    <x v="946"/>
    <n v="3573850.16"/>
    <x v="116"/>
    <x v="0"/>
    <s v="pagado"/>
    <s v="pagado"/>
    <s v="excluir"/>
    <s v="no semana"/>
    <x v="0"/>
  </r>
  <r>
    <n v="3000004704"/>
    <d v="2025-08-13T00:00:00"/>
    <n v="11077878.75"/>
    <s v="Terminal 4 S.A. Puerto Nuevo 01"/>
    <x v="947"/>
    <n v="11077878.75"/>
    <x v="116"/>
    <x v="0"/>
    <s v="pagado"/>
    <s v="pagado"/>
    <s v="excluir"/>
    <s v="no semana"/>
    <x v="0"/>
  </r>
  <r>
    <n v="3000004705"/>
    <d v="2025-08-13T00:00:00"/>
    <n v="6389914.7400000002"/>
    <s v="MAC DONALD MIGUEL ALEJANDRO BANDA DEL RIO SALI 14"/>
    <x v="948"/>
    <n v="6389914.7400000002"/>
    <x v="116"/>
    <x v="0"/>
    <s v="pagado"/>
    <s v="pagado"/>
    <s v="excluir"/>
    <s v="no semana"/>
    <x v="0"/>
  </r>
  <r>
    <n v="3000004706"/>
    <d v="2025-08-13T00:00:00"/>
    <n v="14863126.57"/>
    <s v="CEMEVA SAS YERBA BUENA 14"/>
    <x v="949"/>
    <n v="14863126.57"/>
    <x v="116"/>
    <x v="0"/>
    <s v="pagado"/>
    <s v="pagado"/>
    <s v="excluir"/>
    <s v="no semana"/>
    <x v="0"/>
  </r>
  <r>
    <n v="3000004707"/>
    <d v="2025-08-13T00:00:00"/>
    <n v="14783241.43"/>
    <s v="RL SOLUCIONES S. A. S. SAN MIGUEL DE TUCUMAN 14"/>
    <x v="950"/>
    <n v="14783241.43"/>
    <x v="116"/>
    <x v="0"/>
    <s v="pagado"/>
    <s v="pagado"/>
    <s v="excluir"/>
    <s v="no semana"/>
    <x v="0"/>
  </r>
  <r>
    <n v="3000004708"/>
    <d v="2025-08-13T00:00:00"/>
    <n v="24000000"/>
    <s v="CAPETTA ANTONELLA ANAHI SAN MIGUEL DE TUCUMAN 14"/>
    <x v="951"/>
    <n v="24000000"/>
    <x v="116"/>
    <x v="0"/>
    <s v="pagado"/>
    <s v="pagado"/>
    <s v="excluir"/>
    <s v="no semana"/>
    <x v="0"/>
  </r>
  <r>
    <n v="3000004708"/>
    <d v="2025-08-13T00:00:00"/>
    <n v="20791336.559999999"/>
    <s v="CAPETTA ANTONELLA ANAHI SAN MIGUEL DE TUCUMAN 14"/>
    <x v="952"/>
    <n v="20791336.559999999"/>
    <x v="117"/>
    <x v="0"/>
    <s v="pagado"/>
    <s v="pagado"/>
    <s v="excluir"/>
    <s v="no semana"/>
    <x v="0"/>
  </r>
  <r>
    <n v="3000004709"/>
    <d v="2025-08-13T00:00:00"/>
    <n v="6716918.2800000003"/>
    <s v="PEDRO GABRIEL ALEJANDRO ALDERETES 14"/>
    <x v="953"/>
    <n v="6716918.2800000003"/>
    <x v="116"/>
    <x v="0"/>
    <s v="pagado"/>
    <s v="pagado"/>
    <s v="excluir"/>
    <s v="no semana"/>
    <x v="0"/>
  </r>
  <r>
    <n v="3000004710"/>
    <d v="2025-08-13T00:00:00"/>
    <n v="13791313.82"/>
    <s v="Vaquera Francisco Alfredo Monteros 14"/>
    <x v="954"/>
    <n v="13791313.82"/>
    <x v="116"/>
    <x v="0"/>
    <s v="pagado"/>
    <s v="pagado"/>
    <s v="excluir"/>
    <s v="no semana"/>
    <x v="0"/>
  </r>
  <r>
    <n v="3000004711"/>
    <d v="2025-08-13T00:00:00"/>
    <n v="6672488.6699999999"/>
    <s v="Arias Carlos Alberto SAN MIGUEL DE TUCUMAN 14"/>
    <x v="955"/>
    <n v="6672488.6699999999"/>
    <x v="116"/>
    <x v="0"/>
    <s v="pagado"/>
    <s v="pagado"/>
    <s v="excluir"/>
    <s v="no semana"/>
    <x v="0"/>
  </r>
  <r>
    <n v="3000004712"/>
    <d v="2025-08-13T00:00:00"/>
    <n v="6805702.7400000002"/>
    <s v="BESTANI LEANDRO EXEQUIEL SAN MIGUEL DE TUCUMAN 14"/>
    <x v="956"/>
    <n v="6805702.7400000002"/>
    <x v="116"/>
    <x v="0"/>
    <s v="pagado"/>
    <s v="pagado"/>
    <s v="excluir"/>
    <s v="no semana"/>
    <x v="0"/>
  </r>
  <r>
    <n v="3000004835"/>
    <d v="2025-08-20T00:00:00"/>
    <n v="0"/>
    <s v="invalidado med.EOLIVERA -Destruido/ Sin uso"/>
    <x v="957"/>
    <n v="0"/>
    <x v="99"/>
    <x v="2"/>
    <s v="no pagado"/>
    <s v="fuera de fecha"/>
    <s v="excluir"/>
    <s v="no semana"/>
    <x v="0"/>
  </r>
  <r>
    <n v="3000004834"/>
    <d v="2025-08-20T00:00:00"/>
    <n v="0"/>
    <s v="invalidado med.EOLIVERA -Destruido/ Sin uso"/>
    <x v="958"/>
    <n v="0"/>
    <x v="99"/>
    <x v="2"/>
    <s v="no pagado"/>
    <s v="fuera de fecha"/>
    <s v="excluir"/>
    <s v="no semana"/>
    <x v="0"/>
  </r>
  <r>
    <n v="3000004836"/>
    <d v="2025-08-20T00:00:00"/>
    <n v="0"/>
    <s v="invalidado med.EOLIVERA -Destruido/ Sin uso"/>
    <x v="959"/>
    <n v="0"/>
    <x v="99"/>
    <x v="2"/>
    <s v="no pagado"/>
    <s v="fuera de fecha"/>
    <s v="excluir"/>
    <s v="no semana"/>
    <x v="0"/>
  </r>
  <r>
    <n v="3000004837"/>
    <d v="2025-08-20T00:00:00"/>
    <n v="0"/>
    <s v="invalidado med.EOLIVERA -Destruido/ Sin uso"/>
    <x v="960"/>
    <n v="0"/>
    <x v="99"/>
    <x v="2"/>
    <s v="no pagado"/>
    <s v="fuera de fecha"/>
    <s v="excluir"/>
    <s v="no semana"/>
    <x v="0"/>
  </r>
  <r>
    <n v="3000004838"/>
    <d v="2025-08-20T00:00:00"/>
    <n v="0"/>
    <s v="invalidado med.EOLIVERA -Destruido/ Sin uso"/>
    <x v="961"/>
    <n v="0"/>
    <x v="99"/>
    <x v="2"/>
    <s v="no pagado"/>
    <s v="fuera de fecha"/>
    <s v="excluir"/>
    <s v="no semana"/>
    <x v="0"/>
  </r>
  <r>
    <n v="3000004839"/>
    <d v="2025-08-20T00:00:00"/>
    <n v="0"/>
    <s v="invalidado med.EOLIVERA -Destruido/ Sin uso"/>
    <x v="962"/>
    <n v="0"/>
    <x v="99"/>
    <x v="2"/>
    <s v="no pagado"/>
    <s v="fuera de fecha"/>
    <s v="excluir"/>
    <s v="no semana"/>
    <x v="0"/>
  </r>
  <r>
    <n v="3000004840"/>
    <d v="2025-08-20T00:00:00"/>
    <n v="0"/>
    <s v="invalidado med.EOLIVERA -Destruido/ Sin uso"/>
    <x v="963"/>
    <n v="0"/>
    <x v="99"/>
    <x v="2"/>
    <s v="no pagado"/>
    <s v="fuera de fecha"/>
    <s v="excluir"/>
    <s v="no semana"/>
    <x v="0"/>
  </r>
  <r>
    <n v="3000004840"/>
    <d v="2025-08-20T00:00:00"/>
    <n v="0"/>
    <s v="invalidado med.EOLIVERA -Destruido/ Sin uso"/>
    <x v="964"/>
    <n v="0"/>
    <x v="99"/>
    <x v="2"/>
    <s v="no pagado"/>
    <s v="fuera de fecha"/>
    <s v="excluir"/>
    <s v="no semana"/>
    <x v="0"/>
  </r>
  <r>
    <n v="3000004841"/>
    <d v="2025-08-20T00:00:00"/>
    <n v="0"/>
    <s v="invalidado med.EOLIVERA -Destruido/ Sin uso"/>
    <x v="965"/>
    <n v="0"/>
    <x v="99"/>
    <x v="2"/>
    <s v="no pagado"/>
    <s v="fuera de fecha"/>
    <s v="excluir"/>
    <s v="no semana"/>
    <x v="0"/>
  </r>
  <r>
    <n v="3000004842"/>
    <d v="2025-08-20T00:00:00"/>
    <n v="0"/>
    <s v="invalidado med.EOLIVERA -Destruido/ Sin uso"/>
    <x v="966"/>
    <n v="0"/>
    <x v="99"/>
    <x v="2"/>
    <s v="no pagado"/>
    <s v="fuera de fecha"/>
    <s v="excluir"/>
    <s v="no semana"/>
    <x v="0"/>
  </r>
  <r>
    <n v="3000004843"/>
    <d v="2025-08-20T00:00:00"/>
    <n v="0"/>
    <s v="invalidado med.EOLIVERA -Destruido/ Sin uso"/>
    <x v="967"/>
    <n v="0"/>
    <x v="99"/>
    <x v="2"/>
    <s v="no pagado"/>
    <s v="fuera de fecha"/>
    <s v="excluir"/>
    <s v="no semana"/>
    <x v="0"/>
  </r>
  <r>
    <n v="3000004843"/>
    <d v="2025-08-20T00:00:00"/>
    <n v="0"/>
    <s v="invalidado med.EOLIVERA -Destruido/ Sin uso"/>
    <x v="968"/>
    <n v="0"/>
    <x v="99"/>
    <x v="2"/>
    <s v="no pagado"/>
    <s v="fuera de fecha"/>
    <s v="excluir"/>
    <s v="no semana"/>
    <x v="0"/>
  </r>
  <r>
    <n v="3000004844"/>
    <d v="2025-08-20T00:00:00"/>
    <n v="0"/>
    <s v="invalidado med.EOLIVERA -Destruido/ Sin uso"/>
    <x v="969"/>
    <n v="0"/>
    <x v="99"/>
    <x v="2"/>
    <s v="no pagado"/>
    <s v="fuera de fecha"/>
    <s v="excluir"/>
    <s v="no semana"/>
    <x v="0"/>
  </r>
  <r>
    <n v="3000004845"/>
    <d v="2025-08-20T00:00:00"/>
    <n v="0"/>
    <s v="invalidado med.EOLIVERA -Destruido/ Sin uso"/>
    <x v="970"/>
    <n v="0"/>
    <x v="99"/>
    <x v="2"/>
    <s v="no pagado"/>
    <s v="fuera de fecha"/>
    <s v="excluir"/>
    <s v="no semana"/>
    <x v="0"/>
  </r>
  <r>
    <n v="3000004846"/>
    <d v="2025-08-20T00:00:00"/>
    <n v="0"/>
    <s v="invalidado med.EOLIVERA -Destruido/ Sin uso"/>
    <x v="971"/>
    <n v="0"/>
    <x v="99"/>
    <x v="2"/>
    <s v="no pagado"/>
    <s v="fuera de fecha"/>
    <s v="excluir"/>
    <s v="no semana"/>
    <x v="0"/>
  </r>
  <r>
    <n v="3000004847"/>
    <d v="2025-08-20T00:00:00"/>
    <n v="0"/>
    <s v="invalidado med.EOLIVERA -Destruido/ Sin uso"/>
    <x v="972"/>
    <n v="0"/>
    <x v="99"/>
    <x v="2"/>
    <s v="no pagado"/>
    <s v="fuera de fecha"/>
    <s v="excluir"/>
    <s v="no semana"/>
    <x v="0"/>
  </r>
  <r>
    <n v="3000004848"/>
    <d v="2025-08-20T00:00:00"/>
    <n v="0"/>
    <s v="invalidado med.EOLIVERA -Destruido/ Sin uso"/>
    <x v="973"/>
    <n v="0"/>
    <x v="99"/>
    <x v="2"/>
    <s v="no pagado"/>
    <s v="fuera de fecha"/>
    <s v="excluir"/>
    <s v="no semana"/>
    <x v="0"/>
  </r>
  <r>
    <n v="3000004849"/>
    <d v="2025-08-20T00:00:00"/>
    <n v="0"/>
    <s v="invalidado med.EOLIVERA -Destruido/ Sin uso"/>
    <x v="974"/>
    <n v="0"/>
    <x v="99"/>
    <x v="2"/>
    <s v="no pagado"/>
    <s v="fuera de fecha"/>
    <s v="excluir"/>
    <s v="no semana"/>
    <x v="0"/>
  </r>
  <r>
    <n v="3000004850"/>
    <d v="2025-08-20T00:00:00"/>
    <n v="0"/>
    <s v="invalidado med.EOLIVERA -Destruido/ Sin uso"/>
    <x v="975"/>
    <n v="0"/>
    <x v="99"/>
    <x v="2"/>
    <s v="no pagado"/>
    <s v="fuera de fecha"/>
    <s v="excluir"/>
    <s v="no semana"/>
    <x v="0"/>
  </r>
  <r>
    <n v="3000004851"/>
    <d v="2025-08-20T00:00:00"/>
    <n v="0"/>
    <s v="invalidado med.EOLIVERA -Destruido/ Sin uso"/>
    <x v="976"/>
    <n v="0"/>
    <x v="99"/>
    <x v="2"/>
    <s v="no pagado"/>
    <s v="fuera de fecha"/>
    <s v="excluir"/>
    <s v="no semana"/>
    <x v="0"/>
  </r>
  <r>
    <n v="3000004852"/>
    <d v="2025-08-20T00:00:00"/>
    <n v="0"/>
    <s v="invalidado med.EOLIVERA -Destruido/ Sin uso"/>
    <x v="977"/>
    <n v="0"/>
    <x v="99"/>
    <x v="2"/>
    <s v="no pagado"/>
    <s v="fuera de fecha"/>
    <s v="excluir"/>
    <s v="no semana"/>
    <x v="0"/>
  </r>
  <r>
    <n v="3000004853"/>
    <d v="2025-08-20T00:00:00"/>
    <n v="0"/>
    <s v="invalidado med.EOLIVERA -Destruido/ Sin uso"/>
    <x v="978"/>
    <n v="0"/>
    <x v="99"/>
    <x v="2"/>
    <s v="no pagado"/>
    <s v="fuera de fecha"/>
    <s v="excluir"/>
    <s v="no semana"/>
    <x v="0"/>
  </r>
  <r>
    <n v="3000004854"/>
    <d v="2025-08-20T00:00:00"/>
    <n v="0"/>
    <s v="invalidado med.EOLIVERA -Destruido/ Sin uso"/>
    <x v="979"/>
    <n v="0"/>
    <x v="99"/>
    <x v="2"/>
    <s v="no pagado"/>
    <s v="fuera de fecha"/>
    <s v="excluir"/>
    <s v="no semana"/>
    <x v="0"/>
  </r>
  <r>
    <n v="3000004855"/>
    <d v="2025-08-20T00:00:00"/>
    <n v="0"/>
    <s v="invalidado med.EOLIVERA -Destruido/ Sin uso"/>
    <x v="980"/>
    <n v="0"/>
    <x v="99"/>
    <x v="2"/>
    <s v="no pagado"/>
    <s v="fuera de fecha"/>
    <s v="excluir"/>
    <s v="no semana"/>
    <x v="0"/>
  </r>
  <r>
    <n v="3000004856"/>
    <d v="2025-08-20T00:00:00"/>
    <n v="0"/>
    <s v="invalidado med.EOLIVERA -Destruido/ Sin uso"/>
    <x v="981"/>
    <n v="0"/>
    <x v="99"/>
    <x v="2"/>
    <s v="no pagado"/>
    <s v="fuera de fecha"/>
    <s v="excluir"/>
    <s v="no semana"/>
    <x v="0"/>
  </r>
  <r>
    <n v="3000004857"/>
    <d v="2025-08-20T00:00:00"/>
    <n v="0"/>
    <s v="invalidado med.EOLIVERA -Destruido/ Sin uso"/>
    <x v="982"/>
    <n v="0"/>
    <x v="99"/>
    <x v="2"/>
    <s v="no pagado"/>
    <s v="fuera de fecha"/>
    <s v="excluir"/>
    <s v="no semana"/>
    <x v="0"/>
  </r>
  <r>
    <n v="3000004858"/>
    <d v="2025-08-20T00:00:00"/>
    <n v="0"/>
    <s v="invalidado med.EOLIVERA -Destruido/ Sin uso"/>
    <x v="983"/>
    <n v="0"/>
    <x v="99"/>
    <x v="2"/>
    <s v="no pagado"/>
    <s v="fuera de fecha"/>
    <s v="excluir"/>
    <s v="no semana"/>
    <x v="0"/>
  </r>
  <r>
    <n v="3000004859"/>
    <d v="2025-08-20T00:00:00"/>
    <n v="0"/>
    <s v="invalidado med.EOLIVERA -Destruido/ Sin uso"/>
    <x v="984"/>
    <n v="0"/>
    <x v="99"/>
    <x v="2"/>
    <s v="no pagado"/>
    <s v="fuera de fecha"/>
    <s v="excluir"/>
    <s v="no semana"/>
    <x v="0"/>
  </r>
  <r>
    <n v="3000004860"/>
    <d v="2025-08-20T00:00:00"/>
    <n v="0"/>
    <s v="invalidado med.EOLIVERA -Destruido/ Sin uso"/>
    <x v="985"/>
    <n v="0"/>
    <x v="99"/>
    <x v="2"/>
    <s v="no pagado"/>
    <s v="fuera de fecha"/>
    <s v="excluir"/>
    <s v="no semana"/>
    <x v="0"/>
  </r>
  <r>
    <n v="3000004861"/>
    <d v="2025-08-20T00:00:00"/>
    <n v="0"/>
    <s v="invalidado med.EOLIVERA -Destruido/ Sin uso"/>
    <x v="986"/>
    <n v="0"/>
    <x v="99"/>
    <x v="2"/>
    <s v="no pagado"/>
    <s v="fuera de fecha"/>
    <s v="excluir"/>
    <s v="no semana"/>
    <x v="0"/>
  </r>
  <r>
    <n v="3000004862"/>
    <d v="2025-08-20T00:00:00"/>
    <n v="0"/>
    <s v="invalidado med.EOLIVERA -Destruido/ Sin uso"/>
    <x v="987"/>
    <n v="0"/>
    <x v="99"/>
    <x v="2"/>
    <s v="no pagado"/>
    <s v="fuera de fecha"/>
    <s v="excluir"/>
    <s v="no semana"/>
    <x v="0"/>
  </r>
  <r>
    <n v="3000004834"/>
    <d v="2025-08-21T00:00:00"/>
    <n v="16325371.470000001"/>
    <s v="CONSTRUNOA S.A.S. ORAN 09"/>
    <x v="988"/>
    <n v="16325371.470000001"/>
    <x v="118"/>
    <x v="2"/>
    <s v="pagado"/>
    <s v="pagado"/>
    <s v="excluir"/>
    <s v="no semana"/>
    <x v="0"/>
  </r>
  <r>
    <n v="3000004836"/>
    <d v="2025-08-21T00:00:00"/>
    <n v="5716762.7199999997"/>
    <s v="ADLER HASENCLEVER Y ASOCIADOS BUENOS AIRES 01"/>
    <x v="989"/>
    <n v="5716762.7199999997"/>
    <x v="118"/>
    <x v="2"/>
    <s v="pagado"/>
    <s v="pagado"/>
    <s v="excluir"/>
    <s v="no semana"/>
    <x v="0"/>
  </r>
  <r>
    <n v="3000004837"/>
    <d v="2025-08-21T00:00:00"/>
    <n v="4991502.8499999996"/>
    <s v="MELISAM S A BOULOGNE 01"/>
    <x v="990"/>
    <n v="4991502.8499999996"/>
    <x v="118"/>
    <x v="2"/>
    <s v="pagado"/>
    <s v="pagado"/>
    <s v="excluir"/>
    <s v="no semana"/>
    <x v="0"/>
  </r>
  <r>
    <n v="3000004838"/>
    <d v="2025-08-21T00:00:00"/>
    <n v="12029850"/>
    <s v="HELUANE PABLO DARIO SAN MIGUEL DE TUCUMAN 14"/>
    <x v="991"/>
    <n v="12029850"/>
    <x v="118"/>
    <x v="2"/>
    <s v="pagado"/>
    <s v="pagado"/>
    <s v="excluir"/>
    <s v="no semana"/>
    <x v="0"/>
  </r>
  <r>
    <n v="3000004839"/>
    <d v="2025-08-21T00:00:00"/>
    <n v="10803100"/>
    <s v="TUCUMAN PALLET SRL EL MANANTIAL 14"/>
    <x v="992"/>
    <n v="10803100"/>
    <x v="118"/>
    <x v="2"/>
    <s v="pagado"/>
    <s v="pagado"/>
    <s v="excluir"/>
    <s v="no semana"/>
    <x v="0"/>
  </r>
  <r>
    <n v="3000004840"/>
    <d v="2025-08-21T00:00:00"/>
    <n v="13000000"/>
    <s v="Consultoria en Tecnologia de IBUENOS AIRES 00"/>
    <x v="993"/>
    <n v="13000000"/>
    <x v="118"/>
    <x v="2"/>
    <s v="pagado"/>
    <s v="pagado"/>
    <s v="excluir"/>
    <s v="no semana"/>
    <x v="0"/>
  </r>
  <r>
    <n v="3000004840"/>
    <d v="2025-08-21T00:00:00"/>
    <n v="13497240.32"/>
    <s v="Consultoria en Tecnologia de IBUENOS AIRES 00"/>
    <x v="994"/>
    <n v="13497240.32"/>
    <x v="119"/>
    <x v="2"/>
    <s v="pagado"/>
    <s v="pagado"/>
    <s v="excluir"/>
    <s v="no semana"/>
    <x v="0"/>
  </r>
  <r>
    <n v="3000004841"/>
    <d v="2025-08-21T00:00:00"/>
    <n v="9867424"/>
    <s v="CORTEZ CHRISTIE ANA INES YERBA BUENA 14"/>
    <x v="995"/>
    <n v="9867424"/>
    <x v="118"/>
    <x v="2"/>
    <s v="pagado"/>
    <s v="pagado"/>
    <s v="excluir"/>
    <s v="no semana"/>
    <x v="0"/>
  </r>
  <r>
    <n v="3000004842"/>
    <d v="2025-08-21T00:00:00"/>
    <n v="14280133.869999999"/>
    <s v="CEFAS S.A CIUDAD AUTONOMA DE BUENOS AIRES 01"/>
    <x v="996"/>
    <n v="14280133.869999999"/>
    <x v="118"/>
    <x v="2"/>
    <s v="pagado"/>
    <s v="pagado"/>
    <s v="excluir"/>
    <s v="no semana"/>
    <x v="0"/>
  </r>
  <r>
    <n v="3000004843"/>
    <d v="2025-08-21T00:00:00"/>
    <n v="12000000"/>
    <s v="SMART SEGURIDAD SA YERBA BUENA 14"/>
    <x v="997"/>
    <n v="12000000"/>
    <x v="118"/>
    <x v="2"/>
    <s v="pagado"/>
    <s v="pagado"/>
    <s v="excluir"/>
    <s v="no semana"/>
    <x v="0"/>
  </r>
  <r>
    <n v="3000004843"/>
    <d v="2025-08-21T00:00:00"/>
    <n v="12475857.77"/>
    <s v="SMART SEGURIDAD SA YERBA BUENA 14"/>
    <x v="998"/>
    <n v="12475857.77"/>
    <x v="119"/>
    <x v="2"/>
    <s v="pagado"/>
    <s v="pagado"/>
    <s v="excluir"/>
    <s v="no semana"/>
    <x v="0"/>
  </r>
  <r>
    <n v="3000004844"/>
    <d v="2025-08-21T00:00:00"/>
    <n v="15694378.41"/>
    <s v="CITRAR SRL SAN MIGUEL DE TUCUMAN 14"/>
    <x v="999"/>
    <n v="15694378.41"/>
    <x v="118"/>
    <x v="2"/>
    <s v="pagado"/>
    <s v="pagado"/>
    <s v="excluir"/>
    <s v="no semana"/>
    <x v="0"/>
  </r>
  <r>
    <n v="3000004845"/>
    <d v="2025-08-21T00:00:00"/>
    <n v="8305667.9199999999"/>
    <s v="LATCOMEX SA CAPITAL FEDERAL 00"/>
    <x v="1000"/>
    <n v="8305667.9199999999"/>
    <x v="118"/>
    <x v="2"/>
    <s v="pagado"/>
    <s v="pagado"/>
    <s v="excluir"/>
    <s v="no semana"/>
    <x v="0"/>
  </r>
  <r>
    <n v="3000004846"/>
    <d v="2025-08-21T00:00:00"/>
    <n v="2139990.64"/>
    <s v="Exolgan S.A. Dock Sud 01"/>
    <x v="1001"/>
    <n v="2139990.64"/>
    <x v="118"/>
    <x v="2"/>
    <s v="pagado"/>
    <s v="pagado"/>
    <s v="excluir"/>
    <s v="no semana"/>
    <x v="0"/>
  </r>
  <r>
    <n v="3000004847"/>
    <d v="2025-08-21T00:00:00"/>
    <n v="14941216.560000001"/>
    <s v="CAPETTA ANTONELLA ANAHI SAN MIGUEL DE TUCUMAN 14"/>
    <x v="1002"/>
    <n v="14941216.560000001"/>
    <x v="118"/>
    <x v="2"/>
    <s v="pagado"/>
    <s v="pagado"/>
    <s v="excluir"/>
    <s v="no semana"/>
    <x v="0"/>
  </r>
  <r>
    <n v="3000004848"/>
    <d v="2025-08-21T00:00:00"/>
    <n v="2129971.58"/>
    <s v="MAC DONALD MIGUEL ALEJANDRO BANDA DEL RIO SALI 14"/>
    <x v="1003"/>
    <n v="2129971.58"/>
    <x v="118"/>
    <x v="2"/>
    <s v="pagado"/>
    <s v="pagado"/>
    <s v="excluir"/>
    <s v="no semana"/>
    <x v="0"/>
  </r>
  <r>
    <n v="3000004849"/>
    <d v="2025-08-21T00:00:00"/>
    <n v="12699046.73"/>
    <s v="RL SOLUCIONES S. A. S. SAN MIGUEL DE TUCUMAN 14"/>
    <x v="1004"/>
    <n v="12699046.73"/>
    <x v="118"/>
    <x v="2"/>
    <s v="pagado"/>
    <s v="pagado"/>
    <s v="excluir"/>
    <s v="no semana"/>
    <x v="0"/>
  </r>
  <r>
    <n v="3000004850"/>
    <d v="2025-08-21T00:00:00"/>
    <n v="6389914.7400000002"/>
    <s v="CEMEVA SAS YERBA BUENA 14"/>
    <x v="1005"/>
    <n v="6389914.7400000002"/>
    <x v="118"/>
    <x v="2"/>
    <s v="pagado"/>
    <s v="pagado"/>
    <s v="excluir"/>
    <s v="no semana"/>
    <x v="0"/>
  </r>
  <r>
    <n v="3000004851"/>
    <d v="2025-08-21T00:00:00"/>
    <n v="2161718.38"/>
    <s v="ABALOS ENZO FEDERICO Villa Mariano Moreno 14"/>
    <x v="1006"/>
    <n v="2161718.38"/>
    <x v="118"/>
    <x v="2"/>
    <s v="no pagado"/>
    <s v="fuera de fecha"/>
    <s v="excluir"/>
    <s v="no semana"/>
    <x v="0"/>
  </r>
  <r>
    <n v="3000004852"/>
    <d v="2025-08-21T00:00:00"/>
    <n v="7155216.3899999997"/>
    <s v="HERRERA RICARDO ALBERTO BANDA DEL RIO SALI 14"/>
    <x v="1007"/>
    <n v="7155216.3899999997"/>
    <x v="118"/>
    <x v="2"/>
    <s v="pagado"/>
    <s v="pagado"/>
    <s v="excluir"/>
    <s v="no semana"/>
    <x v="0"/>
  </r>
  <r>
    <n v="3000004853"/>
    <d v="2025-08-21T00:00:00"/>
    <n v="3981049.7"/>
    <s v="Sereno Carlos Luis Los Gutierrez 14"/>
    <x v="1008"/>
    <n v="3981049.7"/>
    <x v="118"/>
    <x v="2"/>
    <s v="pagado"/>
    <s v="pagado"/>
    <s v="excluir"/>
    <s v="no semana"/>
    <x v="0"/>
  </r>
  <r>
    <n v="3000004854"/>
    <d v="2025-08-21T00:00:00"/>
    <n v="8848360.9199999999"/>
    <s v="SUAREZ MANUEL RODOLFO ALDERETES 14"/>
    <x v="1009"/>
    <n v="8848360.9199999999"/>
    <x v="118"/>
    <x v="2"/>
    <s v="pagado"/>
    <s v="pagado"/>
    <s v="excluir"/>
    <s v="no semana"/>
    <x v="0"/>
  </r>
  <r>
    <n v="3000004855"/>
    <d v="2025-08-21T00:00:00"/>
    <n v="7216832.25"/>
    <s v="Gonzalez Jose Luis Lastenia 14"/>
    <x v="1010"/>
    <n v="7216832.25"/>
    <x v="118"/>
    <x v="2"/>
    <s v="pagado"/>
    <s v="pagado"/>
    <s v="excluir"/>
    <s v="no semana"/>
    <x v="0"/>
  </r>
  <r>
    <n v="3000004856"/>
    <d v="2025-08-21T00:00:00"/>
    <n v="11157973.68"/>
    <s v="PERATO CRISTIAN LUIS BANDA DEL RIO SALI 14"/>
    <x v="1011"/>
    <n v="11157973.68"/>
    <x v="118"/>
    <x v="2"/>
    <s v="pagado"/>
    <s v="pagado"/>
    <s v="excluir"/>
    <s v="no semana"/>
    <x v="0"/>
  </r>
  <r>
    <n v="3000004857"/>
    <d v="2025-08-21T00:00:00"/>
    <n v="5170276.4800000004"/>
    <s v="GEREZ ALICIA ELEUTERIA SAN MIGUEL DE TUCUMAN 14"/>
    <x v="1012"/>
    <n v="5170276.4800000004"/>
    <x v="118"/>
    <x v="2"/>
    <s v="pagado"/>
    <s v="pagado"/>
    <s v="excluir"/>
    <s v="no semana"/>
    <x v="0"/>
  </r>
  <r>
    <n v="3000004858"/>
    <d v="2025-08-21T00:00:00"/>
    <n v="1968921.02"/>
    <s v="SANTILLI CARLOS MIGUEL SAN MIGUEL DE TUCUMAN 14"/>
    <x v="1013"/>
    <n v="1968921.02"/>
    <x v="118"/>
    <x v="2"/>
    <s v="pagado"/>
    <s v="pagado"/>
    <s v="excluir"/>
    <s v="no semana"/>
    <x v="0"/>
  </r>
  <r>
    <n v="3000004859"/>
    <d v="2025-08-21T00:00:00"/>
    <n v="3767936.24"/>
    <s v="ALVAREZ RENE JOSE MARIA BELLA VISTA 14"/>
    <x v="1014"/>
    <n v="3767936.24"/>
    <x v="118"/>
    <x v="2"/>
    <s v="pagado"/>
    <s v="pagado"/>
    <s v="excluir"/>
    <s v="no semana"/>
    <x v="0"/>
  </r>
  <r>
    <n v="3000004860"/>
    <d v="2025-08-21T00:00:00"/>
    <n v="2400997.89"/>
    <s v="Alcoba Luareano Arnaldo Concepcion 14"/>
    <x v="1015"/>
    <n v="2400997.89"/>
    <x v="118"/>
    <x v="2"/>
    <s v="pagado"/>
    <s v="pagado"/>
    <s v="excluir"/>
    <s v="no semana"/>
    <x v="0"/>
  </r>
  <r>
    <n v="3000004861"/>
    <d v="2025-08-21T00:00:00"/>
    <n v="2776610.24"/>
    <s v="Arias Gonzalo Alejandro San Miguel de Tucumán 14"/>
    <x v="1016"/>
    <n v="2776610.24"/>
    <x v="118"/>
    <x v="2"/>
    <s v="pagado"/>
    <s v="pagado"/>
    <s v="excluir"/>
    <s v="no semana"/>
    <x v="0"/>
  </r>
  <r>
    <n v="3000004862"/>
    <d v="2025-08-21T00:00:00"/>
    <n v="11721546.68"/>
    <s v="ACOSTA ROQUE RAMON SAN MIGUEL DE TUCUMAN 14"/>
    <x v="1017"/>
    <n v="11721546.68"/>
    <x v="118"/>
    <x v="2"/>
    <s v="pagado"/>
    <s v="pagado"/>
    <s v="excluir"/>
    <s v="no semana"/>
    <x v="0"/>
  </r>
  <r>
    <n v="3000003969"/>
    <d v="2025-08-21T00:00:00"/>
    <n v="12774443.960000001"/>
    <s v="RL SOLUCIONES S. A. S. SAN MIGUEL DE TUCUMAN 14"/>
    <x v="1018"/>
    <n v="12774443.960000001"/>
    <x v="119"/>
    <x v="2"/>
    <s v="pagado"/>
    <s v="pagado"/>
    <s v="excluir"/>
    <s v="no semana"/>
    <x v="0"/>
  </r>
  <r>
    <n v="3000003819"/>
    <d v="2025-08-21T00:00:00"/>
    <n v="8343246.1399999997"/>
    <s v="VILLAGRA VELEZ ROQUE RICARDO SAN MIGUEL DE TUCUMAN 14"/>
    <x v="1019"/>
    <n v="8343246.1399999997"/>
    <x v="119"/>
    <x v="2"/>
    <s v="pagado"/>
    <s v="pagado"/>
    <s v="excluir"/>
    <s v="no semana"/>
    <x v="0"/>
  </r>
  <r>
    <n v="3000003816"/>
    <d v="2025-08-21T00:00:00"/>
    <n v="10000000"/>
    <s v="RL SOLUCIONES S. A. S. SAN MIGUEL DE TUCUMAN 14"/>
    <x v="1020"/>
    <n v="10000000"/>
    <x v="119"/>
    <x v="2"/>
    <s v="pagado"/>
    <s v="pagado"/>
    <s v="excluir"/>
    <s v="no semana"/>
    <x v="0"/>
  </r>
  <r>
    <n v="3000003309"/>
    <d v="2025-08-21T00:00:00"/>
    <n v="3895201.33"/>
    <s v="Sereno Carlos Luis Los Gutierrez 14"/>
    <x v="1021"/>
    <n v="3895201.33"/>
    <x v="119"/>
    <x v="2"/>
    <s v="pagado"/>
    <s v="pagado"/>
    <s v="excluir"/>
    <s v="no semana"/>
    <x v="0"/>
  </r>
  <r>
    <n v="3000004896"/>
    <d v="2025-08-21T00:00:00"/>
    <n v="1362379.94"/>
    <s v="TRANSPORTE MEDINA S.H. CRUZ ALTA 14"/>
    <x v="1022"/>
    <n v="1362379.94"/>
    <x v="119"/>
    <x v="0"/>
    <s v="pagado"/>
    <s v="pagado"/>
    <s v="excluir"/>
    <s v="no semana"/>
    <x v="0"/>
  </r>
  <r>
    <n v="3000004897"/>
    <d v="2025-08-22T00:00:00"/>
    <n v="15620310.99"/>
    <s v="ECOGREEN SRL SAN MIGUEL DE TUCUMAN 14"/>
    <x v="1023"/>
    <n v="15620310.99"/>
    <x v="119"/>
    <x v="0"/>
    <s v="pagado"/>
    <s v="pagado"/>
    <s v="excluir"/>
    <s v="no semana"/>
    <x v="0"/>
  </r>
  <r>
    <n v="3000004946"/>
    <d v="2025-08-25T00:00:00"/>
    <n v="2500000"/>
    <s v=". Tucumán"/>
    <x v="1024"/>
    <n v="2500000"/>
    <x v="120"/>
    <x v="0"/>
    <s v="pagado"/>
    <s v="pagado"/>
    <s v="excluir"/>
    <s v="no semana"/>
    <x v="0"/>
  </r>
  <r>
    <n v="3000004946"/>
    <d v="2025-08-25T00:00:00"/>
    <n v="2500000"/>
    <s v=". Tucumán"/>
    <x v="1025"/>
    <n v="2500000"/>
    <x v="120"/>
    <x v="0"/>
    <s v="pagado"/>
    <s v="pagado"/>
    <s v="excluir"/>
    <s v="no semana"/>
    <x v="0"/>
  </r>
  <r>
    <n v="3000004946"/>
    <d v="2025-08-25T00:00:00"/>
    <n v="2500000"/>
    <s v=". Tucumán"/>
    <x v="1026"/>
    <n v="2500000"/>
    <x v="120"/>
    <x v="0"/>
    <s v="pagado"/>
    <s v="pagado"/>
    <s v="excluir"/>
    <s v="no semana"/>
    <x v="0"/>
  </r>
  <r>
    <n v="3000004946"/>
    <d v="2025-08-25T00:00:00"/>
    <n v="2500000"/>
    <s v=". Tucumán"/>
    <x v="1027"/>
    <n v="2500000"/>
    <x v="120"/>
    <x v="0"/>
    <s v="pagado"/>
    <s v="pagado"/>
    <s v="excluir"/>
    <s v="no semana"/>
    <x v="0"/>
  </r>
  <r>
    <n v="3000004946"/>
    <d v="2025-08-25T00:00:00"/>
    <n v="2500000"/>
    <s v=". Tucumán"/>
    <x v="1028"/>
    <n v="2500000"/>
    <x v="121"/>
    <x v="0"/>
    <s v="pagado"/>
    <s v="pagado"/>
    <s v="excluir"/>
    <s v="no semana"/>
    <x v="0"/>
  </r>
  <r>
    <n v="3000004946"/>
    <d v="2025-08-25T00:00:00"/>
    <n v="2500000"/>
    <s v=". Tucumán"/>
    <x v="1029"/>
    <n v="2500000"/>
    <x v="121"/>
    <x v="0"/>
    <s v="pagado"/>
    <s v="pagado"/>
    <s v="excluir"/>
    <s v="no semana"/>
    <x v="0"/>
  </r>
  <r>
    <n v="3000004946"/>
    <d v="2025-08-25T00:00:00"/>
    <n v="1500000"/>
    <s v=". Tucumán"/>
    <x v="1030"/>
    <n v="1500000"/>
    <x v="121"/>
    <x v="0"/>
    <s v="pagado"/>
    <s v="pagado"/>
    <s v="excluir"/>
    <s v="no semana"/>
    <x v="0"/>
  </r>
  <r>
    <n v="3000004947"/>
    <d v="2025-08-25T00:00:00"/>
    <n v="10000000"/>
    <s v="INTERIORES S.R.L. SAN MIGUEL DE TUCUMAN 14"/>
    <x v="1031"/>
    <n v="10000000"/>
    <x v="120"/>
    <x v="0"/>
    <s v="pagado"/>
    <s v="pagado"/>
    <s v="excluir"/>
    <s v="no semana"/>
    <x v="0"/>
  </r>
  <r>
    <n v="3000004947"/>
    <d v="2025-08-25T00:00:00"/>
    <n v="4000000"/>
    <s v="INTERIORES S.R.L. SAN MIGUEL DE TUCUMAN 14"/>
    <x v="1032"/>
    <n v="4000000"/>
    <x v="122"/>
    <x v="0"/>
    <s v="pagado"/>
    <s v="pagado"/>
    <s v="excluir"/>
    <s v="no semana"/>
    <x v="0"/>
  </r>
  <r>
    <n v="3000004947"/>
    <d v="2025-08-25T00:00:00"/>
    <n v="3571963.49"/>
    <s v="INTERIORES S.R.L. SAN MIGUEL DE TUCUMAN 14"/>
    <x v="1033"/>
    <n v="3571963.49"/>
    <x v="123"/>
    <x v="0"/>
    <s v="pagado"/>
    <s v="pagado"/>
    <s v="excluir"/>
    <s v="no semana"/>
    <x v="0"/>
  </r>
  <r>
    <n v="3000004949"/>
    <d v="2025-08-25T00:00:00"/>
    <n v="11000000"/>
    <s v="fyl trans srl SAN MIGUEL DE TUCUMAN 14"/>
    <x v="1034"/>
    <n v="11000000"/>
    <x v="120"/>
    <x v="0"/>
    <s v="pagado"/>
    <s v="pagado"/>
    <s v="excluir"/>
    <s v="no semana"/>
    <x v="0"/>
  </r>
  <r>
    <n v="3000004949"/>
    <d v="2025-08-25T00:00:00"/>
    <n v="10705170.15"/>
    <s v="fyl trans srl SAN MIGUEL DE TUCUMAN 14"/>
    <x v="1035"/>
    <n v="10705170.15"/>
    <x v="124"/>
    <x v="0"/>
    <s v="pagado"/>
    <s v="pagado"/>
    <s v="excluir"/>
    <s v="no semana"/>
    <x v="0"/>
  </r>
  <r>
    <n v="3000004950"/>
    <d v="2025-08-25T00:00:00"/>
    <n v="24000000"/>
    <s v="MANCERA JOSEFINA REMIGIA SAN MIGUEL DE TUCUMAN 14"/>
    <x v="1036"/>
    <n v="24000000"/>
    <x v="120"/>
    <x v="0"/>
    <s v="pagado"/>
    <s v="pagado"/>
    <s v="excluir"/>
    <s v="no semana"/>
    <x v="0"/>
  </r>
  <r>
    <n v="3000004950"/>
    <d v="2025-08-25T00:00:00"/>
    <n v="23526178.670000002"/>
    <s v="MANCERA JOSEFINA REMIGIA SAN MIGUEL DE TUCUMAN 14"/>
    <x v="1037"/>
    <n v="23526178.670000002"/>
    <x v="124"/>
    <x v="0"/>
    <s v="pagado"/>
    <s v="pagado"/>
    <s v="excluir"/>
    <s v="no semana"/>
    <x v="0"/>
  </r>
  <r>
    <n v="3000004951"/>
    <d v="2025-08-25T00:00:00"/>
    <n v="23000000"/>
    <s v="MENDEZ, MARTIN ALBERTO SAN MIGUEL DE TUCUMAN 14"/>
    <x v="1038"/>
    <n v="23000000"/>
    <x v="120"/>
    <x v="0"/>
    <s v="pagado"/>
    <s v="pagado"/>
    <s v="excluir"/>
    <s v="no semana"/>
    <x v="0"/>
  </r>
  <r>
    <n v="3000004951"/>
    <d v="2025-08-25T00:00:00"/>
    <n v="23637958.870000001"/>
    <s v="MENDEZ, MARTIN ALBERTO SAN MIGUEL DE TUCUMAN 14"/>
    <x v="1039"/>
    <n v="23637958.870000001"/>
    <x v="124"/>
    <x v="0"/>
    <s v="pagado"/>
    <s v="pagado"/>
    <s v="excluir"/>
    <s v="no semana"/>
    <x v="0"/>
  </r>
  <r>
    <n v="3000004960"/>
    <d v="2025-08-25T00:00:00"/>
    <n v="16000000"/>
    <s v="CEFAS S.A CIUDAD AUTONOMA DE BUENOS AIRES 01"/>
    <x v="1040"/>
    <n v="16000000"/>
    <x v="120"/>
    <x v="0"/>
    <s v="pagado"/>
    <s v="pagado"/>
    <s v="excluir"/>
    <s v="no semana"/>
    <x v="0"/>
  </r>
  <r>
    <n v="3000004960"/>
    <d v="2025-08-25T00:00:00"/>
    <n v="15608527.07"/>
    <s v="CEFAS S.A CIUDAD AUTONOMA DE BUENOS AIRES 01"/>
    <x v="1041"/>
    <n v="15608527.07"/>
    <x v="124"/>
    <x v="0"/>
    <s v="pagado"/>
    <s v="pagado"/>
    <s v="excluir"/>
    <s v="no semana"/>
    <x v="0"/>
  </r>
  <r>
    <n v="3000004961"/>
    <d v="2025-08-25T00:00:00"/>
    <n v="15000000"/>
    <s v="EXCELENCIA OPERACIONAL SRL CIUDAD AUTONOMA DE BUENOS AIRES 00"/>
    <x v="1042"/>
    <n v="15000000"/>
    <x v="120"/>
    <x v="0"/>
    <s v="pagado"/>
    <s v="pagado"/>
    <s v="excluir"/>
    <s v="no semana"/>
    <x v="0"/>
  </r>
  <r>
    <n v="3000004961"/>
    <d v="2025-08-25T00:00:00"/>
    <n v="14838594.6"/>
    <s v="EXCELENCIA OPERACIONAL SRL CIUDAD AUTONOMA DE BUENOS AIRES 00"/>
    <x v="1043"/>
    <n v="14838594.6"/>
    <x v="124"/>
    <x v="0"/>
    <s v="pagado"/>
    <s v="pagado"/>
    <s v="excluir"/>
    <s v="no semana"/>
    <x v="0"/>
  </r>
  <r>
    <n v="3000004963"/>
    <d v="2025-08-25T00:00:00"/>
    <n v="25000000"/>
    <s v="LATCOMEX SA CAPITAL FEDERAL 00"/>
    <x v="1044"/>
    <n v="25000000"/>
    <x v="120"/>
    <x v="0"/>
    <s v="pagado"/>
    <s v="pagado"/>
    <s v="excluir"/>
    <s v="no semana"/>
    <x v="0"/>
  </r>
  <r>
    <n v="3000004963"/>
    <d v="2025-08-25T00:00:00"/>
    <n v="24833000"/>
    <s v="LATCOMEX SA CAPITAL FEDERAL 00"/>
    <x v="1045"/>
    <n v="24833000"/>
    <x v="124"/>
    <x v="0"/>
    <s v="pagado"/>
    <s v="pagado"/>
    <s v="excluir"/>
    <s v="no semana"/>
    <x v="0"/>
  </r>
  <r>
    <n v="3000004948"/>
    <d v="2025-08-25T00:00:00"/>
    <n v="5156858.4000000004"/>
    <s v="ARMERIA ARMAR SAS SAN MIGUEL DE TUCUMAN 14"/>
    <x v="1046"/>
    <n v="5156858.4000000004"/>
    <x v="120"/>
    <x v="0"/>
    <s v="pagado"/>
    <s v="pagado"/>
    <s v="excluir"/>
    <s v="no semana"/>
    <x v="0"/>
  </r>
  <r>
    <n v="3000004952"/>
    <d v="2025-08-25T00:00:00"/>
    <n v="15136442.539999999"/>
    <s v="HERECITRUS SRL SAN MIGUEL DE TUCUMAN 14"/>
    <x v="1047"/>
    <n v="15136442.539999999"/>
    <x v="120"/>
    <x v="0"/>
    <s v="pagado"/>
    <s v="pagado"/>
    <s v="excluir"/>
    <s v="no semana"/>
    <x v="0"/>
  </r>
  <r>
    <n v="3000004953"/>
    <d v="2025-08-25T00:00:00"/>
    <n v="9008164.7100000009"/>
    <s v="JABULISSA S.R.L YERBA BUENA 14"/>
    <x v="1048"/>
    <n v="9008164.7100000009"/>
    <x v="120"/>
    <x v="0"/>
    <s v="pagado"/>
    <s v="pagado"/>
    <s v="excluir"/>
    <s v="no semana"/>
    <x v="0"/>
  </r>
  <r>
    <n v="3000004954"/>
    <d v="2025-08-25T00:00:00"/>
    <n v="15844400.58"/>
    <s v="NOBEN SRL SAN MIGUEL DE TUCUMAN 14"/>
    <x v="1049"/>
    <n v="15844400.58"/>
    <x v="120"/>
    <x v="0"/>
    <s v="pagado"/>
    <s v="pagado"/>
    <s v="excluir"/>
    <s v="no semana"/>
    <x v="0"/>
  </r>
  <r>
    <n v="3000004955"/>
    <d v="2025-08-25T00:00:00"/>
    <n v="3497234.05"/>
    <s v="MG SERVICIOS AGROPECUARIOS SASTAFI VIEJO 14"/>
    <x v="1050"/>
    <n v="3497234.05"/>
    <x v="120"/>
    <x v="0"/>
    <s v="pagado"/>
    <s v="pagado"/>
    <s v="excluir"/>
    <s v="no semana"/>
    <x v="0"/>
  </r>
  <r>
    <n v="3000004956"/>
    <d v="2025-08-25T00:00:00"/>
    <n v="7460417.5599999996"/>
    <s v="ROMERO SERVICIOS S. A. S. ALPACHIRI 14"/>
    <x v="1051"/>
    <n v="7460417.5599999996"/>
    <x v="120"/>
    <x v="0"/>
    <s v="pagado"/>
    <s v="pagado"/>
    <s v="excluir"/>
    <s v="no semana"/>
    <x v="0"/>
  </r>
  <r>
    <n v="3000004957"/>
    <d v="2025-08-25T00:00:00"/>
    <n v="13789931.4"/>
    <s v="TEKNOS TECHNOLOGY GROUP SA CAPITAL FEDERAL 00"/>
    <x v="1052"/>
    <n v="13789931.4"/>
    <x v="120"/>
    <x v="0"/>
    <s v="pagado"/>
    <s v="pagado"/>
    <s v="excluir"/>
    <s v="no semana"/>
    <x v="0"/>
  </r>
  <r>
    <n v="3000004958"/>
    <d v="2025-08-25T00:00:00"/>
    <n v="6127680"/>
    <s v="Consultoria en Tecnologia de IBUENOS AIRES 00"/>
    <x v="1053"/>
    <n v="6127680"/>
    <x v="120"/>
    <x v="0"/>
    <s v="pagado"/>
    <s v="pagado"/>
    <s v="excluir"/>
    <s v="no semana"/>
    <x v="0"/>
  </r>
  <r>
    <n v="3000004959"/>
    <d v="2025-08-25T00:00:00"/>
    <n v="9870000"/>
    <s v="INSITU S.R.L SAN MIGUEL DE TUCUMAN 14"/>
    <x v="1054"/>
    <n v="9870000"/>
    <x v="120"/>
    <x v="0"/>
    <s v="pagado"/>
    <s v="pagado"/>
    <s v="excluir"/>
    <s v="no semana"/>
    <x v="0"/>
  </r>
  <r>
    <n v="3000004962"/>
    <d v="2025-08-25T00:00:00"/>
    <n v="8266467.2000000002"/>
    <s v="Rotta Domingo Eduardo Cruz Alta 14"/>
    <x v="1055"/>
    <n v="8266467.2000000002"/>
    <x v="120"/>
    <x v="0"/>
    <s v="pagado"/>
    <s v="pagado"/>
    <s v="excluir"/>
    <s v="no semana"/>
    <x v="0"/>
  </r>
  <r>
    <n v="3000004995"/>
    <d v="2025-08-26T00:00:00"/>
    <n v="9950499.9800000004"/>
    <s v="NARANJO GONZALO JOSE TARUCA PAMPA 14"/>
    <x v="1056"/>
    <n v="9950499.9800000004"/>
    <x v="120"/>
    <x v="0"/>
    <s v="pagado"/>
    <s v="pagado"/>
    <s v="excluir"/>
    <s v="no semana"/>
    <x v="0"/>
  </r>
  <r>
    <n v="3000004996"/>
    <d v="2025-08-26T00:00:00"/>
    <n v="6286667.6699999999"/>
    <s v="ALVAREZ RENE JOSE MARIA BELLA VISTA 14"/>
    <x v="1057"/>
    <n v="6286667.6699999999"/>
    <x v="120"/>
    <x v="0"/>
    <s v="pagado"/>
    <s v="pagado"/>
    <s v="excluir"/>
    <s v="no semana"/>
    <x v="0"/>
  </r>
  <r>
    <n v="3000004997"/>
    <d v="2025-08-26T00:00:00"/>
    <n v="3463468.43"/>
    <s v="SUAREZ MIGUEL ANGEL ALDERETES 14"/>
    <x v="1058"/>
    <n v="3463468.43"/>
    <x v="120"/>
    <x v="0"/>
    <s v="pagado"/>
    <s v="pagado"/>
    <s v="excluir"/>
    <s v="no semana"/>
    <x v="0"/>
  </r>
  <r>
    <n v="3000004998"/>
    <d v="2025-08-26T00:00:00"/>
    <n v="0"/>
    <s v="invalidado med.EOLIVERA -Rechazado"/>
    <x v="1059"/>
    <n v="0"/>
    <x v="120"/>
    <x v="0"/>
    <s v="no pagado"/>
    <s v="fuera de fecha"/>
    <s v="excluir"/>
    <s v="no semana"/>
    <x v="0"/>
  </r>
  <r>
    <n v="3000004999"/>
    <d v="2025-08-26T00:00:00"/>
    <n v="2404308.73"/>
    <s v="DIOSQUEZ RODOLFO ALFREDO ALDERETES 14"/>
    <x v="1060"/>
    <n v="2404308.73"/>
    <x v="120"/>
    <x v="0"/>
    <s v="pagado"/>
    <s v="pagado"/>
    <s v="excluir"/>
    <s v="no semana"/>
    <x v="0"/>
  </r>
  <r>
    <n v="3000005000"/>
    <d v="2025-08-26T00:00:00"/>
    <n v="4641089.26"/>
    <s v="Sanchez Jose Mauricio San Miguel de Tucuman 14"/>
    <x v="1061"/>
    <n v="4641089.26"/>
    <x v="120"/>
    <x v="0"/>
    <s v="pagado"/>
    <s v="pagado"/>
    <s v="excluir"/>
    <s v="no semana"/>
    <x v="0"/>
  </r>
  <r>
    <n v="3000005001"/>
    <d v="2025-08-26T00:00:00"/>
    <n v="15000000"/>
    <s v="LANCHELA HECTOR ROLANDO CONCEPCION 14"/>
    <x v="1062"/>
    <n v="15000000"/>
    <x v="120"/>
    <x v="0"/>
    <s v="pagado"/>
    <s v="pagado"/>
    <s v="excluir"/>
    <s v="no semana"/>
    <x v="0"/>
  </r>
  <r>
    <n v="3000005001"/>
    <d v="2025-08-26T00:00:00"/>
    <n v="14895880.23"/>
    <s v="LANCHELA HECTOR ROLANDO CONCEPCION 14"/>
    <x v="1063"/>
    <n v="14895880.23"/>
    <x v="124"/>
    <x v="0"/>
    <s v="pagado"/>
    <s v="pagado"/>
    <s v="excluir"/>
    <s v="no semana"/>
    <x v="0"/>
  </r>
  <r>
    <n v="3000005002"/>
    <d v="2025-08-26T00:00:00"/>
    <n v="8519886.3100000005"/>
    <s v="CEMEVA SAS YERBA BUENA 14"/>
    <x v="1064"/>
    <n v="8519886.3100000005"/>
    <x v="120"/>
    <x v="0"/>
    <s v="pagado"/>
    <s v="pagado"/>
    <s v="excluir"/>
    <s v="no semana"/>
    <x v="0"/>
  </r>
  <r>
    <n v="3000005003"/>
    <d v="2025-08-26T00:00:00"/>
    <n v="4259943.16"/>
    <s v="MAC DONALD MIGUEL ALEJANDRO BANDA DEL RIO SALI 14"/>
    <x v="1065"/>
    <n v="4259943.16"/>
    <x v="120"/>
    <x v="0"/>
    <s v="pagado"/>
    <s v="pagado"/>
    <s v="excluir"/>
    <s v="no semana"/>
    <x v="0"/>
  </r>
  <r>
    <n v="3000005004"/>
    <d v="2025-08-26T00:00:00"/>
    <n v="6349523.3700000001"/>
    <s v="VILLAGRA VELEZ ROQUE RICARDO SAN MIGUEL DE TUCUMAN 14"/>
    <x v="1066"/>
    <n v="6349523.3700000001"/>
    <x v="120"/>
    <x v="0"/>
    <s v="pagado"/>
    <s v="pagado"/>
    <s v="excluir"/>
    <s v="no semana"/>
    <x v="0"/>
  </r>
  <r>
    <n v="3000005005"/>
    <d v="2025-08-26T00:00:00"/>
    <n v="6000000"/>
    <s v="RL SOLUCIONES S. A. S. SAN MIGUEL DE TUCUMAN 14"/>
    <x v="1067"/>
    <n v="6000000"/>
    <x v="120"/>
    <x v="0"/>
    <s v="pagado"/>
    <s v="pagado"/>
    <s v="excluir"/>
    <s v="no semana"/>
    <x v="0"/>
  </r>
  <r>
    <n v="3000005005"/>
    <d v="2025-08-26T00:00:00"/>
    <n v="6650577.0800000001"/>
    <s v="RL SOLUCIONES S. A. S. SAN MIGUEL DE TUCUMAN 14"/>
    <x v="1068"/>
    <n v="6650577.0800000001"/>
    <x v="124"/>
    <x v="0"/>
    <s v="pagado"/>
    <s v="pagado"/>
    <s v="excluir"/>
    <s v="no semana"/>
    <x v="0"/>
  </r>
  <r>
    <n v="3000005006"/>
    <d v="2025-08-26T00:00:00"/>
    <n v="3491157.76"/>
    <s v="BRAVO JUAN DOMINGO LAS TALITAS 14"/>
    <x v="1069"/>
    <n v="3491157.76"/>
    <x v="120"/>
    <x v="0"/>
    <s v="pagado"/>
    <s v="pagado"/>
    <s v="excluir"/>
    <s v="no semana"/>
    <x v="0"/>
  </r>
  <r>
    <n v="3000005007"/>
    <d v="2025-08-26T00:00:00"/>
    <n v="20000000"/>
    <s v="CAPETTA ANTONELLA ANAHI SAN MIGUEL DE TUCUMAN 14"/>
    <x v="1070"/>
    <n v="20000000"/>
    <x v="120"/>
    <x v="0"/>
    <s v="pagado"/>
    <s v="pagado"/>
    <s v="excluir"/>
    <s v="no semana"/>
    <x v="0"/>
  </r>
  <r>
    <n v="3000005007"/>
    <d v="2025-08-26T00:00:00"/>
    <n v="18339488.41"/>
    <s v="CAPETTA ANTONELLA ANAHI SAN MIGUEL DE TUCUMAN 14"/>
    <x v="1071"/>
    <n v="18339488.41"/>
    <x v="125"/>
    <x v="0"/>
    <s v="pagado"/>
    <s v="pagado"/>
    <s v="excluir"/>
    <s v="no semana"/>
    <x v="0"/>
  </r>
  <r>
    <n v="3000005008"/>
    <d v="2025-08-26T00:00:00"/>
    <n v="12000000"/>
    <s v="LATCOMEX SA CAPITAL FEDERAL 00"/>
    <x v="1072"/>
    <n v="12000000"/>
    <x v="120"/>
    <x v="0"/>
    <s v="pagado"/>
    <s v="pagado"/>
    <s v="excluir"/>
    <s v="no semana"/>
    <x v="0"/>
  </r>
  <r>
    <n v="3000005008"/>
    <d v="2025-08-26T00:00:00"/>
    <n v="12916500"/>
    <s v="LATCOMEX SA CAPITAL FEDERAL 00"/>
    <x v="1073"/>
    <n v="12916500"/>
    <x v="124"/>
    <x v="0"/>
    <s v="pagado"/>
    <s v="pagado"/>
    <s v="excluir"/>
    <s v="no semana"/>
    <x v="0"/>
  </r>
  <r>
    <n v="3000005009"/>
    <d v="2025-08-26T00:00:00"/>
    <n v="11000000"/>
    <s v="Rutas Servicios Integrales SRLCapital Federal 00"/>
    <x v="1074"/>
    <n v="11000000"/>
    <x v="120"/>
    <x v="0"/>
    <s v="pagado"/>
    <s v="pagado"/>
    <s v="excluir"/>
    <s v="no semana"/>
    <x v="0"/>
  </r>
  <r>
    <n v="3000005009"/>
    <d v="2025-08-26T00:00:00"/>
    <n v="11644543.4"/>
    <s v="Rutas Servicios Integrales SRLCapital Federal 00"/>
    <x v="1075"/>
    <n v="11644543.4"/>
    <x v="124"/>
    <x v="0"/>
    <s v="pagado"/>
    <s v="pagado"/>
    <s v="excluir"/>
    <s v="no semana"/>
    <x v="0"/>
  </r>
  <r>
    <n v="3000005010"/>
    <d v="2025-08-26T00:00:00"/>
    <n v="10000000"/>
    <s v="FERNANDEZ HECTOR JOSE SIMOCA 14"/>
    <x v="1076"/>
    <n v="10000000"/>
    <x v="120"/>
    <x v="0"/>
    <s v="pagado"/>
    <s v="pagado"/>
    <s v="excluir"/>
    <s v="no semana"/>
    <x v="0"/>
  </r>
  <r>
    <n v="3000005010"/>
    <d v="2025-08-26T00:00:00"/>
    <n v="5186559.84"/>
    <s v="FERNANDEZ HECTOR JOSE SIMOCA 14"/>
    <x v="1077"/>
    <n v="5186559.84"/>
    <x v="124"/>
    <x v="0"/>
    <s v="pagado"/>
    <s v="pagado"/>
    <s v="excluir"/>
    <s v="no semana"/>
    <x v="0"/>
  </r>
  <r>
    <n v="3000005011"/>
    <d v="2025-08-26T00:00:00"/>
    <n v="10000000"/>
    <s v="PERATO CRISTIAN LUIS BANDA DEL RIO SALI 14"/>
    <x v="1078"/>
    <n v="10000000"/>
    <x v="120"/>
    <x v="0"/>
    <s v="pagado"/>
    <s v="pagado"/>
    <s v="excluir"/>
    <s v="no semana"/>
    <x v="0"/>
  </r>
  <r>
    <n v="3000005011"/>
    <d v="2025-08-26T00:00:00"/>
    <n v="5446984.3099999996"/>
    <s v="PERATO CRISTIAN LUIS BANDA DEL RIO SALI 14"/>
    <x v="1079"/>
    <n v="5446984.3099999996"/>
    <x v="124"/>
    <x v="0"/>
    <s v="pagado"/>
    <s v="pagado"/>
    <s v="excluir"/>
    <s v="no semana"/>
    <x v="0"/>
  </r>
  <r>
    <n v="3000004912"/>
    <d v="2025-08-26T00:00:00"/>
    <n v="225840410"/>
    <s v="EDET S.A. SAN MIGUEL DE TUCUMAN 14"/>
    <x v="1080"/>
    <n v="225840410"/>
    <x v="125"/>
    <x v="2"/>
    <s v="pagado"/>
    <s v="pagado"/>
    <s v="excluir"/>
    <s v="no semana"/>
    <x v="0"/>
  </r>
  <r>
    <n v="3000005046"/>
    <d v="2025-08-27T00:00:00"/>
    <n v="15784765.289999999"/>
    <s v="PAMPLONA SRL SAN MIGUEL DE TUCUMAN 14"/>
    <x v="1081"/>
    <n v="15784765.289999999"/>
    <x v="120"/>
    <x v="2"/>
    <s v="pagado"/>
    <s v="pagado"/>
    <s v="excluir"/>
    <s v="no semana"/>
    <x v="0"/>
  </r>
  <r>
    <n v="3000005047"/>
    <d v="2025-08-27T00:00:00"/>
    <n v="12449144.41"/>
    <s v="SAUCE HUACHO SERVICIOS S.R.L MONTEROS 14"/>
    <x v="1082"/>
    <n v="12449144.41"/>
    <x v="120"/>
    <x v="2"/>
    <s v="pagado"/>
    <s v="pagado"/>
    <s v="excluir"/>
    <s v="no semana"/>
    <x v="0"/>
  </r>
  <r>
    <n v="3000005048"/>
    <d v="2025-08-27T00:00:00"/>
    <n v="17008921.050000001"/>
    <s v="ROMERO SERVICIOS S. A. S. ALPACHIRI 14"/>
    <x v="1083"/>
    <n v="17008921.050000001"/>
    <x v="120"/>
    <x v="2"/>
    <s v="pagado"/>
    <s v="pagado"/>
    <s v="excluir"/>
    <s v="no semana"/>
    <x v="0"/>
  </r>
  <r>
    <n v="3000005049"/>
    <d v="2025-08-28T00:00:00"/>
    <n v="15000000"/>
    <s v="MG SERVICIOS AGROPECUARIOS SASTAFI VIEJO 14"/>
    <x v="1084"/>
    <n v="15000000"/>
    <x v="124"/>
    <x v="2"/>
    <s v="pagado"/>
    <s v="pagado"/>
    <s v="excluir"/>
    <s v="no semana"/>
    <x v="0"/>
  </r>
  <r>
    <n v="3000005049"/>
    <d v="2025-08-28T00:00:00"/>
    <n v="13635360"/>
    <s v="MG SERVICIOS AGROPECUARIOS SASTAFI VIEJO 14"/>
    <x v="1085"/>
    <n v="13635360"/>
    <x v="124"/>
    <x v="2"/>
    <s v="pagado"/>
    <s v="pagado"/>
    <s v="excluir"/>
    <s v="no semana"/>
    <x v="0"/>
  </r>
  <r>
    <n v="3000005049"/>
    <d v="2025-08-28T00:00:00"/>
    <n v="0"/>
    <s v="invalidado med.HJIMENEZ -Vencimiento BCRA"/>
    <x v="1086"/>
    <n v="0"/>
    <x v="126"/>
    <x v="2"/>
    <s v="no pagado"/>
    <s v="fuera de fecha"/>
    <s v="excluir"/>
    <s v="no semana"/>
    <x v="0"/>
  </r>
  <r>
    <n v="3000005049"/>
    <d v="2025-08-28T00:00:00"/>
    <n v="25000000"/>
    <s v="MG SERVICIOS AGROPECUARIOS SASTAFI VIEJO 14"/>
    <x v="1087"/>
    <n v="25000000"/>
    <x v="126"/>
    <x v="2"/>
    <s v="pagado"/>
    <s v="pagado"/>
    <s v="excluir"/>
    <s v="no semana"/>
    <x v="0"/>
  </r>
  <r>
    <n v="3000005049"/>
    <d v="2025-08-28T00:00:00"/>
    <n v="31829454.129999999"/>
    <s v="MG SERVICIOS AGROPECUARIOS SASTAFI VIEJO 14"/>
    <x v="1088"/>
    <n v="31829454.129999999"/>
    <x v="126"/>
    <x v="2"/>
    <s v="pagado"/>
    <s v="pagado"/>
    <s v="excluir"/>
    <s v="no semana"/>
    <x v="0"/>
  </r>
  <r>
    <n v="3000005050"/>
    <d v="2025-08-28T00:00:00"/>
    <n v="290000000"/>
    <s v="NUTRITERRA S.A CHIMBAS 10"/>
    <x v="1089"/>
    <n v="290000000"/>
    <x v="122"/>
    <x v="2"/>
    <s v="pagado"/>
    <s v="pagado"/>
    <s v="excluir"/>
    <s v="no semana"/>
    <x v="0"/>
  </r>
  <r>
    <n v="3000005050"/>
    <d v="2025-08-28T00:00:00"/>
    <n v="290000000"/>
    <s v="NUTRITERRA S.A CHIMBAS 10"/>
    <x v="1090"/>
    <n v="290000000"/>
    <x v="122"/>
    <x v="2"/>
    <s v="pagado"/>
    <s v="pagado"/>
    <s v="excluir"/>
    <s v="no semana"/>
    <x v="0"/>
  </r>
  <r>
    <n v="3000005050"/>
    <d v="2025-08-28T00:00:00"/>
    <n v="290000000"/>
    <s v="NUTRITERRA S.A CHIMBAS 10"/>
    <x v="1091"/>
    <n v="290000000"/>
    <x v="122"/>
    <x v="2"/>
    <s v="pagado"/>
    <s v="pagado"/>
    <s v="excluir"/>
    <s v="no semana"/>
    <x v="0"/>
  </r>
  <r>
    <n v="3000005050"/>
    <d v="2025-08-28T00:00:00"/>
    <n v="290000000"/>
    <s v="NUTRITERRA S.A CHIMBAS 10"/>
    <x v="1092"/>
    <n v="290000000"/>
    <x v="127"/>
    <x v="2"/>
    <s v="pagado"/>
    <s v="pagado"/>
    <s v="excluir"/>
    <s v="no semana"/>
    <x v="0"/>
  </r>
  <r>
    <n v="3000005050"/>
    <d v="2025-08-28T00:00:00"/>
    <n v="290000000"/>
    <s v="NUTRITERRA S.A CHIMBAS 10"/>
    <x v="1093"/>
    <n v="290000000"/>
    <x v="127"/>
    <x v="2"/>
    <s v="pagado"/>
    <s v="pagado"/>
    <s v="excluir"/>
    <s v="no semana"/>
    <x v="0"/>
  </r>
  <r>
    <n v="3000005050"/>
    <d v="2025-08-28T00:00:00"/>
    <n v="290000000"/>
    <s v="NUTRITERRA S.A CHIMBAS 10"/>
    <x v="1094"/>
    <n v="290000000"/>
    <x v="127"/>
    <x v="2"/>
    <s v="pagado"/>
    <s v="pagado"/>
    <s v="excluir"/>
    <s v="no semana"/>
    <x v="0"/>
  </r>
  <r>
    <n v="3000005050"/>
    <d v="2025-08-28T00:00:00"/>
    <n v="290000000"/>
    <s v="NUTRITERRA S.A CHIMBAS 10"/>
    <x v="1095"/>
    <n v="290000000"/>
    <x v="128"/>
    <x v="2"/>
    <s v="pagado"/>
    <s v="pagado"/>
    <s v="excluir"/>
    <s v="no semana"/>
    <x v="0"/>
  </r>
  <r>
    <n v="3000005050"/>
    <d v="2025-08-28T00:00:00"/>
    <n v="290000000"/>
    <s v="NUTRITERRA S.A CHIMBAS 10"/>
    <x v="1096"/>
    <n v="290000000"/>
    <x v="128"/>
    <x v="2"/>
    <s v="pagado"/>
    <s v="pagado"/>
    <s v="excluir"/>
    <s v="no semana"/>
    <x v="0"/>
  </r>
  <r>
    <n v="3000005050"/>
    <d v="2025-08-28T00:00:00"/>
    <n v="290000000"/>
    <s v="NUTRITERRA S.A CHIMBAS 10"/>
    <x v="1097"/>
    <n v="290000000"/>
    <x v="128"/>
    <x v="2"/>
    <s v="pagado"/>
    <s v="pagado"/>
    <s v="excluir"/>
    <s v="no semana"/>
    <x v="0"/>
  </r>
  <r>
    <n v="3000005050"/>
    <d v="2025-08-28T00:00:00"/>
    <n v="290000000"/>
    <s v="NUTRITERRA S.A CHIMBAS 10"/>
    <x v="1098"/>
    <n v="290000000"/>
    <x v="129"/>
    <x v="2"/>
    <s v="pagado"/>
    <s v="pagado"/>
    <s v="excluir"/>
    <s v="no semana"/>
    <x v="0"/>
  </r>
  <r>
    <n v="3000005050"/>
    <d v="2025-08-28T00:00:00"/>
    <n v="290000000"/>
    <s v="NUTRITERRA S.A CHIMBAS 10"/>
    <x v="1099"/>
    <n v="290000000"/>
    <x v="129"/>
    <x v="2"/>
    <s v="pagado"/>
    <s v="pagado"/>
    <s v="excluir"/>
    <s v="no semana"/>
    <x v="0"/>
  </r>
  <r>
    <n v="3000005050"/>
    <d v="2025-08-28T00:00:00"/>
    <n v="278717907.69999999"/>
    <s v="NUTRITERRA S.A CHIMBAS 10"/>
    <x v="1100"/>
    <n v="278717907.69999999"/>
    <x v="129"/>
    <x v="2"/>
    <s v="pagado"/>
    <s v="pagado"/>
    <s v="excluir"/>
    <s v="no semana"/>
    <x v="0"/>
  </r>
  <r>
    <n v="3000005074"/>
    <d v="2025-08-28T00:00:00"/>
    <n v="0"/>
    <s v="invalidado med.HJIMENEZ -Destruido/ Sin uso"/>
    <x v="1101"/>
    <n v="0"/>
    <x v="130"/>
    <x v="2"/>
    <s v="no pagado"/>
    <s v="fuera de fecha"/>
    <s v="excluir"/>
    <s v="no semana"/>
    <x v="0"/>
  </r>
  <r>
    <n v="3000005133"/>
    <d v="2025-09-01T00:00:00"/>
    <n v="4187334.65"/>
    <s v="SILVA SRL SAN MIGUEL DE TUCUMAN 14"/>
    <x v="1102"/>
    <n v="4187334.65"/>
    <x v="126"/>
    <x v="2"/>
    <s v="pagado"/>
    <s v="pagado"/>
    <s v="excluir"/>
    <s v="no semana"/>
    <x v="0"/>
  </r>
  <r>
    <n v="3000005134"/>
    <d v="2025-09-01T00:00:00"/>
    <n v="13679155"/>
    <s v="TUCUMAN PALLET SRL EL MANANTIAL 14"/>
    <x v="1103"/>
    <n v="13679155"/>
    <x v="126"/>
    <x v="2"/>
    <s v="pagado"/>
    <s v="pagado"/>
    <s v="excluir"/>
    <s v="no semana"/>
    <x v="0"/>
  </r>
  <r>
    <n v="3000005135"/>
    <d v="2025-09-01T00:00:00"/>
    <n v="6141982.2999999998"/>
    <s v="SERV.AGROP VILLA PAPADAKIS S.RSALTA 09"/>
    <x v="1104"/>
    <n v="6141982.2999999998"/>
    <x v="126"/>
    <x v="2"/>
    <s v="pagado"/>
    <s v="pagado"/>
    <s v="excluir"/>
    <s v="no semana"/>
    <x v="0"/>
  </r>
  <r>
    <n v="3000005136"/>
    <d v="2025-09-01T00:00:00"/>
    <n v="7278248.4199999999"/>
    <s v="PAMPLONA SRL SAN MIGUEL DE TUCUMAN 14"/>
    <x v="1105"/>
    <n v="7278248.4199999999"/>
    <x v="126"/>
    <x v="2"/>
    <s v="pagado"/>
    <s v="pagado"/>
    <s v="excluir"/>
    <s v="no semana"/>
    <x v="0"/>
  </r>
  <r>
    <n v="3000005137"/>
    <d v="2025-09-02T00:00:00"/>
    <n v="27496492.34"/>
    <s v="CONSTRUNOA S.A.S. ORAN 09"/>
    <x v="1106"/>
    <n v="27496492.34"/>
    <x v="121"/>
    <x v="2"/>
    <s v="pagado"/>
    <s v="pagado"/>
    <s v="excluir"/>
    <s v="no semana"/>
    <x v="0"/>
  </r>
  <r>
    <n v="3000005130"/>
    <d v="2025-09-01T00:00:00"/>
    <n v="6710000"/>
    <s v=". Tucumán"/>
    <x v="1107"/>
    <n v="6710000"/>
    <x v="130"/>
    <x v="0"/>
    <s v="pagado"/>
    <s v="pagado"/>
    <s v="excluir"/>
    <s v="no semana"/>
    <x v="0"/>
  </r>
  <r>
    <n v="3000005131"/>
    <d v="2025-09-01T00:00:00"/>
    <n v="2090000.1"/>
    <s v=". Tucumán"/>
    <x v="1108"/>
    <n v="2090000.1"/>
    <x v="130"/>
    <x v="0"/>
    <s v="pagado"/>
    <s v="pagado"/>
    <s v="excluir"/>
    <s v="no semana"/>
    <x v="0"/>
  </r>
  <r>
    <n v="3000005211"/>
    <d v="2025-09-03T00:00:00"/>
    <n v="3802164.91"/>
    <s v="TRANSPORTE MEDINA S.H. CRUZ ALTA 14"/>
    <x v="1109"/>
    <n v="3802164.91"/>
    <x v="121"/>
    <x v="0"/>
    <s v="pagado"/>
    <s v="pagado"/>
    <s v="excluir"/>
    <s v="no semana"/>
    <x v="0"/>
  </r>
  <r>
    <n v="3000005212"/>
    <d v="2025-09-03T00:00:00"/>
    <n v="21440381.739999998"/>
    <s v="J. SLEIMAN S.R.L SAN MIGUEL DE TUCUMAN 14"/>
    <x v="1110"/>
    <n v="21440381.739999998"/>
    <x v="131"/>
    <x v="0"/>
    <s v="pagado"/>
    <s v="pagado"/>
    <s v="excluir"/>
    <s v="no semana"/>
    <x v="0"/>
  </r>
  <r>
    <n v="3000005213"/>
    <d v="2025-09-03T00:00:00"/>
    <n v="9928694.3200000003"/>
    <s v="AGROPECUARIA MUNDO NUEVO SRL SAN PABLO 14"/>
    <x v="1111"/>
    <n v="9928694.3200000003"/>
    <x v="131"/>
    <x v="0"/>
    <s v="pagado"/>
    <s v="pagado"/>
    <s v="excluir"/>
    <s v="no semana"/>
    <x v="0"/>
  </r>
  <r>
    <n v="3000005214"/>
    <d v="2025-09-03T00:00:00"/>
    <n v="21311510.899999999"/>
    <s v="Terminal 4 S.A. Puerto Nuevo 01"/>
    <x v="1112"/>
    <n v="21311510.899999999"/>
    <x v="131"/>
    <x v="0"/>
    <s v="pagado"/>
    <s v="pagado"/>
    <s v="excluir"/>
    <s v="no semana"/>
    <x v="0"/>
  </r>
  <r>
    <n v="3000005215"/>
    <d v="2025-09-03T00:00:00"/>
    <n v="6333274.7800000003"/>
    <s v="MOREY SERGIO GUILLERMO LOS GUTIERREZ-ALDERETES 14"/>
    <x v="1113"/>
    <n v="6333274.7800000003"/>
    <x v="131"/>
    <x v="0"/>
    <s v="pagado"/>
    <s v="pagado"/>
    <s v="excluir"/>
    <s v="no semana"/>
    <x v="0"/>
  </r>
  <r>
    <n v="3000005216"/>
    <d v="2025-09-03T00:00:00"/>
    <n v="8183368.6900000004"/>
    <s v="SUAREZ MANUEL RODOLFO ALDERETES 14"/>
    <x v="1114"/>
    <n v="8183368.6900000004"/>
    <x v="131"/>
    <x v="0"/>
    <s v="pagado"/>
    <s v="pagado"/>
    <s v="excluir"/>
    <s v="no semana"/>
    <x v="0"/>
  </r>
  <r>
    <n v="3000005217"/>
    <d v="2025-09-03T00:00:00"/>
    <n v="5891793.7699999996"/>
    <s v="PAEZ LEONEL EXEQUIEL MACIO 14"/>
    <x v="1115"/>
    <n v="5891793.7699999996"/>
    <x v="131"/>
    <x v="0"/>
    <s v="pagado"/>
    <s v="pagado"/>
    <s v="excluir"/>
    <s v="no semana"/>
    <x v="0"/>
  </r>
  <r>
    <n v="3000005218"/>
    <d v="2025-09-03T00:00:00"/>
    <n v="9806709.6999999993"/>
    <s v="TRANSPORTE MARIANITA S.R.L SAN MIGUEL DE TUCUMAN 14"/>
    <x v="1116"/>
    <n v="9806709.6999999993"/>
    <x v="131"/>
    <x v="0"/>
    <s v="pagado"/>
    <s v="pagado"/>
    <s v="excluir"/>
    <s v="no semana"/>
    <x v="0"/>
  </r>
  <r>
    <n v="3000005219"/>
    <d v="2025-09-03T00:00:00"/>
    <n v="7439170.54"/>
    <s v="TRANSPORTE FRIOS DEL NORTE S.RSAN MIGUEL DE TUCUMAN 14"/>
    <x v="1117"/>
    <n v="7439170.54"/>
    <x v="131"/>
    <x v="0"/>
    <s v="pagado"/>
    <s v="pagado"/>
    <s v="excluir"/>
    <s v="no semana"/>
    <x v="0"/>
  </r>
  <r>
    <n v="3000005220"/>
    <d v="2025-09-03T00:00:00"/>
    <n v="27731984.98"/>
    <s v="CAPETTA ANTONELLA ANAHI SAN MIGUEL DE TUCUMAN 14"/>
    <x v="1118"/>
    <n v="27731984.98"/>
    <x v="131"/>
    <x v="0"/>
    <s v="pagado"/>
    <s v="pagado"/>
    <s v="excluir"/>
    <s v="no semana"/>
    <x v="0"/>
  </r>
  <r>
    <n v="3000005221"/>
    <d v="2025-09-03T00:00:00"/>
    <n v="6045685.4299999997"/>
    <s v="HERRERA RICARDO ALBERTO BANDA DEL RIO SALI 14"/>
    <x v="1119"/>
    <n v="6045685.4299999997"/>
    <x v="131"/>
    <x v="0"/>
    <s v="pagado"/>
    <s v="pagado"/>
    <s v="excluir"/>
    <s v="no semana"/>
    <x v="0"/>
  </r>
  <r>
    <n v="3000005222"/>
    <d v="2025-09-03T00:00:00"/>
    <n v="7723981.6500000004"/>
    <s v="Arias Carlos Alberto SAN MIGUEL DE TUCUMAN 14"/>
    <x v="1120"/>
    <n v="7723981.6500000004"/>
    <x v="131"/>
    <x v="0"/>
    <s v="pagado"/>
    <s v="pagado"/>
    <s v="excluir"/>
    <s v="no semana"/>
    <x v="0"/>
  </r>
  <r>
    <n v="3000005223"/>
    <d v="2025-09-03T00:00:00"/>
    <n v="5624994.2000000002"/>
    <s v="Sanchez Jose Mauricio San Miguel de Tucuman 14"/>
    <x v="1121"/>
    <n v="5624994.2000000002"/>
    <x v="131"/>
    <x v="0"/>
    <s v="pagado"/>
    <s v="pagado"/>
    <s v="excluir"/>
    <s v="no semana"/>
    <x v="0"/>
  </r>
  <r>
    <n v="3000005224"/>
    <d v="2025-09-03T00:00:00"/>
    <n v="9099752.5800000001"/>
    <s v="PEDRO GABRIEL ALEJANDRO ALDERETES 14"/>
    <x v="1122"/>
    <n v="9099752.5800000001"/>
    <x v="131"/>
    <x v="0"/>
    <s v="pagado"/>
    <s v="pagado"/>
    <s v="excluir"/>
    <s v="no semana"/>
    <x v="0"/>
  </r>
  <r>
    <n v="3000005225"/>
    <d v="2025-09-03T00:00:00"/>
    <n v="5032785.34"/>
    <s v="PERATO LUIS ALBERTO BANDA DEL RIO SALI 14"/>
    <x v="1123"/>
    <n v="5032785.34"/>
    <x v="131"/>
    <x v="0"/>
    <s v="pagado"/>
    <s v="pagado"/>
    <s v="excluir"/>
    <s v="no semana"/>
    <x v="0"/>
  </r>
  <r>
    <n v="3000005226"/>
    <d v="2025-09-03T00:00:00"/>
    <n v="7074694.2000000002"/>
    <s v="GEREZ ALICIA ELEUTERIA SAN MIGUEL DE TUCUMAN 14"/>
    <x v="1124"/>
    <n v="7074694.2000000002"/>
    <x v="131"/>
    <x v="0"/>
    <s v="pagado"/>
    <s v="pagado"/>
    <s v="excluir"/>
    <s v="no semana"/>
    <x v="0"/>
  </r>
  <r>
    <n v="3000005227"/>
    <d v="2025-09-03T00:00:00"/>
    <n v="24916667.920000002"/>
    <s v="LATCOMEX SA CAPITAL FEDERAL 00"/>
    <x v="1125"/>
    <n v="24916667.920000002"/>
    <x v="131"/>
    <x v="0"/>
    <s v="pagado"/>
    <s v="pagado"/>
    <s v="excluir"/>
    <s v="no semana"/>
    <x v="0"/>
  </r>
  <r>
    <n v="3000005228"/>
    <d v="2025-09-03T00:00:00"/>
    <n v="15214656.74"/>
    <s v="Vaquera Francisco Alfredo Monteros 14"/>
    <x v="1126"/>
    <n v="15214656.74"/>
    <x v="131"/>
    <x v="0"/>
    <s v="pagado"/>
    <s v="pagado"/>
    <s v="excluir"/>
    <s v="no semana"/>
    <x v="0"/>
  </r>
  <r>
    <n v="3000005229"/>
    <d v="2025-09-03T00:00:00"/>
    <n v="17312014.640000001"/>
    <s v="LA MARTINA SERV. AGRICOLAS S.RSAN PABLO 14"/>
    <x v="1127"/>
    <n v="17312014.640000001"/>
    <x v="131"/>
    <x v="0"/>
    <s v="pagado"/>
    <s v="pagado"/>
    <s v="excluir"/>
    <s v="no semana"/>
    <x v="0"/>
  </r>
  <r>
    <n v="3000005230"/>
    <d v="2025-09-03T00:00:00"/>
    <n v="6498336.6500000004"/>
    <s v="Cia. Azucarera Los Balcanes S.Ingenio La Florida 14"/>
    <x v="1128"/>
    <n v="6498336.6500000004"/>
    <x v="131"/>
    <x v="0"/>
    <s v="pagado"/>
    <s v="pagado"/>
    <s v="excluir"/>
    <s v="no semana"/>
    <x v="0"/>
  </r>
  <r>
    <n v="3000005232"/>
    <d v="2025-09-03T00:00:00"/>
    <n v="5065682.33"/>
    <s v="BUSTOS GUILLERMO DARIO ALDERETES 14"/>
    <x v="1129"/>
    <n v="5065682.33"/>
    <x v="131"/>
    <x v="0"/>
    <s v="pagado"/>
    <s v="pagado"/>
    <s v="excluir"/>
    <s v="no semana"/>
    <x v="0"/>
  </r>
  <r>
    <n v="3000005361"/>
    <d v="2025-09-09T00:00:00"/>
    <n v="18773007.870000001"/>
    <s v="ECOGREEN SRL SAN MIGUEL DE TUCUMAN 14"/>
    <x v="1130"/>
    <n v="18773007.870000001"/>
    <x v="132"/>
    <x v="0"/>
    <s v="pagado"/>
    <s v="pagado"/>
    <s v="excluir"/>
    <s v="no semana"/>
    <x v="0"/>
  </r>
  <r>
    <n v="3000005363"/>
    <d v="2025-09-09T00:00:00"/>
    <n v="13203161.15"/>
    <s v="BUSTOS GUILLERMO DARIO ALDERETES 14"/>
    <x v="1131"/>
    <n v="13203161.15"/>
    <x v="132"/>
    <x v="0"/>
    <s v="pagado"/>
    <s v="pagado"/>
    <s v="excluir"/>
    <s v="no semana"/>
    <x v="0"/>
  </r>
  <r>
    <n v="3000005301"/>
    <d v="2025-09-08T00:00:00"/>
    <n v="11573870.220000001"/>
    <s v="SAUCE HUACHO SERVICIOS S.R.L MONTEROS 14"/>
    <x v="1132"/>
    <n v="11573870.220000001"/>
    <x v="133"/>
    <x v="0"/>
    <s v="pagado"/>
    <s v="pagado"/>
    <s v="excluir"/>
    <s v="no semana"/>
    <x v="0"/>
  </r>
  <r>
    <n v="3000005302"/>
    <d v="2025-09-08T00:00:00"/>
    <n v="21000000"/>
    <s v="PAMPLONA SRL SAN MIGUEL DE TUCUMAN 14"/>
    <x v="1133"/>
    <n v="21000000"/>
    <x v="133"/>
    <x v="0"/>
    <s v="pagado"/>
    <s v="pagado"/>
    <s v="excluir"/>
    <s v="no semana"/>
    <x v="0"/>
  </r>
  <r>
    <n v="3000005302"/>
    <d v="2025-09-08T00:00:00"/>
    <n v="20057852.82"/>
    <s v="PAMPLONA SRL SAN MIGUEL DE TUCUMAN 14"/>
    <x v="1134"/>
    <n v="20057852.82"/>
    <x v="132"/>
    <x v="0"/>
    <s v="pagado"/>
    <s v="pagado"/>
    <s v="excluir"/>
    <s v="no semana"/>
    <x v="0"/>
  </r>
  <r>
    <n v="3000005303"/>
    <d v="2025-09-08T00:00:00"/>
    <n v="10000000"/>
    <s v="ROMERO SERVICIOS S. A. S. ALPACHIRI 14"/>
    <x v="1135"/>
    <n v="10000000"/>
    <x v="133"/>
    <x v="0"/>
    <s v="pagado"/>
    <s v="pagado"/>
    <s v="excluir"/>
    <s v="no semana"/>
    <x v="0"/>
  </r>
  <r>
    <n v="3000005303"/>
    <d v="2025-09-08T00:00:00"/>
    <n v="8559089.25"/>
    <s v="ROMERO SERVICIOS S. A. S. ALPACHIRI 14"/>
    <x v="1136"/>
    <n v="8559089.25"/>
    <x v="132"/>
    <x v="0"/>
    <s v="pagado"/>
    <s v="pagado"/>
    <s v="excluir"/>
    <s v="no semana"/>
    <x v="0"/>
  </r>
  <r>
    <n v="3000005304"/>
    <d v="2025-09-08T00:00:00"/>
    <n v="10000000"/>
    <s v="CAMPOAGRO SRL YERBA BUENA 14"/>
    <x v="1137"/>
    <n v="10000000"/>
    <x v="133"/>
    <x v="0"/>
    <s v="pagado"/>
    <s v="pagado"/>
    <s v="excluir"/>
    <s v="no semana"/>
    <x v="0"/>
  </r>
  <r>
    <n v="3000005304"/>
    <d v="2025-09-08T00:00:00"/>
    <n v="8363150.1799999997"/>
    <s v="CAMPOAGRO SRL YERBA BUENA 14"/>
    <x v="1138"/>
    <n v="8363150.1799999997"/>
    <x v="132"/>
    <x v="0"/>
    <s v="pagado"/>
    <s v="pagado"/>
    <s v="excluir"/>
    <s v="no semana"/>
    <x v="0"/>
  </r>
  <r>
    <n v="3000005305"/>
    <d v="2025-09-08T00:00:00"/>
    <n v="20000000"/>
    <s v="Jeblab S.R.L. YERBA BUENA 14"/>
    <x v="1139"/>
    <n v="20000000"/>
    <x v="133"/>
    <x v="0"/>
    <s v="pagado"/>
    <s v="pagado"/>
    <s v="excluir"/>
    <s v="no semana"/>
    <x v="0"/>
  </r>
  <r>
    <n v="3000005305"/>
    <d v="2025-09-08T00:00:00"/>
    <n v="19545843.399999999"/>
    <s v="Jeblab S.R.L. YERBA BUENA 14"/>
    <x v="1140"/>
    <n v="19545843.399999999"/>
    <x v="132"/>
    <x v="0"/>
    <s v="pagado"/>
    <s v="pagado"/>
    <s v="excluir"/>
    <s v="no semana"/>
    <x v="0"/>
  </r>
  <r>
    <n v="3000005306"/>
    <d v="2025-09-08T00:00:00"/>
    <n v="11503132"/>
    <s v="CANEVARO JOSE MARIA CONCEPCION 14"/>
    <x v="1141"/>
    <n v="11503132"/>
    <x v="133"/>
    <x v="0"/>
    <s v="pagado"/>
    <s v="pagado"/>
    <s v="excluir"/>
    <s v="no semana"/>
    <x v="0"/>
  </r>
  <r>
    <n v="3000005307"/>
    <d v="2025-09-08T00:00:00"/>
    <n v="20000000"/>
    <s v="MENDEZ, MARTIN ALBERTO SAN MIGUEL DE TUCUMAN 14"/>
    <x v="1142"/>
    <n v="20000000"/>
    <x v="133"/>
    <x v="0"/>
    <s v="pagado"/>
    <s v="pagado"/>
    <s v="excluir"/>
    <s v="no semana"/>
    <x v="0"/>
  </r>
  <r>
    <n v="3000005307"/>
    <d v="2025-09-08T00:00:00"/>
    <n v="18077652.120000001"/>
    <s v="MENDEZ, MARTIN ALBERTO SAN MIGUEL DE TUCUMAN 14"/>
    <x v="1143"/>
    <n v="18077652.120000001"/>
    <x v="132"/>
    <x v="0"/>
    <s v="pagado"/>
    <s v="pagado"/>
    <s v="excluir"/>
    <s v="no semana"/>
    <x v="0"/>
  </r>
  <r>
    <n v="3000005308"/>
    <d v="2025-09-08T00:00:00"/>
    <n v="20000000"/>
    <s v="Mudad Francisco Esteban Los Nogales 14"/>
    <x v="1144"/>
    <n v="20000000"/>
    <x v="133"/>
    <x v="0"/>
    <s v="pagado"/>
    <s v="pagado"/>
    <s v="excluir"/>
    <s v="no semana"/>
    <x v="0"/>
  </r>
  <r>
    <n v="3000005308"/>
    <d v="2025-09-08T00:00:00"/>
    <n v="17275610.27"/>
    <s v="Mudad Francisco Esteban Los Nogales 14"/>
    <x v="1145"/>
    <n v="17275610.27"/>
    <x v="132"/>
    <x v="0"/>
    <s v="pagado"/>
    <s v="pagado"/>
    <s v="excluir"/>
    <s v="no semana"/>
    <x v="0"/>
  </r>
  <r>
    <n v="3000005309"/>
    <d v="2025-09-08T00:00:00"/>
    <n v="7983579.1900000004"/>
    <s v="CITRAR SRL SAN MIGUEL DE TUCUMAN 14"/>
    <x v="1146"/>
    <n v="7983579.1900000004"/>
    <x v="133"/>
    <x v="0"/>
    <s v="pagado"/>
    <s v="pagado"/>
    <s v="excluir"/>
    <s v="no semana"/>
    <x v="0"/>
  </r>
  <r>
    <n v="3000005310"/>
    <d v="2025-09-08T00:00:00"/>
    <n v="16000000"/>
    <s v="HELUANE PABLO DARIO SAN MIGUEL DE TUCUMAN 14"/>
    <x v="1147"/>
    <n v="16000000"/>
    <x v="133"/>
    <x v="0"/>
    <s v="pagado"/>
    <s v="pagado"/>
    <s v="excluir"/>
    <s v="no semana"/>
    <x v="0"/>
  </r>
  <r>
    <n v="3000005310"/>
    <d v="2025-09-08T00:00:00"/>
    <n v="16174974.5"/>
    <s v="HELUANE PABLO DARIO SAN MIGUEL DE TUCUMAN 14"/>
    <x v="1148"/>
    <n v="16174974.5"/>
    <x v="132"/>
    <x v="0"/>
    <s v="pagado"/>
    <s v="pagado"/>
    <s v="excluir"/>
    <s v="no semana"/>
    <x v="0"/>
  </r>
  <r>
    <n v="3000005311"/>
    <d v="2025-09-08T00:00:00"/>
    <n v="15975394.789999999"/>
    <s v="CAFELI S.R.L. SAN MIGUEL DE TUCUMAN 14"/>
    <x v="1149"/>
    <n v="15975394.789999999"/>
    <x v="133"/>
    <x v="0"/>
    <s v="pagado"/>
    <s v="pagado"/>
    <s v="excluir"/>
    <s v="no semana"/>
    <x v="0"/>
  </r>
  <r>
    <n v="3000005312"/>
    <d v="2025-09-08T00:00:00"/>
    <n v="9984661.5600000005"/>
    <s v="Verde y Sol S.R.L. SAN MIGUEL DE TUCUMAN 14"/>
    <x v="1150"/>
    <n v="9984661.5600000005"/>
    <x v="133"/>
    <x v="0"/>
    <s v="pagado"/>
    <s v="pagado"/>
    <s v="excluir"/>
    <s v="no semana"/>
    <x v="0"/>
  </r>
  <r>
    <n v="3000005313"/>
    <d v="2025-09-08T00:00:00"/>
    <n v="5944942.2699999996"/>
    <s v="Astori Estructuras S.A. Bº Palmar 03"/>
    <x v="1151"/>
    <n v="5944942.2699999996"/>
    <x v="133"/>
    <x v="0"/>
    <s v="pagado"/>
    <s v="pagado"/>
    <s v="excluir"/>
    <s v="no semana"/>
    <x v="0"/>
  </r>
  <r>
    <n v="3000005314"/>
    <d v="2025-09-08T00:00:00"/>
    <n v="16000000"/>
    <s v="FERNANDEZ LILIA CRISTINA CONCEPCION 14"/>
    <x v="1152"/>
    <n v="16000000"/>
    <x v="133"/>
    <x v="0"/>
    <s v="pagado"/>
    <s v="pagado"/>
    <s v="excluir"/>
    <s v="no semana"/>
    <x v="0"/>
  </r>
  <r>
    <n v="3000005314"/>
    <d v="2025-09-08T00:00:00"/>
    <n v="16506264"/>
    <s v="FERNANDEZ LILIA CRISTINA CONCEPCION 14"/>
    <x v="1153"/>
    <n v="16506264"/>
    <x v="132"/>
    <x v="0"/>
    <s v="pagado"/>
    <s v="pagado"/>
    <s v="excluir"/>
    <s v="no semana"/>
    <x v="0"/>
  </r>
  <r>
    <n v="3000005315"/>
    <d v="2025-09-08T00:00:00"/>
    <n v="10000000"/>
    <s v="CANEVARO GISELLE LILIAN San Miguel De Tucuman 14"/>
    <x v="1154"/>
    <n v="10000000"/>
    <x v="133"/>
    <x v="0"/>
    <s v="pagado"/>
    <s v="pagado"/>
    <s v="excluir"/>
    <s v="no semana"/>
    <x v="0"/>
  </r>
  <r>
    <n v="3000005315"/>
    <d v="2025-09-08T00:00:00"/>
    <n v="6253132"/>
    <s v="CANEVARO GISELLE LILIAN San Miguel De Tucuman 14"/>
    <x v="1155"/>
    <n v="6253132"/>
    <x v="132"/>
    <x v="0"/>
    <s v="pagado"/>
    <s v="pagado"/>
    <s v="excluir"/>
    <s v="no semana"/>
    <x v="0"/>
  </r>
  <r>
    <n v="3000005316"/>
    <d v="2025-09-08T00:00:00"/>
    <n v="15910960.800000001"/>
    <s v="CANEVARO PRISCILA JANET SAN MIGUEL DE TUCUMAN 14"/>
    <x v="1156"/>
    <n v="15910960.800000001"/>
    <x v="133"/>
    <x v="0"/>
    <s v="pagado"/>
    <s v="pagado"/>
    <s v="excluir"/>
    <s v="no semana"/>
    <x v="0"/>
  </r>
  <r>
    <n v="3000005317"/>
    <d v="2025-09-08T00:00:00"/>
    <n v="1084986.3999999999"/>
    <s v="SERVICOM S.R.L SAN MIGUEL DE TUCUMAN 14"/>
    <x v="1157"/>
    <n v="1084986.3999999999"/>
    <x v="133"/>
    <x v="0"/>
    <s v="pagado"/>
    <s v="pagado"/>
    <s v="excluir"/>
    <s v="no semana"/>
    <x v="0"/>
  </r>
  <r>
    <n v="3000005318"/>
    <d v="2025-09-08T00:00:00"/>
    <n v="11000000"/>
    <s v="RL SOLUCIONES S. A. S. SAN MIGUEL DE TUCUMAN 14"/>
    <x v="1158"/>
    <n v="11000000"/>
    <x v="133"/>
    <x v="0"/>
    <s v="pagado"/>
    <s v="pagado"/>
    <s v="excluir"/>
    <s v="no semana"/>
    <x v="0"/>
  </r>
  <r>
    <n v="3000005318"/>
    <d v="2025-09-08T00:00:00"/>
    <n v="10053777.210000001"/>
    <s v="RL SOLUCIONES S. A. S. SAN MIGUEL DE TUCUMAN 14"/>
    <x v="1159"/>
    <n v="10053777.210000001"/>
    <x v="132"/>
    <x v="0"/>
    <s v="pagado"/>
    <s v="pagado"/>
    <s v="excluir"/>
    <s v="no semana"/>
    <x v="0"/>
  </r>
  <r>
    <n v="3000005319"/>
    <d v="2025-09-08T00:00:00"/>
    <n v="4233183.5"/>
    <s v="VILLAGRA VELEZ ROQUE RICARDO SAN MIGUEL DE TUCUMAN 14"/>
    <x v="1160"/>
    <n v="4233183.5"/>
    <x v="133"/>
    <x v="0"/>
    <s v="pagado"/>
    <s v="pagado"/>
    <s v="excluir"/>
    <s v="no semana"/>
    <x v="0"/>
  </r>
  <r>
    <n v="3000005320"/>
    <d v="2025-09-08T00:00:00"/>
    <n v="7859452.5499999998"/>
    <s v="LANCHELA HECTOR ROLANDO CONCEPCION 14"/>
    <x v="1161"/>
    <n v="7859452.5499999998"/>
    <x v="133"/>
    <x v="0"/>
    <s v="pagado"/>
    <s v="pagado"/>
    <s v="excluir"/>
    <s v="no semana"/>
    <x v="0"/>
  </r>
  <r>
    <n v="3000005321"/>
    <d v="2025-09-08T00:00:00"/>
    <n v="3926843"/>
    <s v="SANTI NASSAR MAXIMILIANO JESUSSAN MIGUEL DE TUCUMAN 14"/>
    <x v="1162"/>
    <n v="3926843"/>
    <x v="133"/>
    <x v="0"/>
    <s v="pagado"/>
    <s v="pagado"/>
    <s v="excluir"/>
    <s v="no semana"/>
    <x v="0"/>
  </r>
  <r>
    <n v="3000005322"/>
    <d v="2025-09-08T00:00:00"/>
    <n v="15000000"/>
    <s v="MG SERVICIOS AGROPECUARIOS SASTAFI VIEJO 14"/>
    <x v="1163"/>
    <n v="15000000"/>
    <x v="133"/>
    <x v="0"/>
    <s v="pagado"/>
    <s v="pagado"/>
    <s v="excluir"/>
    <s v="no semana"/>
    <x v="0"/>
  </r>
  <r>
    <n v="3000005322"/>
    <d v="2025-09-08T00:00:00"/>
    <n v="7000000"/>
    <s v="MG SERVICIOS AGROPECUARIOS SASTAFI VIEJO 14"/>
    <x v="1164"/>
    <n v="7000000"/>
    <x v="133"/>
    <x v="0"/>
    <s v="pagado"/>
    <s v="pagado"/>
    <s v="excluir"/>
    <s v="no semana"/>
    <x v="0"/>
  </r>
  <r>
    <n v="3000005322"/>
    <d v="2025-09-08T00:00:00"/>
    <n v="4000000"/>
    <s v="MG SERVICIOS AGROPECUARIOS SASTAFI VIEJO 14"/>
    <x v="1165"/>
    <n v="4000000"/>
    <x v="133"/>
    <x v="0"/>
    <s v="pagado"/>
    <s v="pagado"/>
    <s v="excluir"/>
    <s v="no semana"/>
    <x v="0"/>
  </r>
  <r>
    <n v="3000005322"/>
    <d v="2025-09-08T00:00:00"/>
    <n v="4000000"/>
    <s v="MG SERVICIOS AGROPECUARIOS SASTAFI VIEJO 14"/>
    <x v="1166"/>
    <n v="4000000"/>
    <x v="133"/>
    <x v="0"/>
    <s v="pagado"/>
    <s v="pagado"/>
    <s v="excluir"/>
    <s v="no semana"/>
    <x v="0"/>
  </r>
  <r>
    <n v="3000005322"/>
    <d v="2025-09-08T00:00:00"/>
    <n v="35000000"/>
    <s v="MG SERVICIOS AGROPECUARIOS SASTAFI VIEJO 14"/>
    <x v="1167"/>
    <n v="35000000"/>
    <x v="132"/>
    <x v="0"/>
    <s v="pagado"/>
    <s v="pagado"/>
    <s v="excluir"/>
    <s v="no semana"/>
    <x v="0"/>
  </r>
  <r>
    <n v="3000005322"/>
    <d v="2025-09-08T00:00:00"/>
    <n v="42579298.479999997"/>
    <s v="MG SERVICIOS AGROPECUARIOS SASTAFI VIEJO 14"/>
    <x v="1168"/>
    <n v="42579298.479999997"/>
    <x v="111"/>
    <x v="0"/>
    <s v="pagado"/>
    <s v="pagado"/>
    <s v="excluir"/>
    <s v="no semana"/>
    <x v="0"/>
  </r>
  <r>
    <n v="3000005323"/>
    <d v="2025-09-08T00:00:00"/>
    <n v="4000000"/>
    <s v="MG SERVICIOS AGROPECUARIOS SASTAFI VIEJO 14"/>
    <x v="1169"/>
    <n v="4000000"/>
    <x v="133"/>
    <x v="0"/>
    <s v="pagado"/>
    <s v="pagado"/>
    <s v="excluir"/>
    <s v="no semana"/>
    <x v="0"/>
  </r>
  <r>
    <n v="3000005323"/>
    <d v="2025-09-08T00:00:00"/>
    <n v="2000000"/>
    <s v="MG SERVICIOS AGROPECUARIOS SASTAFI VIEJO 14"/>
    <x v="1170"/>
    <n v="2000000"/>
    <x v="133"/>
    <x v="0"/>
    <s v="pagado"/>
    <s v="pagado"/>
    <s v="excluir"/>
    <s v="no semana"/>
    <x v="0"/>
  </r>
  <r>
    <n v="3000005323"/>
    <d v="2025-09-08T00:00:00"/>
    <n v="2800000"/>
    <s v="MG SERVICIOS AGROPECUARIOS SASTAFI VIEJO 14"/>
    <x v="1171"/>
    <n v="2800000"/>
    <x v="133"/>
    <x v="0"/>
    <s v="pagado"/>
    <s v="pagado"/>
    <s v="excluir"/>
    <s v="no semana"/>
    <x v="0"/>
  </r>
  <r>
    <n v="3000005323"/>
    <d v="2025-09-08T00:00:00"/>
    <n v="1400000"/>
    <s v="MG SERVICIOS AGROPECUARIOS SASTAFI VIEJO 14"/>
    <x v="1172"/>
    <n v="1400000"/>
    <x v="133"/>
    <x v="0"/>
    <s v="pagado"/>
    <s v="pagado"/>
    <s v="excluir"/>
    <s v="no semana"/>
    <x v="0"/>
  </r>
  <r>
    <n v="3000005323"/>
    <d v="2025-09-08T00:00:00"/>
    <n v="1200000"/>
    <s v="MG SERVICIOS AGROPECUARIOS SASTAFI VIEJO 14"/>
    <x v="1173"/>
    <n v="1200000"/>
    <x v="133"/>
    <x v="0"/>
    <s v="pagado"/>
    <s v="pagado"/>
    <s v="excluir"/>
    <s v="no semana"/>
    <x v="0"/>
  </r>
  <r>
    <n v="3000005323"/>
    <d v="2025-09-08T00:00:00"/>
    <n v="40000000"/>
    <s v="MG SERVICIOS AGROPECUARIOS SASTAFI VIEJO 14"/>
    <x v="1174"/>
    <n v="40000000"/>
    <x v="132"/>
    <x v="0"/>
    <s v="pagado"/>
    <s v="pagado"/>
    <s v="excluir"/>
    <s v="no semana"/>
    <x v="0"/>
  </r>
  <r>
    <n v="3000005323"/>
    <d v="2025-09-08T00:00:00"/>
    <n v="34653027.520000003"/>
    <s v="MG SERVICIOS AGROPECUARIOS SASTAFI VIEJO 14"/>
    <x v="1175"/>
    <n v="34653027.520000003"/>
    <x v="111"/>
    <x v="0"/>
    <s v="pagado"/>
    <s v="pagado"/>
    <s v="excluir"/>
    <s v="no semana"/>
    <x v="0"/>
  </r>
  <r>
    <n v="3000005362"/>
    <d v="2025-09-09T00:00:00"/>
    <n v="8617127.2300000004"/>
    <s v="NATURAL GAS SA SAN MIGUEL DE TUCUMAN 14"/>
    <x v="1176"/>
    <n v="8617127.2300000004"/>
    <x v="133"/>
    <x v="2"/>
    <s v="pagado"/>
    <s v="pagado"/>
    <s v="excluir"/>
    <s v="no semana"/>
    <x v="0"/>
  </r>
  <r>
    <n v="3000005364"/>
    <d v="2025-09-09T00:00:00"/>
    <n v="13682367.92"/>
    <s v="STARB S.A CIUDAD AUTONOMA DE BUENOS AIRES 01"/>
    <x v="1177"/>
    <n v="13682367.92"/>
    <x v="132"/>
    <x v="2"/>
    <s v="pagado"/>
    <s v="pagado"/>
    <s v="excluir"/>
    <s v="no semana"/>
    <x v="0"/>
  </r>
  <r>
    <n v="3000005365"/>
    <d v="2025-09-09T00:00:00"/>
    <n v="9673396.3699999992"/>
    <s v="Vaquera Francisco Alfredo Monteros 14"/>
    <x v="1178"/>
    <n v="9673396.3699999992"/>
    <x v="132"/>
    <x v="2"/>
    <s v="pagado"/>
    <s v="pagado"/>
    <s v="excluir"/>
    <s v="no semana"/>
    <x v="0"/>
  </r>
  <r>
    <n v="3000005366"/>
    <d v="2025-09-09T00:00:00"/>
    <n v="6086794.8200000003"/>
    <s v="Sanchez Jose Mauricio San Miguel de Tucuman 14"/>
    <x v="1179"/>
    <n v="6086794.8200000003"/>
    <x v="133"/>
    <x v="2"/>
    <s v="pagado"/>
    <s v="pagado"/>
    <s v="excluir"/>
    <s v="no semana"/>
    <x v="0"/>
  </r>
  <r>
    <n v="3000005367"/>
    <d v="2025-09-09T00:00:00"/>
    <n v="4570689.91"/>
    <s v="PERATO LUIS ALBERTO BANDA DEL RIO SALI 14"/>
    <x v="1180"/>
    <n v="4570689.91"/>
    <x v="133"/>
    <x v="2"/>
    <s v="pagado"/>
    <s v="pagado"/>
    <s v="excluir"/>
    <s v="no semana"/>
    <x v="0"/>
  </r>
  <r>
    <n v="3000005368"/>
    <d v="2025-09-09T00:00:00"/>
    <n v="4513341.7699999996"/>
    <s v="Bustos Sergio Alejandro Banda Rio Sali 14"/>
    <x v="1181"/>
    <n v="4513341.7699999996"/>
    <x v="133"/>
    <x v="2"/>
    <s v="pagado"/>
    <s v="pagado"/>
    <s v="excluir"/>
    <s v="no semana"/>
    <x v="0"/>
  </r>
  <r>
    <n v="3000005369"/>
    <d v="2025-09-09T00:00:00"/>
    <n v="14020968.210000001"/>
    <s v="TORRES JUAN RAMON ALDERETES 14"/>
    <x v="1182"/>
    <n v="14020968.210000001"/>
    <x v="132"/>
    <x v="2"/>
    <s v="pagado"/>
    <s v="pagado"/>
    <s v="excluir"/>
    <s v="no semana"/>
    <x v="0"/>
  </r>
  <r>
    <n v="3000005370"/>
    <d v="2025-09-09T00:00:00"/>
    <n v="16235350.359999999"/>
    <s v="PERATO CRISTIAN LUIS BANDA DEL RIO SALI 14"/>
    <x v="1183"/>
    <n v="16235350.359999999"/>
    <x v="132"/>
    <x v="2"/>
    <s v="pagado"/>
    <s v="pagado"/>
    <s v="excluir"/>
    <s v="no semana"/>
    <x v="0"/>
  </r>
  <r>
    <n v="3000005371"/>
    <d v="2025-09-09T00:00:00"/>
    <n v="7734103.5899999999"/>
    <s v="PEDRO GABRIEL ALEJANDRO ALDERETES 14"/>
    <x v="1184"/>
    <n v="7734103.5899999999"/>
    <x v="133"/>
    <x v="2"/>
    <s v="pagado"/>
    <s v="pagado"/>
    <s v="excluir"/>
    <s v="no semana"/>
    <x v="0"/>
  </r>
  <r>
    <n v="3000005372"/>
    <d v="2025-09-09T00:00:00"/>
    <n v="26312486.77"/>
    <s v="CAPETTA ANTONELLA ANAHI SAN MIGUEL DE TUCUMAN 14"/>
    <x v="1185"/>
    <n v="26312486.77"/>
    <x v="132"/>
    <x v="2"/>
    <s v="pagado"/>
    <s v="pagado"/>
    <s v="excluir"/>
    <s v="no semana"/>
    <x v="0"/>
  </r>
  <r>
    <n v="3000005373"/>
    <d v="2025-09-09T00:00:00"/>
    <n v="34715345.520000003"/>
    <s v="TRANSPORTE FRIOS DEL NORTE S.RSAN MIGUEL DE TUCUMAN 14"/>
    <x v="1186"/>
    <n v="34715345.520000003"/>
    <x v="132"/>
    <x v="2"/>
    <s v="pagado"/>
    <s v="pagado"/>
    <s v="excluir"/>
    <s v="no semana"/>
    <x v="0"/>
  </r>
  <r>
    <n v="3000005374"/>
    <d v="2025-09-09T00:00:00"/>
    <n v="4233183.5"/>
    <s v="MAGNONE S. A. CIUDAD AUTONOMA BUENOS AIRES 00"/>
    <x v="1187"/>
    <n v="4233183.5"/>
    <x v="133"/>
    <x v="2"/>
    <s v="pagado"/>
    <s v="pagado"/>
    <s v="excluir"/>
    <s v="no semana"/>
    <x v="0"/>
  </r>
  <r>
    <n v="3000005375"/>
    <d v="2025-09-09T00:00:00"/>
    <n v="10649857.890000001"/>
    <s v="CEMEVA SAS YERBA BUENA 14"/>
    <x v="1188"/>
    <n v="10649857.890000001"/>
    <x v="132"/>
    <x v="2"/>
    <s v="pagado"/>
    <s v="pagado"/>
    <s v="excluir"/>
    <s v="no semana"/>
    <x v="0"/>
  </r>
  <r>
    <n v="3000005376"/>
    <d v="2025-09-09T00:00:00"/>
    <n v="4260111.08"/>
    <s v="MAC DONALD MIGUEL ALEJANDRO BANDA DEL RIO SALI 14"/>
    <x v="1189"/>
    <n v="4260111.08"/>
    <x v="133"/>
    <x v="2"/>
    <s v="pagado"/>
    <s v="pagado"/>
    <s v="excluir"/>
    <s v="no semana"/>
    <x v="0"/>
  </r>
  <r>
    <n v="3000005377"/>
    <d v="2025-09-09T00:00:00"/>
    <n v="7834202.96"/>
    <s v="Sereno Carlos Luis Los Gutierrez 14"/>
    <x v="1190"/>
    <n v="7834202.96"/>
    <x v="133"/>
    <x v="2"/>
    <s v="pagado"/>
    <s v="pagado"/>
    <s v="excluir"/>
    <s v="no semana"/>
    <x v="0"/>
  </r>
  <r>
    <n v="3000005378"/>
    <d v="2025-09-09T00:00:00"/>
    <n v="11721787.52"/>
    <s v="FERNANDEZ HECTOR JOSE SIMOCA 14"/>
    <x v="1191"/>
    <n v="11721787.52"/>
    <x v="132"/>
    <x v="2"/>
    <s v="pagado"/>
    <s v="pagado"/>
    <s v="excluir"/>
    <s v="no semana"/>
    <x v="0"/>
  </r>
  <r>
    <n v="3000005379"/>
    <d v="2025-09-09T00:00:00"/>
    <n v="5686402.4199999999"/>
    <s v="MOREY SERGIO GUILLERMO LOS GUTIERREZ-ALDERETES 14"/>
    <x v="1192"/>
    <n v="5686402.4199999999"/>
    <x v="133"/>
    <x v="2"/>
    <s v="pagado"/>
    <s v="pagado"/>
    <s v="excluir"/>
    <s v="no semana"/>
    <x v="0"/>
  </r>
  <r>
    <n v="3000005380"/>
    <d v="2025-09-09T00:00:00"/>
    <n v="31800379.420000002"/>
    <s v="ACOSTA ROQUE RAMON SAN MIGUEL DE TUCUMAN 14"/>
    <x v="1193"/>
    <n v="31800379.420000002"/>
    <x v="132"/>
    <x v="2"/>
    <s v="pagado"/>
    <s v="pagado"/>
    <s v="excluir"/>
    <s v="no semana"/>
    <x v="0"/>
  </r>
  <r>
    <n v="3000005509"/>
    <d v="2025-09-15T00:00:00"/>
    <n v="0"/>
    <s v="invalidado med.EOLIVERA -Destruido/ Sin uso"/>
    <x v="1194"/>
    <n v="0"/>
    <x v="122"/>
    <x v="2"/>
    <s v="no pagado"/>
    <s v="fuera de fecha"/>
    <s v="excluir"/>
    <s v="no semana"/>
    <x v="0"/>
  </r>
  <r>
    <n v="3000005510"/>
    <d v="2025-09-15T00:00:00"/>
    <n v="0"/>
    <s v="invalidado med.EOLIVERA -Destruido/ Sin uso"/>
    <x v="1195"/>
    <n v="0"/>
    <x v="122"/>
    <x v="2"/>
    <s v="no pagado"/>
    <s v="fuera de fecha"/>
    <s v="excluir"/>
    <s v="no semana"/>
    <x v="0"/>
  </r>
  <r>
    <n v="3000005511"/>
    <d v="2025-09-15T00:00:00"/>
    <n v="0"/>
    <s v="invalidado med.EOLIVERA -Destruido/ Sin uso"/>
    <x v="1196"/>
    <n v="0"/>
    <x v="122"/>
    <x v="2"/>
    <s v="no pagado"/>
    <s v="fuera de fecha"/>
    <s v="excluir"/>
    <s v="no semana"/>
    <x v="0"/>
  </r>
  <r>
    <n v="3000005512"/>
    <d v="2025-09-15T00:00:00"/>
    <n v="0"/>
    <s v="invalidado med.EOLIVERA -Destruido/ Sin uso"/>
    <x v="1197"/>
    <n v="0"/>
    <x v="122"/>
    <x v="2"/>
    <s v="no pagado"/>
    <s v="fuera de fecha"/>
    <s v="excluir"/>
    <s v="no semana"/>
    <x v="0"/>
  </r>
  <r>
    <n v="3000005513"/>
    <d v="2025-09-15T00:00:00"/>
    <n v="0"/>
    <s v="invalidado med.EOLIVERA -Destruido/ Sin uso"/>
    <x v="1198"/>
    <n v="0"/>
    <x v="122"/>
    <x v="2"/>
    <s v="no pagado"/>
    <s v="fuera de fecha"/>
    <s v="excluir"/>
    <s v="no semana"/>
    <x v="0"/>
  </r>
  <r>
    <n v="3000005514"/>
    <d v="2025-09-15T00:00:00"/>
    <n v="0"/>
    <s v="invalidado med.EOLIVERA -Destruido/ Sin uso"/>
    <x v="1199"/>
    <n v="0"/>
    <x v="122"/>
    <x v="2"/>
    <s v="no pagado"/>
    <s v="fuera de fecha"/>
    <s v="excluir"/>
    <s v="no semana"/>
    <x v="0"/>
  </r>
  <r>
    <n v="3000005515"/>
    <d v="2025-09-15T00:00:00"/>
    <n v="0"/>
    <s v="invalidado med.EOLIVERA -Destruido/ Sin uso"/>
    <x v="1200"/>
    <n v="0"/>
    <x v="122"/>
    <x v="2"/>
    <s v="no pagado"/>
    <s v="fuera de fecha"/>
    <s v="excluir"/>
    <s v="no semana"/>
    <x v="0"/>
  </r>
  <r>
    <n v="3000005516"/>
    <d v="2025-09-15T00:00:00"/>
    <n v="0"/>
    <s v="invalidado med.EOLIVERA -Destruido/ Sin uso"/>
    <x v="1201"/>
    <n v="0"/>
    <x v="122"/>
    <x v="2"/>
    <s v="no pagado"/>
    <s v="fuera de fecha"/>
    <s v="excluir"/>
    <s v="no semana"/>
    <x v="0"/>
  </r>
  <r>
    <n v="3000005517"/>
    <d v="2025-09-15T00:00:00"/>
    <n v="0"/>
    <s v="invalidado med.EOLIVERA -Destruido/ Sin uso"/>
    <x v="1202"/>
    <n v="0"/>
    <x v="122"/>
    <x v="2"/>
    <s v="no pagado"/>
    <s v="fuera de fecha"/>
    <s v="excluir"/>
    <s v="no semana"/>
    <x v="0"/>
  </r>
  <r>
    <n v="3000005518"/>
    <d v="2025-09-15T00:00:00"/>
    <n v="0"/>
    <s v="invalidado med.EOLIVERA -Destruido/ Sin uso"/>
    <x v="1203"/>
    <n v="0"/>
    <x v="122"/>
    <x v="2"/>
    <s v="no pagado"/>
    <s v="fuera de fecha"/>
    <s v="excluir"/>
    <s v="no semana"/>
    <x v="0"/>
  </r>
  <r>
    <n v="3000005519"/>
    <d v="2025-09-15T00:00:00"/>
    <n v="0"/>
    <s v="invalidado med.EOLIVERA -Destruido/ Sin uso"/>
    <x v="1204"/>
    <n v="0"/>
    <x v="134"/>
    <x v="2"/>
    <s v="no pagado"/>
    <s v="fuera de fecha"/>
    <s v="excluir"/>
    <s v="no semana"/>
    <x v="0"/>
  </r>
  <r>
    <n v="3000005520"/>
    <d v="2025-09-15T00:00:00"/>
    <n v="0"/>
    <s v="invalidado med.EOLIVERA -Destruido/ Sin uso"/>
    <x v="1205"/>
    <n v="0"/>
    <x v="134"/>
    <x v="2"/>
    <s v="no pagado"/>
    <s v="fuera de fecha"/>
    <s v="excluir"/>
    <s v="no semana"/>
    <x v="0"/>
  </r>
  <r>
    <n v="3000005521"/>
    <d v="2025-09-15T00:00:00"/>
    <n v="0"/>
    <s v="invalidado med.EOLIVERA -Destruido/ Sin uso"/>
    <x v="1206"/>
    <n v="0"/>
    <x v="134"/>
    <x v="2"/>
    <s v="no pagado"/>
    <s v="fuera de fecha"/>
    <s v="excluir"/>
    <s v="no semana"/>
    <x v="0"/>
  </r>
  <r>
    <n v="3000005522"/>
    <d v="2025-09-15T00:00:00"/>
    <n v="0"/>
    <s v="invalidado med.EOLIVERA -Destruido/ Sin uso"/>
    <x v="1207"/>
    <n v="0"/>
    <x v="134"/>
    <x v="2"/>
    <s v="no pagado"/>
    <s v="fuera de fecha"/>
    <s v="excluir"/>
    <s v="no semana"/>
    <x v="0"/>
  </r>
  <r>
    <n v="3000005523"/>
    <d v="2025-09-15T00:00:00"/>
    <n v="0"/>
    <s v="invalidado med.EOLIVERA -Destruido/ Sin uso"/>
    <x v="1208"/>
    <n v="0"/>
    <x v="134"/>
    <x v="2"/>
    <s v="no pagado"/>
    <s v="fuera de fecha"/>
    <s v="excluir"/>
    <s v="no semana"/>
    <x v="0"/>
  </r>
  <r>
    <n v="3000005526"/>
    <d v="2025-09-16T00:00:00"/>
    <n v="0"/>
    <s v="invalidado med.EOLIVERA -Destruido/ Sin uso"/>
    <x v="1209"/>
    <n v="0"/>
    <x v="134"/>
    <x v="2"/>
    <s v="no pagado"/>
    <s v="fuera de fecha"/>
    <s v="excluir"/>
    <s v="no semana"/>
    <x v="0"/>
  </r>
  <r>
    <n v="3000005509"/>
    <d v="2025-09-16T00:00:00"/>
    <n v="4590664.0199999996"/>
    <s v="ALVAREZ RENE JOSE MARIA BELLA VISTA 14"/>
    <x v="1210"/>
    <n v="4590664.0199999996"/>
    <x v="122"/>
    <x v="2"/>
    <s v="pagado"/>
    <s v="pagado"/>
    <s v="excluir"/>
    <s v="no semana"/>
    <x v="0"/>
  </r>
  <r>
    <n v="3000005510"/>
    <d v="2025-09-16T00:00:00"/>
    <n v="5982581.9000000004"/>
    <s v="HERRERA RICARDO ALBERTO BANDA DEL RIO SALI 14"/>
    <x v="1211"/>
    <n v="5982581.9000000004"/>
    <x v="122"/>
    <x v="2"/>
    <s v="pagado"/>
    <s v="pagado"/>
    <s v="excluir"/>
    <s v="no semana"/>
    <x v="0"/>
  </r>
  <r>
    <n v="3000005511"/>
    <d v="2025-09-16T00:00:00"/>
    <n v="9688063.8300000001"/>
    <s v="SLEIMAN JOSE RODOLFO ALDERETES 14"/>
    <x v="1212"/>
    <n v="9688063.8300000001"/>
    <x v="122"/>
    <x v="2"/>
    <s v="pagado"/>
    <s v="pagado"/>
    <s v="excluir"/>
    <s v="no semana"/>
    <x v="0"/>
  </r>
  <r>
    <n v="3000005512"/>
    <d v="2025-09-16T00:00:00"/>
    <n v="4614731.25"/>
    <s v="BESTANI JUAN JOSE SAN MIGUEL DE TUCUMAN 14"/>
    <x v="1213"/>
    <n v="4614731.25"/>
    <x v="122"/>
    <x v="2"/>
    <s v="pagado"/>
    <s v="pagado"/>
    <s v="excluir"/>
    <s v="no semana"/>
    <x v="0"/>
  </r>
  <r>
    <n v="3000005513"/>
    <d v="2025-09-16T00:00:00"/>
    <n v="4121380.98"/>
    <s v="Rojas Antonio Domingo ALDERETES 14"/>
    <x v="1214"/>
    <n v="4121380.98"/>
    <x v="122"/>
    <x v="2"/>
    <s v="pagado"/>
    <s v="pagado"/>
    <s v="excluir"/>
    <s v="no semana"/>
    <x v="0"/>
  </r>
  <r>
    <n v="3000005514"/>
    <d v="2025-09-16T00:00:00"/>
    <n v="9847046.5199999996"/>
    <s v="TRANSPORTE MARIANITA S.R.L SAN MIGUEL DE TUCUMAN 14"/>
    <x v="1215"/>
    <n v="9847046.5199999996"/>
    <x v="122"/>
    <x v="2"/>
    <s v="pagado"/>
    <s v="pagado"/>
    <s v="excluir"/>
    <s v="no semana"/>
    <x v="0"/>
  </r>
  <r>
    <n v="3000005515"/>
    <d v="2025-09-16T00:00:00"/>
    <n v="5835884.9500000002"/>
    <s v="PEREZ CURBELO HNOS SRL SAN MIGUEL DE TUCUMAN 14"/>
    <x v="1216"/>
    <n v="5835884.9500000002"/>
    <x v="122"/>
    <x v="2"/>
    <s v="pagado"/>
    <s v="pagado"/>
    <s v="excluir"/>
    <s v="no semana"/>
    <x v="0"/>
  </r>
  <r>
    <n v="3000005516"/>
    <d v="2025-09-16T00:00:00"/>
    <n v="12234810"/>
    <s v="PABLO Y FERNANDO TACCHELLA S.RSAN MIGUEL DE TUCUMAN 14"/>
    <x v="1217"/>
    <n v="12234810"/>
    <x v="122"/>
    <x v="2"/>
    <s v="pagado"/>
    <s v="pagado"/>
    <s v="excluir"/>
    <s v="no semana"/>
    <x v="0"/>
  </r>
  <r>
    <n v="3000005517"/>
    <d v="2025-09-16T00:00:00"/>
    <n v="8738855"/>
    <s v="GRUPO LIVECA SAS SAN RAMON DE LA NUEVA ORAN 09"/>
    <x v="1218"/>
    <n v="8738855"/>
    <x v="122"/>
    <x v="2"/>
    <s v="pagado"/>
    <s v="pagado"/>
    <s v="excluir"/>
    <s v="no semana"/>
    <x v="0"/>
  </r>
  <r>
    <n v="3000005518"/>
    <d v="2025-09-16T00:00:00"/>
    <n v="9526924.4600000009"/>
    <s v="Barbera, Walter Sergio SAN MIGUEL DE TUCUMAN 14"/>
    <x v="1219"/>
    <n v="9526924.4600000009"/>
    <x v="122"/>
    <x v="2"/>
    <s v="pagado"/>
    <s v="pagado"/>
    <s v="excluir"/>
    <s v="no semana"/>
    <x v="0"/>
  </r>
  <r>
    <n v="3000005519"/>
    <d v="2025-09-16T00:00:00"/>
    <n v="12411341.130000001"/>
    <s v="Arias Carlos Alberto SAN MIGUEL DE TUCUMAN 14"/>
    <x v="1220"/>
    <n v="12411341.130000001"/>
    <x v="134"/>
    <x v="2"/>
    <s v="pagado"/>
    <s v="pagado"/>
    <s v="excluir"/>
    <s v="no semana"/>
    <x v="0"/>
  </r>
  <r>
    <n v="3000005520"/>
    <d v="2025-09-16T00:00:00"/>
    <n v="21677198.129999999"/>
    <s v="MOLINA JUAN F. Y MOLINA ROQUE Lastenia 14"/>
    <x v="1221"/>
    <n v="21677198.129999999"/>
    <x v="134"/>
    <x v="2"/>
    <s v="pagado"/>
    <s v="pagado"/>
    <s v="excluir"/>
    <s v="no semana"/>
    <x v="0"/>
  </r>
  <r>
    <n v="3000005521"/>
    <d v="2025-09-16T00:00:00"/>
    <n v="14298958.300000001"/>
    <s v="Gonzalez Jose Luis Lastenia 14"/>
    <x v="1222"/>
    <n v="14298958.300000001"/>
    <x v="122"/>
    <x v="2"/>
    <s v="pagado"/>
    <s v="pagado"/>
    <s v="excluir"/>
    <s v="no semana"/>
    <x v="0"/>
  </r>
  <r>
    <n v="3000005522"/>
    <d v="2025-09-16T00:00:00"/>
    <n v="31409789.780000001"/>
    <s v="CEFAS S.A CIUDAD AUTONOMA DE BUENOS AIRES 01"/>
    <x v="1223"/>
    <n v="31409789.780000001"/>
    <x v="134"/>
    <x v="2"/>
    <s v="pagado"/>
    <s v="pagado"/>
    <s v="excluir"/>
    <s v="no semana"/>
    <x v="0"/>
  </r>
  <r>
    <n v="3000005523"/>
    <d v="2025-09-16T00:00:00"/>
    <n v="17999651.25"/>
    <s v="TUCUMAN PALLET SRL EL MANANTIAL 14"/>
    <x v="1224"/>
    <n v="17999651.25"/>
    <x v="134"/>
    <x v="2"/>
    <s v="pagado"/>
    <s v="pagado"/>
    <s v="excluir"/>
    <s v="no semana"/>
    <x v="0"/>
  </r>
  <r>
    <n v="3000005526"/>
    <d v="2025-09-16T00:00:00"/>
    <n v="42698510"/>
    <s v="EDET S.A. SAN MIGUEL DE TUCUMAN 14"/>
    <x v="1225"/>
    <n v="42698510"/>
    <x v="134"/>
    <x v="2"/>
    <s v="pagado"/>
    <s v="pagado"/>
    <s v="excluir"/>
    <s v="no semana"/>
    <x v="0"/>
  </r>
  <r>
    <n v="3000005524"/>
    <d v="2025-09-15T00:00:00"/>
    <n v="3411180.16"/>
    <s v="TRANSPORTE MEDINA S.H. CRUZ ALTA 14"/>
    <x v="1226"/>
    <n v="3411180.16"/>
    <x v="135"/>
    <x v="0"/>
    <s v="pagado"/>
    <s v="pagado"/>
    <s v="excluir"/>
    <s v="no semana"/>
    <x v="0"/>
  </r>
  <r>
    <n v="3000005525"/>
    <d v="2025-09-15T00:00:00"/>
    <n v="560000"/>
    <s v="ZUCCHI MARIO RODOLFO YERBA BUENA 14"/>
    <x v="1227"/>
    <n v="560000"/>
    <x v="135"/>
    <x v="0"/>
    <s v="pagado"/>
    <s v="pagado"/>
    <s v="excluir"/>
    <s v="no semana"/>
    <x v="0"/>
  </r>
  <r>
    <n v="3000005547"/>
    <d v="2025-09-16T00:00:00"/>
    <n v="7912006.8200000003"/>
    <s v="BESTANI LEANDRO EXEQUIEL SAN MIGUEL DE TUCUMAN 14"/>
    <x v="1228"/>
    <n v="7912006.8200000003"/>
    <x v="136"/>
    <x v="0"/>
    <s v="pagado"/>
    <s v="pagado"/>
    <s v="excluir"/>
    <s v="no semana"/>
    <x v="0"/>
  </r>
  <r>
    <n v="3000005548"/>
    <d v="2025-09-16T00:00:00"/>
    <n v="11059275.869999999"/>
    <s v="MULET WALTER HUMBERTO SAN MIGUEL DE TUCUMAN 14"/>
    <x v="1229"/>
    <n v="11059275.869999999"/>
    <x v="136"/>
    <x v="0"/>
    <s v="pagado"/>
    <s v="pagado"/>
    <s v="excluir"/>
    <s v="no semana"/>
    <x v="0"/>
  </r>
  <r>
    <n v="3000005549"/>
    <d v="2025-09-16T00:00:00"/>
    <n v="9990532.3399999999"/>
    <s v="Expreso Bisonte S.R.L. BANDA DEL RIO SALI 14"/>
    <x v="1230"/>
    <n v="9990532.3399999999"/>
    <x v="136"/>
    <x v="0"/>
    <s v="pagado"/>
    <s v="pagado"/>
    <s v="excluir"/>
    <s v="no semana"/>
    <x v="0"/>
  </r>
  <r>
    <n v="3000005550"/>
    <d v="2025-09-16T00:00:00"/>
    <n v="20750079.300000001"/>
    <s v="Terminal 4 S.A. Puerto Nuevo 01"/>
    <x v="1231"/>
    <n v="20750079.300000001"/>
    <x v="136"/>
    <x v="0"/>
    <s v="pagado"/>
    <s v="pagado"/>
    <s v="excluir"/>
    <s v="no semana"/>
    <x v="0"/>
  </r>
  <r>
    <n v="3000005551"/>
    <d v="2025-09-16T00:00:00"/>
    <n v="6469841.8899999997"/>
    <s v="RL SOLUCIONES S. A. S. SAN MIGUEL DE TUCUMAN 14"/>
    <x v="1232"/>
    <n v="6469841.8899999997"/>
    <x v="136"/>
    <x v="0"/>
    <s v="pagado"/>
    <s v="pagado"/>
    <s v="excluir"/>
    <s v="no semana"/>
    <x v="0"/>
  </r>
  <r>
    <n v="3000005552"/>
    <d v="2025-09-16T00:00:00"/>
    <n v="39674680.590000004"/>
    <s v="TRANSPORTE FRIOS DEL NORTE S.RSAN MIGUEL DE TUCUMAN 14"/>
    <x v="1233"/>
    <n v="39674680.590000004"/>
    <x v="136"/>
    <x v="0"/>
    <s v="pagado"/>
    <s v="pagado"/>
    <s v="excluir"/>
    <s v="no semana"/>
    <x v="0"/>
  </r>
  <r>
    <n v="3000005553"/>
    <d v="2025-09-16T00:00:00"/>
    <n v="40522417.560000002"/>
    <s v="CAPETTA ANTONELLA ANAHI SAN MIGUEL DE TUCUMAN 14"/>
    <x v="1234"/>
    <n v="40522417.560000002"/>
    <x v="136"/>
    <x v="0"/>
    <s v="pagado"/>
    <s v="pagado"/>
    <s v="excluir"/>
    <s v="no semana"/>
    <x v="0"/>
  </r>
  <r>
    <n v="3000005554"/>
    <d v="2025-09-16T00:00:00"/>
    <n v="27642956.039999999"/>
    <s v="CEMEVA SAS YERBA BUENA 14"/>
    <x v="1235"/>
    <n v="27642956.039999999"/>
    <x v="136"/>
    <x v="0"/>
    <s v="pagado"/>
    <s v="pagado"/>
    <s v="excluir"/>
    <s v="no semana"/>
    <x v="0"/>
  </r>
  <r>
    <n v="3000005592"/>
    <d v="2025-09-17T00:00:00"/>
    <n v="1019239.5"/>
    <s v="Fondo Fijo Administracion CitrNO TIENE"/>
    <x v="1236"/>
    <n v="1019239.5"/>
    <x v="134"/>
    <x v="0"/>
    <s v="pagado"/>
    <s v="pagado"/>
    <s v="excluir"/>
    <s v="no semana"/>
    <x v="0"/>
  </r>
  <r>
    <n v="3000005672"/>
    <d v="2025-09-22T00:00:00"/>
    <n v="242843650"/>
    <s v="EDET S.A. SAN MIGUEL DE TUCUMAN 14"/>
    <x v="1237"/>
    <n v="242843650"/>
    <x v="136"/>
    <x v="2"/>
    <s v="pagado"/>
    <s v="pagado"/>
    <s v="excluir"/>
    <s v="no semana"/>
    <x v="0"/>
  </r>
  <r>
    <n v="3000005673"/>
    <d v="2025-09-22T00:00:00"/>
    <n v="32420399.239999998"/>
    <s v="PAMPLONA SRL SAN MIGUEL DE TUCUMAN 14"/>
    <x v="1238"/>
    <n v="32420399.239999998"/>
    <x v="137"/>
    <x v="2"/>
    <s v="pagado"/>
    <s v="pagado"/>
    <s v="excluir"/>
    <s v="no semana"/>
    <x v="0"/>
  </r>
  <r>
    <n v="3000005674"/>
    <d v="2025-09-22T00:00:00"/>
    <n v="9933870.9199999999"/>
    <s v="ROMERO SERVICIOS S. A. S. ALPACHIRI 14"/>
    <x v="1239"/>
    <n v="9933870.9199999999"/>
    <x v="137"/>
    <x v="2"/>
    <s v="pagado"/>
    <s v="pagado"/>
    <s v="excluir"/>
    <s v="no semana"/>
    <x v="0"/>
  </r>
  <r>
    <n v="3000005675"/>
    <d v="2025-09-22T00:00:00"/>
    <n v="5000000"/>
    <s v="MG SERVICIOS AGROPECUARIOS SASTAFI VIEJO 14"/>
    <x v="1240"/>
    <n v="5000000"/>
    <x v="137"/>
    <x v="2"/>
    <s v="pagado"/>
    <s v="pagado"/>
    <s v="excluir"/>
    <s v="no semana"/>
    <x v="0"/>
  </r>
  <r>
    <n v="3000005675"/>
    <d v="2025-09-22T00:00:00"/>
    <n v="5115362.1100000003"/>
    <s v="MG SERVICIOS AGROPECUARIOS SASTAFI VIEJO 14"/>
    <x v="1241"/>
    <n v="5115362.1100000003"/>
    <x v="137"/>
    <x v="2"/>
    <s v="pagado"/>
    <s v="pagado"/>
    <s v="excluir"/>
    <s v="no semana"/>
    <x v="0"/>
  </r>
  <r>
    <n v="3000005676"/>
    <d v="2025-09-22T00:00:00"/>
    <n v="4817716.3600000003"/>
    <s v="PIQUE JUAN MANUEL San Miguel De Tucuman 14"/>
    <x v="1242"/>
    <n v="4817716.3600000003"/>
    <x v="137"/>
    <x v="2"/>
    <s v="pagado"/>
    <s v="pagado"/>
    <s v="excluir"/>
    <s v="no semana"/>
    <x v="0"/>
  </r>
  <r>
    <n v="3000005677"/>
    <d v="2025-09-22T00:00:00"/>
    <n v="26497240.32"/>
    <s v="Consultoria en Tecnologia de IBUENOS AIRES 00"/>
    <x v="1243"/>
    <n v="26497240.32"/>
    <x v="137"/>
    <x v="2"/>
    <s v="pagado"/>
    <s v="pagado"/>
    <s v="excluir"/>
    <s v="no semana"/>
    <x v="0"/>
  </r>
  <r>
    <n v="3000005678"/>
    <d v="2025-09-22T00:00:00"/>
    <n v="5064378.8"/>
    <s v="TODOLANDIA SRL SAN MIGUEL DE TUCUMAN 14"/>
    <x v="1244"/>
    <n v="5064378.8"/>
    <x v="137"/>
    <x v="2"/>
    <s v="pagado"/>
    <s v="pagado"/>
    <s v="excluir"/>
    <s v="no semana"/>
    <x v="0"/>
  </r>
  <r>
    <n v="3000005679"/>
    <d v="2025-09-22T00:00:00"/>
    <n v="7126916.9500000002"/>
    <s v="Marchese Grandi Meson y Asoc SAN MIGUEL DE TUCUMAN 14"/>
    <x v="1245"/>
    <n v="7126916.9500000002"/>
    <x v="137"/>
    <x v="2"/>
    <s v="pagado"/>
    <s v="pagado"/>
    <s v="excluir"/>
    <s v="no semana"/>
    <x v="0"/>
  </r>
  <r>
    <n v="3000005680"/>
    <d v="2025-09-22T00:00:00"/>
    <n v="1770060"/>
    <s v="EDET S.A. SAN MIGUEL DE TUCUMAN 14"/>
    <x v="1246"/>
    <n v="1770060"/>
    <x v="137"/>
    <x v="2"/>
    <s v="pagado"/>
    <s v="pagado"/>
    <s v="excluir"/>
    <s v="no semana"/>
    <x v="0"/>
  </r>
  <r>
    <n v="3000005681"/>
    <d v="2025-09-22T00:00:00"/>
    <n v="6536406.8399999999"/>
    <s v="FERNANDEZ HECTOR JOSE SIMOCA 14"/>
    <x v="1247"/>
    <n v="6536406.8399999999"/>
    <x v="138"/>
    <x v="2"/>
    <s v="pagado"/>
    <s v="pagado"/>
    <s v="excluir"/>
    <s v="no semana"/>
    <x v="0"/>
  </r>
  <r>
    <n v="3000005682"/>
    <d v="2025-09-22T00:00:00"/>
    <n v="3534056.23"/>
    <s v="MOREY SERGIO GUILLERMO LOS GUTIERREZ-ALDERETES 14"/>
    <x v="1248"/>
    <n v="3534056.23"/>
    <x v="138"/>
    <x v="2"/>
    <s v="pagado"/>
    <s v="pagado"/>
    <s v="excluir"/>
    <s v="no semana"/>
    <x v="0"/>
  </r>
  <r>
    <n v="3000005683"/>
    <d v="2025-09-22T00:00:00"/>
    <n v="3217507.5"/>
    <s v="PEDRO GABRIEL ALEJANDRO ALDERETES 14"/>
    <x v="1249"/>
    <n v="3217507.5"/>
    <x v="138"/>
    <x v="2"/>
    <s v="pagado"/>
    <s v="pagado"/>
    <s v="excluir"/>
    <s v="no semana"/>
    <x v="0"/>
  </r>
  <r>
    <n v="3000005684"/>
    <d v="2025-09-22T00:00:00"/>
    <n v="5426927.2000000002"/>
    <s v="NARANJO GONZALO JOSE TARUCA PAMPA 14"/>
    <x v="1250"/>
    <n v="5426927.2000000002"/>
    <x v="138"/>
    <x v="2"/>
    <s v="pagado"/>
    <s v="pagado"/>
    <s v="excluir"/>
    <s v="no semana"/>
    <x v="0"/>
  </r>
  <r>
    <n v="3000005685"/>
    <d v="2025-09-22T00:00:00"/>
    <n v="9614647.4900000002"/>
    <s v="MOYANO JUAN VICTOR TUCUMAN 14"/>
    <x v="1251"/>
    <n v="9614647.4900000002"/>
    <x v="138"/>
    <x v="2"/>
    <s v="pagado"/>
    <s v="pagado"/>
    <s v="excluir"/>
    <s v="no semana"/>
    <x v="0"/>
  </r>
  <r>
    <n v="3000005686"/>
    <d v="2025-09-22T00:00:00"/>
    <n v="4817398.68"/>
    <s v="SAUCE HUACHO SERVICIOS S.R.L MONTEROS 14"/>
    <x v="1252"/>
    <n v="4817398.68"/>
    <x v="138"/>
    <x v="2"/>
    <s v="pagado"/>
    <s v="pagado"/>
    <s v="excluir"/>
    <s v="no semana"/>
    <x v="0"/>
  </r>
  <r>
    <n v="3000005687"/>
    <d v="2025-09-22T00:00:00"/>
    <n v="9395488.7400000002"/>
    <s v="ROMERO SERVICIOS S. A. S. ALPACHIRI 14"/>
    <x v="1253"/>
    <n v="9395488.7400000002"/>
    <x v="138"/>
    <x v="2"/>
    <s v="pagado"/>
    <s v="pagado"/>
    <s v="excluir"/>
    <s v="no semana"/>
    <x v="0"/>
  </r>
  <r>
    <n v="3000005688"/>
    <d v="2025-09-22T00:00:00"/>
    <n v="23236477.52"/>
    <s v="PAMPLONA SRL SAN MIGUEL DE TUCUMAN 14"/>
    <x v="1254"/>
    <n v="23236477.52"/>
    <x v="138"/>
    <x v="2"/>
    <s v="pagado"/>
    <s v="pagado"/>
    <s v="excluir"/>
    <s v="no semana"/>
    <x v="0"/>
  </r>
  <r>
    <n v="3000005689"/>
    <d v="2025-09-22T00:00:00"/>
    <n v="33739733.549999997"/>
    <s v="MG SERVICIOS AGROPECUARIOS SASTAFI VIEJO 14"/>
    <x v="1255"/>
    <n v="33739733.549999997"/>
    <x v="138"/>
    <x v="2"/>
    <s v="pagado"/>
    <s v="pagado"/>
    <s v="excluir"/>
    <s v="no semana"/>
    <x v="0"/>
  </r>
  <r>
    <n v="3000005690"/>
    <d v="2025-09-22T00:00:00"/>
    <n v="32086562.510000002"/>
    <s v="LA MARTINA SERV. AGRICOLAS S.RSAN PABLO 14"/>
    <x v="1256"/>
    <n v="32086562.510000002"/>
    <x v="138"/>
    <x v="2"/>
    <s v="pagado"/>
    <s v="pagado"/>
    <s v="excluir"/>
    <s v="no semana"/>
    <x v="0"/>
  </r>
  <r>
    <n v="3000005691"/>
    <d v="2025-09-22T00:00:00"/>
    <n v="3726540"/>
    <s v="HELUANE PABLO DARIO SAN MIGUEL DE TUCUMAN 14"/>
    <x v="1257"/>
    <n v="3726540"/>
    <x v="138"/>
    <x v="2"/>
    <s v="pagado"/>
    <s v="pagado"/>
    <s v="excluir"/>
    <s v="no semana"/>
    <x v="0"/>
  </r>
  <r>
    <n v="3000005692"/>
    <d v="2025-09-22T00:00:00"/>
    <n v="4818493.51"/>
    <s v="NORTE DISTRIBUCIONES S.R.L SAN MIGUEL DE TUCUMAN 14"/>
    <x v="1258"/>
    <n v="4818493.51"/>
    <x v="138"/>
    <x v="2"/>
    <s v="pagado"/>
    <s v="pagado"/>
    <s v="excluir"/>
    <s v="no semana"/>
    <x v="0"/>
  </r>
  <r>
    <n v="3000005693"/>
    <d v="2025-09-22T00:00:00"/>
    <n v="4198880.12"/>
    <s v="Hierronort Salta S.R.L. SAN MIGUEL DE TUCUMAN 14"/>
    <x v="1259"/>
    <n v="4198880.12"/>
    <x v="138"/>
    <x v="2"/>
    <s v="pagado"/>
    <s v="pagado"/>
    <s v="excluir"/>
    <s v="no semana"/>
    <x v="0"/>
  </r>
  <r>
    <n v="3000005694"/>
    <d v="2025-09-22T00:00:00"/>
    <n v="6269531.9000000004"/>
    <s v="EMPRESA MAYORISTA INDUSTRIAL SSAN MIGUEL DE TUCUMAN 14"/>
    <x v="1260"/>
    <n v="6269531.9000000004"/>
    <x v="138"/>
    <x v="2"/>
    <s v="pagado"/>
    <s v="pagado"/>
    <s v="excluir"/>
    <s v="no semana"/>
    <x v="0"/>
  </r>
  <r>
    <n v="3000005779"/>
    <d v="2025-09-25T00:00:00"/>
    <n v="1257492.74"/>
    <s v="PALAVECINO LUIS IGNACIO San Miguel De Tucuman 14"/>
    <x v="1261"/>
    <n v="1257492.74"/>
    <x v="139"/>
    <x v="0"/>
    <s v="pagado"/>
    <s v="pagado"/>
    <s v="excluir"/>
    <s v="no semana"/>
    <x v="0"/>
  </r>
  <r>
    <n v="3000005737"/>
    <d v="2025-09-23T00:00:00"/>
    <n v="9471982.5299999993"/>
    <s v="CAPITAN CORTES SACIFIYA Puerto Nuevo 01"/>
    <x v="1262"/>
    <n v="9471982.5299999993"/>
    <x v="138"/>
    <x v="0"/>
    <s v="pagado"/>
    <s v="pagado"/>
    <s v="excluir"/>
    <s v="no semana"/>
    <x v="0"/>
  </r>
  <r>
    <n v="3000005738"/>
    <d v="2025-09-23T00:00:00"/>
    <n v="10000000"/>
    <s v="Terminal 4 S.A. Puerto Nuevo 01"/>
    <x v="1263"/>
    <n v="10000000"/>
    <x v="138"/>
    <x v="0"/>
    <s v="pagado"/>
    <s v="pagado"/>
    <s v="excluir"/>
    <s v="no semana"/>
    <x v="0"/>
  </r>
  <r>
    <n v="3000005738"/>
    <d v="2025-09-23T00:00:00"/>
    <n v="9581257.5700000003"/>
    <s v="Terminal 4 S.A. Puerto Nuevo 01"/>
    <x v="1264"/>
    <n v="9581257.5700000003"/>
    <x v="140"/>
    <x v="0"/>
    <s v="pagado"/>
    <s v="pagado"/>
    <s v="excluir"/>
    <s v="no semana"/>
    <x v="0"/>
  </r>
  <r>
    <n v="3000005739"/>
    <d v="2025-09-23T00:00:00"/>
    <n v="20000000"/>
    <s v="BUENOS AIRES COMEX S.R.L. BANFIELD 14"/>
    <x v="1265"/>
    <n v="20000000"/>
    <x v="138"/>
    <x v="0"/>
    <s v="pagado"/>
    <s v="pagado"/>
    <s v="excluir"/>
    <s v="no semana"/>
    <x v="0"/>
  </r>
  <r>
    <n v="3000005739"/>
    <d v="2025-09-23T00:00:00"/>
    <n v="17856629.920000002"/>
    <s v="BUENOS AIRES COMEX S.R.L. BANFIELD 14"/>
    <x v="1266"/>
    <n v="17856629.920000002"/>
    <x v="140"/>
    <x v="0"/>
    <s v="pagado"/>
    <s v="pagado"/>
    <s v="excluir"/>
    <s v="no semana"/>
    <x v="0"/>
  </r>
  <r>
    <n v="3000005740"/>
    <d v="2025-09-23T00:00:00"/>
    <n v="20000000"/>
    <s v="BONSUR SA CAPITAL FEDERAL 00"/>
    <x v="1267"/>
    <n v="20000000"/>
    <x v="138"/>
    <x v="0"/>
    <s v="pagado"/>
    <s v="pagado"/>
    <s v="excluir"/>
    <s v="no semana"/>
    <x v="0"/>
  </r>
  <r>
    <n v="3000005740"/>
    <d v="2025-09-23T00:00:00"/>
    <n v="18258717.920000002"/>
    <s v="BONSUR SA CAPITAL FEDERAL 00"/>
    <x v="1268"/>
    <n v="18258717.920000002"/>
    <x v="140"/>
    <x v="0"/>
    <s v="pagado"/>
    <s v="pagado"/>
    <s v="excluir"/>
    <s v="no semana"/>
    <x v="0"/>
  </r>
  <r>
    <n v="3000005741"/>
    <d v="2025-09-23T00:00:00"/>
    <n v="8663282.2799999993"/>
    <s v="CAPETTA ANTONELLA ANAHI SAN MIGUEL DE TUCUMAN 14"/>
    <x v="1269"/>
    <n v="8663282.2799999993"/>
    <x v="138"/>
    <x v="0"/>
    <s v="pagado"/>
    <s v="pagado"/>
    <s v="excluir"/>
    <s v="no semana"/>
    <x v="0"/>
  </r>
  <r>
    <n v="3000005742"/>
    <d v="2025-09-23T00:00:00"/>
    <n v="6389914.7300000004"/>
    <s v="CEMEVA SAS YERBA BUENA 14"/>
    <x v="1270"/>
    <n v="6389914.7300000004"/>
    <x v="138"/>
    <x v="0"/>
    <s v="pagado"/>
    <s v="pagado"/>
    <s v="excluir"/>
    <s v="no semana"/>
    <x v="0"/>
  </r>
  <r>
    <n v="3000005743"/>
    <d v="2025-09-23T00:00:00"/>
    <n v="4233015.58"/>
    <s v="RL SOLUCIONES S. A. S. SAN MIGUEL DE TUCUMAN 14"/>
    <x v="1271"/>
    <n v="4233015.58"/>
    <x v="138"/>
    <x v="0"/>
    <s v="pagado"/>
    <s v="pagado"/>
    <s v="excluir"/>
    <s v="no semana"/>
    <x v="0"/>
  </r>
  <r>
    <n v="3000005744"/>
    <d v="2025-09-23T00:00:00"/>
    <n v="4259943.16"/>
    <s v="MAC DONALD MIGUEL ALEJANDRO BANDA DEL RIO SALI 14"/>
    <x v="1272"/>
    <n v="4259943.16"/>
    <x v="138"/>
    <x v="0"/>
    <s v="pagado"/>
    <s v="pagado"/>
    <s v="excluir"/>
    <s v="no semana"/>
    <x v="0"/>
  </r>
  <r>
    <n v="3000005814"/>
    <d v="2025-09-26T00:00:00"/>
    <n v="32600000"/>
    <s v="HORMECO S.R.L SAN MIGUEL DE TUCUMAN 14"/>
    <x v="1273"/>
    <n v="32600000"/>
    <x v="141"/>
    <x v="0"/>
    <s v="pagado"/>
    <s v="pagado"/>
    <s v="excluir"/>
    <s v="no semana"/>
    <x v="0"/>
  </r>
  <r>
    <n v="3000005814"/>
    <d v="2025-09-26T00:00:00"/>
    <n v="32799830"/>
    <s v="HORMECO S.R.L SAN MIGUEL DE TUCUMAN 14"/>
    <x v="1274"/>
    <n v="32799830"/>
    <x v="142"/>
    <x v="0"/>
    <s v="pagado"/>
    <s v="pagado"/>
    <s v="excluir"/>
    <s v="no semana"/>
    <x v="0"/>
  </r>
  <r>
    <n v="3000005876"/>
    <d v="2025-09-30T00:00:00"/>
    <n v="4259943.16"/>
    <s v="CEMEVA SAS YERBA BUENA 14"/>
    <x v="1275"/>
    <n v="4259943.16"/>
    <x v="123"/>
    <x v="0"/>
    <s v="pagado"/>
    <s v="pagado"/>
    <s v="excluir"/>
    <s v="no semana"/>
    <x v="0"/>
  </r>
  <r>
    <n v="3000005877"/>
    <d v="2025-09-30T00:00:00"/>
    <n v="26088934.899999999"/>
    <s v="CAPETTA ANTONELLA ANAHI SAN MIGUEL DE TUCUMAN 14"/>
    <x v="1276"/>
    <n v="26088934.899999999"/>
    <x v="123"/>
    <x v="0"/>
    <s v="pagado"/>
    <s v="pagado"/>
    <s v="excluir"/>
    <s v="no semana"/>
    <x v="0"/>
  </r>
  <r>
    <n v="3000005878"/>
    <d v="2025-09-30T00:00:00"/>
    <n v="13044234.859999999"/>
    <s v="SUAREZ MANUEL RODOLFO ALDERETES 14"/>
    <x v="1277"/>
    <n v="13044234.859999999"/>
    <x v="123"/>
    <x v="0"/>
    <s v="pagado"/>
    <s v="pagado"/>
    <s v="excluir"/>
    <s v="no semana"/>
    <x v="0"/>
  </r>
  <r>
    <n v="3000005879"/>
    <d v="2025-09-30T00:00:00"/>
    <n v="6888474.1399999997"/>
    <s v="PERATO CRISTIAN LUIS BANDA DEL RIO SALI 14"/>
    <x v="1278"/>
    <n v="6888474.1399999997"/>
    <x v="123"/>
    <x v="0"/>
    <s v="pagado"/>
    <s v="pagado"/>
    <s v="excluir"/>
    <s v="no semana"/>
    <x v="0"/>
  </r>
  <r>
    <n v="3000005880"/>
    <d v="2025-09-30T00:00:00"/>
    <n v="7116719.2800000003"/>
    <s v="PAEZ LEONEL EXEQUIEL MACIO 14"/>
    <x v="1279"/>
    <n v="7116719.2800000003"/>
    <x v="123"/>
    <x v="0"/>
    <s v="pagado"/>
    <s v="pagado"/>
    <s v="excluir"/>
    <s v="no semana"/>
    <x v="0"/>
  </r>
  <r>
    <n v="3000005881"/>
    <d v="2025-09-30T00:00:00"/>
    <n v="11890892.92"/>
    <s v="TRANSURSINO S.R.L RIO GRANDE 24"/>
    <x v="1280"/>
    <n v="11890892.92"/>
    <x v="123"/>
    <x v="0"/>
    <s v="pagado"/>
    <s v="pagado"/>
    <s v="excluir"/>
    <s v="no semana"/>
    <x v="0"/>
  </r>
  <r>
    <n v="3000005882"/>
    <d v="2025-09-30T00:00:00"/>
    <n v="14246830"/>
    <s v="Terminal 4 S.A. Puerto Nuevo 01"/>
    <x v="1281"/>
    <n v="14246830"/>
    <x v="123"/>
    <x v="0"/>
    <s v="pagado"/>
    <s v="pagado"/>
    <s v="excluir"/>
    <s v="no semana"/>
    <x v="0"/>
  </r>
  <r>
    <n v="3000005883"/>
    <d v="2025-09-30T00:00:00"/>
    <n v="26696250"/>
    <s v="LATCOMEX SA CAPITAL FEDERAL 00"/>
    <x v="1282"/>
    <n v="26696250"/>
    <x v="123"/>
    <x v="0"/>
    <s v="pagado"/>
    <s v="pagado"/>
    <s v="excluir"/>
    <s v="no semana"/>
    <x v="0"/>
  </r>
  <r>
    <n v="3000005884"/>
    <d v="2025-09-30T00:00:00"/>
    <n v="5360525.8"/>
    <s v="Aislantes Tecnopor SRL SAN MIGUEL DE TUCUMAN 14"/>
    <x v="1283"/>
    <n v="5360525.8"/>
    <x v="143"/>
    <x v="0"/>
    <s v="pagado"/>
    <s v="pagado"/>
    <s v="excluir"/>
    <s v="no semana"/>
    <x v="0"/>
  </r>
  <r>
    <n v="3000005839"/>
    <d v="2025-09-29T00:00:00"/>
    <n v="10784436.67"/>
    <s v="SELLEI FERNANDO GABRIEL RIO GRANDE 24"/>
    <x v="1284"/>
    <n v="10784436.67"/>
    <x v="144"/>
    <x v="2"/>
    <s v="pagado"/>
    <s v="pagado"/>
    <s v="excluir"/>
    <s v="no semana"/>
    <x v="0"/>
  </r>
  <r>
    <n v="3000005840"/>
    <d v="2025-09-29T00:00:00"/>
    <n v="19456287.370000001"/>
    <s v="BARBARISI JUAREZ PABLO EMANUELSAN JUAN 10"/>
    <x v="1285"/>
    <n v="19456287.370000001"/>
    <x v="144"/>
    <x v="2"/>
    <s v="pagado"/>
    <s v="pagado"/>
    <s v="excluir"/>
    <s v="no semana"/>
    <x v="0"/>
  </r>
  <r>
    <n v="3000005841"/>
    <d v="2025-09-29T00:00:00"/>
    <n v="11165473.01"/>
    <s v="ADLER HASENCLEVER Y ASOCIADOS BUENOS AIRES 01"/>
    <x v="1286"/>
    <n v="11165473.01"/>
    <x v="144"/>
    <x v="2"/>
    <s v="pagado"/>
    <s v="pagado"/>
    <s v="excluir"/>
    <s v="no semana"/>
    <x v="0"/>
  </r>
  <r>
    <n v="3000005842"/>
    <d v="2025-09-29T00:00:00"/>
    <n v="8286164.7400000002"/>
    <s v="Bureau Veritas Arg.S.A. CIUDAD AUTONOMA DE BUENOS AIRES 01"/>
    <x v="1287"/>
    <n v="8286164.7400000002"/>
    <x v="144"/>
    <x v="2"/>
    <s v="pagado"/>
    <s v="pagado"/>
    <s v="excluir"/>
    <s v="no semana"/>
    <x v="0"/>
  </r>
  <r>
    <n v="3000005843"/>
    <d v="2025-09-29T00:00:00"/>
    <n v="6061971.9100000001"/>
    <s v="VISMA ARGENTINA SA CAPITAL FEDERAL 14"/>
    <x v="1288"/>
    <n v="6061971.9100000001"/>
    <x v="145"/>
    <x v="2"/>
    <s v="pagado"/>
    <s v="pagado"/>
    <s v="excluir"/>
    <s v="no semana"/>
    <x v="0"/>
  </r>
  <r>
    <n v="3000005844"/>
    <d v="2025-09-29T00:00:00"/>
    <n v="12533136.4"/>
    <s v="TEKNOS TECHNOLOGY GROUP SA CAPITAL FEDERAL 00"/>
    <x v="1289"/>
    <n v="12533136.4"/>
    <x v="145"/>
    <x v="2"/>
    <s v="pagado"/>
    <s v="pagado"/>
    <s v="excluir"/>
    <s v="no semana"/>
    <x v="0"/>
  </r>
  <r>
    <n v="3000005845"/>
    <d v="2025-09-29T00:00:00"/>
    <n v="13187968.34"/>
    <s v="Hierronort Salta S.R.L. SAN MIGUEL DE TUCUMAN 14"/>
    <x v="1290"/>
    <n v="13187968.34"/>
    <x v="145"/>
    <x v="2"/>
    <s v="pagado"/>
    <s v="pagado"/>
    <s v="excluir"/>
    <s v="no semana"/>
    <x v="0"/>
  </r>
  <r>
    <n v="3000005846"/>
    <d v="2025-09-29T00:00:00"/>
    <n v="26342163.75"/>
    <s v="TUCUMAN PALLET SRL EL MANANTIAL 14"/>
    <x v="1291"/>
    <n v="26342163.75"/>
    <x v="123"/>
    <x v="2"/>
    <s v="pagado"/>
    <s v="pagado"/>
    <s v="excluir"/>
    <s v="no semana"/>
    <x v="0"/>
  </r>
  <r>
    <n v="3000005913"/>
    <d v="2025-10-02T00:00:00"/>
    <n v="6367593.4000000004"/>
    <s v="AGROGANADERA DEL NOA CEVIL POZO 14"/>
    <x v="1292"/>
    <n v="6367593.4000000004"/>
    <x v="146"/>
    <x v="0"/>
    <s v="pagado"/>
    <s v="pagado"/>
    <s v="excluir"/>
    <s v="no semana"/>
    <x v="0"/>
  </r>
  <r>
    <n v="3000005913"/>
    <d v="2025-10-02T00:00:00"/>
    <n v="6243170.75"/>
    <s v="AGROGANADERA DEL NOA CEVIL POZO 14"/>
    <x v="1293"/>
    <n v="6243170.75"/>
    <x v="146"/>
    <x v="0"/>
    <s v="pagado"/>
    <s v="pagado"/>
    <s v="excluir"/>
    <s v="no semana"/>
    <x v="0"/>
  </r>
  <r>
    <n v="3000005913"/>
    <d v="2025-10-02T00:00:00"/>
    <n v="4948986.3600000003"/>
    <s v="AGROGANADERA DEL NOA CEVIL POZO 14"/>
    <x v="1294"/>
    <n v="4948986.3600000003"/>
    <x v="146"/>
    <x v="0"/>
    <s v="pagado"/>
    <s v="pagado"/>
    <s v="excluir"/>
    <s v="no semana"/>
    <x v="0"/>
  </r>
  <r>
    <n v="3000005913"/>
    <d v="2025-10-02T00:00:00"/>
    <n v="371468.4"/>
    <s v="AGROGANADERA DEL NOA CEVIL POZO 14"/>
    <x v="1295"/>
    <n v="371468.4"/>
    <x v="146"/>
    <x v="0"/>
    <s v="pagado"/>
    <s v="pagado"/>
    <s v="excluir"/>
    <s v="no semana"/>
    <x v="0"/>
  </r>
  <r>
    <n v="3000005913"/>
    <d v="2025-10-02T00:00:00"/>
    <n v="480143.4"/>
    <s v="AGROGANADERA DEL NOA CEVIL POZO 14"/>
    <x v="1296"/>
    <n v="480143.4"/>
    <x v="146"/>
    <x v="0"/>
    <s v="pagado"/>
    <s v="pagado"/>
    <s v="excluir"/>
    <s v="no semana"/>
    <x v="0"/>
  </r>
  <r>
    <n v="3000005913"/>
    <d v="2025-10-02T00:00:00"/>
    <n v="42413652.060000002"/>
    <s v="AGROGANADERA DEL NOA CEVIL POZO 14"/>
    <x v="1297"/>
    <n v="42413652.060000002"/>
    <x v="146"/>
    <x v="0"/>
    <s v="pagado"/>
    <s v="pagado"/>
    <s v="excluir"/>
    <s v="no semana"/>
    <x v="0"/>
  </r>
  <r>
    <n v="3000005913"/>
    <d v="2025-10-02T00:00:00"/>
    <n v="55919.96"/>
    <s v="AGROGANADERA DEL NOA CEVIL POZO 14"/>
    <x v="1298"/>
    <n v="55919.96"/>
    <x v="146"/>
    <x v="0"/>
    <s v="pagado"/>
    <s v="pagado"/>
    <s v="excluir"/>
    <s v="no semana"/>
    <x v="0"/>
  </r>
  <r>
    <n v="3000005972"/>
    <d v="2025-10-06T00:00:00"/>
    <n v="11549825.25"/>
    <s v="GEREZ ALICIA ELEUTERIA SAN MIGUEL DE TUCUMAN 14"/>
    <x v="1299"/>
    <n v="11549825.25"/>
    <x v="147"/>
    <x v="2"/>
    <s v="pagado"/>
    <s v="pagado"/>
    <s v="excluir"/>
    <s v="no semana"/>
    <x v="0"/>
  </r>
  <r>
    <n v="3000005973"/>
    <d v="2025-10-06T00:00:00"/>
    <n v="4547779.1399999997"/>
    <s v="Gonzalez Jose Luis Lastenia 14"/>
    <x v="1300"/>
    <n v="4547779.1399999997"/>
    <x v="147"/>
    <x v="2"/>
    <s v="pagado"/>
    <s v="pagado"/>
    <s v="excluir"/>
    <s v="no semana"/>
    <x v="0"/>
  </r>
  <r>
    <n v="3000005974"/>
    <d v="2025-10-06T00:00:00"/>
    <n v="10907109.949999999"/>
    <s v="LOS LAURELES SERVICIOS AGRICOLSan Miguel De Tucuman 14"/>
    <x v="1301"/>
    <n v="10907109.949999999"/>
    <x v="147"/>
    <x v="2"/>
    <s v="pagado"/>
    <s v="pagado"/>
    <s v="excluir"/>
    <s v="no semana"/>
    <x v="0"/>
  </r>
  <r>
    <n v="3000005975"/>
    <d v="2025-10-06T00:00:00"/>
    <n v="3843006.39"/>
    <s v="Medina Juan Edgardo SAN MIGUEL DE TUCUMAN 14"/>
    <x v="1302"/>
    <n v="3843006.39"/>
    <x v="147"/>
    <x v="2"/>
    <s v="pagado"/>
    <s v="pagado"/>
    <s v="excluir"/>
    <s v="no semana"/>
    <x v="0"/>
  </r>
  <r>
    <n v="3000005976"/>
    <d v="2025-10-06T00:00:00"/>
    <n v="4817233.17"/>
    <s v="ROLCAR S.A SAN MIGUEL DE TUCUMAN 14"/>
    <x v="1303"/>
    <n v="4817233.17"/>
    <x v="147"/>
    <x v="2"/>
    <s v="pagado"/>
    <s v="pagado"/>
    <s v="excluir"/>
    <s v="no semana"/>
    <x v="0"/>
  </r>
  <r>
    <n v="3000005977"/>
    <d v="2025-10-06T00:00:00"/>
    <n v="4936330"/>
    <s v="TUCUMAN PALLET SRL EL MANANTIAL 14"/>
    <x v="1304"/>
    <n v="4936330"/>
    <x v="147"/>
    <x v="2"/>
    <s v="pagado"/>
    <s v="pagado"/>
    <s v="excluir"/>
    <s v="no semana"/>
    <x v="0"/>
  </r>
  <r>
    <n v="3000005978"/>
    <d v="2025-10-06T00:00:00"/>
    <n v="6750125.0099999998"/>
    <s v="CONSTRUNOA S.A.S. ORAN 09"/>
    <x v="1305"/>
    <n v="6750125.0099999998"/>
    <x v="147"/>
    <x v="2"/>
    <s v="pagado"/>
    <s v="pagado"/>
    <s v="excluir"/>
    <s v="no semana"/>
    <x v="0"/>
  </r>
  <r>
    <n v="3000005979"/>
    <d v="2025-10-06T00:00:00"/>
    <n v="4187118.4"/>
    <s v="TEKNOS TECHNOLOGY GROUP SA CAPITAL FEDERAL 00"/>
    <x v="1306"/>
    <n v="4187118.4"/>
    <x v="147"/>
    <x v="2"/>
    <s v="pagado"/>
    <s v="pagado"/>
    <s v="excluir"/>
    <s v="no semana"/>
    <x v="0"/>
  </r>
  <r>
    <n v="3000005980"/>
    <d v="2025-10-06T00:00:00"/>
    <n v="2675827.6"/>
    <s v="RASUK JORGE LUIS YERBA BUENA 14"/>
    <x v="1307"/>
    <n v="2675827.6"/>
    <x v="148"/>
    <x v="2"/>
    <s v="pagado"/>
    <s v="pagado"/>
    <s v="excluir"/>
    <s v="no semana"/>
    <x v="0"/>
  </r>
  <r>
    <n v="3000005981"/>
    <d v="2025-10-06T00:00:00"/>
    <n v="8927455"/>
    <s v="Asoc. Coop.Fac.Cie.Exac.y Tec.SAN MIGUEL DE TUCUMAN 14"/>
    <x v="1308"/>
    <n v="8927455"/>
    <x v="148"/>
    <x v="2"/>
    <s v="pagado"/>
    <s v="pagado"/>
    <s v="excluir"/>
    <s v="no semana"/>
    <x v="0"/>
  </r>
  <r>
    <n v="3000005982"/>
    <d v="2025-10-06T00:00:00"/>
    <n v="6219540.96"/>
    <s v="VISMA ARGENTINA SA CAPITAL FEDERAL 14"/>
    <x v="1309"/>
    <n v="6219540.96"/>
    <x v="148"/>
    <x v="2"/>
    <s v="pagado"/>
    <s v="pagado"/>
    <s v="excluir"/>
    <s v="no semana"/>
    <x v="0"/>
  </r>
  <r>
    <n v="3000005983"/>
    <d v="2025-10-06T00:00:00"/>
    <n v="3249241.17"/>
    <s v="BME DISENO Y COMUNICACION SAS CAPITAL FEDERAL 00"/>
    <x v="1310"/>
    <n v="3249241.17"/>
    <x v="148"/>
    <x v="2"/>
    <s v="pagado"/>
    <s v="pagado"/>
    <s v="excluir"/>
    <s v="no semana"/>
    <x v="0"/>
  </r>
  <r>
    <n v="3000005984"/>
    <d v="2025-10-06T00:00:00"/>
    <n v="5364410.82"/>
    <s v="NATURAL GAS SA SAN MIGUEL DE TUCUMAN 14"/>
    <x v="1311"/>
    <n v="5364410.82"/>
    <x v="148"/>
    <x v="2"/>
    <s v="pagado"/>
    <s v="pagado"/>
    <s v="excluir"/>
    <s v="no semana"/>
    <x v="0"/>
  </r>
  <r>
    <n v="3000005985"/>
    <d v="2025-10-06T00:00:00"/>
    <n v="15000000"/>
    <s v="DECU3 S.R.L. YERBA BUENA 14"/>
    <x v="1312"/>
    <n v="15000000"/>
    <x v="147"/>
    <x v="2"/>
    <s v="pagado"/>
    <s v="pagado"/>
    <s v="excluir"/>
    <s v="no semana"/>
    <x v="0"/>
  </r>
  <r>
    <n v="3000005985"/>
    <d v="2025-10-06T00:00:00"/>
    <n v="16587377.57"/>
    <s v="DECU3 S.R.L. YERBA BUENA 14"/>
    <x v="1313"/>
    <n v="16587377.57"/>
    <x v="148"/>
    <x v="2"/>
    <s v="pagado"/>
    <s v="pagado"/>
    <s v="excluir"/>
    <s v="no semana"/>
    <x v="0"/>
  </r>
  <r>
    <n v="3000006046"/>
    <d v="2025-10-07T00:00:00"/>
    <n v="1377457.24"/>
    <s v="TRANSPORTE MEDINA S.H. CRUZ ALTA 14"/>
    <x v="1314"/>
    <n v="1377457.24"/>
    <x v="148"/>
    <x v="0"/>
    <s v="pagado"/>
    <s v="pagado"/>
    <s v="excluir"/>
    <s v="no semana"/>
    <x v="0"/>
  </r>
  <r>
    <n v="3000004998"/>
    <d v="2025-10-08T00:00:00"/>
    <n v="3373338.49"/>
    <s v="PALAVECINO LUIS IGNACIO San Miguel De Tucuman 14"/>
    <x v="1315"/>
    <n v="3373338.49"/>
    <x v="149"/>
    <x v="0"/>
    <s v="pagado"/>
    <s v="pagado"/>
    <s v="excluir"/>
    <s v="no semana"/>
    <x v="0"/>
  </r>
  <r>
    <n v="3000006027"/>
    <d v="2025-10-07T00:00:00"/>
    <n v="13977893.039999999"/>
    <s v="LANCHELA HECTOR ROLANDO CONCEPCION 14"/>
    <x v="1316"/>
    <n v="13977893.039999999"/>
    <x v="149"/>
    <x v="0"/>
    <s v="pagado"/>
    <s v="pagado"/>
    <s v="excluir"/>
    <s v="no semana"/>
    <x v="0"/>
  </r>
  <r>
    <n v="3000006028"/>
    <d v="2025-10-07T00:00:00"/>
    <n v="7154270.8200000003"/>
    <s v="TRANSPORTE MARIANITA S.R.L SAN MIGUEL DE TUCUMAN 14"/>
    <x v="1317"/>
    <n v="7154270.8200000003"/>
    <x v="149"/>
    <x v="0"/>
    <s v="pagado"/>
    <s v="pagado"/>
    <s v="excluir"/>
    <s v="no semana"/>
    <x v="0"/>
  </r>
  <r>
    <n v="3000006029"/>
    <d v="2025-10-07T00:00:00"/>
    <n v="4803648.68"/>
    <s v="Arias Carlos Alberto SAN MIGUEL DE TUCUMAN 14"/>
    <x v="1318"/>
    <n v="4803648.68"/>
    <x v="149"/>
    <x v="0"/>
    <s v="pagado"/>
    <s v="pagado"/>
    <s v="excluir"/>
    <s v="no semana"/>
    <x v="0"/>
  </r>
  <r>
    <n v="3000006030"/>
    <d v="2025-10-07T00:00:00"/>
    <n v="2488253.4"/>
    <s v="MOYANO JUAN VICTOR TUCUMAN 14"/>
    <x v="1319"/>
    <n v="2488253.4"/>
    <x v="149"/>
    <x v="0"/>
    <s v="pagado"/>
    <s v="pagado"/>
    <s v="excluir"/>
    <s v="no semana"/>
    <x v="0"/>
  </r>
  <r>
    <n v="3000006031"/>
    <d v="2025-10-07T00:00:00"/>
    <n v="2306666.87"/>
    <s v="HERRERA RICARDO ALBERTO BANDA DEL RIO SALI 14"/>
    <x v="1320"/>
    <n v="2306666.87"/>
    <x v="149"/>
    <x v="0"/>
    <s v="pagado"/>
    <s v="pagado"/>
    <s v="excluir"/>
    <s v="no semana"/>
    <x v="0"/>
  </r>
  <r>
    <n v="3000006032"/>
    <d v="2025-10-07T00:00:00"/>
    <n v="3295120.79"/>
    <s v="Rojas Antonio Domingo ALDERETES 14"/>
    <x v="1321"/>
    <n v="3295120.79"/>
    <x v="149"/>
    <x v="0"/>
    <s v="pagado"/>
    <s v="pagado"/>
    <s v="excluir"/>
    <s v="no semana"/>
    <x v="0"/>
  </r>
  <r>
    <n v="3000006033"/>
    <d v="2025-10-07T00:00:00"/>
    <n v="6601836.8399999999"/>
    <s v="VIDES GUSTAVO ENRIQUE LA TRINIDAD 14"/>
    <x v="1322"/>
    <n v="6601836.8399999999"/>
    <x v="149"/>
    <x v="0"/>
    <s v="pagado"/>
    <s v="pagado"/>
    <s v="excluir"/>
    <s v="no semana"/>
    <x v="0"/>
  </r>
  <r>
    <n v="3000006034"/>
    <d v="2025-10-07T00:00:00"/>
    <n v="2454017.13"/>
    <s v="TORRES JUAN RAMON ALDERETES 14"/>
    <x v="1323"/>
    <n v="2454017.13"/>
    <x v="149"/>
    <x v="0"/>
    <s v="pagado"/>
    <s v="pagado"/>
    <s v="excluir"/>
    <s v="no semana"/>
    <x v="0"/>
  </r>
  <r>
    <n v="3000006035"/>
    <d v="2025-10-07T00:00:00"/>
    <n v="2479667.54"/>
    <s v="TRANSPORTE FRIOS DEL NORTE S.RSAN MIGUEL DE TUCUMAN 14"/>
    <x v="1324"/>
    <n v="2479667.54"/>
    <x v="149"/>
    <x v="0"/>
    <s v="pagado"/>
    <s v="pagado"/>
    <s v="excluir"/>
    <s v="no semana"/>
    <x v="0"/>
  </r>
  <r>
    <n v="3000006036"/>
    <d v="2025-10-07T00:00:00"/>
    <n v="15560571.51"/>
    <s v="MERCATOR TRANSPORT ARGENTINA SBUENOS AIRES 01"/>
    <x v="1325"/>
    <n v="15560571.51"/>
    <x v="149"/>
    <x v="0"/>
    <s v="pagado"/>
    <s v="pagado"/>
    <s v="excluir"/>
    <s v="no semana"/>
    <x v="0"/>
  </r>
  <r>
    <n v="3000006037"/>
    <d v="2025-10-07T00:00:00"/>
    <n v="4260111.08"/>
    <s v="MAC DONALD MIGUEL ALEJANDRO BANDA DEL RIO SALI 14"/>
    <x v="1326"/>
    <n v="4260111.08"/>
    <x v="149"/>
    <x v="0"/>
    <s v="pagado"/>
    <s v="pagado"/>
    <s v="excluir"/>
    <s v="no semana"/>
    <x v="0"/>
  </r>
  <r>
    <n v="3000006038"/>
    <d v="2025-10-07T00:00:00"/>
    <n v="12806924.970000001"/>
    <s v="CAPETTA ANTONELLA ANAHI SAN MIGUEL DE TUCUMAN 14"/>
    <x v="1327"/>
    <n v="12806924.970000001"/>
    <x v="149"/>
    <x v="0"/>
    <s v="pagado"/>
    <s v="pagado"/>
    <s v="excluir"/>
    <s v="no semana"/>
    <x v="0"/>
  </r>
  <r>
    <n v="3000006039"/>
    <d v="2025-10-07T00:00:00"/>
    <n v="2797047.83"/>
    <s v="MOLINA JUAN F. Y MOLINA ROQUE Lastenia 14"/>
    <x v="1328"/>
    <n v="2797047.83"/>
    <x v="149"/>
    <x v="0"/>
    <s v="pagado"/>
    <s v="pagado"/>
    <s v="excluir"/>
    <s v="no semana"/>
    <x v="0"/>
  </r>
  <r>
    <n v="3000006039"/>
    <d v="2025-10-07T00:00:00"/>
    <n v="4653053.1500000004"/>
    <s v="MOLINA JUAN F. Y MOLINA ROQUE Lastenia 14"/>
    <x v="1329"/>
    <n v="4653053.1500000004"/>
    <x v="150"/>
    <x v="0"/>
    <s v="pagado"/>
    <s v="pagado"/>
    <s v="excluir"/>
    <s v="no semana"/>
    <x v="0"/>
  </r>
  <r>
    <n v="3000006040"/>
    <d v="2025-10-07T00:00:00"/>
    <n v="4260111.08"/>
    <s v="CEMEVA SAS YERBA BUENA 14"/>
    <x v="1330"/>
    <n v="4260111.08"/>
    <x v="149"/>
    <x v="0"/>
    <s v="pagado"/>
    <s v="pagado"/>
    <s v="excluir"/>
    <s v="no semana"/>
    <x v="0"/>
  </r>
  <r>
    <n v="3000006041"/>
    <d v="2025-10-07T00:00:00"/>
    <n v="2005336.87"/>
    <s v="Tradelog S.A.U. BUENOS AIRES 01"/>
    <x v="1331"/>
    <n v="2005336.87"/>
    <x v="149"/>
    <x v="0"/>
    <s v="pagado"/>
    <s v="pagado"/>
    <s v="excluir"/>
    <s v="no semana"/>
    <x v="0"/>
  </r>
  <r>
    <n v="3000006042"/>
    <d v="2025-10-07T00:00:00"/>
    <n v="4076730.07"/>
    <s v="Cia. Azucarera Los Balcanes S.Ingenio La Florida 14"/>
    <x v="1332"/>
    <n v="4076730.07"/>
    <x v="149"/>
    <x v="0"/>
    <s v="pagado"/>
    <s v="pagado"/>
    <s v="excluir"/>
    <s v="no semana"/>
    <x v="0"/>
  </r>
  <r>
    <n v="3000006043"/>
    <d v="2025-10-07T00:00:00"/>
    <n v="8054122.1399999997"/>
    <s v="RL SOLUCIONES S. A. S. SAN MIGUEL DE TUCUMAN 14"/>
    <x v="1333"/>
    <n v="8054122.1399999997"/>
    <x v="149"/>
    <x v="0"/>
    <s v="pagado"/>
    <s v="pagado"/>
    <s v="excluir"/>
    <s v="no semana"/>
    <x v="0"/>
  </r>
  <r>
    <n v="3000006044"/>
    <d v="2025-10-07T00:00:00"/>
    <n v="4152917.92"/>
    <s v="LATCOMEX SA CAPITAL FEDERAL 00"/>
    <x v="1334"/>
    <n v="4152917.92"/>
    <x v="149"/>
    <x v="0"/>
    <s v="pagado"/>
    <s v="pagado"/>
    <s v="excluir"/>
    <s v="no semana"/>
    <x v="0"/>
  </r>
  <r>
    <n v="3000006045"/>
    <d v="2025-10-07T00:00:00"/>
    <n v="10395767"/>
    <s v="Terminal 4 S.A. Puerto Nuevo 01"/>
    <x v="1335"/>
    <n v="10395767"/>
    <x v="149"/>
    <x v="0"/>
    <s v="pagado"/>
    <s v="pagado"/>
    <s v="excluir"/>
    <s v="no semana"/>
    <x v="0"/>
  </r>
  <r>
    <n v="3000005049"/>
    <d v="2025-10-14T00:00:00"/>
    <n v="2900000"/>
    <s v="MG SERVICIOS AGROPECUARIOS SASTAFI VIEJO 14"/>
    <x v="1336"/>
    <n v="2900000"/>
    <x v="151"/>
    <x v="2"/>
    <s v="pagado"/>
    <s v="pagado"/>
    <s v="excluir"/>
    <s v="no semana"/>
    <x v="0"/>
  </r>
  <r>
    <n v="3000006139"/>
    <d v="2025-10-13T00:00:00"/>
    <n v="6500000"/>
    <s v="ECOGREEN SRL SAN MIGUEL DE TUCUMAN 14"/>
    <x v="1337"/>
    <n v="6500000"/>
    <x v="143"/>
    <x v="0"/>
    <s v="pagado"/>
    <s v="pagado"/>
    <s v="excluir"/>
    <s v="no semana"/>
    <x v="0"/>
  </r>
  <r>
    <n v="3000006139"/>
    <d v="2025-10-13T00:00:00"/>
    <n v="6500000"/>
    <s v="ECOGREEN SRL SAN MIGUEL DE TUCUMAN 14"/>
    <x v="1338"/>
    <n v="6500000"/>
    <x v="143"/>
    <x v="0"/>
    <s v="pagado"/>
    <s v="pagado"/>
    <s v="excluir"/>
    <s v="no semana"/>
    <x v="0"/>
  </r>
  <r>
    <n v="3000006139"/>
    <d v="2025-10-13T00:00:00"/>
    <n v="6500000"/>
    <s v="ECOGREEN SRL SAN MIGUEL DE TUCUMAN 14"/>
    <x v="1339"/>
    <n v="6500000"/>
    <x v="143"/>
    <x v="0"/>
    <s v="pagado"/>
    <s v="pagado"/>
    <s v="excluir"/>
    <s v="no semana"/>
    <x v="0"/>
  </r>
  <r>
    <n v="3000006139"/>
    <d v="2025-10-13T00:00:00"/>
    <n v="6500000"/>
    <s v="ECOGREEN SRL SAN MIGUEL DE TUCUMAN 14"/>
    <x v="1340"/>
    <n v="6500000"/>
    <x v="152"/>
    <x v="0"/>
    <s v="pagado"/>
    <s v="pagado"/>
    <s v="excluir"/>
    <s v="no semana"/>
    <x v="0"/>
  </r>
  <r>
    <n v="3000006139"/>
    <d v="2025-10-13T00:00:00"/>
    <n v="6529021.4199999999"/>
    <s v="ECOGREEN SRL SAN MIGUEL DE TUCUMAN 14"/>
    <x v="1341"/>
    <n v="6529021.4199999999"/>
    <x v="152"/>
    <x v="0"/>
    <s v="pagado"/>
    <s v="pagado"/>
    <s v="excluir"/>
    <s v="no semana"/>
    <x v="0"/>
  </r>
  <r>
    <n v="3000006143"/>
    <d v="2025-10-13T00:00:00"/>
    <n v="7033365.29"/>
    <s v="CORTEVA AGRISCIENCE ARGENTINA CIUDAD AUTONOMA DE BUENOS AIRES 01"/>
    <x v="1342"/>
    <n v="7033365.29"/>
    <x v="152"/>
    <x v="0"/>
    <s v="pagado"/>
    <s v="pagado"/>
    <s v="excluir"/>
    <s v="no semana"/>
    <x v="0"/>
  </r>
  <r>
    <n v="3000006144"/>
    <d v="2025-10-13T00:00:00"/>
    <n v="11796116.9"/>
    <s v="CONSTRUNOA S.A.S. ORAN 09"/>
    <x v="1343"/>
    <n v="11796116.9"/>
    <x v="143"/>
    <x v="0"/>
    <s v="pagado"/>
    <s v="pagado"/>
    <s v="excluir"/>
    <s v="no semana"/>
    <x v="0"/>
  </r>
  <r>
    <n v="3000006145"/>
    <d v="2025-10-13T00:00:00"/>
    <n v="15448101.4"/>
    <s v="SEGURIDAD OMEGA SRL SAN FERNANDO DEL VALLE DE CATAMARCA 02"/>
    <x v="1344"/>
    <n v="15448101.4"/>
    <x v="143"/>
    <x v="0"/>
    <s v="pagado"/>
    <s v="pagado"/>
    <s v="excluir"/>
    <s v="no semana"/>
    <x v="0"/>
  </r>
  <r>
    <n v="3000006146"/>
    <d v="2025-10-13T00:00:00"/>
    <n v="4624515.1900000004"/>
    <s v="NATURAL GAS SA SAN MIGUEL DE TUCUMAN 14"/>
    <x v="1345"/>
    <n v="4624515.1900000004"/>
    <x v="143"/>
    <x v="0"/>
    <s v="pagado"/>
    <s v="pagado"/>
    <s v="excluir"/>
    <s v="no semana"/>
    <x v="0"/>
  </r>
  <r>
    <n v="3000006147"/>
    <d v="2025-10-13T00:00:00"/>
    <n v="39545843.399999999"/>
    <s v="Jeblab S.R.L. YERBA BUENA 14"/>
    <x v="1346"/>
    <n v="39545843.399999999"/>
    <x v="143"/>
    <x v="0"/>
    <s v="pagado"/>
    <s v="pagado"/>
    <s v="excluir"/>
    <s v="no semana"/>
    <x v="0"/>
  </r>
  <r>
    <n v="3000006148"/>
    <d v="2025-10-13T00:00:00"/>
    <n v="5643710.7199999997"/>
    <s v="Transportes La Sevillanita S.RALDERETES 14"/>
    <x v="1347"/>
    <n v="5643710.7199999997"/>
    <x v="152"/>
    <x v="0"/>
    <s v="pagado"/>
    <s v="pagado"/>
    <s v="excluir"/>
    <s v="no semana"/>
    <x v="0"/>
  </r>
  <r>
    <n v="3000006149"/>
    <d v="2025-10-13T00:00:00"/>
    <n v="20564157.75"/>
    <s v="SMART SEGURIDAD SA YERBA BUENA 14"/>
    <x v="1348"/>
    <n v="20564157.75"/>
    <x v="143"/>
    <x v="0"/>
    <s v="pagado"/>
    <s v="pagado"/>
    <s v="excluir"/>
    <s v="no semana"/>
    <x v="0"/>
  </r>
  <r>
    <n v="3000006150"/>
    <d v="2025-10-13T00:00:00"/>
    <n v="11232013.4"/>
    <s v="SERV.AGROP VILLA PAPADAKIS S.RSALTA 09"/>
    <x v="1349"/>
    <n v="11232013.4"/>
    <x v="143"/>
    <x v="0"/>
    <s v="pagado"/>
    <s v="pagado"/>
    <s v="excluir"/>
    <s v="no semana"/>
    <x v="0"/>
  </r>
  <r>
    <n v="3000006151"/>
    <d v="2025-10-13T00:00:00"/>
    <n v="25000000"/>
    <s v="MG SERVICIOS AGROPECUARIOS SASTAFI VIEJO 14"/>
    <x v="1350"/>
    <n v="25000000"/>
    <x v="143"/>
    <x v="0"/>
    <s v="pagado"/>
    <s v="pagado"/>
    <s v="excluir"/>
    <s v="no semana"/>
    <x v="0"/>
  </r>
  <r>
    <n v="3000006151"/>
    <d v="2025-10-13T00:00:00"/>
    <n v="7354847"/>
    <s v="MG SERVICIOS AGROPECUARIOS SASTAFI VIEJO 14"/>
    <x v="1351"/>
    <n v="7354847"/>
    <x v="143"/>
    <x v="0"/>
    <s v="pagado"/>
    <s v="pagado"/>
    <s v="excluir"/>
    <s v="no semana"/>
    <x v="0"/>
  </r>
  <r>
    <n v="3000006151"/>
    <d v="2025-10-13T00:00:00"/>
    <n v="3522329"/>
    <s v="MG SERVICIOS AGROPECUARIOS SASTAFI VIEJO 14"/>
    <x v="1352"/>
    <n v="3522329"/>
    <x v="152"/>
    <x v="0"/>
    <s v="pagado"/>
    <s v="pagado"/>
    <s v="excluir"/>
    <s v="no semana"/>
    <x v="0"/>
  </r>
  <r>
    <n v="3000006151"/>
    <d v="2025-10-13T00:00:00"/>
    <n v="2200000"/>
    <s v="MG SERVICIOS AGROPECUARIOS SASTAFI VIEJO 14"/>
    <x v="1353"/>
    <n v="2200000"/>
    <x v="152"/>
    <x v="0"/>
    <s v="pagado"/>
    <s v="pagado"/>
    <s v="excluir"/>
    <s v="no semana"/>
    <x v="0"/>
  </r>
  <r>
    <n v="3000006151"/>
    <d v="2025-10-13T00:00:00"/>
    <n v="40000000"/>
    <s v="MG SERVICIOS AGROPECUARIOS SASTAFI VIEJO 14"/>
    <x v="1354"/>
    <n v="40000000"/>
    <x v="152"/>
    <x v="0"/>
    <s v="pagado"/>
    <s v="pagado"/>
    <s v="excluir"/>
    <s v="no semana"/>
    <x v="0"/>
  </r>
  <r>
    <n v="3000006151"/>
    <d v="2025-10-13T00:00:00"/>
    <n v="43738239.719999999"/>
    <s v="MG SERVICIOS AGROPECUARIOS SASTAFI VIEJO 14"/>
    <x v="1355"/>
    <n v="43738239.719999999"/>
    <x v="151"/>
    <x v="0"/>
    <s v="pagado"/>
    <s v="pagado"/>
    <s v="excluir"/>
    <s v="no semana"/>
    <x v="0"/>
  </r>
  <r>
    <n v="3000006152"/>
    <d v="2025-10-13T00:00:00"/>
    <n v="13452203.939999999"/>
    <s v="Verde y Sol S.R.L. SAN MIGUEL DE TUCUMAN 14"/>
    <x v="1356"/>
    <n v="13452203.939999999"/>
    <x v="152"/>
    <x v="0"/>
    <s v="pagado"/>
    <s v="pagado"/>
    <s v="excluir"/>
    <s v="no semana"/>
    <x v="0"/>
  </r>
  <r>
    <n v="3000006153"/>
    <d v="2025-10-13T00:00:00"/>
    <n v="19288256"/>
    <s v="CAMPOAGRO SRL YERBA BUENA 14"/>
    <x v="1357"/>
    <n v="19288256"/>
    <x v="152"/>
    <x v="0"/>
    <s v="pagado"/>
    <s v="pagado"/>
    <s v="excluir"/>
    <s v="no semana"/>
    <x v="0"/>
  </r>
  <r>
    <n v="3000006154"/>
    <d v="2025-10-13T00:00:00"/>
    <n v="10000000"/>
    <s v="CAFELI S.R.L. SAN MIGUEL DE TUCUMAN 14"/>
    <x v="1358"/>
    <n v="10000000"/>
    <x v="143"/>
    <x v="0"/>
    <s v="pagado"/>
    <s v="pagado"/>
    <s v="excluir"/>
    <s v="no semana"/>
    <x v="0"/>
  </r>
  <r>
    <n v="3000006154"/>
    <d v="2025-10-13T00:00:00"/>
    <n v="9971314.4000000004"/>
    <s v="CAFELI S.R.L. SAN MIGUEL DE TUCUMAN 14"/>
    <x v="1359"/>
    <n v="9971314.4000000004"/>
    <x v="152"/>
    <x v="0"/>
    <s v="pagado"/>
    <s v="pagado"/>
    <s v="excluir"/>
    <s v="no semana"/>
    <x v="0"/>
  </r>
  <r>
    <n v="3000006155"/>
    <d v="2025-10-13T00:00:00"/>
    <n v="11569191.08"/>
    <s v="Barbera, Walter Sergio SAN MIGUEL DE TUCUMAN 14"/>
    <x v="1360"/>
    <n v="11569191.08"/>
    <x v="143"/>
    <x v="0"/>
    <s v="pagado"/>
    <s v="pagado"/>
    <s v="excluir"/>
    <s v="no semana"/>
    <x v="0"/>
  </r>
  <r>
    <n v="3000006156"/>
    <d v="2025-10-13T00:00:00"/>
    <n v="4563271.5999999996"/>
    <s v="DUBANIS ANA JOSEFINA SAN MIGUEL DE TUCUMAN 14"/>
    <x v="1361"/>
    <n v="4563271.5999999996"/>
    <x v="152"/>
    <x v="0"/>
    <s v="pagado"/>
    <s v="pagado"/>
    <s v="excluir"/>
    <s v="no semana"/>
    <x v="0"/>
  </r>
  <r>
    <n v="3000005049"/>
    <d v="2025-10-14T00:00:00"/>
    <n v="2900000"/>
    <s v="MG SERVICIOS AGROPECUARIOS SASTAFI VIEJO 14"/>
    <x v="1336"/>
    <n v="2900000"/>
    <x v="151"/>
    <x v="2"/>
    <s v="pagado"/>
    <s v="pagado"/>
    <s v="excluir"/>
    <s v="no semana"/>
    <x v="0"/>
  </r>
  <r>
    <n v="3000006198"/>
    <d v="2025-10-15T00:00:00"/>
    <n v="7068164.5099999998"/>
    <s v="SANTILLI CARLOS MIGUEL SAN MIGUEL DE TUCUMAN 14"/>
    <x v="1362"/>
    <n v="7068164.5099999998"/>
    <x v="127"/>
    <x v="2"/>
    <s v="pagado"/>
    <s v="pagado"/>
    <s v="excluir"/>
    <s v="no semana"/>
    <x v="0"/>
  </r>
  <r>
    <n v="3000006199"/>
    <d v="2025-10-15T00:00:00"/>
    <n v="2845827.42"/>
    <s v="STARB S.A CIUDAD AUTONOMA DE BUENOS AIRES 01"/>
    <x v="1363"/>
    <n v="2845827.42"/>
    <x v="127"/>
    <x v="2"/>
    <s v="pagado"/>
    <s v="pagado"/>
    <s v="excluir"/>
    <s v="no semana"/>
    <x v="0"/>
  </r>
  <r>
    <n v="3000006200"/>
    <d v="2025-10-15T00:00:00"/>
    <n v="6514497.2400000002"/>
    <s v="CEMEVA SAS YERBA BUENA 14"/>
    <x v="1364"/>
    <n v="6514497.2400000002"/>
    <x v="127"/>
    <x v="2"/>
    <s v="pagado"/>
    <s v="pagado"/>
    <s v="excluir"/>
    <s v="no semana"/>
    <x v="0"/>
  </r>
  <r>
    <n v="3000006201"/>
    <d v="2025-10-15T00:00:00"/>
    <n v="9581060.7699999996"/>
    <s v="ACOSTA ROQUE RAMON SAN MIGUEL DE TUCUMAN 14"/>
    <x v="1365"/>
    <n v="9581060.7699999996"/>
    <x v="127"/>
    <x v="2"/>
    <s v="pagado"/>
    <s v="pagado"/>
    <s v="excluir"/>
    <s v="no semana"/>
    <x v="0"/>
  </r>
  <r>
    <n v="3000006202"/>
    <d v="2025-10-15T00:00:00"/>
    <n v="5352312.47"/>
    <s v="MULET WALTER HUMBERTO SAN MIGUEL DE TUCUMAN 14"/>
    <x v="1366"/>
    <n v="5352312.47"/>
    <x v="127"/>
    <x v="2"/>
    <s v="pagado"/>
    <s v="pagado"/>
    <s v="excluir"/>
    <s v="no semana"/>
    <x v="0"/>
  </r>
  <r>
    <n v="3000006203"/>
    <d v="2025-10-15T00:00:00"/>
    <n v="2798259.39"/>
    <s v="Sanchez Jose Mauricio San Miguel de Tucuman 14"/>
    <x v="1367"/>
    <n v="2798259.39"/>
    <x v="127"/>
    <x v="2"/>
    <s v="pagado"/>
    <s v="pagado"/>
    <s v="excluir"/>
    <s v="no semana"/>
    <x v="0"/>
  </r>
  <r>
    <n v="3000006204"/>
    <d v="2025-10-15T00:00:00"/>
    <n v="1797467.75"/>
    <s v="LANCHELA HECTOR ROLANDO CONCEPCION 14"/>
    <x v="1368"/>
    <n v="1797467.75"/>
    <x v="127"/>
    <x v="2"/>
    <s v="pagado"/>
    <s v="pagado"/>
    <s v="excluir"/>
    <s v="no semana"/>
    <x v="0"/>
  </r>
  <r>
    <n v="3000006205"/>
    <d v="2025-10-15T00:00:00"/>
    <n v="0"/>
    <s v="invalidado med.EOLIVERA -Vencimiento BCRA"/>
    <x v="1369"/>
    <n v="0"/>
    <x v="127"/>
    <x v="2"/>
    <s v="no pagado"/>
    <s v="fuera de fecha"/>
    <s v="excluir"/>
    <s v="no semana"/>
    <x v="0"/>
  </r>
  <r>
    <n v="3000006206"/>
    <d v="2025-10-15T00:00:00"/>
    <n v="4259943.16"/>
    <s v="MAC DONALD MIGUEL ALEJANDRO BANDA DEL RIO SALI 14"/>
    <x v="1370"/>
    <n v="4259943.16"/>
    <x v="127"/>
    <x v="2"/>
    <s v="pagado"/>
    <s v="pagado"/>
    <s v="excluir"/>
    <s v="no semana"/>
    <x v="0"/>
  </r>
  <r>
    <n v="3000006207"/>
    <d v="2025-10-15T00:00:00"/>
    <n v="2116507.79"/>
    <s v="JACQUET NORBERTO SALVADOR SAN JOSE 05"/>
    <x v="1371"/>
    <n v="2116507.79"/>
    <x v="127"/>
    <x v="2"/>
    <s v="pagado"/>
    <s v="pagado"/>
    <s v="excluir"/>
    <s v="no semana"/>
    <x v="0"/>
  </r>
  <r>
    <n v="3000006208"/>
    <d v="2025-10-15T00:00:00"/>
    <n v="10672297.539999999"/>
    <s v="CAPETTA ANTONELLA ANAHI SAN MIGUEL DE TUCUMAN 14"/>
    <x v="1372"/>
    <n v="10672297.539999999"/>
    <x v="127"/>
    <x v="2"/>
    <s v="pagado"/>
    <s v="pagado"/>
    <s v="excluir"/>
    <s v="no semana"/>
    <x v="0"/>
  </r>
  <r>
    <n v="3000006209"/>
    <d v="2025-10-15T00:00:00"/>
    <n v="3623280.53"/>
    <s v="ARGENTINA CARGO SRL CAPTAL FEDERAL 00"/>
    <x v="1373"/>
    <n v="3623280.53"/>
    <x v="127"/>
    <x v="2"/>
    <s v="pagado"/>
    <s v="pagado"/>
    <s v="excluir"/>
    <s v="no semana"/>
    <x v="0"/>
  </r>
  <r>
    <n v="3000006244"/>
    <d v="2025-10-16T00:00:00"/>
    <n v="171839244.43000001"/>
    <s v="M. AMUCHASTEGUI S. R. L. YERBA BUENA 14"/>
    <x v="1374"/>
    <n v="171839244.43000001"/>
    <x v="127"/>
    <x v="2"/>
    <s v="pagado"/>
    <s v="pagado"/>
    <s v="excluir"/>
    <s v="no semana"/>
    <x v="0"/>
  </r>
  <r>
    <n v="3000006245"/>
    <d v="2025-10-16T00:00:00"/>
    <n v="87931427.349999994"/>
    <s v="ROMERO SERVICIOS S. A. S. ALPACHIRI 14"/>
    <x v="1375"/>
    <n v="87931427.349999994"/>
    <x v="127"/>
    <x v="2"/>
    <s v="pagado"/>
    <s v="pagado"/>
    <s v="excluir"/>
    <s v="no semana"/>
    <x v="0"/>
  </r>
  <r>
    <n v="3000006246"/>
    <d v="2025-10-16T00:00:00"/>
    <n v="75061784.799999997"/>
    <s v="PAMPLONA SRL SAN MIGUEL DE TUCUMAN 14"/>
    <x v="1376"/>
    <n v="75061784.799999997"/>
    <x v="127"/>
    <x v="2"/>
    <s v="pagado"/>
    <s v="pagado"/>
    <s v="excluir"/>
    <s v="no semana"/>
    <x v="0"/>
  </r>
  <r>
    <n v="3000006247"/>
    <d v="2025-10-16T00:00:00"/>
    <n v="138632171.44"/>
    <s v="Poda Verde SRL SAN MIGUEL DE TUCUMAN 14"/>
    <x v="1377"/>
    <n v="138632171.44"/>
    <x v="127"/>
    <x v="2"/>
    <s v="pagado"/>
    <s v="pagado"/>
    <s v="excluir"/>
    <s v="no semana"/>
    <x v="0"/>
  </r>
  <r>
    <n v="3000006248"/>
    <d v="2025-10-16T00:00:00"/>
    <n v="298086429.85000002"/>
    <s v="CATALANA DE SERVICIOS SRL YERBA BUENA 14"/>
    <x v="1378"/>
    <n v="298086429.85000002"/>
    <x v="127"/>
    <x v="2"/>
    <s v="pagado"/>
    <s v="pagado"/>
    <s v="excluir"/>
    <s v="no semana"/>
    <x v="0"/>
  </r>
  <r>
    <n v="3000006273"/>
    <d v="2025-10-17T00:00:00"/>
    <n v="31694880"/>
    <s v="EDET S.A. SAN MIGUEL DE TUCUMAN 14"/>
    <x v="1379"/>
    <n v="31694880"/>
    <x v="127"/>
    <x v="2"/>
    <s v="pagado"/>
    <s v="pagado"/>
    <s v="excluir"/>
    <s v="no semana"/>
    <x v="0"/>
  </r>
  <r>
    <n v="3000006304"/>
    <d v="2025-10-20T00:00:00"/>
    <n v="6000000"/>
    <s v="EL SOL MATERIALES SA SAN MIGUEL DE TUCUMAN 14"/>
    <x v="1380"/>
    <n v="6000000"/>
    <x v="153"/>
    <x v="0"/>
    <s v="pagado"/>
    <s v="pagado"/>
    <s v="excluir"/>
    <s v="no semana"/>
    <x v="0"/>
  </r>
  <r>
    <n v="3000006304"/>
    <d v="2025-10-20T00:00:00"/>
    <n v="5812371.8399999999"/>
    <s v="EL SOL MATERIALES SA SAN MIGUEL DE TUCUMAN 14"/>
    <x v="1381"/>
    <n v="5812371.8399999999"/>
    <x v="154"/>
    <x v="0"/>
    <s v="pagado"/>
    <s v="pagado"/>
    <s v="excluir"/>
    <s v="no semana"/>
    <x v="0"/>
  </r>
  <r>
    <n v="3000006302"/>
    <d v="2025-10-20T00:00:00"/>
    <n v="4744204.99"/>
    <s v="NALBANDIAN ALEXIS MARIANO CORDOBA 03"/>
    <x v="1382"/>
    <n v="4744204.99"/>
    <x v="155"/>
    <x v="0"/>
    <s v="pagado"/>
    <s v="pagado"/>
    <s v="excluir"/>
    <s v="no semana"/>
    <x v="0"/>
  </r>
  <r>
    <n v="3000006303"/>
    <d v="2025-10-20T00:00:00"/>
    <n v="14563011.199999999"/>
    <s v="LOGISTICA INTERNACIONAL S.A SAN MIGUEL DE TUCUMAN 14"/>
    <x v="1383"/>
    <n v="14563011.199999999"/>
    <x v="155"/>
    <x v="0"/>
    <s v="pagado"/>
    <s v="pagado"/>
    <s v="excluir"/>
    <s v="no semana"/>
    <x v="0"/>
  </r>
  <r>
    <n v="3000006305"/>
    <d v="2025-10-20T00:00:00"/>
    <n v="8203044.7800000003"/>
    <s v="MOYANO JUAN MANUEL ORAN 09"/>
    <x v="1384"/>
    <n v="8203044.7800000003"/>
    <x v="155"/>
    <x v="0"/>
    <s v="pagado"/>
    <s v="pagado"/>
    <s v="excluir"/>
    <s v="no semana"/>
    <x v="0"/>
  </r>
  <r>
    <n v="3000006306"/>
    <d v="2025-10-20T00:00:00"/>
    <n v="6460059.4000000004"/>
    <s v="CAD SOLUTIONS S.A. CAPITAL FEDERAL 00"/>
    <x v="1385"/>
    <n v="6460059.4000000004"/>
    <x v="156"/>
    <x v="0"/>
    <s v="pagado"/>
    <s v="pagado"/>
    <s v="excluir"/>
    <s v="no semana"/>
    <x v="0"/>
  </r>
  <r>
    <n v="3000006307"/>
    <d v="2025-10-20T00:00:00"/>
    <n v="12677933.4"/>
    <s v="GRUPO LIVECA SAS SAN RAMON DE LA NUEVA ORAN 09"/>
    <x v="1386"/>
    <n v="12677933.4"/>
    <x v="155"/>
    <x v="0"/>
    <s v="pagado"/>
    <s v="pagado"/>
    <s v="excluir"/>
    <s v="no semana"/>
    <x v="0"/>
  </r>
  <r>
    <n v="3000006308"/>
    <d v="2025-10-20T00:00:00"/>
    <n v="3926463.35"/>
    <s v="FAGALDE CECILIA MARIA SAN MIGUEL DE TUCUMAN 14"/>
    <x v="1387"/>
    <n v="3926463.35"/>
    <x v="156"/>
    <x v="0"/>
    <s v="pagado"/>
    <s v="pagado"/>
    <s v="excluir"/>
    <s v="no semana"/>
    <x v="0"/>
  </r>
  <r>
    <n v="3000006309"/>
    <d v="2025-10-20T00:00:00"/>
    <n v="9110594"/>
    <s v="Consultoria en Tecnologia de IBUENOS AIRES 00"/>
    <x v="1388"/>
    <n v="9110594"/>
    <x v="157"/>
    <x v="0"/>
    <s v="pagado"/>
    <s v="pagado"/>
    <s v="excluir"/>
    <s v="no semana"/>
    <x v="0"/>
  </r>
  <r>
    <n v="3000006332"/>
    <d v="2025-10-21T00:00:00"/>
    <n v="6372777.7300000004"/>
    <s v="LA MARTINA SERV. AGRICOLAS S.RSAN PABLO 14"/>
    <x v="1389"/>
    <n v="6372777.7300000004"/>
    <x v="156"/>
    <x v="0"/>
    <s v="pagado"/>
    <s v="pagado"/>
    <s v="excluir"/>
    <s v="no semana"/>
    <x v="0"/>
  </r>
  <r>
    <n v="3000006333"/>
    <d v="2025-10-21T00:00:00"/>
    <n v="13682200"/>
    <s v="STARB S.A CIUDAD AUTONOMA DE BUENOS AIRES 01"/>
    <x v="1390"/>
    <n v="13682200"/>
    <x v="157"/>
    <x v="0"/>
    <s v="pagado"/>
    <s v="pagado"/>
    <s v="excluir"/>
    <s v="no semana"/>
    <x v="0"/>
  </r>
  <r>
    <n v="3000006334"/>
    <d v="2025-10-21T00:00:00"/>
    <n v="3686155.2"/>
    <s v="Terminal 4 S.A. Puerto Nuevo 01"/>
    <x v="1391"/>
    <n v="3686155.2"/>
    <x v="156"/>
    <x v="0"/>
    <s v="pagado"/>
    <s v="pagado"/>
    <s v="excluir"/>
    <s v="no semana"/>
    <x v="0"/>
  </r>
  <r>
    <n v="3000006335"/>
    <d v="2025-10-21T00:00:00"/>
    <n v="14360387.92"/>
    <s v="BONSUR SA CAPITAL FEDERAL 00"/>
    <x v="1392"/>
    <n v="14360387.92"/>
    <x v="157"/>
    <x v="0"/>
    <s v="pagado"/>
    <s v="pagado"/>
    <s v="excluir"/>
    <s v="no semana"/>
    <x v="0"/>
  </r>
  <r>
    <n v="3000006336"/>
    <d v="2025-10-21T00:00:00"/>
    <n v="10582538.939999999"/>
    <s v="RL SOLUCIONES S. A. S. SAN MIGUEL DE TUCUMAN 14"/>
    <x v="1393"/>
    <n v="10582538.939999999"/>
    <x v="157"/>
    <x v="0"/>
    <s v="pagado"/>
    <s v="pagado"/>
    <s v="excluir"/>
    <s v="no semana"/>
    <x v="0"/>
  </r>
  <r>
    <n v="3000006371"/>
    <d v="2025-10-22T00:00:00"/>
    <n v="223592290"/>
    <s v="EDET S.A."/>
    <x v="1394"/>
    <n v="223592290"/>
    <x v="157"/>
    <x v="2"/>
    <s v="pagado"/>
    <s v="pagado"/>
    <s v="excluir"/>
    <s v="no semana"/>
    <x v="0"/>
  </r>
  <r>
    <n v="3000006432"/>
    <d v="2025-10-27T00:00:00"/>
    <n v="33959386.719999999"/>
    <s v="PAMPLONA SRL SAN MIGUEL DE TUCUMAN 14"/>
    <x v="1395"/>
    <n v="33959386.719999999"/>
    <x v="158"/>
    <x v="0"/>
    <s v="pagado"/>
    <s v="pagado"/>
    <s v="excluir"/>
    <s v="no semana"/>
    <x v="0"/>
  </r>
  <r>
    <n v="3000006433"/>
    <d v="2025-10-27T00:00:00"/>
    <n v="5000000"/>
    <s v="MG SERVICIOS AGROPECUARIOS SASTAFI VIEJO 14"/>
    <x v="1396"/>
    <n v="5000000"/>
    <x v="159"/>
    <x v="0"/>
    <s v="pagado"/>
    <s v="pagado"/>
    <s v="excluir"/>
    <s v="no semana"/>
    <x v="0"/>
  </r>
  <r>
    <n v="3000006433"/>
    <d v="2025-10-27T00:00:00"/>
    <n v="3656576.68"/>
    <s v="MG SERVICIOS AGROPECUARIOS SASTAFI VIEJO 14"/>
    <x v="1397"/>
    <n v="3656576.68"/>
    <x v="158"/>
    <x v="0"/>
    <s v="pagado"/>
    <s v="pagado"/>
    <s v="excluir"/>
    <s v="no semana"/>
    <x v="0"/>
  </r>
  <r>
    <n v="3000006434"/>
    <d v="2025-10-27T00:00:00"/>
    <n v="28372980.059999999"/>
    <s v="M. AMUCHASTEGUI S. R. L. YERBA BUENA 14"/>
    <x v="1398"/>
    <n v="28372980.059999999"/>
    <x v="158"/>
    <x v="0"/>
    <s v="pagado"/>
    <s v="pagado"/>
    <s v="excluir"/>
    <s v="no semana"/>
    <x v="0"/>
  </r>
  <r>
    <n v="3000006435"/>
    <d v="2025-10-27T00:00:00"/>
    <n v="8863912.5"/>
    <s v="TRUSARELLI CARLOS ALBERTO BANDA DEL RIO SALI 14"/>
    <x v="1399"/>
    <n v="8863912.5"/>
    <x v="159"/>
    <x v="0"/>
    <s v="pagado"/>
    <s v="pagado"/>
    <s v="excluir"/>
    <s v="no semana"/>
    <x v="0"/>
  </r>
  <r>
    <n v="3000006436"/>
    <d v="2025-10-27T00:00:00"/>
    <n v="24737036.289999999"/>
    <s v="EXCELENCIA OPERACIONAL SRL CIUDAD AUTONOMA DE BUENOS AIRES 00"/>
    <x v="1400"/>
    <n v="24737036.289999999"/>
    <x v="158"/>
    <x v="0"/>
    <s v="pagado"/>
    <s v="pagado"/>
    <s v="excluir"/>
    <s v="no semana"/>
    <x v="0"/>
  </r>
  <r>
    <n v="3000006437"/>
    <d v="2025-10-27T00:00:00"/>
    <n v="4606966.46"/>
    <s v="PETROARSA S.A SAN MIGUEL DE TUCUMAN 14"/>
    <x v="1401"/>
    <n v="4606966.46"/>
    <x v="159"/>
    <x v="0"/>
    <s v="pagado"/>
    <s v="pagado"/>
    <s v="excluir"/>
    <s v="no semana"/>
    <x v="0"/>
  </r>
  <r>
    <n v="3000006438"/>
    <d v="2025-10-27T00:00:00"/>
    <n v="6217907.2199999997"/>
    <s v="DELTACOM SA DON TORCUATO 01"/>
    <x v="1402"/>
    <n v="6217907.2199999997"/>
    <x v="159"/>
    <x v="0"/>
    <s v="pagado"/>
    <s v="pagado"/>
    <s v="excluir"/>
    <s v="no semana"/>
    <x v="0"/>
  </r>
  <r>
    <n v="3000006439"/>
    <d v="2025-10-27T00:00:00"/>
    <n v="6547079.1799999997"/>
    <s v="ACEROS NAVARRO SRL LASTENIA 14"/>
    <x v="1403"/>
    <n v="6547079.1799999997"/>
    <x v="159"/>
    <x v="0"/>
    <s v="pagado"/>
    <s v="pagado"/>
    <s v="excluir"/>
    <s v="no semana"/>
    <x v="0"/>
  </r>
  <r>
    <n v="3000006440"/>
    <d v="2025-10-27T00:00:00"/>
    <n v="20568691.829999998"/>
    <s v="ROMERO SERVICIOS S. A. S. ALPACHIRI 14"/>
    <x v="1404"/>
    <n v="20568691.829999998"/>
    <x v="159"/>
    <x v="0"/>
    <s v="pagado"/>
    <s v="pagado"/>
    <s v="excluir"/>
    <s v="no semana"/>
    <x v="0"/>
  </r>
  <r>
    <n v="3000006441"/>
    <d v="2025-10-27T00:00:00"/>
    <n v="8236900"/>
    <s v="PABLO Y FERNANDO TACCHELLA S.RSAN MIGUEL DE TUCUMAN 14"/>
    <x v="1405"/>
    <n v="8236900"/>
    <x v="159"/>
    <x v="0"/>
    <s v="pagado"/>
    <s v="pagado"/>
    <s v="excluir"/>
    <s v="no semana"/>
    <x v="0"/>
  </r>
  <r>
    <n v="3000006442"/>
    <d v="2025-10-27T00:00:00"/>
    <n v="10000000"/>
    <s v="CAFELI S.R.L. SAN MIGUEL DE TUCUMAN 14"/>
    <x v="1406"/>
    <n v="10000000"/>
    <x v="159"/>
    <x v="0"/>
    <s v="pagado"/>
    <s v="pagado"/>
    <s v="excluir"/>
    <s v="no semana"/>
    <x v="0"/>
  </r>
  <r>
    <n v="3000006442"/>
    <d v="2025-10-27T00:00:00"/>
    <n v="8284175"/>
    <s v="CAFELI S.R.L. SAN MIGUEL DE TUCUMAN 14"/>
    <x v="1407"/>
    <n v="8284175"/>
    <x v="158"/>
    <x v="0"/>
    <s v="pagado"/>
    <s v="pagado"/>
    <s v="excluir"/>
    <s v="no semana"/>
    <x v="0"/>
  </r>
  <r>
    <n v="3000006443"/>
    <d v="2025-10-27T00:00:00"/>
    <n v="38830372"/>
    <s v="AMERICANA COMERCIALIZACION S.RSAN MIGUEL DE TUCUMAN 14"/>
    <x v="1408"/>
    <n v="38830372"/>
    <x v="158"/>
    <x v="0"/>
    <s v="pagado"/>
    <s v="pagado"/>
    <s v="excluir"/>
    <s v="no semana"/>
    <x v="0"/>
  </r>
  <r>
    <n v="3000006444"/>
    <d v="2025-10-27T00:00:00"/>
    <n v="5129536.38"/>
    <s v="SERV.AGROP VILLA PAPADAKIS S.RSALTA 09"/>
    <x v="1409"/>
    <n v="5129536.38"/>
    <x v="159"/>
    <x v="0"/>
    <s v="pagado"/>
    <s v="pagado"/>
    <s v="excluir"/>
    <s v="no semana"/>
    <x v="0"/>
  </r>
  <r>
    <n v="3000006445"/>
    <d v="2025-10-27T00:00:00"/>
    <n v="269068089.81"/>
    <s v="CATALANA DE SERVICIOS SRL YERBA BUENA 14"/>
    <x v="1410"/>
    <n v="269068089.81"/>
    <x v="159"/>
    <x v="0"/>
    <s v="pagado"/>
    <s v="pagado"/>
    <s v="excluir"/>
    <s v="no semana"/>
    <x v="0"/>
  </r>
  <r>
    <n v="3000006523"/>
    <d v="2025-10-29T00:00:00"/>
    <n v="2604978.9500000002"/>
    <s v="Fondo Fijo Administracion CitrNO TIENE"/>
    <x v="1411"/>
    <n v="2604978.9500000002"/>
    <x v="160"/>
    <x v="0"/>
    <s v="pagado"/>
    <s v="pagado"/>
    <s v="excluir"/>
    <s v="no semana"/>
    <x v="0"/>
  </r>
  <r>
    <n v="3000006603"/>
    <d v="2025-11-03T00:00:00"/>
    <n v="4471244.1500000004"/>
    <s v="NORTE DISTRIBUCIONES S.R.L SAN MIGUEL DE TUCUMAN 14"/>
    <x v="1412"/>
    <n v="4471244.1500000004"/>
    <x v="153"/>
    <x v="2"/>
    <s v="pagado"/>
    <s v="pagado"/>
    <s v="excluir"/>
    <s v="no semana"/>
    <x v="0"/>
  </r>
  <r>
    <n v="3000006604"/>
    <d v="2025-11-03T00:00:00"/>
    <n v="5506197.9500000002"/>
    <s v="CONSTRUNOA S.A.S. ORAN 09"/>
    <x v="1413"/>
    <n v="5506197.9500000002"/>
    <x v="153"/>
    <x v="2"/>
    <s v="pagado"/>
    <s v="pagado"/>
    <s v="excluir"/>
    <s v="no semana"/>
    <x v="0"/>
  </r>
  <r>
    <n v="3000006605"/>
    <d v="2025-11-03T00:00:00"/>
    <n v="38039625"/>
    <s v="Siner S.A. Los Pocitos - T.Viejo 14"/>
    <x v="1414"/>
    <n v="38039625"/>
    <x v="161"/>
    <x v="2"/>
    <s v="pagado"/>
    <s v="pagado"/>
    <s v="excluir"/>
    <s v="no semana"/>
    <x v="0"/>
  </r>
  <r>
    <n v="3000006605"/>
    <d v="2025-11-03T00:00:00"/>
    <n v="38042804.490000002"/>
    <s v="Siner S.A. Los Pocitos - T.Viejo 14"/>
    <x v="1415"/>
    <n v="38042804.490000002"/>
    <x v="162"/>
    <x v="2"/>
    <s v="pagado"/>
    <s v="pagado"/>
    <s v="excluir"/>
    <s v="no semana"/>
    <x v="0"/>
  </r>
  <r>
    <n v="3000006632"/>
    <d v="2025-11-04T00:00:00"/>
    <n v="9093781.1500000004"/>
    <s v="Establecimiento Minero Sofia SElena 03"/>
    <x v="1416"/>
    <n v="9093781.1500000004"/>
    <x v="153"/>
    <x v="0"/>
    <s v="pagado"/>
    <s v="pagado"/>
    <s v="excluir"/>
    <s v="no semana"/>
    <x v="0"/>
  </r>
  <r>
    <n v="3000006633"/>
    <d v="2025-11-04T00:00:00"/>
    <n v="2281959.06"/>
    <s v="Expreso Bisonte S.R.L. BANDA DEL RIO SALI 14"/>
    <x v="1417"/>
    <n v="2281959.06"/>
    <x v="163"/>
    <x v="0"/>
    <s v="pagado"/>
    <s v="pagado"/>
    <s v="excluir"/>
    <s v="no semana"/>
    <x v="0"/>
  </r>
  <r>
    <n v="3000006634"/>
    <d v="2025-11-04T00:00:00"/>
    <n v="1004615.39"/>
    <s v="MOYANO JUAN VICTOR TUCUMAN 14"/>
    <x v="1418"/>
    <n v="1004615.39"/>
    <x v="163"/>
    <x v="0"/>
    <s v="pagado"/>
    <s v="pagado"/>
    <s v="excluir"/>
    <s v="no semana"/>
    <x v="0"/>
  </r>
  <r>
    <n v="3000006635"/>
    <d v="2025-11-04T00:00:00"/>
    <n v="4260111.08"/>
    <s v="CEMEVA SAS YERBA BUENA 14"/>
    <x v="1419"/>
    <n v="4260111.08"/>
    <x v="163"/>
    <x v="0"/>
    <s v="pagado"/>
    <s v="pagado"/>
    <s v="excluir"/>
    <s v="no semana"/>
    <x v="0"/>
  </r>
  <r>
    <n v="3000006636"/>
    <d v="2025-11-04T00:00:00"/>
    <n v="10797909.710000001"/>
    <s v="CAPETTA ANTONELLA ANAHI SAN MIGUEL DE TUCUMAN 14"/>
    <x v="1420"/>
    <n v="10797909.710000001"/>
    <x v="163"/>
    <x v="0"/>
    <s v="pagado"/>
    <s v="pagado"/>
    <s v="excluir"/>
    <s v="no semana"/>
    <x v="0"/>
  </r>
  <r>
    <n v="3000006637"/>
    <d v="2025-11-04T00:00:00"/>
    <n v="2116675.71"/>
    <s v="VILLAGRA VELEZ ROQUE RICARDO SAN MIGUEL DE TUCUMAN 14"/>
    <x v="1421"/>
    <n v="2116675.71"/>
    <x v="163"/>
    <x v="0"/>
    <s v="pagado"/>
    <s v="pagado"/>
    <s v="excluir"/>
    <s v="no semana"/>
    <x v="0"/>
  </r>
  <r>
    <n v="3000006638"/>
    <d v="2025-11-04T00:00:00"/>
    <n v="2116675.71"/>
    <s v="RL SOLUCIONES S. A. S. SAN MIGUEL DE TUCUMAN 14"/>
    <x v="1422"/>
    <n v="2116675.71"/>
    <x v="163"/>
    <x v="0"/>
    <s v="pagado"/>
    <s v="pagado"/>
    <s v="excluir"/>
    <s v="no semana"/>
    <x v="0"/>
  </r>
  <r>
    <n v="3000006639"/>
    <d v="2025-11-04T00:00:00"/>
    <n v="2130139.5"/>
    <s v="MAC DONALD MIGUEL ALEJANDRO BANDA DEL RIO SALI 14"/>
    <x v="1423"/>
    <n v="2130139.5"/>
    <x v="163"/>
    <x v="0"/>
    <s v="pagado"/>
    <s v="pagado"/>
    <s v="excluir"/>
    <s v="no semana"/>
    <x v="0"/>
  </r>
  <r>
    <n v="3000006640"/>
    <d v="2025-11-04T00:00:00"/>
    <n v="2479835.46"/>
    <s v="TRANSPORTE FRIOS DEL NORTE S.RSAN MIGUEL DE TUCUMAN 14"/>
    <x v="1424"/>
    <n v="2479835.46"/>
    <x v="163"/>
    <x v="0"/>
    <s v="pagado"/>
    <s v="pagado"/>
    <s v="excluir"/>
    <s v="no semana"/>
    <x v="0"/>
  </r>
  <r>
    <n v="3000006641"/>
    <d v="2025-11-04T00:00:00"/>
    <n v="2817243.4"/>
    <s v="Silver Freight Logistic SRL CAPITAL FEDERAL 00"/>
    <x v="1425"/>
    <n v="2817243.4"/>
    <x v="163"/>
    <x v="0"/>
    <s v="pagado"/>
    <s v="pagado"/>
    <s v="excluir"/>
    <s v="no semana"/>
    <x v="0"/>
  </r>
  <r>
    <n v="3000006642"/>
    <d v="2025-11-05T00:00:00"/>
    <n v="531975.6"/>
    <s v="BRUBERTURAS SAS CORDOBA 03"/>
    <x v="1426"/>
    <n v="531975.6"/>
    <x v="164"/>
    <x v="0"/>
    <s v="pagado"/>
    <s v="pagado"/>
    <s v="excluir"/>
    <s v="no semana"/>
    <x v="0"/>
  </r>
  <r>
    <n v="3000006737"/>
    <d v="2025-11-10T00:00:00"/>
    <n v="4389249.3"/>
    <s v="CAFELI S.R.L. SAN MIGUEL DE TUCUMAN 14"/>
    <x v="1427"/>
    <n v="4389249.3"/>
    <x v="164"/>
    <x v="0"/>
    <s v="pagado"/>
    <s v="pagado"/>
    <s v="excluir"/>
    <s v="no semana"/>
    <x v="0"/>
  </r>
  <r>
    <n v="3000006738"/>
    <d v="2025-11-10T00:00:00"/>
    <n v="21785811"/>
    <s v="CAMPOAGRO SRL YERBA BUENA 14"/>
    <x v="1428"/>
    <n v="21785811"/>
    <x v="164"/>
    <x v="0"/>
    <s v="pagado"/>
    <s v="pagado"/>
    <s v="excluir"/>
    <s v="no semana"/>
    <x v="0"/>
  </r>
  <r>
    <n v="3000006739"/>
    <d v="2025-11-10T00:00:00"/>
    <n v="2009038.5"/>
    <s v="M.A.D Serv y mant eléctri SAN MIGUEL DE TUCUMAN 14"/>
    <x v="1429"/>
    <n v="2009038.5"/>
    <x v="164"/>
    <x v="0"/>
    <s v="pagado"/>
    <s v="pagado"/>
    <s v="excluir"/>
    <s v="no semana"/>
    <x v="0"/>
  </r>
  <r>
    <n v="3000006740"/>
    <d v="2025-11-10T00:00:00"/>
    <n v="39545843.399999999"/>
    <s v="Jeblab S.R.L. YERBA BUENA 14"/>
    <x v="1430"/>
    <n v="39545843.399999999"/>
    <x v="164"/>
    <x v="0"/>
    <s v="pagado"/>
    <s v="pagado"/>
    <s v="excluir"/>
    <s v="no semana"/>
    <x v="0"/>
  </r>
  <r>
    <n v="3000006741"/>
    <d v="2025-11-10T00:00:00"/>
    <n v="9920667.9900000002"/>
    <s v="ZYMO SA SAN MIGUEL DE TUCUMAN 00"/>
    <x v="1431"/>
    <n v="9920667.9900000002"/>
    <x v="164"/>
    <x v="0"/>
    <s v="pagado"/>
    <s v="pagado"/>
    <s v="excluir"/>
    <s v="no semana"/>
    <x v="0"/>
  </r>
  <r>
    <n v="3000006742"/>
    <d v="2025-11-10T00:00:00"/>
    <n v="6646368.8399999999"/>
    <s v="RODRIGO HEREDIA PUIG LASTENIA 14"/>
    <x v="1432"/>
    <n v="6646368.8399999999"/>
    <x v="164"/>
    <x v="0"/>
    <s v="pagado"/>
    <s v="pagado"/>
    <s v="excluir"/>
    <s v="no semana"/>
    <x v="0"/>
  </r>
  <r>
    <n v="3000006743"/>
    <d v="2025-11-10T00:00:00"/>
    <n v="11332905.9"/>
    <s v="SOLUCIONES RANDSTAD S.A ROSARIO 12"/>
    <x v="1433"/>
    <n v="11332905.9"/>
    <x v="164"/>
    <x v="0"/>
    <s v="pagado"/>
    <s v="pagado"/>
    <s v="excluir"/>
    <s v="no semana"/>
    <x v="0"/>
  </r>
  <r>
    <n v="3000006744"/>
    <d v="2025-11-10T00:00:00"/>
    <n v="257392138.49000001"/>
    <s v="CATALANA DE SERVICIOS SRL YERBA BUENA 14"/>
    <x v="1434"/>
    <n v="257392138.49000001"/>
    <x v="164"/>
    <x v="0"/>
    <s v="pagado"/>
    <s v="pagado"/>
    <s v="excluir"/>
    <s v="no semana"/>
    <x v="0"/>
  </r>
  <r>
    <n v="3000006765"/>
    <d v="2025-11-11T00:00:00"/>
    <n v="16617614.359999999"/>
    <s v="TRUSARELLI CARLOS ALBERTO BANDA DEL RIO SALI 14"/>
    <x v="1435"/>
    <n v="16617614.359999999"/>
    <x v="165"/>
    <x v="0"/>
    <s v="pagado"/>
    <s v="pagado"/>
    <s v="excluir"/>
    <s v="no semana"/>
    <x v="0"/>
  </r>
  <r>
    <n v="3000006767"/>
    <d v="2025-11-11T00:00:00"/>
    <n v="30711064.57"/>
    <s v="M. AMUCHASTEGUI S. R. L. YERBA BUENA 14"/>
    <x v="1436"/>
    <n v="30711064.57"/>
    <x v="164"/>
    <x v="0"/>
    <s v="pagado"/>
    <s v="pagado"/>
    <s v="excluir"/>
    <s v="no semana"/>
    <x v="0"/>
  </r>
  <r>
    <n v="3000006768"/>
    <d v="2025-11-11T00:00:00"/>
    <n v="2064992.85"/>
    <s v="SANTILLI CARLOS MIGUEL SAN MIGUEL DE TUCUMAN 14"/>
    <x v="1437"/>
    <n v="2064992.85"/>
    <x v="165"/>
    <x v="0"/>
    <s v="pagado"/>
    <s v="pagado"/>
    <s v="excluir"/>
    <s v="no semana"/>
    <x v="0"/>
  </r>
  <r>
    <n v="3000006769"/>
    <d v="2025-11-11T00:00:00"/>
    <n v="2845626.36"/>
    <s v="BESTANI LEANDRO EXEQUIEL SAN MIGUEL DE TUCUMAN 14"/>
    <x v="1438"/>
    <n v="2845626.36"/>
    <x v="165"/>
    <x v="0"/>
    <s v="pagado"/>
    <s v="pagado"/>
    <s v="excluir"/>
    <s v="no semana"/>
    <x v="0"/>
  </r>
  <r>
    <n v="3000006770"/>
    <d v="2025-11-11T00:00:00"/>
    <n v="3121289.61"/>
    <s v="MERCATOR TRANSPORT ARGENTINA SBUENOS AIRES 01"/>
    <x v="1439"/>
    <n v="3121289.61"/>
    <x v="165"/>
    <x v="0"/>
    <s v="pagado"/>
    <s v="pagado"/>
    <s v="excluir"/>
    <s v="no semana"/>
    <x v="0"/>
  </r>
  <r>
    <n v="3000006771"/>
    <d v="2025-11-11T00:00:00"/>
    <n v="2220197.81"/>
    <s v="Exolgan S.A. Dock Sud 01"/>
    <x v="1440"/>
    <n v="2220197.81"/>
    <x v="165"/>
    <x v="0"/>
    <s v="pagado"/>
    <s v="pagado"/>
    <s v="excluir"/>
    <s v="no semana"/>
    <x v="0"/>
  </r>
  <r>
    <n v="3000006772"/>
    <d v="2025-11-11T00:00:00"/>
    <n v="19048570.100000001"/>
    <s v="RL SOLUCIONES S. A. S. SAN MIGUEL DE TUCUMAN 14"/>
    <x v="1441"/>
    <n v="19048570.100000001"/>
    <x v="165"/>
    <x v="0"/>
    <s v="pagado"/>
    <s v="pagado"/>
    <s v="excluir"/>
    <s v="no semana"/>
    <x v="0"/>
  </r>
  <r>
    <n v="3000006773"/>
    <d v="2025-11-11T00:00:00"/>
    <n v="2116507.79"/>
    <s v="VILLAGRA VELEZ ROQUE RICARDO SAN MIGUEL DE TUCUMAN 14"/>
    <x v="1442"/>
    <n v="2116507.79"/>
    <x v="165"/>
    <x v="0"/>
    <s v="pagado"/>
    <s v="pagado"/>
    <s v="excluir"/>
    <s v="no semana"/>
    <x v="0"/>
  </r>
  <r>
    <n v="3000006774"/>
    <d v="2025-11-11T00:00:00"/>
    <n v="10649857.9"/>
    <s v="MAC DONALD MIGUEL ALEJANDRO BANDA DEL RIO SALI 14"/>
    <x v="1443"/>
    <n v="10649857.9"/>
    <x v="165"/>
    <x v="0"/>
    <s v="pagado"/>
    <s v="pagado"/>
    <s v="excluir"/>
    <s v="no semana"/>
    <x v="0"/>
  </r>
  <r>
    <n v="3000006775"/>
    <d v="2025-11-11T00:00:00"/>
    <n v="2129971.58"/>
    <s v="CEMEVA SAS YERBA BUENA 14"/>
    <x v="1444"/>
    <n v="2129971.58"/>
    <x v="165"/>
    <x v="0"/>
    <s v="pagado"/>
    <s v="pagado"/>
    <s v="excluir"/>
    <s v="no semana"/>
    <x v="0"/>
  </r>
  <r>
    <n v="3000006776"/>
    <d v="2025-11-11T00:00:00"/>
    <n v="4190982.71"/>
    <s v="JACQUET NORBERTO SALVADOR SAN JOSE 05"/>
    <x v="1445"/>
    <n v="4190982.71"/>
    <x v="165"/>
    <x v="0"/>
    <s v="pagado"/>
    <s v="pagado"/>
    <s v="excluir"/>
    <s v="no semana"/>
    <x v="0"/>
  </r>
  <r>
    <n v="3000006777"/>
    <d v="2025-11-11T00:00:00"/>
    <n v="8537838.0299999993"/>
    <s v="CAPETTA ANTONELLA ANAHI SAN MIGUEL DE TUCUMAN 14"/>
    <x v="1446"/>
    <n v="8537838.0299999993"/>
    <x v="165"/>
    <x v="0"/>
    <s v="pagado"/>
    <s v="pagado"/>
    <s v="excluir"/>
    <s v="no semana"/>
    <x v="0"/>
  </r>
  <r>
    <n v="3000006778"/>
    <d v="2025-11-11T00:00:00"/>
    <n v="12521110.18"/>
    <s v="DHL Express (Arg.) S.A. CAPITAL FEDERAL 00"/>
    <x v="1447"/>
    <n v="12521110.18"/>
    <x v="165"/>
    <x v="0"/>
    <s v="pagado"/>
    <s v="pagado"/>
    <s v="excluir"/>
    <s v="no semana"/>
    <x v="0"/>
  </r>
  <r>
    <n v="3000006779"/>
    <d v="2025-11-11T00:00:00"/>
    <n v="1018807.64"/>
    <s v="PAMPLONA SRL SAN MIGUEL DE TUCUMAN 14"/>
    <x v="1448"/>
    <n v="1018807.64"/>
    <x v="165"/>
    <x v="0"/>
    <s v="pagado"/>
    <s v="pagado"/>
    <s v="excluir"/>
    <s v="no semana"/>
    <x v="0"/>
  </r>
  <r>
    <n v="3000006780"/>
    <d v="2025-11-11T00:00:00"/>
    <n v="7994703.4400000004"/>
    <s v="SAUCE HUACHO SERVICIOS S.R.L MONTEROS 14"/>
    <x v="1449"/>
    <n v="7994703.4400000004"/>
    <x v="165"/>
    <x v="0"/>
    <s v="pagado"/>
    <s v="pagado"/>
    <s v="excluir"/>
    <s v="no semana"/>
    <x v="0"/>
  </r>
  <r>
    <n v="3000006781"/>
    <d v="2025-11-11T00:00:00"/>
    <n v="1506749.02"/>
    <s v="TRANSPORTE MEDINA S.H. CRUZ ALTA 14"/>
    <x v="1450"/>
    <n v="1506749.02"/>
    <x v="165"/>
    <x v="0"/>
    <s v="pagado"/>
    <s v="pagado"/>
    <s v="excluir"/>
    <s v="no semana"/>
    <x v="0"/>
  </r>
  <r>
    <n v="3000006861"/>
    <d v="2025-11-17T00:00:00"/>
    <n v="25981987.07"/>
    <s v="EDET S.A. SAN MIGUEL DE TUCUMAN 14"/>
    <x v="1451"/>
    <n v="25981987.07"/>
    <x v="128"/>
    <x v="2"/>
    <s v="pagado"/>
    <s v="pagado"/>
    <s v="excluir"/>
    <s v="no semana"/>
    <x v="0"/>
  </r>
  <r>
    <n v="3000006892"/>
    <d v="2025-11-17T00:00:00"/>
    <n v="17748951.82"/>
    <s v="Establecimiento Minero Sofia SElena 03"/>
    <x v="1452"/>
    <n v="17748951.82"/>
    <x v="166"/>
    <x v="2"/>
    <s v="pagado"/>
    <s v="pagado"/>
    <s v="excluir"/>
    <s v="no semana"/>
    <x v="0"/>
  </r>
  <r>
    <n v="3000006893"/>
    <d v="2025-11-17T00:00:00"/>
    <n v="7473752"/>
    <s v="Asoc. Coop.Fac.Cie.Exac.y Tec.SAN MIGUEL DE TUCUMAN 14"/>
    <x v="1453"/>
    <n v="7473752"/>
    <x v="166"/>
    <x v="2"/>
    <s v="pagado"/>
    <s v="pagado"/>
    <s v="excluir"/>
    <s v="no semana"/>
    <x v="0"/>
  </r>
  <r>
    <n v="3000006894"/>
    <d v="2025-11-17T00:00:00"/>
    <n v="7169433.54"/>
    <s v="CATALANA DE SERVICIOS SRL YERBA BUENA 14"/>
    <x v="1454"/>
    <n v="7169433.54"/>
    <x v="166"/>
    <x v="2"/>
    <s v="pagado"/>
    <s v="pagado"/>
    <s v="excluir"/>
    <s v="no semana"/>
    <x v="0"/>
  </r>
  <r>
    <n v="3000006895"/>
    <d v="2025-11-17T00:00:00"/>
    <n v="4643387.4000000004"/>
    <s v="Produccion S.A. SAN MIGUEL DE TUCUMAN 14"/>
    <x v="1455"/>
    <n v="4643387.4000000004"/>
    <x v="166"/>
    <x v="2"/>
    <s v="pagado"/>
    <s v="pagado"/>
    <s v="excluir"/>
    <s v="no semana"/>
    <x v="0"/>
  </r>
  <r>
    <n v="3000006896"/>
    <d v="2025-11-17T00:00:00"/>
    <n v="5790244.4900000002"/>
    <s v="J. SLEIMAN S.R.L SAN MIGUEL DE TUCUMAN 14"/>
    <x v="1456"/>
    <n v="5790244.4900000002"/>
    <x v="166"/>
    <x v="2"/>
    <s v="pagado"/>
    <s v="pagado"/>
    <s v="excluir"/>
    <s v="no semana"/>
    <x v="0"/>
  </r>
  <r>
    <n v="3000006897"/>
    <d v="2025-11-17T00:00:00"/>
    <n v="9646544.2400000002"/>
    <s v="VERON MARIANA BEATRIZ NUEVA ESPERANZA 13"/>
    <x v="1457"/>
    <n v="9646544.2400000002"/>
    <x v="166"/>
    <x v="2"/>
    <s v="pagado"/>
    <s v="pagado"/>
    <s v="excluir"/>
    <s v="no semana"/>
    <x v="0"/>
  </r>
  <r>
    <n v="3000006923"/>
    <d v="2025-11-18T00:00:00"/>
    <n v="7000000"/>
    <s v="ECOGREEN SRL SAN MIGUEL DE TUCUMAN 14"/>
    <x v="1458"/>
    <n v="7000000"/>
    <x v="166"/>
    <x v="0"/>
    <s v="pagado"/>
    <s v="pagado"/>
    <s v="excluir"/>
    <s v="no semana"/>
    <x v="0"/>
  </r>
  <r>
    <n v="3000006923"/>
    <d v="2025-11-18T00:00:00"/>
    <n v="7000000"/>
    <s v="ECOGREEN SRL SAN MIGUEL DE TUCUMAN 14"/>
    <x v="1459"/>
    <n v="7000000"/>
    <x v="166"/>
    <x v="0"/>
    <s v="pagado"/>
    <s v="pagado"/>
    <s v="excluir"/>
    <s v="no semana"/>
    <x v="0"/>
  </r>
  <r>
    <n v="3000006923"/>
    <d v="2025-11-18T00:00:00"/>
    <n v="6794043.9699999997"/>
    <s v="ECOGREEN SRL SAN MIGUEL DE TUCUMAN 14"/>
    <x v="1460"/>
    <n v="6794043.9699999997"/>
    <x v="166"/>
    <x v="0"/>
    <s v="pagado"/>
    <s v="pagado"/>
    <s v="excluir"/>
    <s v="no semana"/>
    <x v="0"/>
  </r>
  <r>
    <n v="3000006924"/>
    <d v="2025-11-18T00:00:00"/>
    <n v="12699046.73"/>
    <s v="RL SOLUCIONES S. A. S. SAN MIGUEL DE TUCUMAN 14"/>
    <x v="1461"/>
    <n v="12699046.73"/>
    <x v="142"/>
    <x v="0"/>
    <s v="pagado"/>
    <s v="pagado"/>
    <s v="excluir"/>
    <s v="no semana"/>
    <x v="0"/>
  </r>
  <r>
    <n v="3000006925"/>
    <d v="2025-11-18T00:00:00"/>
    <n v="4259943.16"/>
    <s v="MAC DONALD MIGUEL ALEJANDRO BANDA DEL RIO SALI 14"/>
    <x v="1462"/>
    <n v="4259943.16"/>
    <x v="142"/>
    <x v="0"/>
    <s v="pagado"/>
    <s v="pagado"/>
    <s v="excluir"/>
    <s v="no semana"/>
    <x v="0"/>
  </r>
  <r>
    <n v="3000006926"/>
    <d v="2025-11-18T00:00:00"/>
    <n v="4259943.16"/>
    <s v="CEMEVA SAS YERBA BUENA 14"/>
    <x v="1463"/>
    <n v="4259943.16"/>
    <x v="142"/>
    <x v="0"/>
    <s v="pagado"/>
    <s v="pagado"/>
    <s v="excluir"/>
    <s v="no semana"/>
    <x v="0"/>
  </r>
  <r>
    <n v="3000006927"/>
    <d v="2025-11-18T00:00:00"/>
    <n v="2116507.79"/>
    <s v="VILLAGRA VELEZ ROQUE RICARDO SAN MIGUEL DE TUCUMAN 14"/>
    <x v="1464"/>
    <n v="2116507.79"/>
    <x v="142"/>
    <x v="0"/>
    <s v="pagado"/>
    <s v="pagado"/>
    <s v="excluir"/>
    <s v="no semana"/>
    <x v="0"/>
  </r>
  <r>
    <n v="3000006928"/>
    <d v="2025-11-18T00:00:00"/>
    <n v="12806757.050000001"/>
    <s v="CAPETTA ANTONELLA ANAHI SAN MIGUEL DE TUCUMAN 14"/>
    <x v="1465"/>
    <n v="12806757.050000001"/>
    <x v="142"/>
    <x v="0"/>
    <s v="pagado"/>
    <s v="pagado"/>
    <s v="excluir"/>
    <s v="no semana"/>
    <x v="0"/>
  </r>
  <r>
    <n v="3000006929"/>
    <d v="2025-11-18T00:00:00"/>
    <n v="7214150.79"/>
    <s v="CONTROL UNION NORTE S.A YERBA BUENA 14"/>
    <x v="1466"/>
    <n v="7214150.79"/>
    <x v="142"/>
    <x v="0"/>
    <s v="pagado"/>
    <s v="pagado"/>
    <s v="excluir"/>
    <s v="no semana"/>
    <x v="0"/>
  </r>
  <r>
    <n v="3000006930"/>
    <d v="2025-11-18T00:00:00"/>
    <n v="13879757.4"/>
    <s v="Terminal 4 S.A. Puerto Nuevo 01"/>
    <x v="1467"/>
    <n v="13879757.4"/>
    <x v="142"/>
    <x v="0"/>
    <s v="pagado"/>
    <s v="pagado"/>
    <s v="excluir"/>
    <s v="no semana"/>
    <x v="0"/>
  </r>
  <r>
    <n v="3000006962"/>
    <d v="2025-11-20T00:00:00"/>
    <n v="154825260"/>
    <s v="EDET S.A. SAN MIGUEL DE TUCUMAN 14"/>
    <x v="1468"/>
    <n v="154825260"/>
    <x v="142"/>
    <x v="2"/>
    <s v="pagado"/>
    <s v="pagado"/>
    <s v="excluir"/>
    <s v="no semana"/>
    <x v="0"/>
  </r>
  <r>
    <n v="3000007007"/>
    <d v="2025-11-25T00:00:00"/>
    <n v="8939507.4000000004"/>
    <s v="TEKNOS TECHNOLOGY GROUP SA CAPITAL FEDERAL 00"/>
    <x v="1469"/>
    <n v="8939507.4000000004"/>
    <x v="167"/>
    <x v="2"/>
    <s v="pagado"/>
    <s v="pagado"/>
    <s v="excluir"/>
    <s v="no semana"/>
    <x v="0"/>
  </r>
  <r>
    <n v="3000007008"/>
    <d v="2025-11-25T00:00:00"/>
    <n v="4249728"/>
    <s v="CITRUSIMON S.A.S SAN MIGUEL DE TUCUMAN 14"/>
    <x v="1470"/>
    <n v="4249728"/>
    <x v="167"/>
    <x v="2"/>
    <s v="pagado"/>
    <s v="pagado"/>
    <s v="excluir"/>
    <s v="no semana"/>
    <x v="0"/>
  </r>
  <r>
    <n v="3000007009"/>
    <d v="2025-11-25T00:00:00"/>
    <n v="28490204.57"/>
    <s v="Consultoria en Tecnologia de IBUENOS AIRES 00"/>
    <x v="1471"/>
    <n v="28490204.57"/>
    <x v="167"/>
    <x v="2"/>
    <s v="pagado"/>
    <s v="pagado"/>
    <s v="excluir"/>
    <s v="no semana"/>
    <x v="0"/>
  </r>
  <r>
    <n v="3000007010"/>
    <d v="2025-11-25T00:00:00"/>
    <n v="4190802"/>
    <s v="M.A.D Serv y mant eléctri SAN MIGUEL DE TUCUMAN 14"/>
    <x v="1472"/>
    <n v="4190802"/>
    <x v="167"/>
    <x v="2"/>
    <s v="pagado"/>
    <s v="pagado"/>
    <s v="excluir"/>
    <s v="no semana"/>
    <x v="0"/>
  </r>
  <r>
    <n v="3000007011"/>
    <d v="2025-11-25T00:00:00"/>
    <n v="3964795.28"/>
    <s v="RASUK JORGE LUIS YERBA BUENA 14"/>
    <x v="1473"/>
    <n v="3964795.28"/>
    <x v="167"/>
    <x v="2"/>
    <s v="pagado"/>
    <s v="pagado"/>
    <s v="excluir"/>
    <s v="no semana"/>
    <x v="0"/>
  </r>
  <r>
    <n v="3000007012"/>
    <d v="2025-11-25T00:00:00"/>
    <n v="22019418.219999999"/>
    <s v="CONSTRUNOA S.A.S. ORAN 09"/>
    <x v="1474"/>
    <n v="22019418.219999999"/>
    <x v="167"/>
    <x v="2"/>
    <s v="pagado"/>
    <s v="pagado"/>
    <s v="excluir"/>
    <s v="no semana"/>
    <x v="0"/>
  </r>
  <r>
    <n v="3000007013"/>
    <d v="2025-11-25T00:00:00"/>
    <n v="4977844.2"/>
    <s v="CAMPOAGRO SRL YERBA BUENA 14"/>
    <x v="1475"/>
    <n v="4977844.2"/>
    <x v="167"/>
    <x v="2"/>
    <s v="pagado"/>
    <s v="pagado"/>
    <s v="excluir"/>
    <s v="no semana"/>
    <x v="0"/>
  </r>
  <r>
    <n v="3000007014"/>
    <d v="2025-11-25T00:00:00"/>
    <n v="24394399.27"/>
    <s v="ROMERO SERVICIOS S. A. S. ALPACHIRI 14"/>
    <x v="1476"/>
    <n v="24394399.27"/>
    <x v="167"/>
    <x v="2"/>
    <s v="pagado"/>
    <s v="pagado"/>
    <s v="excluir"/>
    <s v="no semana"/>
    <x v="0"/>
  </r>
  <r>
    <n v="3000007015"/>
    <d v="2025-11-25T00:00:00"/>
    <n v="20035776.559999999"/>
    <s v="PAMPLONA SRL SAN MIGUEL DE TUCUMAN 14"/>
    <x v="1477"/>
    <n v="20035776.559999999"/>
    <x v="167"/>
    <x v="2"/>
    <s v="pagado"/>
    <s v="pagado"/>
    <s v="excluir"/>
    <s v="no semana"/>
    <x v="0"/>
  </r>
  <r>
    <n v="3000007016"/>
    <d v="2025-11-25T00:00:00"/>
    <n v="39490309.859999999"/>
    <s v="TRUSARELLI CARLOS ALBERTO BANDA DEL RIO SALI 14"/>
    <x v="1478"/>
    <n v="39490309.859999999"/>
    <x v="167"/>
    <x v="2"/>
    <s v="pagado"/>
    <s v="pagado"/>
    <s v="excluir"/>
    <s v="no semana"/>
    <x v="0"/>
  </r>
  <r>
    <n v="3000007017"/>
    <d v="2025-11-25T00:00:00"/>
    <n v="232695124.11000001"/>
    <s v="CATALANA DE SERVICIOS SRL YERBA BUENA 14"/>
    <x v="1479"/>
    <n v="232695124.11000001"/>
    <x v="167"/>
    <x v="2"/>
    <s v="pagado"/>
    <s v="pagado"/>
    <s v="excluir"/>
    <s v="no semana"/>
    <x v="0"/>
  </r>
  <r>
    <n v="3000007018"/>
    <d v="2025-11-25T00:00:00"/>
    <n v="15915466.189999999"/>
    <s v="Establecimiento Minero Sofia SElena 03"/>
    <x v="1480"/>
    <n v="15915466.189999999"/>
    <x v="168"/>
    <x v="2"/>
    <s v="pagado"/>
    <s v="pagado"/>
    <s v="excluir"/>
    <s v="no semana"/>
    <x v="0"/>
  </r>
  <r>
    <n v="3000007019"/>
    <d v="2025-11-25T00:00:00"/>
    <n v="32131914.460000001"/>
    <s v="DECU3 S.R.L. YERBA BUENA 14"/>
    <x v="1481"/>
    <n v="32131914.460000001"/>
    <x v="167"/>
    <x v="2"/>
    <s v="pagado"/>
    <s v="pagado"/>
    <s v="excluir"/>
    <s v="no semana"/>
    <x v="0"/>
  </r>
  <r>
    <n v="3000007020"/>
    <d v="2025-11-25T00:00:00"/>
    <n v="5416505.7800000003"/>
    <s v="Refrigeracion Norte S.R.L. SAN MIGUEL DE TUCUMAN 14"/>
    <x v="1482"/>
    <n v="5416505.7800000003"/>
    <x v="167"/>
    <x v="2"/>
    <s v="pagado"/>
    <s v="pagado"/>
    <s v="excluir"/>
    <s v="no semana"/>
    <x v="0"/>
  </r>
  <r>
    <n v="3000007021"/>
    <d v="2025-11-25T00:00:00"/>
    <n v="5674825.6799999997"/>
    <s v="A.F.Gentile Tucumán S.A. SAN MIGUEL DE TUCUMAN 14"/>
    <x v="1483"/>
    <n v="5674825.6799999997"/>
    <x v="167"/>
    <x v="2"/>
    <s v="pagado"/>
    <s v="pagado"/>
    <s v="excluir"/>
    <s v="no semana"/>
    <x v="0"/>
  </r>
  <r>
    <n v="3000007022"/>
    <d v="2025-11-25T00:00:00"/>
    <n v="4017666.5"/>
    <s v="Cia. Azucarera Los Balcanes S.Ingenio La Florida 14"/>
    <x v="1484"/>
    <n v="4017666.5"/>
    <x v="167"/>
    <x v="2"/>
    <s v="pagado"/>
    <s v="pagado"/>
    <s v="excluir"/>
    <s v="no semana"/>
    <x v="0"/>
  </r>
  <r>
    <n v="3000007023"/>
    <d v="2025-11-25T00:00:00"/>
    <n v="14941216.560000001"/>
    <s v="CAPETTA ANTONELLA ANAHI SAN MIGUEL DE TUCUMAN 14"/>
    <x v="1485"/>
    <n v="14941216.560000001"/>
    <x v="167"/>
    <x v="2"/>
    <s v="pagado"/>
    <s v="pagado"/>
    <s v="excluir"/>
    <s v="no semana"/>
    <x v="0"/>
  </r>
  <r>
    <n v="3000007024"/>
    <d v="2025-11-25T00:00:00"/>
    <n v="2116675.71"/>
    <s v="LOGISTICA Y DISTRIBUCION FEDE CAPITAL FEDERAL 00"/>
    <x v="1486"/>
    <n v="2116675.71"/>
    <x v="167"/>
    <x v="2"/>
    <s v="pagado"/>
    <s v="pagado"/>
    <s v="excluir"/>
    <s v="no semana"/>
    <x v="0"/>
  </r>
  <r>
    <n v="3000007025"/>
    <d v="2025-11-25T00:00:00"/>
    <n v="6323502.0700000003"/>
    <s v="PETROARSA S.A SAN MIGUEL DE TUCUMAN 14"/>
    <x v="1487"/>
    <n v="6323502.0700000003"/>
    <x v="167"/>
    <x v="2"/>
    <s v="pagado"/>
    <s v="pagado"/>
    <s v="excluir"/>
    <s v="no semana"/>
    <x v="0"/>
  </r>
  <r>
    <n v="3000007026"/>
    <d v="2025-11-25T00:00:00"/>
    <n v="4259943.16"/>
    <s v="MAC DONALD MIGUEL ALEJANDRO BANDA DEL RIO SALI 14"/>
    <x v="1488"/>
    <n v="4259943.16"/>
    <x v="167"/>
    <x v="2"/>
    <s v="pagado"/>
    <s v="pagado"/>
    <s v="excluir"/>
    <s v="no semana"/>
    <x v="0"/>
  </r>
  <r>
    <n v="3000007027"/>
    <d v="2025-11-25T00:00:00"/>
    <n v="4233015.58"/>
    <s v="JACQUET NORBERTO SALVADOR SAN JOSE 05"/>
    <x v="1489"/>
    <n v="4233015.58"/>
    <x v="167"/>
    <x v="2"/>
    <s v="pagado"/>
    <s v="pagado"/>
    <s v="excluir"/>
    <s v="no semana"/>
    <x v="0"/>
  </r>
  <r>
    <n v="3000007028"/>
    <d v="2025-11-25T00:00:00"/>
    <n v="6906900"/>
    <s v="Silver Freight Logistic SRL CAPITAL FEDERAL 00"/>
    <x v="1490"/>
    <n v="6906900"/>
    <x v="167"/>
    <x v="2"/>
    <s v="pagado"/>
    <s v="pagado"/>
    <s v="excluir"/>
    <s v="no semana"/>
    <x v="0"/>
  </r>
  <r>
    <n v="3000007029"/>
    <d v="2025-11-25T00:00:00"/>
    <n v="1416155.23"/>
    <s v="RL SOLUCIONES S. A. S. SAN MIGUEL DE TUCUMAN 14"/>
    <x v="1491"/>
    <n v="1416155.23"/>
    <x v="167"/>
    <x v="2"/>
    <s v="pagado"/>
    <s v="pagado"/>
    <s v="excluir"/>
    <s v="no semana"/>
    <x v="0"/>
  </r>
  <r>
    <n v="3000007031"/>
    <d v="2025-11-26T00:00:00"/>
    <n v="2957550"/>
    <s v="EDET S.A. SAN MIGUEL DE TUCUMAN 14"/>
    <x v="1492"/>
    <n v="2957550"/>
    <x v="169"/>
    <x v="2"/>
    <s v="pagado"/>
    <s v="pagado"/>
    <s v="excluir"/>
    <s v="no semana"/>
    <x v="0"/>
  </r>
  <r>
    <n v="3000007070"/>
    <d v="2025-11-27T00:00:00"/>
    <n v="35799705"/>
    <s v="Siner S.A. Los Pocitos - T.Viejo 14"/>
    <x v="1493"/>
    <n v="35799705"/>
    <x v="170"/>
    <x v="0"/>
    <s v="pagado"/>
    <s v="pagado"/>
    <s v="excluir"/>
    <s v="no semana"/>
    <x v="0"/>
  </r>
  <r>
    <n v="3000007070"/>
    <d v="2025-11-27T00:00:00"/>
    <n v="35813360.630000003"/>
    <s v="Siner S.A. Los Pocitos - T.Viejo 14"/>
    <x v="1494"/>
    <n v="35813360.630000003"/>
    <x v="171"/>
    <x v="0"/>
    <s v="pagado"/>
    <s v="pagado"/>
    <s v="excluir"/>
    <s v="no semana"/>
    <x v="0"/>
  </r>
  <r>
    <n v="3000007116"/>
    <d v="2025-12-01T00:00:00"/>
    <n v="7953819.8600000003"/>
    <s v="Libreria San Pablo S.R.L. SAN MIGUEL DE TUCUMAN 14"/>
    <x v="1495"/>
    <n v="7953819.8600000003"/>
    <x v="154"/>
    <x v="0"/>
    <s v="pagado"/>
    <s v="pagado"/>
    <s v="excluir"/>
    <s v="no semana"/>
    <x v="0"/>
  </r>
  <r>
    <n v="3000007117"/>
    <d v="2025-12-01T00:00:00"/>
    <n v="8575630"/>
    <s v="Buloneria Reginato S.R.L SAN MIGUEL DE TUCUMAN 14"/>
    <x v="1496"/>
    <n v="8575630"/>
    <x v="154"/>
    <x v="0"/>
    <s v="pagado"/>
    <s v="pagado"/>
    <s v="excluir"/>
    <s v="no semana"/>
    <x v="0"/>
  </r>
  <r>
    <n v="3000007118"/>
    <d v="2025-12-01T00:00:00"/>
    <n v="10449918.32"/>
    <s v="SMART SEGURIDAD SA YERBA BUENA 14"/>
    <x v="1497"/>
    <n v="10449918.32"/>
    <x v="154"/>
    <x v="0"/>
    <s v="pagado"/>
    <s v="pagado"/>
    <s v="excluir"/>
    <s v="no semana"/>
    <x v="0"/>
  </r>
  <r>
    <n v="3000007119"/>
    <d v="2025-12-01T00:00:00"/>
    <n v="9868180"/>
    <s v="TUCUMAN PALLET SRL EL MANANTIAL 14"/>
    <x v="1498"/>
    <n v="9868180"/>
    <x v="154"/>
    <x v="0"/>
    <s v="pagado"/>
    <s v="pagado"/>
    <s v="excluir"/>
    <s v="no semana"/>
    <x v="0"/>
  </r>
  <r>
    <n v="3000007150"/>
    <d v="2025-12-03T00:00:00"/>
    <n v="2501590.2599999998"/>
    <s v="AGROGANADERA DEL NOA CEVIL POZO 14"/>
    <x v="1499"/>
    <n v="2501590.2599999998"/>
    <x v="172"/>
    <x v="0"/>
    <s v="pagado"/>
    <s v="pagado"/>
    <s v="excluir"/>
    <s v="no semana"/>
    <x v="0"/>
  </r>
  <r>
    <n v="3000007150"/>
    <d v="2025-12-03T00:00:00"/>
    <n v="2837277.53"/>
    <s v="AGROGANADERA DEL NOA CEVIL POZO 14"/>
    <x v="1500"/>
    <n v="2837277.53"/>
    <x v="172"/>
    <x v="0"/>
    <s v="pagado"/>
    <s v="pagado"/>
    <s v="excluir"/>
    <s v="no semana"/>
    <x v="0"/>
  </r>
  <r>
    <n v="3000007150"/>
    <d v="2025-12-03T00:00:00"/>
    <n v="2770188.59"/>
    <s v="AGROGANADERA DEL NOA CEVIL POZO 14"/>
    <x v="1501"/>
    <n v="2770188.59"/>
    <x v="172"/>
    <x v="0"/>
    <s v="pagado"/>
    <s v="pagado"/>
    <s v="excluir"/>
    <s v="no semana"/>
    <x v="0"/>
  </r>
  <r>
    <n v="3000007150"/>
    <d v="2025-12-03T00:00:00"/>
    <n v="21393190.530000001"/>
    <s v="AGROGANADERA DEL NOA CEVIL POZO 14"/>
    <x v="1502"/>
    <n v="21393190.530000001"/>
    <x v="173"/>
    <x v="0"/>
    <s v="pagado"/>
    <s v="pagado"/>
    <s v="excluir"/>
    <s v="no semana"/>
    <x v="0"/>
  </r>
  <r>
    <n v="3000007150"/>
    <d v="2025-12-03T00:00:00"/>
    <n v="5192070"/>
    <s v="AGROGANADERA DEL NOA CEVIL POZO 14"/>
    <x v="1503"/>
    <n v="5192070"/>
    <x v="172"/>
    <x v="0"/>
    <s v="pagado"/>
    <s v="pagado"/>
    <s v="excluir"/>
    <s v="no semana"/>
    <x v="0"/>
  </r>
  <r>
    <n v="3000007150"/>
    <d v="2025-12-03T00:00:00"/>
    <n v="6441349.8799999999"/>
    <s v="AGROGANADERA DEL NOA CEVIL POZO 14"/>
    <x v="1504"/>
    <n v="6441349.8799999999"/>
    <x v="172"/>
    <x v="0"/>
    <s v="pagado"/>
    <s v="pagado"/>
    <s v="excluir"/>
    <s v="no semana"/>
    <x v="0"/>
  </r>
  <r>
    <n v="3000007150"/>
    <d v="2025-12-03T00:00:00"/>
    <n v="3727019.63"/>
    <s v="AGROGANADERA DEL NOA CEVIL POZO 14"/>
    <x v="1505"/>
    <n v="3727019.63"/>
    <x v="172"/>
    <x v="0"/>
    <s v="pagado"/>
    <s v="pagado"/>
    <s v="excluir"/>
    <s v="no semana"/>
    <x v="0"/>
  </r>
  <r>
    <n v="3000007150"/>
    <d v="2025-12-03T00:00:00"/>
    <n v="3063742.04"/>
    <s v="AGROGANADERA DEL NOA CEVIL POZO 14"/>
    <x v="1506"/>
    <n v="3063742.04"/>
    <x v="172"/>
    <x v="0"/>
    <s v="pagado"/>
    <s v="pagado"/>
    <s v="excluir"/>
    <s v="no semana"/>
    <x v="0"/>
  </r>
  <r>
    <n v="3000007150"/>
    <d v="2025-12-03T00:00:00"/>
    <n v="2366630"/>
    <s v="AGROGANADERA DEL NOA CEVIL POZO 14"/>
    <x v="1507"/>
    <n v="2366630"/>
    <x v="172"/>
    <x v="0"/>
    <s v="pagado"/>
    <s v="pagado"/>
    <s v="excluir"/>
    <s v="no semana"/>
    <x v="0"/>
  </r>
  <r>
    <n v="3000007150"/>
    <d v="2025-12-03T00:00:00"/>
    <n v="8251343.4000000004"/>
    <s v="AGROGANADERA DEL NOA CEVIL POZO 14"/>
    <x v="1508"/>
    <n v="8251343.4000000004"/>
    <x v="172"/>
    <x v="0"/>
    <s v="pagado"/>
    <s v="pagado"/>
    <s v="excluir"/>
    <s v="no semana"/>
    <x v="0"/>
  </r>
  <r>
    <n v="3000007150"/>
    <d v="2025-12-03T00:00:00"/>
    <n v="3862482.91"/>
    <s v="AGROGANADERA DEL NOA CEVIL POZO 14"/>
    <x v="1509"/>
    <n v="3862482.91"/>
    <x v="172"/>
    <x v="0"/>
    <s v="pagado"/>
    <s v="pagado"/>
    <s v="excluir"/>
    <s v="no semana"/>
    <x v="0"/>
  </r>
  <r>
    <n v="3000007150"/>
    <d v="2025-12-03T00:00:00"/>
    <n v="1319222.54"/>
    <s v="AGROGANADERA DEL NOA CEVIL POZO 14"/>
    <x v="1510"/>
    <n v="1319222.54"/>
    <x v="172"/>
    <x v="0"/>
    <s v="pagado"/>
    <s v="pagado"/>
    <s v="excluir"/>
    <s v="no semana"/>
    <x v="0"/>
  </r>
  <r>
    <n v="3000007181"/>
    <d v="2025-12-04T00:00:00"/>
    <n v="8056319.5999999996"/>
    <s v="Terminal 4 S.A. Puerto Nuevo 01"/>
    <x v="1511"/>
    <n v="8056319.5999999996"/>
    <x v="174"/>
    <x v="0"/>
    <s v="pagado"/>
    <s v="pagado"/>
    <s v="excluir"/>
    <s v="no semana"/>
    <x v="0"/>
  </r>
  <r>
    <n v="3000007182"/>
    <d v="2025-12-04T00:00:00"/>
    <n v="9910633.0299999993"/>
    <s v="Dsv Air &amp; Sea SA BUENOS AIRES 01"/>
    <x v="1512"/>
    <n v="9910633.0299999993"/>
    <x v="174"/>
    <x v="0"/>
    <s v="pagado"/>
    <s v="pagado"/>
    <s v="excluir"/>
    <s v="no semana"/>
    <x v="0"/>
  </r>
  <r>
    <n v="3000007183"/>
    <d v="2025-12-04T00:00:00"/>
    <n v="4260111.08"/>
    <s v="CEMEVA SAS YERBA BUENA 14"/>
    <x v="1513"/>
    <n v="4260111.08"/>
    <x v="174"/>
    <x v="0"/>
    <s v="pagado"/>
    <s v="pagado"/>
    <s v="excluir"/>
    <s v="no semana"/>
    <x v="0"/>
  </r>
  <r>
    <n v="3000007184"/>
    <d v="2025-12-04T00:00:00"/>
    <n v="12699214.65"/>
    <s v="RL SOLUCIONES S. A. S. SAN MIGUEL DE TUCUMAN 14"/>
    <x v="1514"/>
    <n v="12699214.65"/>
    <x v="174"/>
    <x v="0"/>
    <s v="pagado"/>
    <s v="pagado"/>
    <s v="excluir"/>
    <s v="no semana"/>
    <x v="0"/>
  </r>
  <r>
    <n v="3000007185"/>
    <d v="2025-12-04T00:00:00"/>
    <n v="4233183.5"/>
    <s v="JACQUET NORBERTO SALVADOR SAN JOSE 05"/>
    <x v="1515"/>
    <n v="4233183.5"/>
    <x v="174"/>
    <x v="0"/>
    <s v="pagado"/>
    <s v="pagado"/>
    <s v="excluir"/>
    <s v="no semana"/>
    <x v="0"/>
  </r>
  <r>
    <n v="3000007186"/>
    <d v="2025-12-04T00:00:00"/>
    <n v="15387483.01"/>
    <s v="CAPETTA ANTONELLA ANAHI SAN MIGUEL DE TUCUMAN 14"/>
    <x v="1516"/>
    <n v="15387483.01"/>
    <x v="174"/>
    <x v="0"/>
    <s v="pagado"/>
    <s v="pagado"/>
    <s v="excluir"/>
    <s v="no semana"/>
    <x v="0"/>
  </r>
  <r>
    <n v="3000007187"/>
    <d v="2025-12-04T00:00:00"/>
    <n v="4260111.08"/>
    <s v="MAC DONALD MIGUEL ALEJANDRO BANDA DEL RIO SALI 14"/>
    <x v="1517"/>
    <n v="4260111.08"/>
    <x v="174"/>
    <x v="0"/>
    <s v="pagado"/>
    <s v="pagado"/>
    <s v="excluir"/>
    <s v="no semana"/>
    <x v="0"/>
  </r>
  <r>
    <n v="3000007226"/>
    <d v="2025-12-09T00:00:00"/>
    <n v="22000000"/>
    <s v="HORMECO S.R.L SAN MIGUEL DE TUCUMAN 14"/>
    <x v="1518"/>
    <n v="22000000"/>
    <x v="175"/>
    <x v="0"/>
    <s v="pagado"/>
    <s v="pagado"/>
    <s v="excluir"/>
    <s v="no semana"/>
    <x v="0"/>
  </r>
  <r>
    <n v="3000007226"/>
    <d v="2025-12-09T00:00:00"/>
    <n v="22000000"/>
    <s v="HORMECO S.R.L SAN MIGUEL DE TUCUMAN 14"/>
    <x v="1519"/>
    <n v="22000000"/>
    <x v="176"/>
    <x v="0"/>
    <s v="pagado"/>
    <s v="pagado"/>
    <s v="excluir"/>
    <s v="no semana"/>
    <x v="0"/>
  </r>
  <r>
    <n v="3000007226"/>
    <d v="2025-12-09T00:00:00"/>
    <n v="21631711.25"/>
    <s v="HORMECO S.R.L SAN MIGUEL DE TUCUMAN 14"/>
    <x v="1520"/>
    <n v="21631711.25"/>
    <x v="177"/>
    <x v="0"/>
    <s v="pagado"/>
    <s v="pagado"/>
    <s v="excluir"/>
    <s v="no semana"/>
    <x v="0"/>
  </r>
  <r>
    <n v="3000007227"/>
    <d v="2025-12-09T00:00:00"/>
    <n v="6000000"/>
    <s v="ECOGREEN SRL SAN MIGUEL DE TUCUMAN 14"/>
    <x v="1521"/>
    <n v="6000000"/>
    <x v="168"/>
    <x v="0"/>
    <s v="pagado"/>
    <s v="pagado"/>
    <s v="excluir"/>
    <s v="no semana"/>
    <x v="0"/>
  </r>
  <r>
    <n v="3000007227"/>
    <d v="2025-12-09T00:00:00"/>
    <n v="6000000"/>
    <s v="ECOGREEN SRL SAN MIGUEL DE TUCUMAN 14"/>
    <x v="1522"/>
    <n v="6000000"/>
    <x v="168"/>
    <x v="0"/>
    <s v="pagado"/>
    <s v="pagado"/>
    <s v="excluir"/>
    <s v="no semana"/>
    <x v="0"/>
  </r>
  <r>
    <n v="3000007227"/>
    <d v="2025-12-09T00:00:00"/>
    <n v="0"/>
    <s v="invalidado med.EOLIVERA -Rechazado"/>
    <x v="1523"/>
    <n v="0"/>
    <x v="168"/>
    <x v="0"/>
    <s v="pagado"/>
    <s v="pagado"/>
    <s v="excluir"/>
    <s v="no semana"/>
    <x v="0"/>
  </r>
  <r>
    <n v="3000007227"/>
    <d v="2025-12-09T00:00:00"/>
    <n v="5310822.6100000003"/>
    <s v="ECOGREEN SRL SAN MIGUEL DE TUCUMAN 14"/>
    <x v="1524"/>
    <n v="5310822.6100000003"/>
    <x v="168"/>
    <x v="0"/>
    <s v="pagado"/>
    <s v="pagado"/>
    <s v="excluir"/>
    <s v="no semana"/>
    <x v="0"/>
  </r>
  <r>
    <n v="3000007244"/>
    <d v="2025-12-09T00:00:00"/>
    <n v="3000000"/>
    <s v=". Tucumán"/>
    <x v="1525"/>
    <n v="3000000"/>
    <x v="173"/>
    <x v="0"/>
    <s v="pagado"/>
    <s v="pagado"/>
    <s v="excluir"/>
    <s v="no semana"/>
    <x v="0"/>
  </r>
  <r>
    <n v="3000007228"/>
    <d v="2025-12-09T00:00:00"/>
    <n v="4259943.16"/>
    <s v="MAC DONALD MIGUEL ALEJANDRO BANDA DEL RIO SALI 14"/>
    <x v="1526"/>
    <n v="4259943.16"/>
    <x v="168"/>
    <x v="0"/>
    <s v="pagado"/>
    <s v="pagado"/>
    <s v="excluir"/>
    <s v="no semana"/>
    <x v="0"/>
  </r>
  <r>
    <n v="3000007229"/>
    <d v="2025-12-09T00:00:00"/>
    <n v="10797741.789999999"/>
    <s v="CAPETTA ANTONELLA ANAHI SAN MIGUEL DE TUCUMAN 14"/>
    <x v="1527"/>
    <n v="10797741.789999999"/>
    <x v="168"/>
    <x v="0"/>
    <s v="pagado"/>
    <s v="pagado"/>
    <s v="excluir"/>
    <s v="no semana"/>
    <x v="0"/>
  </r>
  <r>
    <n v="3000007230"/>
    <d v="2025-12-09T00:00:00"/>
    <n v="9918838.0700000003"/>
    <s v="TRANSPORTE FRIOS DEL NORTE S.RSAN MIGUEL DE TUCUMAN 14"/>
    <x v="1528"/>
    <n v="9918838.0700000003"/>
    <x v="168"/>
    <x v="0"/>
    <s v="pagado"/>
    <s v="pagado"/>
    <s v="excluir"/>
    <s v="no semana"/>
    <x v="0"/>
  </r>
  <r>
    <n v="3000007231"/>
    <d v="2025-12-09T00:00:00"/>
    <n v="4233015.58"/>
    <s v="RL SOLUCIONES S. A. S. SAN MIGUEL DE TUCUMAN 14"/>
    <x v="1529"/>
    <n v="4233015.58"/>
    <x v="168"/>
    <x v="0"/>
    <s v="pagado"/>
    <s v="pagado"/>
    <s v="excluir"/>
    <s v="no semana"/>
    <x v="0"/>
  </r>
  <r>
    <n v="3000007232"/>
    <d v="2025-12-09T00:00:00"/>
    <n v="6987960"/>
    <s v="CONTROL UNION NORTE S.A YERBA BUENA 14"/>
    <x v="1530"/>
    <n v="6987960"/>
    <x v="168"/>
    <x v="0"/>
    <s v="pagado"/>
    <s v="pagado"/>
    <s v="excluir"/>
    <s v="no semana"/>
    <x v="0"/>
  </r>
  <r>
    <n v="3000007233"/>
    <d v="2025-12-09T00:00:00"/>
    <n v="11761645.800000001"/>
    <s v="Roda Transformecanica Serv.SRLSAN MIGUEL DE TUCUMAN 14"/>
    <x v="1531"/>
    <n v="11761645.800000001"/>
    <x v="168"/>
    <x v="0"/>
    <s v="pagado"/>
    <s v="pagado"/>
    <s v="excluir"/>
    <s v="no semana"/>
    <x v="0"/>
  </r>
  <r>
    <n v="3000007234"/>
    <d v="2025-12-09T00:00:00"/>
    <n v="5068380.9000000004"/>
    <s v="VISMA ARGENTINA SA CAPITAL FEDERAL 14"/>
    <x v="1532"/>
    <n v="5068380.9000000004"/>
    <x v="168"/>
    <x v="0"/>
    <s v="pagado"/>
    <s v="pagado"/>
    <s v="excluir"/>
    <s v="no semana"/>
    <x v="0"/>
  </r>
  <r>
    <n v="3000007235"/>
    <d v="2025-12-09T00:00:00"/>
    <n v="4913173.05"/>
    <s v="Marchese Grandi Meson y Asoc SAN MIGUEL DE TUCUMAN 14"/>
    <x v="1533"/>
    <n v="4913173.05"/>
    <x v="168"/>
    <x v="0"/>
    <s v="pagado"/>
    <s v="pagado"/>
    <s v="excluir"/>
    <s v="no semana"/>
    <x v="0"/>
  </r>
  <r>
    <n v="3000007236"/>
    <d v="2025-12-09T00:00:00"/>
    <n v="3249241.17"/>
    <s v="BME DISENO Y COMUNICACION SAS CAPITAL FEDERAL 00"/>
    <x v="1534"/>
    <n v="3249241.17"/>
    <x v="168"/>
    <x v="0"/>
    <s v="pagado"/>
    <s v="pagado"/>
    <s v="excluir"/>
    <s v="no semana"/>
    <x v="0"/>
  </r>
  <r>
    <n v="3000007237"/>
    <d v="2025-12-09T00:00:00"/>
    <n v="9025923.4000000004"/>
    <s v="TEKNOS TECHNOLOGY GROUP SA CAPITAL FEDERAL 00"/>
    <x v="1535"/>
    <n v="9025923.4000000004"/>
    <x v="168"/>
    <x v="0"/>
    <s v="pagado"/>
    <s v="pagado"/>
    <s v="excluir"/>
    <s v="no semana"/>
    <x v="0"/>
  </r>
  <r>
    <n v="3000007238"/>
    <d v="2025-12-09T00:00:00"/>
    <n v="10090541.4"/>
    <s v="FERRO JOSE NICOLAS FAMAILLA 14"/>
    <x v="1536"/>
    <n v="10090541.4"/>
    <x v="168"/>
    <x v="0"/>
    <s v="pagado"/>
    <s v="pagado"/>
    <s v="excluir"/>
    <s v="no semana"/>
    <x v="0"/>
  </r>
  <r>
    <n v="3000007239"/>
    <d v="2025-12-09T00:00:00"/>
    <n v="9110594"/>
    <s v="Consultoria en Tecnologia de IBUENOS AIRES 00"/>
    <x v="1537"/>
    <n v="9110594"/>
    <x v="168"/>
    <x v="0"/>
    <s v="pagado"/>
    <s v="pagado"/>
    <s v="excluir"/>
    <s v="no semana"/>
    <x v="0"/>
  </r>
  <r>
    <n v="3000007240"/>
    <d v="2025-12-09T00:00:00"/>
    <n v="12415377.800000001"/>
    <s v="EL SOL MATERIALES SA SAN MIGUEL DE TUCUMAN 14"/>
    <x v="1538"/>
    <n v="12415377.800000001"/>
    <x v="168"/>
    <x v="0"/>
    <s v="pagado"/>
    <s v="pagado"/>
    <s v="excluir"/>
    <s v="no semana"/>
    <x v="0"/>
  </r>
  <r>
    <n v="3000007241"/>
    <d v="2025-12-09T00:00:00"/>
    <n v="52125273.729999997"/>
    <s v="Poda Verde SRL SAN MIGUEL DE TUCUMAN 14"/>
    <x v="1539"/>
    <n v="52125273.729999997"/>
    <x v="168"/>
    <x v="0"/>
    <s v="pagado"/>
    <s v="pagado"/>
    <s v="excluir"/>
    <s v="no semana"/>
    <x v="0"/>
  </r>
  <r>
    <n v="3000007242"/>
    <d v="2025-12-09T00:00:00"/>
    <n v="20452483.57"/>
    <s v="CAMPOAGRO SRL YERBA BUENA 14"/>
    <x v="1540"/>
    <n v="20452483.57"/>
    <x v="168"/>
    <x v="0"/>
    <s v="pagado"/>
    <s v="pagado"/>
    <s v="excluir"/>
    <s v="no semana"/>
    <x v="0"/>
  </r>
  <r>
    <n v="3000007243"/>
    <d v="2025-12-09T00:00:00"/>
    <n v="199568481.24000001"/>
    <s v="CATALANA DE SERVICIOS SRL YERBA BUENA 14"/>
    <x v="1541"/>
    <n v="199568481.24000001"/>
    <x v="168"/>
    <x v="0"/>
    <s v="pagado"/>
    <s v="pagado"/>
    <s v="excluir"/>
    <s v="no semana"/>
    <x v="0"/>
  </r>
  <r>
    <n v="3000007292"/>
    <d v="2025-12-11T00:00:00"/>
    <n v="30000000"/>
    <s v="MG SERVICIOS AGROPECUARIOS SASTAFI VIEJO 14"/>
    <x v="1542"/>
    <n v="30000000"/>
    <x v="178"/>
    <x v="0"/>
    <s v="pagado"/>
    <s v="pagado"/>
    <s v="excluir"/>
    <s v="no semana"/>
    <x v="0"/>
  </r>
  <r>
    <n v="3000007292"/>
    <d v="2025-12-11T00:00:00"/>
    <n v="14561285.220000001"/>
    <s v="MG SERVICIOS AGROPECUARIOS SASTAFI VIEJO 14"/>
    <x v="1543"/>
    <n v="14561285.220000001"/>
    <x v="168"/>
    <x v="0"/>
    <s v="pagado"/>
    <s v="pagado"/>
    <s v="excluir"/>
    <s v="no semana"/>
    <x v="0"/>
  </r>
  <r>
    <n v="3000007334"/>
    <d v="2025-12-12T00:00:00"/>
    <n v="25698560"/>
    <s v="EDET S.A. SAN MIGUEL DE TUCUMAN 14"/>
    <x v="1544"/>
    <n v="25698560"/>
    <x v="178"/>
    <x v="0"/>
    <s v="pagado"/>
    <s v="pagado"/>
    <s v="excluir"/>
    <s v="no semana"/>
    <x v="0"/>
  </r>
  <r>
    <n v="3000007335"/>
    <d v="2025-12-12T00:00:00"/>
    <n v="15138130.279999999"/>
    <s v="AGRO BAYER SRL CAPITAL FEDERAL 00"/>
    <x v="1545"/>
    <n v="15138130.279999999"/>
    <x v="178"/>
    <x v="0"/>
    <s v="pagado"/>
    <s v="pagado"/>
    <s v="excluir"/>
    <s v="no semana"/>
    <x v="0"/>
  </r>
  <r>
    <n v="3000007379"/>
    <d v="2025-12-15T00:00:00"/>
    <n v="7500000"/>
    <s v="CAFELI S.R.L. SAN MIGUEL DE TUCUMAN 14"/>
    <x v="1546"/>
    <n v="7500000"/>
    <x v="179"/>
    <x v="2"/>
    <s v="pagado"/>
    <s v="pagado"/>
    <s v="excluir"/>
    <s v="no semana"/>
    <x v="0"/>
  </r>
  <r>
    <n v="3000007379"/>
    <d v="2025-12-15T00:00:00"/>
    <n v="7500000"/>
    <s v="CAFELI S.R.L. SAN MIGUEL DE TUCUMAN 14"/>
    <x v="1547"/>
    <n v="7500000"/>
    <x v="179"/>
    <x v="2"/>
    <s v="pagado"/>
    <s v="pagado"/>
    <s v="excluir"/>
    <s v="no semana"/>
    <x v="0"/>
  </r>
  <r>
    <n v="3000007379"/>
    <d v="2025-12-15T00:00:00"/>
    <n v="7500000"/>
    <s v="CAFELI S.R.L. SAN MIGUEL DE TUCUMAN 14"/>
    <x v="1548"/>
    <n v="7500000"/>
    <x v="180"/>
    <x v="2"/>
    <s v="pagado"/>
    <s v="pagado"/>
    <s v="excluir"/>
    <s v="no semana"/>
    <x v="0"/>
  </r>
  <r>
    <n v="3000007379"/>
    <d v="2025-12-15T00:00:00"/>
    <n v="7577609.0999999996"/>
    <s v="CAFELI S.R.L. SAN MIGUEL DE TUCUMAN 14"/>
    <x v="1549"/>
    <n v="7577609.0999999996"/>
    <x v="180"/>
    <x v="2"/>
    <s v="pagado"/>
    <s v="pagado"/>
    <s v="excluir"/>
    <s v="no semana"/>
    <x v="0"/>
  </r>
  <r>
    <n v="3000007371"/>
    <d v="2025-12-15T00:00:00"/>
    <n v="12329601.82"/>
    <s v="Establecimiento Minero Sofia SElena 03"/>
    <x v="1550"/>
    <n v="12329601.82"/>
    <x v="129"/>
    <x v="2"/>
    <s v="pagado"/>
    <s v="pagado"/>
    <s v="excluir"/>
    <s v="no semana"/>
    <x v="0"/>
  </r>
  <r>
    <n v="3000007372"/>
    <d v="2025-12-15T00:00:00"/>
    <n v="6461513.2000000002"/>
    <s v="RC CONSULTORES S.R.L BARRIO LOS GIGANTES 03"/>
    <x v="1551"/>
    <n v="6461513.2000000002"/>
    <x v="129"/>
    <x v="2"/>
    <s v="pagado"/>
    <s v="pagado"/>
    <s v="excluir"/>
    <s v="no semana"/>
    <x v="0"/>
  </r>
  <r>
    <n v="3000007373"/>
    <d v="2025-12-15T00:00:00"/>
    <n v="49284747.119999997"/>
    <s v="Jeblab S.R.L. YERBA BUENA 14"/>
    <x v="1552"/>
    <n v="49284747.119999997"/>
    <x v="129"/>
    <x v="2"/>
    <s v="pagado"/>
    <s v="pagado"/>
    <s v="excluir"/>
    <s v="no semana"/>
    <x v="0"/>
  </r>
  <r>
    <n v="3000007374"/>
    <d v="2025-12-15T00:00:00"/>
    <n v="5067370"/>
    <s v="GRUPO ADAL SRL SAN MIGUEL DE TUCUMAN 14"/>
    <x v="1553"/>
    <n v="5067370"/>
    <x v="129"/>
    <x v="2"/>
    <s v="pagado"/>
    <s v="pagado"/>
    <s v="excluir"/>
    <s v="no semana"/>
    <x v="0"/>
  </r>
  <r>
    <n v="3000007375"/>
    <d v="2025-12-15T00:00:00"/>
    <n v="17057605"/>
    <s v="GALINDO CONSTRUCCIONES SRL SAN MIGUEL DE TUCUMAN 14"/>
    <x v="1554"/>
    <n v="17057605"/>
    <x v="181"/>
    <x v="2"/>
    <s v="pagado"/>
    <s v="pagado"/>
    <s v="excluir"/>
    <s v="no semana"/>
    <x v="0"/>
  </r>
  <r>
    <n v="3000007376"/>
    <d v="2025-12-15T00:00:00"/>
    <n v="14830193.33"/>
    <s v="CANDYNORTE SRL SAN PABLO 14"/>
    <x v="1555"/>
    <n v="14830193.33"/>
    <x v="129"/>
    <x v="2"/>
    <s v="pagado"/>
    <s v="pagado"/>
    <s v="excluir"/>
    <s v="no semana"/>
    <x v="0"/>
  </r>
  <r>
    <n v="3000007377"/>
    <d v="2025-12-15T00:00:00"/>
    <n v="5019561.09"/>
    <s v="MICHELI SOSA MARIA GUADALUPE SAN MIGUEL DE TUCUMAN 14"/>
    <x v="1556"/>
    <n v="5019561.09"/>
    <x v="129"/>
    <x v="2"/>
    <s v="pagado"/>
    <s v="pagado"/>
    <s v="excluir"/>
    <s v="no semana"/>
    <x v="0"/>
  </r>
  <r>
    <n v="3000007378"/>
    <d v="2025-12-15T00:00:00"/>
    <n v="9863700"/>
    <s v="TUCUMAN PALLET SRL EL MANANTIAL 14"/>
    <x v="1557"/>
    <n v="9863700"/>
    <x v="179"/>
    <x v="2"/>
    <s v="pagado"/>
    <s v="pagado"/>
    <s v="excluir"/>
    <s v="no semana"/>
    <x v="0"/>
  </r>
  <r>
    <n v="3000007380"/>
    <d v="2025-12-15T00:00:00"/>
    <n v="15773880.84"/>
    <s v="SAN CRISTOBAL SMSG ROSARIO 12"/>
    <x v="1558"/>
    <n v="15773880.84"/>
    <x v="179"/>
    <x v="2"/>
    <s v="pagado"/>
    <s v="pagado"/>
    <s v="excluir"/>
    <s v="no semana"/>
    <x v="0"/>
  </r>
  <r>
    <n v="3000007381"/>
    <d v="2025-12-15T00:00:00"/>
    <n v="15238103.4"/>
    <s v="POWERFLEET ARGENTINA SA CAPITAL FEDERAL 00"/>
    <x v="1559"/>
    <n v="15238103.4"/>
    <x v="180"/>
    <x v="2"/>
    <s v="pagado"/>
    <s v="pagado"/>
    <s v="excluir"/>
    <s v="no semana"/>
    <x v="0"/>
  </r>
  <r>
    <n v="3000007382"/>
    <d v="2025-12-15T00:00:00"/>
    <n v="2837393.4"/>
    <s v="COOPTRAR LTDA SAN MIGUEL DE TUCUMAN 14"/>
    <x v="1560"/>
    <n v="2837393.4"/>
    <x v="180"/>
    <x v="2"/>
    <s v="pagado"/>
    <s v="pagado"/>
    <s v="excluir"/>
    <s v="no semana"/>
    <x v="0"/>
  </r>
  <r>
    <n v="3000007383"/>
    <d v="2025-12-15T00:00:00"/>
    <n v="6003987.5"/>
    <s v="VISMA ARGENTINA SA CAPITAL FEDERAL 14"/>
    <x v="1561"/>
    <n v="6003987.5"/>
    <x v="180"/>
    <x v="2"/>
    <s v="pagado"/>
    <s v="pagado"/>
    <s v="excluir"/>
    <s v="no semana"/>
    <x v="0"/>
  </r>
  <r>
    <n v="3000007384"/>
    <d v="2025-12-15T00:00:00"/>
    <n v="5235682.05"/>
    <s v="EL SOL MATERIALES SA SAN MIGUEL DE TUCUMAN 14"/>
    <x v="1562"/>
    <n v="5235682.05"/>
    <x v="180"/>
    <x v="2"/>
    <s v="pagado"/>
    <s v="pagado"/>
    <s v="excluir"/>
    <s v="no semana"/>
    <x v="0"/>
  </r>
  <r>
    <n v="3000006205"/>
    <d v="2025-12-15T00:00:00"/>
    <n v="1361061.93"/>
    <s v="GONZALEZ SANTIAGO ROQUE TAFI VIEJO 14"/>
    <x v="1563"/>
    <n v="1361061.93"/>
    <x v="129"/>
    <x v="2"/>
    <s v="pagado"/>
    <s v="pagado"/>
    <s v="excluir"/>
    <s v="no semana"/>
    <x v="0"/>
  </r>
  <r>
    <n v="3000007369"/>
    <d v="2025-12-15T00:00:00"/>
    <n v="687000"/>
    <s v=". Tucumán"/>
    <x v="1564"/>
    <n v="687000"/>
    <x v="182"/>
    <x v="0"/>
    <s v="pagado"/>
    <s v="pagado"/>
    <s v="excluir"/>
    <s v="no semana"/>
    <x v="0"/>
  </r>
  <r>
    <n v="3000007370"/>
    <d v="2025-12-15T00:00:00"/>
    <n v="2831611.26"/>
    <s v="Fondo Fijo Administracion CitrNO TIENE"/>
    <x v="1565"/>
    <n v="2831611.26"/>
    <x v="182"/>
    <x v="0"/>
    <s v="pagado"/>
    <s v="pagado"/>
    <s v="excluir"/>
    <s v="no semana"/>
    <x v="0"/>
  </r>
  <r>
    <n v="3000007441"/>
    <d v="2025-12-17T00:00:00"/>
    <n v="8290612.7999999998"/>
    <s v="Terminal 4 S.A. Puerto Nuevo 01"/>
    <x v="1566"/>
    <n v="8290612.7999999998"/>
    <x v="183"/>
    <x v="0"/>
    <s v="pagado"/>
    <s v="pagado"/>
    <s v="excluir"/>
    <s v="no semana"/>
    <x v="0"/>
  </r>
  <r>
    <n v="3000007442"/>
    <d v="2025-12-17T00:00:00"/>
    <n v="4233015.58"/>
    <s v="VILLAGRA VELEZ ROQUE RICARDO SAN MIGUEL DE TUCUMAN 14"/>
    <x v="1567"/>
    <n v="4233015.58"/>
    <x v="183"/>
    <x v="0"/>
    <s v="pagado"/>
    <s v="pagado"/>
    <s v="excluir"/>
    <s v="no semana"/>
    <x v="0"/>
  </r>
  <r>
    <n v="3000007443"/>
    <d v="2025-12-17T00:00:00"/>
    <n v="7439002.6200000001"/>
    <s v="TRANSPORTE FRIOS DEL NORTE S.RSAN MIGUEL DE TUCUMAN 14"/>
    <x v="1568"/>
    <n v="7439002.6200000001"/>
    <x v="183"/>
    <x v="0"/>
    <s v="pagado"/>
    <s v="pagado"/>
    <s v="excluir"/>
    <s v="no semana"/>
    <x v="0"/>
  </r>
  <r>
    <n v="3000007444"/>
    <d v="2025-12-17T00:00:00"/>
    <n v="12806757.050000001"/>
    <s v="CAPETTA ANTONELLA ANAHI SAN MIGUEL DE TUCUMAN 14"/>
    <x v="1569"/>
    <n v="12806757.050000001"/>
    <x v="183"/>
    <x v="0"/>
    <s v="pagado"/>
    <s v="pagado"/>
    <s v="excluir"/>
    <s v="no semana"/>
    <x v="0"/>
  </r>
  <r>
    <n v="3000007445"/>
    <d v="2025-12-17T00:00:00"/>
    <n v="4233015.58"/>
    <s v="JACQUET NORBERTO SALVADOR SAN JOSE 05"/>
    <x v="1570"/>
    <n v="4233015.58"/>
    <x v="183"/>
    <x v="0"/>
    <s v="pagado"/>
    <s v="pagado"/>
    <s v="excluir"/>
    <s v="no semana"/>
    <x v="0"/>
  </r>
  <r>
    <n v="3000007446"/>
    <d v="2025-12-17T00:00:00"/>
    <n v="19412454.25"/>
    <s v="Transportes La Sevillanita S.RALDERETES 14"/>
    <x v="1571"/>
    <n v="19412454.25"/>
    <x v="183"/>
    <x v="0"/>
    <s v="pagado"/>
    <s v="pagado"/>
    <s v="excluir"/>
    <s v="no semana"/>
    <x v="0"/>
  </r>
  <r>
    <n v="3000007507"/>
    <d v="2025-12-22T00:00:00"/>
    <n v="14815554.529999999"/>
    <s v="RL SOLUCIONES S. A. S. SAN MIGUEL DE TUCUMAN 14"/>
    <x v="1572"/>
    <n v="14815554.529999999"/>
    <x v="184"/>
    <x v="0"/>
    <s v="pagado"/>
    <s v="pagado"/>
    <s v="excluir"/>
    <s v="no semana"/>
    <x v="0"/>
  </r>
  <r>
    <n v="3000007508"/>
    <d v="2025-12-22T00:00:00"/>
    <n v="8239407.4000000004"/>
    <s v="CARRASCO JUAN CARLOS BANDA DEL RIO SALI 14"/>
    <x v="1573"/>
    <n v="8239407.4000000004"/>
    <x v="184"/>
    <x v="0"/>
    <s v="pagado"/>
    <s v="pagado"/>
    <s v="excluir"/>
    <s v="no semana"/>
    <x v="0"/>
  </r>
  <r>
    <n v="3000007509"/>
    <d v="2025-12-22T00:00:00"/>
    <n v="27173334.66"/>
    <s v="Consultoria en Tecnologia de IBUENOS AIRES 00"/>
    <x v="1574"/>
    <n v="27173334.66"/>
    <x v="184"/>
    <x v="0"/>
    <s v="pagado"/>
    <s v="pagado"/>
    <s v="excluir"/>
    <s v="no semana"/>
    <x v="0"/>
  </r>
  <r>
    <n v="3000007510"/>
    <d v="2025-12-22T00:00:00"/>
    <n v="7400693.4000000004"/>
    <s v="GROUND SAS YERBA BUENA 14"/>
    <x v="1575"/>
    <n v="7400693.4000000004"/>
    <x v="184"/>
    <x v="0"/>
    <s v="pagado"/>
    <s v="pagado"/>
    <s v="excluir"/>
    <s v="no semana"/>
    <x v="0"/>
  </r>
  <r>
    <n v="3000007511"/>
    <d v="2025-12-22T00:00:00"/>
    <n v="36987408.530000001"/>
    <s v="NOBEN SRL SAN MIGUEL DE TUCUMAN 14"/>
    <x v="1576"/>
    <n v="36987408.530000001"/>
    <x v="184"/>
    <x v="0"/>
    <s v="pagado"/>
    <s v="pagado"/>
    <s v="excluir"/>
    <s v="no semana"/>
    <x v="0"/>
  </r>
  <r>
    <n v="3000007512"/>
    <d v="2025-12-22T00:00:00"/>
    <n v="13268383.810000001"/>
    <s v="EL SOL MATERIALES SA SAN MIGUEL DE TUCUMAN 14"/>
    <x v="1577"/>
    <n v="13268383.810000001"/>
    <x v="184"/>
    <x v="0"/>
    <s v="pagado"/>
    <s v="pagado"/>
    <s v="excluir"/>
    <s v="no semana"/>
    <x v="0"/>
  </r>
  <r>
    <n v="3000007513"/>
    <d v="2025-12-22T00:00:00"/>
    <n v="12145106.65"/>
    <s v="PAMPLONA SRL SAN MIGUEL DE TUCUMAN 14"/>
    <x v="1578"/>
    <n v="12145106.65"/>
    <x v="184"/>
    <x v="0"/>
    <s v="pagado"/>
    <s v="pagado"/>
    <s v="excluir"/>
    <s v="no semana"/>
    <x v="0"/>
  </r>
  <r>
    <n v="3000007514"/>
    <d v="2025-12-22T00:00:00"/>
    <n v="10585510.08"/>
    <s v="ROMERO SERVICIOS S. A. S. ALPACHIRI 14"/>
    <x v="1579"/>
    <n v="10585510.08"/>
    <x v="184"/>
    <x v="0"/>
    <s v="pagado"/>
    <s v="pagado"/>
    <s v="excluir"/>
    <s v="no semana"/>
    <x v="0"/>
  </r>
  <r>
    <n v="3000007515"/>
    <d v="2025-12-22T00:00:00"/>
    <n v="8748387.8599999994"/>
    <s v="Establecimiento Minero Sofia SElena 03"/>
    <x v="1580"/>
    <n v="8748387.8599999994"/>
    <x v="184"/>
    <x v="0"/>
    <s v="pagado"/>
    <s v="pagado"/>
    <s v="excluir"/>
    <s v="no semana"/>
    <x v="0"/>
  </r>
  <r>
    <n v="3000007516"/>
    <d v="2025-12-22T00:00:00"/>
    <n v="223718718.72999999"/>
    <s v="CATALANA DE SERVICIOS SRL YERBA BUENA 14"/>
    <x v="1581"/>
    <n v="223718718.72999999"/>
    <x v="184"/>
    <x v="0"/>
    <s v="pagado"/>
    <s v="pagado"/>
    <s v="excluir"/>
    <s v="no semana"/>
    <x v="0"/>
  </r>
  <r>
    <n v="3000007517"/>
    <d v="2025-12-22T00:00:00"/>
    <n v="6478122.3200000003"/>
    <s v="CAPETTA ANTONELLA ANAHI SAN MIGUEL DE TUCUMAN 14"/>
    <x v="1582"/>
    <n v="6478122.3200000003"/>
    <x v="184"/>
    <x v="0"/>
    <s v="pagado"/>
    <s v="pagado"/>
    <s v="excluir"/>
    <s v="no semana"/>
    <x v="0"/>
  </r>
  <r>
    <n v="3000007558"/>
    <d v="2025-12-23T00:00:00"/>
    <n v="156310510"/>
    <s v="EDET S.A."/>
    <x v="1583"/>
    <n v="156310510"/>
    <x v="184"/>
    <x v="2"/>
    <s v="pagado"/>
    <s v="pagado"/>
    <s v="excluir"/>
    <s v="no semana"/>
    <x v="0"/>
  </r>
  <r>
    <n v="3000007590"/>
    <d v="2025-12-26T00:00:00"/>
    <n v="14686396.1"/>
    <s v="AZ AGRICOLAS S.R.L SAN MIGUEL DE TUCUMAN 14"/>
    <x v="1584"/>
    <n v="14686396.1"/>
    <x v="185"/>
    <x v="2"/>
    <s v="pagado"/>
    <s v="pagado"/>
    <s v="excluir"/>
    <s v="no semana"/>
    <x v="0"/>
  </r>
  <r>
    <n v="3000007591"/>
    <d v="2025-12-26T00:00:00"/>
    <n v="14691201.279999999"/>
    <s v="ADLER HASENCLEVER Y ASOCIADOS BUENOS AIRES 01"/>
    <x v="1585"/>
    <n v="14691201.279999999"/>
    <x v="185"/>
    <x v="2"/>
    <s v="pagado"/>
    <s v="pagado"/>
    <s v="excluir"/>
    <s v="no semana"/>
    <x v="0"/>
  </r>
  <r>
    <n v="3000007592"/>
    <d v="2025-12-26T00:00:00"/>
    <n v="3050226.7"/>
    <s v="Transportes La Sevillanita S.RALDERETES 14"/>
    <x v="1586"/>
    <n v="3050226.7"/>
    <x v="186"/>
    <x v="2"/>
    <s v="pagado"/>
    <s v="pagado"/>
    <s v="excluir"/>
    <s v="no semana"/>
    <x v="0"/>
  </r>
  <r>
    <n v="3000007593"/>
    <d v="2025-12-26T00:00:00"/>
    <n v="2243497.88"/>
    <s v="VILLAGRA VELEZ ROQUE RICARDO SAN MIGUEL DE TUCUMAN 14"/>
    <x v="1587"/>
    <n v="2243497.88"/>
    <x v="186"/>
    <x v="2"/>
    <s v="no pagado"/>
    <s v="fuera de fecha"/>
    <s v="excluir"/>
    <s v="no semana"/>
    <x v="0"/>
  </r>
  <r>
    <n v="3000007594"/>
    <d v="2025-12-26T00:00:00"/>
    <n v="8847001.4299999997"/>
    <s v="JACQUET NORBERTO SALVADOR SAN JOSE 05"/>
    <x v="1588"/>
    <n v="8847001.4299999997"/>
    <x v="186"/>
    <x v="2"/>
    <s v="pagado"/>
    <s v="pagado"/>
    <s v="excluir"/>
    <s v="no semana"/>
    <x v="0"/>
  </r>
  <r>
    <n v="3000007595"/>
    <d v="2025-12-26T00:00:00"/>
    <n v="6645510.5700000003"/>
    <s v="MAC DONALD MIGUEL ALEJANDRO BANDA DEL RIO SALI 14"/>
    <x v="1589"/>
    <n v="6645510.5700000003"/>
    <x v="186"/>
    <x v="2"/>
    <s v="pagado"/>
    <s v="pagado"/>
    <s v="excluir"/>
    <s v="no semana"/>
    <x v="0"/>
  </r>
  <r>
    <n v="3000007596"/>
    <d v="2025-12-26T00:00:00"/>
    <n v="9970448.9199999999"/>
    <s v="INTER AMERICAN CARGO GROUP S.ACIUDAD AUTONOMA DE BUENOS AIRES 01"/>
    <x v="1590"/>
    <n v="9970448.9199999999"/>
    <x v="186"/>
    <x v="2"/>
    <s v="pagado"/>
    <s v="pagado"/>
    <s v="excluir"/>
    <s v="no semana"/>
    <x v="0"/>
  </r>
  <r>
    <n v="3000007597"/>
    <d v="2025-12-26T00:00:00"/>
    <n v="21546048.16"/>
    <s v="RL SOLUCIONES S. A. S. SAN MIGUEL DE TUCUMAN 14"/>
    <x v="1591"/>
    <n v="21546048.16"/>
    <x v="186"/>
    <x v="2"/>
    <s v="pagado"/>
    <s v="pagado"/>
    <s v="excluir"/>
    <s v="no semana"/>
    <x v="0"/>
  </r>
  <r>
    <n v="3000007598"/>
    <d v="2025-12-26T00:00:00"/>
    <n v="26765484.539999999"/>
    <s v="CAPETTA ANTONELLA ANAHI SAN MIGUEL DE TUCUMAN 14"/>
    <x v="1592"/>
    <n v="26765484.539999999"/>
    <x v="186"/>
    <x v="2"/>
    <s v="pagado"/>
    <s v="pagado"/>
    <s v="excluir"/>
    <s v="no semana"/>
    <x v="0"/>
  </r>
  <r>
    <n v="3000007599"/>
    <d v="2025-12-26T00:00:00"/>
    <n v="10513790.060000001"/>
    <s v="TRANSPORTE FRIOS DEL NORTE S.RSAN MIGUEL DE TUCUMAN 14"/>
    <x v="1593"/>
    <n v="10513790.060000001"/>
    <x v="186"/>
    <x v="2"/>
    <s v="pagado"/>
    <s v="pagado"/>
    <s v="excluir"/>
    <s v="no semana"/>
    <x v="0"/>
  </r>
  <r>
    <n v="3000000052"/>
    <d v="2026-01-05T00:00:00"/>
    <n v="7822194.8099999996"/>
    <s v="Establecimiento Minero Sofia SElena 03"/>
    <x v="1594"/>
    <n v="7822194.8099999996"/>
    <x v="187"/>
    <x v="0"/>
    <s v="pagado"/>
    <s v="pagado"/>
    <s v="excluir"/>
    <s v="no semana"/>
    <x v="0"/>
  </r>
  <r>
    <n v="3000000053"/>
    <d v="2026-01-05T00:00:00"/>
    <n v="4267925.32"/>
    <s v="SERV.AGROP VILLA PAPADAKIS S.RSALTA 09"/>
    <x v="1595"/>
    <n v="4267925.32"/>
    <x v="187"/>
    <x v="0"/>
    <s v="pagado"/>
    <s v="pagado"/>
    <s v="excluir"/>
    <s v="no semana"/>
    <x v="0"/>
  </r>
  <r>
    <n v="3000000054"/>
    <d v="2026-01-05T00:00:00"/>
    <n v="9203943.4000000004"/>
    <s v="SEGURIDAD OMEGA SRL SAN FERNANDO DEL VALLE DE CATAMARCA 02"/>
    <x v="1596"/>
    <n v="9203943.4000000004"/>
    <x v="187"/>
    <x v="0"/>
    <s v="pagado"/>
    <s v="pagado"/>
    <s v="excluir"/>
    <s v="no semana"/>
    <x v="0"/>
  </r>
  <r>
    <n v="3000000055"/>
    <d v="2026-01-05T00:00:00"/>
    <n v="17081371.809999999"/>
    <s v="CAMPOAGRO SRL YERBA BUENA 14"/>
    <x v="1597"/>
    <n v="17081371.809999999"/>
    <x v="187"/>
    <x v="0"/>
    <s v="pagado"/>
    <s v="pagado"/>
    <s v="excluir"/>
    <s v="no semana"/>
    <x v="0"/>
  </r>
  <r>
    <n v="3000000056"/>
    <d v="2026-01-05T00:00:00"/>
    <n v="25000000"/>
    <s v="Poda Verde SRL SAN MIGUEL DE TUCUMAN 14"/>
    <x v="1598"/>
    <n v="25000000"/>
    <x v="187"/>
    <x v="0"/>
    <s v="pagado"/>
    <s v="pagado"/>
    <s v="excluir"/>
    <s v="no semana"/>
    <x v="0"/>
  </r>
  <r>
    <n v="3000000056"/>
    <d v="2026-01-05T00:00:00"/>
    <n v="21105938.68"/>
    <s v="Poda Verde SRL SAN MIGUEL DE TUCUMAN 14"/>
    <x v="1599"/>
    <n v="21105938.68"/>
    <x v="187"/>
    <x v="0"/>
    <s v="pagado"/>
    <s v="pagado"/>
    <s v="excluir"/>
    <s v="no semana"/>
    <x v="0"/>
  </r>
  <r>
    <n v="3000000057"/>
    <d v="2026-01-05T00:00:00"/>
    <n v="12282235.4"/>
    <s v="TEKNOS TECHNOLOGY GROUP SA CAPITAL FEDERAL 00"/>
    <x v="1600"/>
    <n v="12282235.4"/>
    <x v="187"/>
    <x v="0"/>
    <s v="pagado"/>
    <s v="pagado"/>
    <s v="excluir"/>
    <s v="no semana"/>
    <x v="0"/>
  </r>
  <r>
    <n v="3000000058"/>
    <d v="2026-01-05T00:00:00"/>
    <n v="5790385.9000000004"/>
    <s v="HIKARI S.A CIUDAD AUTONOMA DE BUENOS AIRES 01"/>
    <x v="1601"/>
    <n v="5790385.9000000004"/>
    <x v="187"/>
    <x v="0"/>
    <s v="pagado"/>
    <s v="pagado"/>
    <s v="excluir"/>
    <s v="no semana"/>
    <x v="0"/>
  </r>
  <r>
    <n v="3000000059"/>
    <d v="2026-01-05T00:00:00"/>
    <n v="8065794.2999999998"/>
    <s v="Silver Freight Logistic SRL CAPITAL FEDERAL 00"/>
    <x v="1602"/>
    <n v="8065794.2999999998"/>
    <x v="187"/>
    <x v="0"/>
    <s v="pagado"/>
    <s v="pagado"/>
    <s v="excluir"/>
    <s v="no semana"/>
    <x v="0"/>
  </r>
  <r>
    <n v="3000000060"/>
    <d v="2026-01-05T00:00:00"/>
    <n v="4356152.75"/>
    <s v="LOGISTICA INTERNACIONAL S.A SAN MIGUEL DE TUCUMAN 14"/>
    <x v="1603"/>
    <n v="4356152.75"/>
    <x v="187"/>
    <x v="0"/>
    <s v="pagado"/>
    <s v="pagado"/>
    <s v="excluir"/>
    <s v="no semana"/>
    <x v="0"/>
  </r>
  <r>
    <n v="3000000105"/>
    <d v="2026-01-09T00:00:00"/>
    <n v="27643314.600000001"/>
    <s v="GEA Westfalia Separator ArgentCAPITAL FEDERAL 00"/>
    <x v="1604"/>
    <n v="27643314.600000001"/>
    <x v="188"/>
    <x v="0"/>
    <s v="pagado"/>
    <s v="pagado"/>
    <s v="excluir"/>
    <s v="no semana"/>
    <x v="0"/>
  </r>
  <r>
    <n v="3000000170"/>
    <d v="2026-01-12T00:00:00"/>
    <n v="180000000"/>
    <s v="MG SERVICIOS AGROPECUARIOS SASTAFI VIEJO 14"/>
    <x v="1605"/>
    <n v="180000000"/>
    <x v="189"/>
    <x v="0"/>
    <s v="pagado"/>
    <s v="pagado"/>
    <s v="excluir"/>
    <s v="no semana"/>
    <x v="0"/>
  </r>
  <r>
    <n v="3000000170"/>
    <d v="2026-01-12T00:00:00"/>
    <n v="30000000"/>
    <s v="MG SERVICIOS AGROPECUARIOS SASTAFI VIEJO 14"/>
    <x v="1606"/>
    <n v="30000000"/>
    <x v="190"/>
    <x v="0"/>
    <s v="pagado"/>
    <s v="pagado"/>
    <s v="excluir"/>
    <s v="no semana"/>
    <x v="0"/>
  </r>
  <r>
    <n v="3000000170"/>
    <d v="2026-01-12T00:00:00"/>
    <n v="22000000"/>
    <s v="MG SERVICIOS AGROPECUARIOS SASTAFI VIEJO 14"/>
    <x v="1607"/>
    <n v="22000000"/>
    <x v="190"/>
    <x v="0"/>
    <s v="pagado"/>
    <s v="pagado"/>
    <s v="excluir"/>
    <s v="no semana"/>
    <x v="0"/>
  </r>
  <r>
    <n v="3000000170"/>
    <d v="2026-01-12T00:00:00"/>
    <n v="15000000"/>
    <s v="MG SERVICIOS AGROPECUARIOS SASTAFI VIEJO 14"/>
    <x v="1608"/>
    <n v="15000000"/>
    <x v="189"/>
    <x v="0"/>
    <s v="pagado"/>
    <s v="pagado"/>
    <s v="excluir"/>
    <s v="no semana"/>
    <x v="0"/>
  </r>
  <r>
    <n v="3000000170"/>
    <d v="2026-01-12T00:00:00"/>
    <n v="15000000"/>
    <s v="MG SERVICIOS AGROPECUARIOS SASTAFI VIEJO 14"/>
    <x v="1609"/>
    <n v="15000000"/>
    <x v="189"/>
    <x v="0"/>
    <s v="pagado"/>
    <s v="pagado"/>
    <s v="excluir"/>
    <s v="no semana"/>
    <x v="0"/>
  </r>
  <r>
    <n v="3000000170"/>
    <d v="2026-01-12T00:00:00"/>
    <n v="6283909.9400000004"/>
    <s v="MG SERVICIOS AGROPECUARIOS SASTAFI VIEJO 14"/>
    <x v="1610"/>
    <n v="6283909.9400000004"/>
    <x v="190"/>
    <x v="0"/>
    <s v="pagado"/>
    <s v="pagado"/>
    <s v="excluir"/>
    <s v="no semana"/>
    <x v="0"/>
  </r>
  <r>
    <n v="3000000167"/>
    <d v="2026-01-12T00:00:00"/>
    <n v="7984587.8899999997"/>
    <s v="Consultoria en Tecnologia de IBUENOS AIRES 00"/>
    <x v="1611"/>
    <n v="7984587.8899999997"/>
    <x v="191"/>
    <x v="0"/>
    <s v="pagado"/>
    <s v="pagado"/>
    <s v="excluir"/>
    <s v="no semana"/>
    <x v="0"/>
  </r>
  <r>
    <n v="3000000168"/>
    <d v="2026-01-12T00:00:00"/>
    <n v="6943987.5"/>
    <s v="HIKARI S.A CIUDAD AUTONOMA DE BUENOS AIRES 01"/>
    <x v="1612"/>
    <n v="6943987.5"/>
    <x v="190"/>
    <x v="0"/>
    <s v="pagado"/>
    <s v="pagado"/>
    <s v="excluir"/>
    <s v="no semana"/>
    <x v="0"/>
  </r>
  <r>
    <n v="3000000169"/>
    <d v="2026-01-12T00:00:00"/>
    <n v="5050299.0199999996"/>
    <s v="NORTE DISTRIBUCIONES S.R.L SAN MIGUEL DE TUCUMAN 14"/>
    <x v="1613"/>
    <n v="5050299.0199999996"/>
    <x v="190"/>
    <x v="0"/>
    <s v="pagado"/>
    <s v="pagado"/>
    <s v="excluir"/>
    <s v="no semana"/>
    <x v="0"/>
  </r>
  <r>
    <n v="3000000171"/>
    <d v="2026-01-12T00:00:00"/>
    <n v="5608563.4000000004"/>
    <s v="AG SUSTENTABLE SAS CABA 00"/>
    <x v="1614"/>
    <n v="5608563.4000000004"/>
    <x v="170"/>
    <x v="0"/>
    <s v="pagado"/>
    <s v="pagado"/>
    <s v="excluir"/>
    <s v="no semana"/>
    <x v="0"/>
  </r>
  <r>
    <n v="3000000172"/>
    <d v="2026-01-12T00:00:00"/>
    <n v="9496593.4000000004"/>
    <s v="SEPULVEDA MONTAJES S.R.L. SAN ISIDRO DE LULES 14"/>
    <x v="1615"/>
    <n v="9496593.4000000004"/>
    <x v="189"/>
    <x v="0"/>
    <s v="pagado"/>
    <s v="pagado"/>
    <s v="excluir"/>
    <s v="no semana"/>
    <x v="0"/>
  </r>
  <r>
    <n v="3000000173"/>
    <d v="2026-01-12T00:00:00"/>
    <n v="14212748.4"/>
    <s v="GEOTECNOLOGIA S.R.L SAN MIGUEL DE TUCUMAN 14"/>
    <x v="1616"/>
    <n v="14212748.4"/>
    <x v="189"/>
    <x v="0"/>
    <s v="pagado"/>
    <s v="pagado"/>
    <s v="excluir"/>
    <s v="no semana"/>
    <x v="0"/>
  </r>
  <r>
    <n v="3000000174"/>
    <d v="2026-01-12T00:00:00"/>
    <n v="14524218.029999999"/>
    <s v="OLEIROS S.A OLIVOS 01"/>
    <x v="1617"/>
    <n v="14524218.029999999"/>
    <x v="190"/>
    <x v="0"/>
    <s v="pagado"/>
    <s v="pagado"/>
    <s v="excluir"/>
    <s v="no semana"/>
    <x v="0"/>
  </r>
  <r>
    <n v="3000000218"/>
    <d v="2026-01-14T00:00:00"/>
    <n v="10513957.99"/>
    <s v="TRANSPORTE FRIOS DEL NORTE S.RSAN MIGUEL DE TUCUMAN 14"/>
    <x v="1618"/>
    <n v="10513957.99"/>
    <x v="170"/>
    <x v="0"/>
    <s v="pagado"/>
    <s v="pagado"/>
    <s v="excluir"/>
    <s v="no semana"/>
    <x v="0"/>
  </r>
  <r>
    <n v="3000000219"/>
    <d v="2026-01-14T00:00:00"/>
    <n v="6773476.4000000004"/>
    <s v="MAC DONALD MIGUEL ALEJANDRO BANDA DEL RIO SALI 14"/>
    <x v="1619"/>
    <n v="6773476.4000000004"/>
    <x v="170"/>
    <x v="0"/>
    <s v="pagado"/>
    <s v="pagado"/>
    <s v="excluir"/>
    <s v="no semana"/>
    <x v="0"/>
  </r>
  <r>
    <n v="3000000220"/>
    <d v="2026-01-14T00:00:00"/>
    <n v="8974159.4199999999"/>
    <s v="JACQUET NORBERTO SALVADOR SAN JOSE 05"/>
    <x v="1620"/>
    <n v="8974159.4199999999"/>
    <x v="170"/>
    <x v="0"/>
    <s v="pagado"/>
    <s v="pagado"/>
    <s v="excluir"/>
    <s v="no semana"/>
    <x v="0"/>
  </r>
  <r>
    <n v="3000000221"/>
    <d v="2026-01-14T00:00:00"/>
    <n v="8973991.5"/>
    <s v="RL SOLUCIONES S. A. S. SAN MIGUEL DE TUCUMAN 14"/>
    <x v="1621"/>
    <n v="8973991.5"/>
    <x v="170"/>
    <x v="0"/>
    <s v="pagado"/>
    <s v="pagado"/>
    <s v="excluir"/>
    <s v="no semana"/>
    <x v="0"/>
  </r>
  <r>
    <n v="3000000222"/>
    <d v="2026-01-14T00:00:00"/>
    <n v="13145224.51"/>
    <s v="CEMEVA SAS YERBA BUENA 14"/>
    <x v="1622"/>
    <n v="13145224.51"/>
    <x v="170"/>
    <x v="0"/>
    <s v="pagado"/>
    <s v="pagado"/>
    <s v="excluir"/>
    <s v="no semana"/>
    <x v="0"/>
  </r>
  <r>
    <n v="3000000223"/>
    <d v="2026-01-14T00:00:00"/>
    <n v="25360825.710000001"/>
    <s v="CAPETTA ANTONELLA ANAHI SAN MIGUEL DE TUCUMAN 14"/>
    <x v="1623"/>
    <n v="25360825.710000001"/>
    <x v="170"/>
    <x v="0"/>
    <s v="pagado"/>
    <s v="pagado"/>
    <s v="excluir"/>
    <s v="no semana"/>
    <x v="0"/>
  </r>
  <r>
    <n v="3000000301"/>
    <d v="2026-01-19T00:00:00"/>
    <n v="12000000"/>
    <s v="RL SOLUCIONES S. A. S. SAN MIGUEL DE TUCUMAN 14"/>
    <x v="1624"/>
    <n v="12000000"/>
    <x v="192"/>
    <x v="0"/>
    <s v="pagado"/>
    <s v="pagado"/>
    <s v="excluir"/>
    <s v="no semana"/>
    <x v="0"/>
  </r>
  <r>
    <n v="3000000301"/>
    <d v="2026-01-19T00:00:00"/>
    <n v="12551486.539999999"/>
    <s v="RL SOLUCIONES S. A. S. SAN MIGUEL DE TUCUMAN 14"/>
    <x v="1625"/>
    <n v="12551486.539999999"/>
    <x v="162"/>
    <x v="0"/>
    <s v="pagado"/>
    <s v="pagado"/>
    <s v="excluir"/>
    <s v="no semana"/>
    <x v="0"/>
  </r>
  <r>
    <n v="3000000302"/>
    <d v="2026-01-19T00:00:00"/>
    <n v="22000000"/>
    <s v="Jeblab S.R.L. YERBA BUENA 14"/>
    <x v="1626"/>
    <n v="22000000"/>
    <x v="192"/>
    <x v="0"/>
    <s v="pagado"/>
    <s v="pagado"/>
    <s v="excluir"/>
    <s v="no semana"/>
    <x v="0"/>
  </r>
  <r>
    <n v="3000000302"/>
    <d v="2026-01-19T00:00:00"/>
    <n v="22368343.399999999"/>
    <s v="Jeblab S.R.L. YERBA BUENA 14"/>
    <x v="1627"/>
    <n v="22368343.399999999"/>
    <x v="162"/>
    <x v="0"/>
    <s v="pagado"/>
    <s v="pagado"/>
    <s v="excluir"/>
    <s v="no semana"/>
    <x v="0"/>
  </r>
  <r>
    <n v="3000000303"/>
    <d v="2026-01-19T00:00:00"/>
    <n v="20000000"/>
    <s v="Sirena Juan Jose SAN MIGUEL DE TUCUMAN 14"/>
    <x v="1628"/>
    <n v="20000000"/>
    <x v="192"/>
    <x v="0"/>
    <s v="pagado"/>
    <s v="pagado"/>
    <s v="excluir"/>
    <s v="no semana"/>
    <x v="0"/>
  </r>
  <r>
    <n v="3000000303"/>
    <d v="2026-01-19T00:00:00"/>
    <n v="19919277.050000001"/>
    <s v="Sirena Juan Jose SAN MIGUEL DE TUCUMAN 14"/>
    <x v="1629"/>
    <n v="19919277.050000001"/>
    <x v="162"/>
    <x v="0"/>
    <s v="pagado"/>
    <s v="pagado"/>
    <s v="excluir"/>
    <s v="no semana"/>
    <x v="0"/>
  </r>
  <r>
    <n v="3000000289"/>
    <d v="2026-01-19T00:00:00"/>
    <n v="26036820"/>
    <s v="EDET S.A. SAN MIGUEL DE TUCUMAN 14"/>
    <x v="1630"/>
    <n v="26036820"/>
    <x v="193"/>
    <x v="0"/>
    <s v="pagado"/>
    <s v="pagado"/>
    <s v="excluir"/>
    <s v="no semana"/>
    <x v="0"/>
  </r>
  <r>
    <n v="3000000291"/>
    <d v="2026-01-19T00:00:00"/>
    <n v="3813525"/>
    <s v="LOBO BENICIO MARTIN ALDERETES 14"/>
    <x v="1631"/>
    <n v="3813525"/>
    <x v="192"/>
    <x v="0"/>
    <s v="pagado"/>
    <s v="pagado"/>
    <s v="excluir"/>
    <s v="no semana"/>
    <x v="0"/>
  </r>
  <r>
    <n v="3000000292"/>
    <d v="2026-01-19T00:00:00"/>
    <n v="10077823.800000001"/>
    <s v="M.A.D Serv y mant eléctri SAN MIGUEL DE TUCUMAN 14"/>
    <x v="1632"/>
    <n v="10077823.800000001"/>
    <x v="192"/>
    <x v="0"/>
    <s v="pagado"/>
    <s v="pagado"/>
    <s v="excluir"/>
    <s v="no semana"/>
    <x v="0"/>
  </r>
  <r>
    <n v="3000000293"/>
    <d v="2026-01-19T00:00:00"/>
    <n v="3224588.06"/>
    <s v="CAMPOAGRO SRL YERBA BUENA 14"/>
    <x v="1633"/>
    <n v="3224588.06"/>
    <x v="192"/>
    <x v="0"/>
    <s v="pagado"/>
    <s v="pagado"/>
    <s v="excluir"/>
    <s v="no semana"/>
    <x v="0"/>
  </r>
  <r>
    <n v="3000000294"/>
    <d v="2026-01-19T00:00:00"/>
    <n v="5545687.6100000003"/>
    <s v="RASUK JORGE LUIS YERBA BUENA 14"/>
    <x v="1634"/>
    <n v="5545687.6100000003"/>
    <x v="192"/>
    <x v="0"/>
    <s v="pagado"/>
    <s v="pagado"/>
    <s v="excluir"/>
    <s v="no semana"/>
    <x v="0"/>
  </r>
  <r>
    <n v="3000000295"/>
    <d v="2026-01-19T00:00:00"/>
    <n v="16771520.5"/>
    <s v="INDUSTRIAS CONTARDO SAIYC SAN JUSTO 01"/>
    <x v="1635"/>
    <n v="16771520.5"/>
    <x v="192"/>
    <x v="0"/>
    <s v="pagado"/>
    <s v="pagado"/>
    <s v="excluir"/>
    <s v="no semana"/>
    <x v="0"/>
  </r>
  <r>
    <n v="3000000296"/>
    <d v="2026-01-19T00:00:00"/>
    <n v="5984978.4000000004"/>
    <s v="VISMA ARGENTINA SA CAPITAL FEDERAL 14"/>
    <x v="1636"/>
    <n v="5984978.4000000004"/>
    <x v="192"/>
    <x v="0"/>
    <s v="pagado"/>
    <s v="pagado"/>
    <s v="excluir"/>
    <s v="no semana"/>
    <x v="0"/>
  </r>
  <r>
    <n v="3000000297"/>
    <d v="2026-01-19T00:00:00"/>
    <n v="17194788.699999999"/>
    <s v="Colombres Federico J. SAN MIGUEL DE TUCUMAN 14"/>
    <x v="1637"/>
    <n v="17194788.699999999"/>
    <x v="192"/>
    <x v="0"/>
    <s v="pagado"/>
    <s v="pagado"/>
    <s v="excluir"/>
    <s v="no semana"/>
    <x v="0"/>
  </r>
  <r>
    <n v="3000000298"/>
    <d v="2026-01-19T00:00:00"/>
    <n v="10390538.029999999"/>
    <s v="Colombres Federico Jose AdolfoSAN MIGUEL DE TUCUMAN 14"/>
    <x v="1638"/>
    <n v="10390538.029999999"/>
    <x v="192"/>
    <x v="0"/>
    <s v="pagado"/>
    <s v="pagado"/>
    <s v="excluir"/>
    <s v="no semana"/>
    <x v="0"/>
  </r>
  <r>
    <n v="3000000299"/>
    <d v="2026-01-19T00:00:00"/>
    <n v="8127954.9000000004"/>
    <s v="COLOMBRES GARMENDIA JUAN CRISOYERBA BUENA 14"/>
    <x v="1639"/>
    <n v="8127954.9000000004"/>
    <x v="192"/>
    <x v="0"/>
    <s v="pagado"/>
    <s v="pagado"/>
    <s v="excluir"/>
    <s v="no semana"/>
    <x v="0"/>
  </r>
  <r>
    <n v="3000000300"/>
    <d v="2026-01-19T00:00:00"/>
    <n v="5760237.8700000001"/>
    <s v="Sergio Scopel SAN MIGUEL DE TUCUMAN 14"/>
    <x v="1640"/>
    <n v="5760237.8700000001"/>
    <x v="192"/>
    <x v="0"/>
    <s v="pagado"/>
    <s v="pagado"/>
    <s v="excluir"/>
    <s v="no semana"/>
    <x v="0"/>
  </r>
  <r>
    <n v="3000000330"/>
    <d v="2026-01-20T00:00:00"/>
    <n v="4486995.75"/>
    <s v="RL SOLUCIONES S. A. S. SAN MIGUEL DE TUCUMAN 14"/>
    <x v="1641"/>
    <n v="4486995.75"/>
    <x v="176"/>
    <x v="0"/>
    <s v="pagado"/>
    <s v="pagado"/>
    <s v="excluir"/>
    <s v="no semana"/>
    <x v="0"/>
  </r>
  <r>
    <n v="3000000331"/>
    <d v="2026-01-20T00:00:00"/>
    <n v="4486995.75"/>
    <s v="JACQUET NORBERTO SALVADOR SAN JOSE 05"/>
    <x v="1642"/>
    <n v="4486995.75"/>
    <x v="176"/>
    <x v="0"/>
    <s v="pagado"/>
    <s v="pagado"/>
    <s v="excluir"/>
    <s v="no semana"/>
    <x v="0"/>
  </r>
  <r>
    <n v="3000000332"/>
    <d v="2026-01-20T00:00:00"/>
    <n v="5256895.03"/>
    <s v="TRANSPORTE FRIOS DEL NORTE S.RSAN MIGUEL DE TUCUMAN 14"/>
    <x v="1643"/>
    <n v="5256895.03"/>
    <x v="176"/>
    <x v="0"/>
    <s v="pagado"/>
    <s v="pagado"/>
    <s v="excluir"/>
    <s v="no semana"/>
    <x v="0"/>
  </r>
  <r>
    <n v="3000000326"/>
    <d v="2026-01-20T00:00:00"/>
    <n v="25000000"/>
    <s v="BONSUR SA CAPITAL FEDERAL 00"/>
    <x v="1644"/>
    <n v="25000000"/>
    <x v="176"/>
    <x v="0"/>
    <s v="pagado"/>
    <s v="pagado"/>
    <s v="excluir"/>
    <s v="no semana"/>
    <x v="0"/>
  </r>
  <r>
    <n v="3000000326"/>
    <d v="2026-01-20T00:00:00"/>
    <n v="23280050"/>
    <s v="BONSUR SA CAPITAL FEDERAL 00"/>
    <x v="1645"/>
    <n v="23280050"/>
    <x v="194"/>
    <x v="0"/>
    <s v="pagado"/>
    <s v="pagado"/>
    <s v="excluir"/>
    <s v="no semana"/>
    <x v="0"/>
  </r>
  <r>
    <n v="3000000325"/>
    <d v="2026-01-20T00:00:00"/>
    <n v="7055961.3499999996"/>
    <s v="Expreso Bisonte S.R.L. BANDA DEL RIO SALI 14"/>
    <x v="1646"/>
    <n v="7055961.3499999996"/>
    <x v="176"/>
    <x v="0"/>
    <s v="pagado"/>
    <s v="pagado"/>
    <s v="excluir"/>
    <s v="no semana"/>
    <x v="0"/>
  </r>
  <r>
    <n v="3000000327"/>
    <d v="2026-01-20T00:00:00"/>
    <n v="9831266.8000000007"/>
    <s v="Terminal 4 S.A. Puerto Nuevo 01"/>
    <x v="1647"/>
    <n v="9831266.8000000007"/>
    <x v="176"/>
    <x v="0"/>
    <s v="pagado"/>
    <s v="pagado"/>
    <s v="excluir"/>
    <s v="no semana"/>
    <x v="0"/>
  </r>
  <r>
    <n v="3000000328"/>
    <d v="2026-01-20T00:00:00"/>
    <n v="14613832.859999999"/>
    <s v="INTER AMERICAN CARGO GROUP S.ACIUDAD AUTONOMA DE BUENOS AIRES 01"/>
    <x v="1648"/>
    <n v="14613832.859999999"/>
    <x v="176"/>
    <x v="0"/>
    <s v="pagado"/>
    <s v="pagado"/>
    <s v="excluir"/>
    <s v="no semana"/>
    <x v="0"/>
  </r>
  <r>
    <n v="3000000329"/>
    <d v="2026-01-20T00:00:00"/>
    <n v="4515538.99"/>
    <s v="MAC DONALD MIGUEL ALEJANDRO BANDA DEL RIO SALI 14"/>
    <x v="1649"/>
    <n v="4515538.99"/>
    <x v="176"/>
    <x v="0"/>
    <s v="pagado"/>
    <s v="pagado"/>
    <s v="excluir"/>
    <s v="no semana"/>
    <x v="0"/>
  </r>
  <r>
    <n v="3000000355"/>
    <d v="2026-01-21T00:00:00"/>
    <n v="156975000"/>
    <s v="EDET S.A. SAN MIGUEL DE TUCUMAN 14"/>
    <x v="1650"/>
    <n v="156975000"/>
    <x v="192"/>
    <x v="0"/>
    <s v="pagado"/>
    <s v="pagado"/>
    <s v="excluir"/>
    <s v="no semana"/>
    <x v="0"/>
  </r>
  <r>
    <n v="3000000437"/>
    <d v="2026-01-26T00:00:00"/>
    <n v="9597592.5600000005"/>
    <s v="SEGURIDAD OMEGA SRL"/>
    <x v="1651"/>
    <n v="9597592.5600000005"/>
    <x v="195"/>
    <x v="0"/>
    <s v="pagado"/>
    <s v="pagado"/>
    <s v="excluir"/>
    <s v="no semana"/>
    <x v="0"/>
  </r>
  <r>
    <n v="3000000438"/>
    <d v="2026-01-26T00:00:00"/>
    <n v="21449825.030000001"/>
    <s v="SMART SEGURIDAD SA"/>
    <x v="1652"/>
    <n v="21449825.030000001"/>
    <x v="195"/>
    <x v="0"/>
    <s v="pagado"/>
    <s v="pagado"/>
    <s v="excluir"/>
    <s v="no semana"/>
    <x v="0"/>
  </r>
  <r>
    <n v="3000000439"/>
    <d v="2026-01-26T00:00:00"/>
    <n v="3036764.4"/>
    <s v="DIGEX S.R.L."/>
    <x v="1653"/>
    <n v="3036764.4"/>
    <x v="196"/>
    <x v="0"/>
    <s v="pagado"/>
    <s v="pagado"/>
    <s v="excluir"/>
    <s v="no semana"/>
    <x v="0"/>
  </r>
  <r>
    <n v="3000000440"/>
    <d v="2026-01-26T00:00:00"/>
    <n v="3059020.08"/>
    <s v="Lamontanaro Luis B."/>
    <x v="1654"/>
    <n v="3059020.08"/>
    <x v="196"/>
    <x v="0"/>
    <s v="pagado"/>
    <s v="pagado"/>
    <s v="excluir"/>
    <s v="no semana"/>
    <x v="0"/>
  </r>
  <r>
    <n v="3000000441"/>
    <d v="2026-01-26T00:00:00"/>
    <n v="256051599.84"/>
    <s v="CATALANA DE SERVICIOS SRL"/>
    <x v="1655"/>
    <n v="256051599.84"/>
    <x v="195"/>
    <x v="0"/>
    <s v="pagado"/>
    <s v="pagado"/>
    <s v="excluir"/>
    <s v="no semana"/>
    <x v="0"/>
  </r>
  <r>
    <n v="3000000442"/>
    <d v="2026-01-26T00:00:00"/>
    <n v="29747116.050000001"/>
    <s v="PAMPLONA SRL"/>
    <x v="1656"/>
    <n v="29747116.050000001"/>
    <x v="195"/>
    <x v="0"/>
    <s v="pagado"/>
    <s v="pagado"/>
    <s v="excluir"/>
    <s v="no semana"/>
    <x v="0"/>
  </r>
  <r>
    <n v="3000000443"/>
    <d v="2026-01-26T00:00:00"/>
    <n v="12433472.9"/>
    <s v="ROMERO SERVICIOS S. A. S."/>
    <x v="1657"/>
    <n v="12433472.9"/>
    <x v="195"/>
    <x v="0"/>
    <s v="pagado"/>
    <s v="pagado"/>
    <s v="excluir"/>
    <s v="no semana"/>
    <x v="0"/>
  </r>
  <r>
    <n v="3000000444"/>
    <d v="2026-01-26T00:00:00"/>
    <n v="13294432.130000001"/>
    <s v="MG SERVICIOS AGROPECUARIOS SAS"/>
    <x v="1658"/>
    <n v="13294432.130000001"/>
    <x v="196"/>
    <x v="0"/>
    <s v="pagado"/>
    <s v="pagado"/>
    <s v="excluir"/>
    <s v="no semana"/>
    <x v="0"/>
  </r>
  <r>
    <n v="3000000445"/>
    <d v="2026-01-26T00:00:00"/>
    <n v="10690155"/>
    <s v="CITEX SRL"/>
    <x v="1659"/>
    <n v="10690155"/>
    <x v="196"/>
    <x v="0"/>
    <s v="pagado"/>
    <s v="pagado"/>
    <s v="excluir"/>
    <s v="no semana"/>
    <x v="0"/>
  </r>
  <r>
    <n v="3000000446"/>
    <d v="2026-01-26T00:00:00"/>
    <n v="20362740.280000001"/>
    <s v="CAPETTA ANTONELLA ANAHI"/>
    <x v="1660"/>
    <n v="20362740.280000001"/>
    <x v="196"/>
    <x v="0"/>
    <s v="pagado"/>
    <s v="pagado"/>
    <s v="excluir"/>
    <s v="no semana"/>
    <x v="0"/>
  </r>
  <r>
    <n v="3000000447"/>
    <d v="2026-01-26T00:00:00"/>
    <n v="2628447.5099999998"/>
    <s v="TRANSPORTE FRIOS DEL NORTE S.R.L"/>
    <x v="1661"/>
    <n v="2628447.5099999998"/>
    <x v="196"/>
    <x v="0"/>
    <s v="pagado"/>
    <s v="pagado"/>
    <s v="excluir"/>
    <s v="no semana"/>
    <x v="0"/>
  </r>
  <r>
    <n v="3000000448"/>
    <d v="2026-01-26T00:00:00"/>
    <n v="15110549.279999999"/>
    <s v="ADLER HASENCLEVER Y ASOCIADOS SRL"/>
    <x v="1662"/>
    <n v="15110549.279999999"/>
    <x v="196"/>
    <x v="0"/>
    <s v="pagado"/>
    <s v="pagado"/>
    <s v="excluir"/>
    <s v="no semana"/>
    <x v="0"/>
  </r>
  <r>
    <n v="3000000449"/>
    <d v="2026-01-26T00:00:00"/>
    <n v="13284723.9"/>
    <s v="M.A.D Serv y mant eléctri"/>
    <x v="1663"/>
    <n v="13284723.9"/>
    <x v="197"/>
    <x v="0"/>
    <s v="pagado"/>
    <s v="pagado"/>
    <s v="excluir"/>
    <s v="no semana"/>
    <x v="0"/>
  </r>
  <r>
    <n v="3000000450"/>
    <d v="2026-01-26T00:00:00"/>
    <n v="9067788"/>
    <s v="TEKNOS TECHNOLOGY GROUP SA"/>
    <x v="1664"/>
    <n v="9067788"/>
    <x v="197"/>
    <x v="0"/>
    <s v="pagado"/>
    <s v="pagado"/>
    <s v="excluir"/>
    <s v="no semana"/>
    <x v="0"/>
  </r>
  <r>
    <n v="3000000451"/>
    <d v="2026-01-26T00:00:00"/>
    <n v="17748570.359999999"/>
    <s v="Consultoria en Tecnologia de Inform"/>
    <x v="1665"/>
    <n v="17748570.359999999"/>
    <x v="197"/>
    <x v="0"/>
    <s v="pagado"/>
    <s v="pagado"/>
    <s v="excluir"/>
    <s v="no semana"/>
    <x v="0"/>
  </r>
  <r>
    <n v="3000000453"/>
    <d v="2026-01-26T00:00:00"/>
    <n v="36351559.520000003"/>
    <s v="AGROPECUARIA MUNDO NUEVO SRL"/>
    <x v="1666"/>
    <n v="36351559.520000003"/>
    <x v="195"/>
    <x v="0"/>
    <s v="pagado"/>
    <s v="pagado"/>
    <s v="excluir"/>
    <s v="no semana"/>
    <x v="0"/>
  </r>
  <r>
    <n v="3000000454"/>
    <d v="2026-01-27T00:00:00"/>
    <n v="19722454.359999999"/>
    <s v="Silver Freight Logistic SRL"/>
    <x v="1667"/>
    <n v="19722454.359999999"/>
    <x v="196"/>
    <x v="0"/>
    <s v="pagado"/>
    <s v="pagado"/>
    <s v="excluir"/>
    <s v="no semana"/>
    <x v="0"/>
  </r>
  <r>
    <n v="3000000564"/>
    <d v="2026-02-02T00:00:00"/>
    <n v="23775738.850000001"/>
    <s v="Astori Estructuras S.A. Bº Palmar 03"/>
    <x v="1668"/>
    <n v="23775738.850000001"/>
    <x v="198"/>
    <x v="0"/>
    <s v="pagado"/>
    <s v="pagado"/>
    <s v="excluir"/>
    <s v="no semana"/>
    <x v="0"/>
  </r>
  <r>
    <n v="3000000565"/>
    <d v="2026-02-02T00:00:00"/>
    <n v="7597267"/>
    <s v="Terminal 4 S.A. Puerto Nuevo 01"/>
    <x v="1669"/>
    <n v="7597267"/>
    <x v="199"/>
    <x v="0"/>
    <s v="pagado"/>
    <s v="pagado"/>
    <s v="excluir"/>
    <s v="no semana"/>
    <x v="0"/>
  </r>
  <r>
    <n v="3000000596"/>
    <d v="2026-02-03T00:00:00"/>
    <n v="11870000"/>
    <s v="HELVETICA SA CAÑADA DE GOMEZ 12"/>
    <x v="1670"/>
    <n v="11870000"/>
    <x v="199"/>
    <x v="0"/>
    <s v="pagado"/>
    <s v="pagado"/>
    <s v="excluir"/>
    <s v="no semana"/>
    <x v="0"/>
  </r>
  <r>
    <n v="3000000596"/>
    <d v="2026-02-03T00:00:00"/>
    <n v="5275000"/>
    <s v="HELVETICA SA CAÑADA DE GOMEZ 12"/>
    <x v="1671"/>
    <n v="5275000"/>
    <x v="177"/>
    <x v="0"/>
    <s v="pagado"/>
    <s v="pagado"/>
    <s v="excluir"/>
    <s v="no semana"/>
    <x v="0"/>
  </r>
  <r>
    <n v="3000000596"/>
    <d v="2026-02-03T00:00:00"/>
    <n v="5275000"/>
    <s v="HELVETICA SA CAÑADA DE GOMEZ 12"/>
    <x v="1672"/>
    <n v="5275000"/>
    <x v="200"/>
    <x v="0"/>
    <s v="pagado"/>
    <s v="pagado"/>
    <s v="excluir"/>
    <s v="no semana"/>
    <x v="0"/>
  </r>
  <r>
    <n v="3000000596"/>
    <d v="2026-02-03T00:00:00"/>
    <n v="5275000"/>
    <s v="HELVETICA SA CAÑADA DE GOMEZ 12"/>
    <x v="1673"/>
    <n v="5275000"/>
    <x v="201"/>
    <x v="0"/>
    <s v="pagado"/>
    <s v="pagado"/>
    <s v="excluir"/>
    <s v="no semana"/>
    <x v="0"/>
  </r>
  <r>
    <n v="3000000596"/>
    <d v="2026-02-03T00:00:00"/>
    <n v="5275000"/>
    <s v="HELVETICA SA CAÑADA DE GOMEZ 12"/>
    <x v="1674"/>
    <n v="5275000"/>
    <x v="202"/>
    <x v="0"/>
    <s v="pagado"/>
    <s v="pagado"/>
    <s v="excluir"/>
    <s v="no semana"/>
    <x v="0"/>
  </r>
  <r>
    <n v="3000000596"/>
    <d v="2026-02-03T00:00:00"/>
    <n v="5275000"/>
    <s v="HELVETICA SA CAÑADA DE GOMEZ 12"/>
    <x v="1675"/>
    <n v="5275000"/>
    <x v="203"/>
    <x v="0"/>
    <s v="pagado"/>
    <s v="pagado"/>
    <s v="excluir"/>
    <s v="no semana"/>
    <x v="0"/>
  </r>
  <r>
    <n v="3000000596"/>
    <d v="2026-02-03T00:00:00"/>
    <n v="5275000"/>
    <s v="HELVETICA SA CAÑADA DE GOMEZ 12"/>
    <x v="1676"/>
    <n v="5275000"/>
    <x v="204"/>
    <x v="0"/>
    <s v="pagado"/>
    <s v="pagado"/>
    <s v="excluir"/>
    <s v="no semana"/>
    <x v="0"/>
  </r>
  <r>
    <n v="3000000596"/>
    <d v="2026-02-03T00:00:00"/>
    <n v="5275000"/>
    <s v="HELVETICA SA CAÑADA DE GOMEZ 12"/>
    <x v="1677"/>
    <n v="5275000"/>
    <x v="205"/>
    <x v="0"/>
    <s v="pagado"/>
    <s v="pagado"/>
    <s v="excluir"/>
    <s v="no semana"/>
    <x v="0"/>
  </r>
  <r>
    <n v="3000000596"/>
    <d v="2026-02-03T00:00:00"/>
    <n v="5275000"/>
    <s v="HELVETICA SA CAÑADA DE GOMEZ 12"/>
    <x v="1678"/>
    <n v="5275000"/>
    <x v="206"/>
    <x v="0"/>
    <s v="no pagado"/>
    <s v="en periodo de pago"/>
    <s v="proximo a vencer"/>
    <s v="no semana"/>
    <x v="0"/>
  </r>
  <r>
    <n v="3000000596"/>
    <d v="2026-02-03T00:00:00"/>
    <n v="5278371.3899999997"/>
    <s v="HELVETICA SA CAÑADA DE GOMEZ 12"/>
    <x v="1679"/>
    <n v="5278371.3899999997"/>
    <x v="207"/>
    <x v="0"/>
    <s v="no pagado"/>
    <s v="en periodo de pago"/>
    <s v="proximo a vencer"/>
    <s v="no semana"/>
    <x v="0"/>
  </r>
  <r>
    <n v="3000000590"/>
    <d v="2026-02-03T00:00:00"/>
    <n v="14238071.25"/>
    <s v="Terminal 4 S.A. Puerto Nuevo 01"/>
    <x v="1680"/>
    <n v="14238071.25"/>
    <x v="199"/>
    <x v="0"/>
    <s v="pagado"/>
    <s v="pagado"/>
    <s v="excluir"/>
    <s v="no semana"/>
    <x v="0"/>
  </r>
  <r>
    <n v="3000000591"/>
    <d v="2026-02-03T00:00:00"/>
    <n v="7153041.7400000002"/>
    <s v="Silver Freight Logistic SRL CAPITAL FEDERAL 00"/>
    <x v="1681"/>
    <n v="7153041.7400000002"/>
    <x v="199"/>
    <x v="0"/>
    <s v="pagado"/>
    <s v="pagado"/>
    <s v="excluir"/>
    <s v="no semana"/>
    <x v="0"/>
  </r>
  <r>
    <n v="3000000592"/>
    <d v="2026-02-03T00:00:00"/>
    <n v="22435146.670000002"/>
    <s v="RL SOLUCIONES S. A. S. SAN MIGUEL DE TUCUMAN 14"/>
    <x v="1682"/>
    <n v="22435146.670000002"/>
    <x v="208"/>
    <x v="0"/>
    <s v="pagado"/>
    <s v="pagado"/>
    <s v="excluir"/>
    <s v="no semana"/>
    <x v="0"/>
  </r>
  <r>
    <n v="3000000593"/>
    <d v="2026-02-03T00:00:00"/>
    <n v="8974159.4199999999"/>
    <s v="JACQUET NORBERTO SALVADOR SAN JOSE 05"/>
    <x v="1683"/>
    <n v="8974159.4199999999"/>
    <x v="199"/>
    <x v="0"/>
    <s v="pagado"/>
    <s v="pagado"/>
    <s v="excluir"/>
    <s v="no semana"/>
    <x v="0"/>
  </r>
  <r>
    <n v="3000000594"/>
    <d v="2026-02-03T00:00:00"/>
    <n v="37544980.119999997"/>
    <s v="BONSUR SA CAPITAL FEDERAL 00"/>
    <x v="1684"/>
    <n v="37544980.119999997"/>
    <x v="208"/>
    <x v="0"/>
    <s v="pagado"/>
    <s v="pagado"/>
    <s v="excluir"/>
    <s v="no semana"/>
    <x v="0"/>
  </r>
  <r>
    <n v="3000000595"/>
    <d v="2026-02-03T00:00:00"/>
    <n v="17191145.800000001"/>
    <s v="MELISAM S A BOULOGNE 01"/>
    <x v="1685"/>
    <n v="17191145.800000001"/>
    <x v="208"/>
    <x v="0"/>
    <s v="pagado"/>
    <s v="pagado"/>
    <s v="excluir"/>
    <s v="no semana"/>
    <x v="0"/>
  </r>
  <r>
    <n v="3000000597"/>
    <d v="2026-02-03T00:00:00"/>
    <n v="3000000"/>
    <s v=". TUCUMAN"/>
    <x v="1686"/>
    <n v="3000000"/>
    <x v="209"/>
    <x v="0"/>
    <s v="pagado"/>
    <s v="pagado"/>
    <s v="excluir"/>
    <s v="no semana"/>
    <x v="0"/>
  </r>
  <r>
    <n v="3000000724"/>
    <d v="2026-02-10T00:00:00"/>
    <n v="85000000"/>
    <s v="CATALANA DE SERVICIOS SRL YERBA BUENA 14"/>
    <x v="1687"/>
    <n v="85000000"/>
    <x v="210"/>
    <x v="0"/>
    <s v="pagado"/>
    <s v="pagado"/>
    <s v="excluir"/>
    <s v="no semana"/>
    <x v="0"/>
  </r>
  <r>
    <n v="3000000724"/>
    <d v="2026-02-10T00:00:00"/>
    <n v="80020760.019999996"/>
    <s v="CATALANA DE SERVICIOS SRL YERBA BUENA 14"/>
    <x v="1688"/>
    <n v="80020760.019999996"/>
    <x v="211"/>
    <x v="0"/>
    <s v="pagado"/>
    <s v="pagado"/>
    <s v="excluir"/>
    <s v="no semana"/>
    <x v="0"/>
  </r>
  <r>
    <n v="3000000726"/>
    <d v="2026-02-10T00:00:00"/>
    <n v="5000000"/>
    <s v="CAFELI S.R.L. SAN MIGUEL DE TUCUMAN 14"/>
    <x v="1689"/>
    <n v="5000000"/>
    <x v="210"/>
    <x v="0"/>
    <s v="pagado"/>
    <s v="pagado"/>
    <s v="excluir"/>
    <s v="no semana"/>
    <x v="0"/>
  </r>
  <r>
    <n v="3000000726"/>
    <d v="2026-02-10T00:00:00"/>
    <n v="5000000"/>
    <s v="CAFELI S.R.L. SAN MIGUEL DE TUCUMAN 14"/>
    <x v="1690"/>
    <n v="5000000"/>
    <x v="210"/>
    <x v="0"/>
    <s v="pagado"/>
    <s v="pagado"/>
    <s v="excluir"/>
    <s v="no semana"/>
    <x v="0"/>
  </r>
  <r>
    <n v="3000000726"/>
    <d v="2026-02-10T00:00:00"/>
    <n v="11799074.5"/>
    <s v="CAFELI S.R.L. SAN MIGUEL DE TUCUMAN 14"/>
    <x v="1691"/>
    <n v="11799074.5"/>
    <x v="211"/>
    <x v="0"/>
    <s v="pagado"/>
    <s v="pagado"/>
    <s v="excluir"/>
    <s v="no semana"/>
    <x v="0"/>
  </r>
  <r>
    <n v="3000000727"/>
    <d v="2026-02-10T00:00:00"/>
    <n v="20000000"/>
    <s v="Poda Verde SRL SAN MIGUEL DE TUCUMAN 14"/>
    <x v="1692"/>
    <n v="20000000"/>
    <x v="210"/>
    <x v="0"/>
    <s v="pagado"/>
    <s v="pagado"/>
    <s v="excluir"/>
    <s v="no semana"/>
    <x v="0"/>
  </r>
  <r>
    <n v="3000000727"/>
    <d v="2026-02-10T00:00:00"/>
    <n v="20176442.02"/>
    <s v="Poda Verde SRL SAN MIGUEL DE TUCUMAN 14"/>
    <x v="1693"/>
    <n v="20176442.02"/>
    <x v="211"/>
    <x v="0"/>
    <s v="pagado"/>
    <s v="pagado"/>
    <s v="excluir"/>
    <s v="no semana"/>
    <x v="0"/>
  </r>
  <r>
    <n v="3000000728"/>
    <d v="2026-02-10T00:00:00"/>
    <n v="30000000"/>
    <s v="TRUSARELLI CARLOS ALBERTO BANDA DEL RIO SALI 14"/>
    <x v="1694"/>
    <n v="30000000"/>
    <x v="210"/>
    <x v="0"/>
    <s v="pagado"/>
    <s v="pagado"/>
    <s v="excluir"/>
    <s v="no semana"/>
    <x v="0"/>
  </r>
  <r>
    <n v="3000000728"/>
    <d v="2026-02-10T00:00:00"/>
    <n v="36620633.600000001"/>
    <s v="TRUSARELLI CARLOS ALBERTO BANDA DEL RIO SALI 14"/>
    <x v="1695"/>
    <n v="36620633.600000001"/>
    <x v="211"/>
    <x v="0"/>
    <s v="pagado"/>
    <s v="pagado"/>
    <s v="excluir"/>
    <s v="no semana"/>
    <x v="0"/>
  </r>
  <r>
    <n v="3000000729"/>
    <d v="2026-02-10T00:00:00"/>
    <n v="12000000"/>
    <s v="MG SERVICIOS AGROPECUARIOS SASTAFI VIEJO 14"/>
    <x v="1696"/>
    <n v="12000000"/>
    <x v="210"/>
    <x v="0"/>
    <s v="pagado"/>
    <s v="pagado"/>
    <s v="excluir"/>
    <s v="no semana"/>
    <x v="0"/>
  </r>
  <r>
    <n v="3000000729"/>
    <d v="2026-02-10T00:00:00"/>
    <n v="7000000"/>
    <s v="MG SERVICIOS AGROPECUARIOS SASTAFI VIEJO 14"/>
    <x v="1697"/>
    <n v="7000000"/>
    <x v="210"/>
    <x v="0"/>
    <s v="pagado"/>
    <s v="pagado"/>
    <s v="excluir"/>
    <s v="no semana"/>
    <x v="0"/>
  </r>
  <r>
    <n v="3000000729"/>
    <d v="2026-02-10T00:00:00"/>
    <n v="4500000"/>
    <s v="MG SERVICIOS AGROPECUARIOS SASTAFI VIEJO 14"/>
    <x v="1698"/>
    <n v="4500000"/>
    <x v="210"/>
    <x v="0"/>
    <s v="pagado"/>
    <s v="pagado"/>
    <s v="excluir"/>
    <s v="no semana"/>
    <x v="0"/>
  </r>
  <r>
    <n v="3000000729"/>
    <d v="2026-02-10T00:00:00"/>
    <n v="120000000"/>
    <s v="MG SERVICIOS AGROPECUARIOS SASTAFI VIEJO 14"/>
    <x v="1699"/>
    <n v="120000000"/>
    <x v="210"/>
    <x v="0"/>
    <s v="pagado"/>
    <s v="pagado"/>
    <s v="excluir"/>
    <s v="no semana"/>
    <x v="0"/>
  </r>
  <r>
    <n v="3000000729"/>
    <d v="2026-02-10T00:00:00"/>
    <n v="135844373.69"/>
    <s v="MG SERVICIOS AGROPECUARIOS SASTAFI VIEJO 14"/>
    <x v="1700"/>
    <n v="135844373.69"/>
    <x v="211"/>
    <x v="0"/>
    <s v="pagado"/>
    <s v="pagado"/>
    <s v="excluir"/>
    <s v="no semana"/>
    <x v="0"/>
  </r>
  <r>
    <n v="3000000722"/>
    <d v="2026-02-10T00:00:00"/>
    <n v="6765336.3399999999"/>
    <s v="Marchese Grandi Meson y Asoc SAN MIGUEL DE TUCUMAN 14"/>
    <x v="1701"/>
    <n v="6765336.3399999999"/>
    <x v="210"/>
    <x v="0"/>
    <s v="pagado"/>
    <s v="pagado"/>
    <s v="excluir"/>
    <s v="no semana"/>
    <x v="0"/>
  </r>
  <r>
    <n v="3000000723"/>
    <d v="2026-02-10T00:00:00"/>
    <n v="8895951.4000000004"/>
    <s v="CARRASCO JUAN CARLOS BANDA DEL RIO SALI 14"/>
    <x v="1702"/>
    <n v="8895951.4000000004"/>
    <x v="210"/>
    <x v="0"/>
    <s v="pagado"/>
    <s v="pagado"/>
    <s v="excluir"/>
    <s v="no semana"/>
    <x v="0"/>
  </r>
  <r>
    <n v="3000000725"/>
    <d v="2026-02-10T00:00:00"/>
    <n v="30691564.98"/>
    <s v="CAMPOAGRO SRL YERBA BUENA 14"/>
    <x v="1703"/>
    <n v="30691564.98"/>
    <x v="211"/>
    <x v="0"/>
    <s v="pagado"/>
    <s v="pagado"/>
    <s v="excluir"/>
    <s v="no semana"/>
    <x v="0"/>
  </r>
  <r>
    <n v="3000000730"/>
    <d v="2026-02-10T00:00:00"/>
    <n v="4503359.4000000004"/>
    <s v="CITRUSIMON S.A.S SAN MIGUEL DE TUCUMAN 14"/>
    <x v="1704"/>
    <n v="4503359.4000000004"/>
    <x v="210"/>
    <x v="0"/>
    <s v="pagado"/>
    <s v="pagado"/>
    <s v="excluir"/>
    <s v="no semana"/>
    <x v="0"/>
  </r>
  <r>
    <n v="3000000731"/>
    <d v="2026-02-10T00:00:00"/>
    <n v="6333148.8899999997"/>
    <s v="NOELIA VERONICA BAZAN RUIZ LAS TALITAS - TUCUMAN 14"/>
    <x v="1705"/>
    <n v="6333148.8899999997"/>
    <x v="210"/>
    <x v="0"/>
    <s v="pagado"/>
    <s v="pagado"/>
    <s v="excluir"/>
    <s v="no semana"/>
    <x v="0"/>
  </r>
  <r>
    <n v="3000000732"/>
    <d v="2026-02-10T00:00:00"/>
    <n v="5608563.4000000004"/>
    <s v="AG SUSTENTABLE SAS CABA 00"/>
    <x v="1706"/>
    <n v="5608563.4000000004"/>
    <x v="210"/>
    <x v="0"/>
    <s v="pagado"/>
    <s v="pagado"/>
    <s v="excluir"/>
    <s v="no semana"/>
    <x v="0"/>
  </r>
  <r>
    <n v="3000000733"/>
    <d v="2026-02-10T00:00:00"/>
    <n v="10899983.93"/>
    <s v="SMART SEGURIDAD SA YERBA BUENA 14"/>
    <x v="1707"/>
    <n v="10899983.93"/>
    <x v="210"/>
    <x v="0"/>
    <s v="pagado"/>
    <s v="pagado"/>
    <s v="excluir"/>
    <s v="no semana"/>
    <x v="0"/>
  </r>
  <r>
    <n v="3000000734"/>
    <d v="2026-02-10T00:00:00"/>
    <n v="13546784.869999999"/>
    <s v="CEMEVA SAS YERBA BUENA 14"/>
    <x v="1708"/>
    <n v="13546784.869999999"/>
    <x v="211"/>
    <x v="0"/>
    <s v="pagado"/>
    <s v="pagado"/>
    <s v="excluir"/>
    <s v="no semana"/>
    <x v="0"/>
  </r>
  <r>
    <n v="3000000735"/>
    <d v="2026-02-10T00:00:00"/>
    <n v="38463121.780000001"/>
    <s v="CAPETTA ANTONELLA ANAHI SAN MIGUEL DE TUCUMAN 14"/>
    <x v="1709"/>
    <n v="38463121.780000001"/>
    <x v="211"/>
    <x v="0"/>
    <s v="pagado"/>
    <s v="pagado"/>
    <s v="excluir"/>
    <s v="no semana"/>
    <x v="0"/>
  </r>
  <r>
    <n v="3000000736"/>
    <d v="2026-02-11T00:00:00"/>
    <n v="13150000"/>
    <s v="Siner S.A. Los Pocitos - T.Viejo 14"/>
    <x v="1710"/>
    <n v="13150000"/>
    <x v="212"/>
    <x v="0"/>
    <s v="pagado"/>
    <s v="pagado"/>
    <s v="excluir"/>
    <s v="no semana"/>
    <x v="0"/>
  </r>
  <r>
    <n v="3000000736"/>
    <d v="2026-02-11T00:00:00"/>
    <n v="13120317.5"/>
    <s v="Siner S.A. Los Pocitos - T.Viejo 14"/>
    <x v="1711"/>
    <n v="13120317.5"/>
    <x v="200"/>
    <x v="0"/>
    <s v="pagado"/>
    <s v="pagado"/>
    <s v="excluir"/>
    <s v="no semana"/>
    <x v="0"/>
  </r>
  <r>
    <n v="3000000817"/>
    <d v="2026-02-18T00:00:00"/>
    <n v="3551708.4"/>
    <s v="BME DISENO Y COMUNICACION SAS CAPITAL FEDERAL 00"/>
    <x v="1712"/>
    <n v="3551708.4"/>
    <x v="213"/>
    <x v="0"/>
    <s v="pagado"/>
    <s v="pagado"/>
    <s v="excluir"/>
    <s v="no semana"/>
    <x v="0"/>
  </r>
  <r>
    <n v="3000000818"/>
    <d v="2026-02-18T00:00:00"/>
    <n v="9848493.5199999996"/>
    <s v="Terminal 4 S.A. Puerto Nuevo 01"/>
    <x v="1713"/>
    <n v="9848493.5199999996"/>
    <x v="213"/>
    <x v="0"/>
    <s v="pagado"/>
    <s v="pagado"/>
    <s v="excluir"/>
    <s v="no semana"/>
    <x v="0"/>
  </r>
  <r>
    <n v="3000000819"/>
    <d v="2026-02-18T00:00:00"/>
    <n v="6773308.4900000002"/>
    <s v="MAC DONALD MIGUEL ALEJANDRO BANDA DEL RIO SALI 14"/>
    <x v="1714"/>
    <n v="6773308.4900000002"/>
    <x v="213"/>
    <x v="0"/>
    <s v="pagado"/>
    <s v="pagado"/>
    <s v="excluir"/>
    <s v="no semana"/>
    <x v="0"/>
  </r>
  <r>
    <n v="3000000820"/>
    <d v="2026-02-18T00:00:00"/>
    <n v="4515538.99"/>
    <s v="CEMEVA SAS YERBA BUENA 14"/>
    <x v="1715"/>
    <n v="4515538.99"/>
    <x v="213"/>
    <x v="0"/>
    <s v="pagado"/>
    <s v="pagado"/>
    <s v="excluir"/>
    <s v="no semana"/>
    <x v="0"/>
  </r>
  <r>
    <n v="3000000821"/>
    <d v="2026-02-18T00:00:00"/>
    <n v="18235288.73"/>
    <s v="CAPETTA ANTONELLA ANAHI SAN MIGUEL DE TUCUMAN 14"/>
    <x v="1716"/>
    <n v="18235288.73"/>
    <x v="214"/>
    <x v="0"/>
    <s v="pagado"/>
    <s v="pagado"/>
    <s v="excluir"/>
    <s v="no semana"/>
    <x v="0"/>
  </r>
  <r>
    <n v="3000000822"/>
    <d v="2026-02-18T00:00:00"/>
    <n v="20191480.879999999"/>
    <s v="RL SOLUCIONES S. A. S. SAN MIGUEL DE TUCUMAN 14"/>
    <x v="1717"/>
    <n v="20191480.879999999"/>
    <x v="214"/>
    <x v="0"/>
    <s v="pagado"/>
    <s v="pagado"/>
    <s v="excluir"/>
    <s v="no semana"/>
    <x v="0"/>
  </r>
  <r>
    <n v="3000000823"/>
    <d v="2026-02-18T00:00:00"/>
    <n v="44368343.399999999"/>
    <s v="Jeblab S.R.L. YERBA BUENA 14"/>
    <x v="1718"/>
    <n v="44368343.399999999"/>
    <x v="214"/>
    <x v="0"/>
    <s v="pagado"/>
    <s v="pagado"/>
    <s v="excluir"/>
    <s v="no semana"/>
    <x v="0"/>
  </r>
  <r>
    <n v="3000000824"/>
    <d v="2026-02-18T00:00:00"/>
    <n v="5214080.0999999996"/>
    <s v="Expreso Bisonte S.R.L. BANDA DEL RIO SALI 14"/>
    <x v="1719"/>
    <n v="5214080.0999999996"/>
    <x v="213"/>
    <x v="0"/>
    <s v="pagado"/>
    <s v="pagado"/>
    <s v="excluir"/>
    <s v="no semana"/>
    <x v="0"/>
  </r>
  <r>
    <n v="3000000825"/>
    <d v="2026-02-18T00:00:00"/>
    <n v="6982588.7800000003"/>
    <s v="CAMPOAGRO SRL YERBA BUENA 14"/>
    <x v="1720"/>
    <n v="6982588.7800000003"/>
    <x v="213"/>
    <x v="0"/>
    <s v="pagado"/>
    <s v="pagado"/>
    <s v="excluir"/>
    <s v="no semana"/>
    <x v="0"/>
  </r>
  <r>
    <n v="3000000826"/>
    <d v="2026-02-18T00:00:00"/>
    <n v="25314860"/>
    <s v="EDET S.A. SAN MIGUEL DE TUCUMAN 14"/>
    <x v="1721"/>
    <n v="25314860"/>
    <x v="213"/>
    <x v="0"/>
    <s v="pagado"/>
    <s v="pagado"/>
    <s v="excluir"/>
    <s v="no semana"/>
    <x v="0"/>
  </r>
  <r>
    <n v="3000000922"/>
    <d v="2026-02-23T00:00:00"/>
    <n v="8719172.5199999996"/>
    <s v="MRT S.A. CAPITAL FEDERAL 00"/>
    <x v="1722"/>
    <n v="8719172.5199999996"/>
    <x v="177"/>
    <x v="0"/>
    <s v="pagado"/>
    <s v="pagado"/>
    <s v="excluir"/>
    <s v="no semana"/>
    <x v="0"/>
  </r>
  <r>
    <n v="3000000923"/>
    <d v="2026-02-23T00:00:00"/>
    <n v="100000000"/>
    <s v="CATALANA DE SERVICIOS SRL YERBA BUENA 14"/>
    <x v="1723"/>
    <n v="100000000"/>
    <x v="177"/>
    <x v="0"/>
    <s v="pagado"/>
    <s v="pagado"/>
    <s v="excluir"/>
    <s v="no semana"/>
    <x v="0"/>
  </r>
  <r>
    <n v="3000000923"/>
    <d v="2026-02-23T00:00:00"/>
    <n v="112375717.95999999"/>
    <s v="CATALANA DE SERVICIOS SRL YERBA BUENA 14"/>
    <x v="1724"/>
    <n v="112375717.95999999"/>
    <x v="215"/>
    <x v="0"/>
    <s v="pagado"/>
    <s v="pagado"/>
    <s v="excluir"/>
    <s v="no semana"/>
    <x v="0"/>
  </r>
  <r>
    <n v="3000000924"/>
    <d v="2026-02-23T00:00:00"/>
    <n v="26463187.379999999"/>
    <s v="PAMPLONA SRL SAN MIGUEL DE TUCUMAN 14"/>
    <x v="1725"/>
    <n v="26463187.379999999"/>
    <x v="215"/>
    <x v="0"/>
    <s v="pagado"/>
    <s v="pagado"/>
    <s v="excluir"/>
    <s v="no semana"/>
    <x v="0"/>
  </r>
  <r>
    <n v="3000000925"/>
    <d v="2026-02-23T00:00:00"/>
    <n v="9568920.6600000001"/>
    <s v="ROMERO SERVICIOS S. A. S. ALPACHIRI 14"/>
    <x v="1726"/>
    <n v="9568920.6600000001"/>
    <x v="177"/>
    <x v="0"/>
    <s v="pagado"/>
    <s v="pagado"/>
    <s v="excluir"/>
    <s v="no semana"/>
    <x v="0"/>
  </r>
  <r>
    <n v="3000000926"/>
    <d v="2026-02-23T00:00:00"/>
    <n v="13349995.869999999"/>
    <s v="INSITU S.R.L SAN MIGUEL DE TUCUMAN 14"/>
    <x v="1727"/>
    <n v="13349995.869999999"/>
    <x v="177"/>
    <x v="0"/>
    <s v="pagado"/>
    <s v="pagado"/>
    <s v="excluir"/>
    <s v="no semana"/>
    <x v="0"/>
  </r>
  <r>
    <n v="3000000927"/>
    <d v="2026-02-23T00:00:00"/>
    <n v="10913343.4"/>
    <s v="Deloitte &amp; Co. SA BUENOS AIRES 01"/>
    <x v="1728"/>
    <n v="10913343.4"/>
    <x v="177"/>
    <x v="0"/>
    <s v="pagado"/>
    <s v="pagado"/>
    <s v="excluir"/>
    <s v="no semana"/>
    <x v="0"/>
  </r>
  <r>
    <n v="3000000928"/>
    <d v="2026-02-23T00:00:00"/>
    <n v="5708969.2800000003"/>
    <s v="RASUK JORGE LUIS YERBA BUENA 14"/>
    <x v="1729"/>
    <n v="5708969.2800000003"/>
    <x v="177"/>
    <x v="0"/>
    <s v="pagado"/>
    <s v="pagado"/>
    <s v="excluir"/>
    <s v="no semana"/>
    <x v="0"/>
  </r>
  <r>
    <n v="3000000929"/>
    <d v="2026-02-23T00:00:00"/>
    <n v="6046035.9000000004"/>
    <s v="VISMA ARGENTINA SA CAPITAL FEDERAL 14"/>
    <x v="1730"/>
    <n v="6046035.9000000004"/>
    <x v="177"/>
    <x v="0"/>
    <s v="pagado"/>
    <s v="pagado"/>
    <s v="excluir"/>
    <s v="no semana"/>
    <x v="0"/>
  </r>
  <r>
    <n v="3000000955"/>
    <d v="2026-02-25T00:00:00"/>
    <n v="172055660"/>
    <s v="EDET S.A. SAN MIGUEL DE TUCUMAN 14"/>
    <x v="1731"/>
    <n v="172055660"/>
    <x v="177"/>
    <x v="2"/>
    <s v="pagado"/>
    <s v="pagado"/>
    <s v="excluir"/>
    <s v="no semana"/>
    <x v="0"/>
  </r>
  <r>
    <n v="3000001015"/>
    <d v="2026-02-27T00:00:00"/>
    <n v="5000000"/>
    <s v="AGROGANADERA DEL NOA CEVIL POZO 14"/>
    <x v="1732"/>
    <n v="5000000"/>
    <x v="216"/>
    <x v="0"/>
    <s v="pagado"/>
    <s v="pagado"/>
    <s v="excluir"/>
    <s v="no semana"/>
    <x v="0"/>
  </r>
  <r>
    <n v="3000001015"/>
    <d v="2026-02-27T00:00:00"/>
    <n v="5000000"/>
    <s v="AGROGANADERA DEL NOA CEVIL POZO 14"/>
    <x v="1733"/>
    <n v="5000000"/>
    <x v="216"/>
    <x v="0"/>
    <s v="pagado"/>
    <s v="pagado"/>
    <s v="excluir"/>
    <s v="no semana"/>
    <x v="0"/>
  </r>
  <r>
    <n v="3000001015"/>
    <d v="2026-02-27T00:00:00"/>
    <n v="5164541.66"/>
    <s v="AGROGANADERA DEL NOA CEVIL POZO 14"/>
    <x v="1734"/>
    <n v="5164541.66"/>
    <x v="216"/>
    <x v="0"/>
    <s v="pagado"/>
    <s v="pagado"/>
    <s v="excluir"/>
    <s v="no semana"/>
    <x v="0"/>
  </r>
  <r>
    <n v="3000001042"/>
    <d v="2026-03-02T00:00:00"/>
    <n v="4257678.87"/>
    <s v="TS OASIS SRL BANDA DEL RIO SALI 14"/>
    <x v="1735"/>
    <n v="4257678.87"/>
    <x v="217"/>
    <x v="0"/>
    <s v="pagado"/>
    <s v="pagado"/>
    <s v="excluir"/>
    <s v="no semana"/>
    <x v="0"/>
  </r>
  <r>
    <n v="3000001043"/>
    <d v="2026-03-02T00:00:00"/>
    <n v="15545939.09"/>
    <s v="ADLER HASENCLEVER Y ASOCIADOS BUENOS AIRES 01"/>
    <x v="1736"/>
    <n v="15545939.09"/>
    <x v="218"/>
    <x v="0"/>
    <s v="pagado"/>
    <s v="pagado"/>
    <s v="excluir"/>
    <s v="no semana"/>
    <x v="0"/>
  </r>
  <r>
    <n v="3000001044"/>
    <d v="2026-03-02T00:00:00"/>
    <n v="16207253.939999999"/>
    <s v="Dimater S.A. SAN MIGUEL DE TUCUMAN 14"/>
    <x v="1737"/>
    <n v="16207253.939999999"/>
    <x v="218"/>
    <x v="0"/>
    <s v="pagado"/>
    <s v="pagado"/>
    <s v="excluir"/>
    <s v="no semana"/>
    <x v="0"/>
  </r>
  <r>
    <n v="3000001045"/>
    <d v="2026-03-02T00:00:00"/>
    <n v="9247855.4000000004"/>
    <s v="TEKNOS TECHNOLOGY GROUP SA CAPITAL FEDERAL 00"/>
    <x v="1738"/>
    <n v="9247855.4000000004"/>
    <x v="217"/>
    <x v="0"/>
    <s v="pagado"/>
    <s v="pagado"/>
    <s v="excluir"/>
    <s v="no semana"/>
    <x v="0"/>
  </r>
  <r>
    <n v="3000001046"/>
    <d v="2026-03-02T00:00:00"/>
    <n v="5944273.4000000004"/>
    <s v="VISMA ARGENTINA SA CAPITAL FEDERAL 14"/>
    <x v="1739"/>
    <n v="5944273.4000000004"/>
    <x v="217"/>
    <x v="0"/>
    <s v="pagado"/>
    <s v="pagado"/>
    <s v="excluir"/>
    <s v="no semana"/>
    <x v="0"/>
  </r>
  <r>
    <n v="3000001047"/>
    <d v="2026-03-02T00:00:00"/>
    <n v="14168764.220000001"/>
    <s v="Marchese Grandi Meson y Asoc SAN MIGUEL DE TUCUMAN 14"/>
    <x v="1740"/>
    <n v="14168764.220000001"/>
    <x v="218"/>
    <x v="0"/>
    <s v="pagado"/>
    <s v="pagado"/>
    <s v="excluir"/>
    <s v="no semana"/>
    <x v="0"/>
  </r>
  <r>
    <n v="3000001048"/>
    <d v="2026-03-02T00:00:00"/>
    <n v="11385095.9"/>
    <s v="Consultoria en Tecnologia de IBUENOS AIRES 00"/>
    <x v="1741"/>
    <n v="11385095.9"/>
    <x v="218"/>
    <x v="0"/>
    <s v="pagado"/>
    <s v="pagado"/>
    <s v="excluir"/>
    <s v="no semana"/>
    <x v="0"/>
  </r>
  <r>
    <n v="3000001109"/>
    <d v="2026-03-04T00:00:00"/>
    <n v="24000000"/>
    <s v="BONSUR SA CAPITAL FEDERAL 00"/>
    <x v="1742"/>
    <n v="24000000"/>
    <x v="218"/>
    <x v="0"/>
    <s v="pagado"/>
    <s v="pagado"/>
    <s v="excluir"/>
    <s v="no semana"/>
    <x v="0"/>
  </r>
  <r>
    <n v="3000001109"/>
    <d v="2026-03-04T00:00:00"/>
    <n v="23219117.920000002"/>
    <s v="BONSUR SA CAPITAL FEDERAL 00"/>
    <x v="1743"/>
    <n v="23219117.920000002"/>
    <x v="219"/>
    <x v="0"/>
    <s v="pagado"/>
    <s v="pagado"/>
    <s v="excluir"/>
    <s v="no semana"/>
    <x v="0"/>
  </r>
  <r>
    <n v="3000001111"/>
    <d v="2026-03-04T00:00:00"/>
    <n v="5000000"/>
    <s v="RL SOLUCIONES S. A. S. SAN MIGUEL DE TUCUMAN 14"/>
    <x v="1744"/>
    <n v="5000000"/>
    <x v="218"/>
    <x v="0"/>
    <s v="pagado"/>
    <s v="pagado"/>
    <s v="excluir"/>
    <s v="no semana"/>
    <x v="0"/>
  </r>
  <r>
    <n v="3000001111"/>
    <d v="2026-03-04T00:00:00"/>
    <n v="10645663.710000001"/>
    <s v="RL SOLUCIONES S. A. S. SAN MIGUEL DE TUCUMAN 14"/>
    <x v="1745"/>
    <n v="10645663.710000001"/>
    <x v="219"/>
    <x v="0"/>
    <s v="pagado"/>
    <s v="pagado"/>
    <s v="excluir"/>
    <s v="no semana"/>
    <x v="0"/>
  </r>
  <r>
    <n v="3000001106"/>
    <d v="2026-03-04T00:00:00"/>
    <n v="22312745.579999998"/>
    <s v="Terminal 4 S.A. Puerto Nuevo 01"/>
    <x v="1746"/>
    <n v="22312745.579999998"/>
    <x v="218"/>
    <x v="0"/>
    <s v="pagado"/>
    <s v="pagado"/>
    <s v="excluir"/>
    <s v="no semana"/>
    <x v="0"/>
  </r>
  <r>
    <n v="3000001108"/>
    <d v="2026-03-04T00:00:00"/>
    <n v="12611263.4"/>
    <s v="Rutas Servicios Integrales SRLCapital Federal 00"/>
    <x v="1747"/>
    <n v="12611263.4"/>
    <x v="218"/>
    <x v="0"/>
    <s v="pagado"/>
    <s v="pagado"/>
    <s v="excluir"/>
    <s v="no semana"/>
    <x v="0"/>
  </r>
  <r>
    <n v="3000001110"/>
    <d v="2026-03-04T00:00:00"/>
    <n v="11596731.74"/>
    <s v="JACQUET NORBERTO SALVADOR SAN JOSE 05"/>
    <x v="1748"/>
    <n v="11596731.74"/>
    <x v="218"/>
    <x v="0"/>
    <s v="pagado"/>
    <s v="pagado"/>
    <s v="excluir"/>
    <s v="no semana"/>
    <x v="0"/>
  </r>
  <r>
    <n v="3000001112"/>
    <d v="2026-03-04T00:00:00"/>
    <n v="11580847.17"/>
    <s v="CAPETTA ANTONELLA ANAHI SAN MIGUEL DE TUCUMAN 14"/>
    <x v="1749"/>
    <n v="11580847.17"/>
    <x v="218"/>
    <x v="0"/>
    <s v="pagado"/>
    <s v="pagado"/>
    <s v="excluir"/>
    <s v="no semana"/>
    <x v="0"/>
  </r>
  <r>
    <n v="3000001231"/>
    <d v="2026-03-10T00:00:00"/>
    <n v="7243773.4500000002"/>
    <s v="LETIS SA SANTA FE 12"/>
    <x v="1750"/>
    <n v="7243773.4500000002"/>
    <x v="220"/>
    <x v="0"/>
    <s v="pagado"/>
    <s v="pagado"/>
    <s v="excluir"/>
    <s v="no semana"/>
    <x v="0"/>
  </r>
  <r>
    <n v="3000001232"/>
    <d v="2026-03-10T00:00:00"/>
    <n v="4592578.8899999997"/>
    <s v="BERCOVICH COMERCIAL SAS SAN MIGUEL DE TUCUMAN 14"/>
    <x v="1751"/>
    <n v="4592578.8899999997"/>
    <x v="220"/>
    <x v="0"/>
    <s v="pagado"/>
    <s v="pagado"/>
    <s v="excluir"/>
    <s v="no semana"/>
    <x v="0"/>
  </r>
  <r>
    <n v="3000001233"/>
    <d v="2026-03-10T00:00:00"/>
    <n v="9496593.4000000004"/>
    <s v="SEPULVEDA MONTAJES S.R.L. SAN ISIDRO DE LULES 14"/>
    <x v="1752"/>
    <n v="9496593.4000000004"/>
    <x v="220"/>
    <x v="0"/>
    <s v="pagado"/>
    <s v="pagado"/>
    <s v="excluir"/>
    <s v="no semana"/>
    <x v="0"/>
  </r>
  <r>
    <n v="3000001234"/>
    <d v="2026-03-10T00:00:00"/>
    <n v="15837686.890000001"/>
    <s v="CAPETTA ANTONELLA ANAHI SAN MIGUEL DE TUCUMAN 14"/>
    <x v="1753"/>
    <n v="15837686.890000001"/>
    <x v="220"/>
    <x v="0"/>
    <s v="pagado"/>
    <s v="pagado"/>
    <s v="excluir"/>
    <s v="no semana"/>
    <x v="0"/>
  </r>
  <r>
    <n v="3000001235"/>
    <d v="2026-03-10T00:00:00"/>
    <n v="22434978.77"/>
    <s v="RL SOLUCIONES S. A. S. SAN MIGUEL DE TUCUMAN 14"/>
    <x v="1754"/>
    <n v="22434978.77"/>
    <x v="220"/>
    <x v="0"/>
    <s v="pagado"/>
    <s v="pagado"/>
    <s v="excluir"/>
    <s v="no semana"/>
    <x v="0"/>
  </r>
  <r>
    <n v="3000001265"/>
    <d v="2026-03-12T00:00:00"/>
    <n v="11000000"/>
    <s v="ECOGREEN SRL SAN MIGUEL DE TUCUMAN 14"/>
    <x v="1755"/>
    <n v="11000000"/>
    <x v="221"/>
    <x v="0"/>
    <s v="pagado"/>
    <s v="pagado"/>
    <s v="excluir"/>
    <s v="no semana"/>
    <x v="0"/>
  </r>
  <r>
    <n v="3000001265"/>
    <d v="2026-03-12T00:00:00"/>
    <n v="11000000"/>
    <s v="ECOGREEN SRL SAN MIGUEL DE TUCUMAN 14"/>
    <x v="1756"/>
    <n v="11000000"/>
    <x v="221"/>
    <x v="0"/>
    <s v="pagado"/>
    <s v="pagado"/>
    <s v="excluir"/>
    <s v="no semana"/>
    <x v="0"/>
  </r>
  <r>
    <n v="3000001265"/>
    <d v="2026-03-12T00:00:00"/>
    <n v="11098774.199999999"/>
    <s v="ECOGREEN SRL SAN MIGUEL DE TUCUMAN 14"/>
    <x v="1757"/>
    <n v="11098774.199999999"/>
    <x v="221"/>
    <x v="0"/>
    <s v="pagado"/>
    <s v="pagado"/>
    <s v="excluir"/>
    <s v="no semana"/>
    <x v="0"/>
  </r>
  <r>
    <n v="3000001352"/>
    <d v="2026-03-16T00:00:00"/>
    <n v="1670899.79"/>
    <s v="Fondo Fijo Administracion CitrNO TIENE"/>
    <x v="1758"/>
    <n v="1670899.79"/>
    <x v="222"/>
    <x v="0"/>
    <s v="pagado"/>
    <s v="pagado"/>
    <s v="excluir"/>
    <s v="no semana"/>
    <x v="0"/>
  </r>
  <r>
    <n v="3000001353"/>
    <d v="2026-03-16T00:00:00"/>
    <n v="1549440.88"/>
    <s v="Fondo Fijo Administracion CitrNO TIENE"/>
    <x v="1759"/>
    <n v="1549440.88"/>
    <x v="223"/>
    <x v="0"/>
    <s v="pagado"/>
    <s v="pagado"/>
    <s v="excluir"/>
    <s v="no semana"/>
    <x v="0"/>
  </r>
  <r>
    <n v="3000001342"/>
    <d v="2026-03-16T00:00:00"/>
    <n v="22000000"/>
    <s v="Jeblab S.R.L. YERBA BUENA 14"/>
    <x v="1760"/>
    <n v="22000000"/>
    <x v="223"/>
    <x v="0"/>
    <s v="pagado"/>
    <s v="pagado"/>
    <s v="excluir"/>
    <s v="no semana"/>
    <x v="0"/>
  </r>
  <r>
    <n v="3000001342"/>
    <d v="2026-03-16T00:00:00"/>
    <n v="22368343.399999999"/>
    <s v="Jeblab S.R.L. YERBA BUENA 14"/>
    <x v="1761"/>
    <n v="22368343.399999999"/>
    <x v="224"/>
    <x v="0"/>
    <s v="pagado"/>
    <s v="pagado"/>
    <s v="excluir"/>
    <s v="no semana"/>
    <x v="0"/>
  </r>
  <r>
    <n v="3000001343"/>
    <d v="2026-03-16T00:00:00"/>
    <n v="20466569.289999999"/>
    <s v="Roda Transformecanica Serv.SRLSAN MIGUEL DE TUCUMAN 14"/>
    <x v="1762"/>
    <n v="20466569.289999999"/>
    <x v="223"/>
    <x v="0"/>
    <s v="pagado"/>
    <s v="pagado"/>
    <s v="excluir"/>
    <s v="no semana"/>
    <x v="0"/>
  </r>
  <r>
    <n v="3000001344"/>
    <d v="2026-03-16T00:00:00"/>
    <n v="5557213.0199999996"/>
    <s v="Expreso San Jose S.A. SAN MIGUEL DE TUCUMAN 14"/>
    <x v="1763"/>
    <n v="5557213.0199999996"/>
    <x v="223"/>
    <x v="0"/>
    <s v="pagado"/>
    <s v="pagado"/>
    <s v="excluir"/>
    <s v="no semana"/>
    <x v="0"/>
  </r>
  <r>
    <n v="3000001345"/>
    <d v="2026-03-16T00:00:00"/>
    <n v="4901728.8099999996"/>
    <s v="CAFELI S.R.L. SAN MIGUEL DE TUCUMAN 14"/>
    <x v="1764"/>
    <n v="4901728.8099999996"/>
    <x v="223"/>
    <x v="0"/>
    <s v="pagado"/>
    <s v="pagado"/>
    <s v="excluir"/>
    <s v="no semana"/>
    <x v="0"/>
  </r>
  <r>
    <n v="3000001346"/>
    <d v="2026-03-16T00:00:00"/>
    <n v="25658700"/>
    <s v="EDET S.A. SAN MIGUEL DE TUCUMAN 14"/>
    <x v="1765"/>
    <n v="25658700"/>
    <x v="224"/>
    <x v="0"/>
    <s v="pagado"/>
    <s v="pagado"/>
    <s v="excluir"/>
    <s v="no semana"/>
    <x v="0"/>
  </r>
  <r>
    <n v="3000001347"/>
    <d v="2026-03-16T00:00:00"/>
    <n v="30000000"/>
    <s v="M. AMUCHASTEGUI S. R. L. YERBA BUENA 14"/>
    <x v="1766"/>
    <n v="30000000"/>
    <x v="223"/>
    <x v="0"/>
    <s v="pagado"/>
    <s v="pagado"/>
    <s v="excluir"/>
    <s v="no semana"/>
    <x v="0"/>
  </r>
  <r>
    <n v="3000001347"/>
    <d v="2026-03-16T00:00:00"/>
    <n v="30121126.440000001"/>
    <s v="M. AMUCHASTEGUI S. R. L. YERBA BUENA 14"/>
    <x v="1767"/>
    <n v="30121126.440000001"/>
    <x v="224"/>
    <x v="0"/>
    <s v="pagado"/>
    <s v="pagado"/>
    <s v="excluir"/>
    <s v="no semana"/>
    <x v="0"/>
  </r>
  <r>
    <n v="3000001348"/>
    <d v="2026-03-16T00:00:00"/>
    <n v="20000000"/>
    <s v="Poda Verde SRL SAN MIGUEL DE TUCUMAN 14"/>
    <x v="1768"/>
    <n v="20000000"/>
    <x v="223"/>
    <x v="0"/>
    <s v="pagado"/>
    <s v="pagado"/>
    <s v="excluir"/>
    <s v="no semana"/>
    <x v="0"/>
  </r>
  <r>
    <n v="3000001348"/>
    <d v="2026-03-16T00:00:00"/>
    <n v="19699035.510000002"/>
    <s v="Poda Verde SRL SAN MIGUEL DE TUCUMAN 14"/>
    <x v="1769"/>
    <n v="19699035.510000002"/>
    <x v="224"/>
    <x v="0"/>
    <s v="no pagado"/>
    <s v="fuera de fecha"/>
    <s v="excluir"/>
    <s v="no semana"/>
    <x v="0"/>
  </r>
  <r>
    <n v="3000001349"/>
    <d v="2026-03-16T00:00:00"/>
    <n v="23965867.300000001"/>
    <s v="CAMPOAGRO SRL YERBA BUENA 14"/>
    <x v="1770"/>
    <n v="23965867.300000001"/>
    <x v="223"/>
    <x v="0"/>
    <s v="pagado"/>
    <s v="pagado"/>
    <s v="excluir"/>
    <s v="no semana"/>
    <x v="0"/>
  </r>
  <r>
    <n v="3000001350"/>
    <d v="2026-03-16T00:00:00"/>
    <n v="170000000"/>
    <s v="MG SERVICIOS AGROPECUARIOS SASTAFI VIEJO 14"/>
    <x v="1771"/>
    <n v="170000000"/>
    <x v="223"/>
    <x v="0"/>
    <s v="pagado"/>
    <s v="pagado"/>
    <s v="excluir"/>
    <s v="no semana"/>
    <x v="0"/>
  </r>
  <r>
    <n v="3000001350"/>
    <d v="2026-03-16T00:00:00"/>
    <n v="20517619"/>
    <s v="MG SERVICIOS AGROPECUARIOS SASTAFI VIEJO 14"/>
    <x v="1772"/>
    <n v="20517619"/>
    <x v="224"/>
    <x v="0"/>
    <s v="pagado"/>
    <s v="pagado"/>
    <s v="excluir"/>
    <s v="no semana"/>
    <x v="0"/>
  </r>
  <r>
    <n v="3000001350"/>
    <d v="2026-03-16T00:00:00"/>
    <n v="8316000"/>
    <s v="MG SERVICIOS AGROPECUARIOS SASTAFI VIEJO 14"/>
    <x v="1773"/>
    <n v="8316000"/>
    <x v="224"/>
    <x v="0"/>
    <s v="pagado"/>
    <s v="pagado"/>
    <s v="excluir"/>
    <s v="no semana"/>
    <x v="0"/>
  </r>
  <r>
    <n v="3000001350"/>
    <d v="2026-03-16T00:00:00"/>
    <n v="7704000"/>
    <s v="MG SERVICIOS AGROPECUARIOS SASTAFI VIEJO 14"/>
    <x v="1774"/>
    <n v="7704000"/>
    <x v="224"/>
    <x v="0"/>
    <s v="pagado"/>
    <s v="pagado"/>
    <s v="excluir"/>
    <s v="no semana"/>
    <x v="0"/>
  </r>
  <r>
    <n v="3000001350"/>
    <d v="2026-03-16T00:00:00"/>
    <n v="72608590.819999993"/>
    <s v="MG SERVICIOS AGROPECUARIOS SASTAFI VIEJO 14"/>
    <x v="1775"/>
    <n v="72608590.819999993"/>
    <x v="224"/>
    <x v="0"/>
    <s v="pagado"/>
    <s v="pagado"/>
    <s v="excluir"/>
    <s v="no semana"/>
    <x v="0"/>
  </r>
  <r>
    <n v="3000001351"/>
    <d v="2026-03-16T00:00:00"/>
    <n v="80000000"/>
    <s v="AGROPECUARIA MUNDO NUEVO SRL SAN PABLO 14"/>
    <x v="1776"/>
    <n v="80000000"/>
    <x v="222"/>
    <x v="0"/>
    <s v="pagado"/>
    <s v="pagado"/>
    <s v="excluir"/>
    <s v="no semana"/>
    <x v="0"/>
  </r>
  <r>
    <n v="3000001351"/>
    <d v="2026-03-16T00:00:00"/>
    <n v="75572794.780000001"/>
    <s v="AGROPECUARIA MUNDO NUEVO SRL SAN PABLO 14"/>
    <x v="1777"/>
    <n v="75572794.780000001"/>
    <x v="223"/>
    <x v="0"/>
    <s v="pagado"/>
    <s v="pagado"/>
    <s v="excluir"/>
    <s v="no semana"/>
    <x v="0"/>
  </r>
  <r>
    <n v="3000001354"/>
    <d v="2026-03-17T00:00:00"/>
    <n v="100000000"/>
    <s v="CATALANA DE SERVICIOS SRL YERBA BUENA 14"/>
    <x v="1778"/>
    <n v="100000000"/>
    <x v="223"/>
    <x v="0"/>
    <s v="pagado"/>
    <s v="pagado"/>
    <s v="excluir"/>
    <s v="no semana"/>
    <x v="0"/>
  </r>
  <r>
    <n v="3000001354"/>
    <d v="2026-03-17T00:00:00"/>
    <n v="65247619.82"/>
    <s v="CATALANA DE SERVICIOS SRL YERBA BUENA 14"/>
    <x v="1779"/>
    <n v="65247619.82"/>
    <x v="224"/>
    <x v="0"/>
    <s v="pagado"/>
    <s v="pagado"/>
    <s v="excluir"/>
    <s v="no semana"/>
    <x v="0"/>
  </r>
  <r>
    <n v="3000001429"/>
    <d v="2026-03-20T00:00:00"/>
    <n v="197261290"/>
    <s v="EDET S.A. SAN MIGUEL DE TUCUMAN 14"/>
    <x v="1780"/>
    <n v="197261290"/>
    <x v="225"/>
    <x v="2"/>
    <s v="pagado"/>
    <s v="pagado"/>
    <s v="excluir"/>
    <s v="no semana"/>
    <x v="0"/>
  </r>
  <r>
    <n v="3000001390"/>
    <d v="2026-03-18T00:00:00"/>
    <n v="18806192.920000002"/>
    <s v="LATCOMEX SA CAPITAL FEDERAL 00"/>
    <x v="1781"/>
    <n v="18806192.920000002"/>
    <x v="224"/>
    <x v="0"/>
    <s v="pagado"/>
    <s v="pagado"/>
    <s v="excluir"/>
    <s v="no semana"/>
    <x v="0"/>
  </r>
  <r>
    <n v="3000001391"/>
    <d v="2026-03-18T00:00:00"/>
    <n v="4487163.67"/>
    <s v="LOGISTICA Y DISTRIBUCION FEDE CAPITAL FEDERAL 00"/>
    <x v="1782"/>
    <n v="4487163.67"/>
    <x v="224"/>
    <x v="0"/>
    <s v="pagado"/>
    <s v="pagado"/>
    <s v="excluir"/>
    <s v="no semana"/>
    <x v="0"/>
  </r>
  <r>
    <n v="3000001392"/>
    <d v="2026-03-18T00:00:00"/>
    <n v="4486995.76"/>
    <s v="JACQUET NORBERTO SALVADOR SAN JOSE 05"/>
    <x v="1783"/>
    <n v="4486995.76"/>
    <x v="224"/>
    <x v="0"/>
    <s v="pagado"/>
    <s v="pagado"/>
    <s v="excluir"/>
    <s v="no semana"/>
    <x v="0"/>
  </r>
  <r>
    <n v="3000001393"/>
    <d v="2026-03-18T00:00:00"/>
    <n v="6730493.6399999997"/>
    <s v="RL SOLUCIONES S. A. S. SAN MIGUEL DE TUCUMAN 14"/>
    <x v="1784"/>
    <n v="6730493.6399999997"/>
    <x v="224"/>
    <x v="0"/>
    <s v="pagado"/>
    <s v="pagado"/>
    <s v="excluir"/>
    <s v="no semana"/>
    <x v="0"/>
  </r>
  <r>
    <n v="3000001394"/>
    <d v="2026-03-18T00:00:00"/>
    <n v="28168255.800000001"/>
    <s v="Terminal 4 S.A. Puerto Nuevo 01"/>
    <x v="1785"/>
    <n v="28168255.800000001"/>
    <x v="224"/>
    <x v="0"/>
    <s v="pagado"/>
    <s v="pagado"/>
    <s v="excluir"/>
    <s v="no semana"/>
    <x v="0"/>
  </r>
  <r>
    <n v="3000001395"/>
    <d v="2026-03-18T00:00:00"/>
    <n v="11058717.779999999"/>
    <s v="Expreso Bisonte S.R.L. BANDA DEL RIO SALI 14"/>
    <x v="1786"/>
    <n v="11058717.779999999"/>
    <x v="224"/>
    <x v="0"/>
    <s v="pagado"/>
    <s v="pagado"/>
    <s v="excluir"/>
    <s v="no semana"/>
    <x v="0"/>
  </r>
  <r>
    <n v="3000001396"/>
    <d v="2026-03-18T00:00:00"/>
    <n v="27972869.77"/>
    <s v="CAPETTA ANTONELLA ANAHI SAN MIGUEL DE TUCUMAN 14"/>
    <x v="1787"/>
    <n v="27972869.77"/>
    <x v="224"/>
    <x v="0"/>
    <s v="pagado"/>
    <s v="pagado"/>
    <s v="excluir"/>
    <s v="no semana"/>
    <x v="0"/>
  </r>
  <r>
    <n v="3000001443"/>
    <d v="2026-03-25T00:00:00"/>
    <n v="70000000"/>
    <s v="CATALANA DE SERVICIOS SRL YERBA BUENA 14"/>
    <x v="1788"/>
    <n v="70000000"/>
    <x v="200"/>
    <x v="0"/>
    <s v="pagado"/>
    <s v="pagado"/>
    <s v="excluir"/>
    <s v="no semana"/>
    <x v="0"/>
  </r>
  <r>
    <n v="3000001443"/>
    <d v="2026-03-25T00:00:00"/>
    <n v="73237662.680000007"/>
    <s v="CATALANA DE SERVICIOS SRL YERBA BUENA 14"/>
    <x v="1789"/>
    <n v="73237662.680000007"/>
    <x v="226"/>
    <x v="0"/>
    <s v="pagado"/>
    <s v="pagado"/>
    <s v="excluir"/>
    <s v="no semana"/>
    <x v="0"/>
  </r>
  <r>
    <n v="3000001439"/>
    <d v="2026-03-25T00:00:00"/>
    <n v="16625192.5"/>
    <s v="Consultoria en Tecnologia de IBUENOS AIRES 00"/>
    <x v="1790"/>
    <n v="16625192.5"/>
    <x v="200"/>
    <x v="0"/>
    <s v="pagado"/>
    <s v="pagado"/>
    <s v="excluir"/>
    <s v="no semana"/>
    <x v="0"/>
  </r>
  <r>
    <n v="3000001440"/>
    <d v="2026-03-25T00:00:00"/>
    <n v="6021324.8300000001"/>
    <s v="ROMERO SERVICIOS S. A. S. ALPACHIRI 14"/>
    <x v="1791"/>
    <n v="6021324.8300000001"/>
    <x v="226"/>
    <x v="0"/>
    <s v="pagado"/>
    <s v="pagado"/>
    <s v="excluir"/>
    <s v="no semana"/>
    <x v="0"/>
  </r>
  <r>
    <n v="3000001441"/>
    <d v="2026-03-25T00:00:00"/>
    <n v="18563869.34"/>
    <s v="PAMPLONA SRL SAN MIGUEL DE TUCUMAN 14"/>
    <x v="1792"/>
    <n v="18563869.34"/>
    <x v="226"/>
    <x v="0"/>
    <s v="pagado"/>
    <s v="pagado"/>
    <s v="excluir"/>
    <s v="no semana"/>
    <x v="0"/>
  </r>
  <r>
    <n v="3000001442"/>
    <d v="2026-03-25T00:00:00"/>
    <n v="17579717.789999999"/>
    <s v="M. AMUCHASTEGUI S. R. L. YERBA BUENA 14"/>
    <x v="1793"/>
    <n v="17579717.789999999"/>
    <x v="226"/>
    <x v="0"/>
    <s v="pagado"/>
    <s v="pagado"/>
    <s v="excluir"/>
    <s v="no semana"/>
    <x v="0"/>
  </r>
  <r>
    <n v="3000001444"/>
    <d v="2026-03-25T00:00:00"/>
    <n v="41662283.469999999"/>
    <s v="AGROPECUARIA MUNDO NUEVO SRL SAN PABLO 14"/>
    <x v="1794"/>
    <n v="41662283.469999999"/>
    <x v="226"/>
    <x v="0"/>
    <s v="pagado"/>
    <s v="pagado"/>
    <s v="excluir"/>
    <s v="no semana"/>
    <x v="0"/>
  </r>
  <r>
    <n v="3000001445"/>
    <d v="2026-03-25T00:00:00"/>
    <n v="6365278.1200000001"/>
    <s v="LOGISTICA INTERNACIONAL S.A SAN MIGUEL DE TUCUMAN 14"/>
    <x v="1795"/>
    <n v="6365278.1200000001"/>
    <x v="200"/>
    <x v="0"/>
    <s v="pagado"/>
    <s v="pagado"/>
    <s v="excluir"/>
    <s v="no semana"/>
    <x v="0"/>
  </r>
  <r>
    <n v="3000001446"/>
    <d v="2026-03-25T00:00:00"/>
    <n v="6447707.1699999999"/>
    <s v="TODOS RETENES SA CORDOBA 03"/>
    <x v="1796"/>
    <n v="6447707.1699999999"/>
    <x v="200"/>
    <x v="0"/>
    <s v="pagado"/>
    <s v="pagado"/>
    <s v="excluir"/>
    <s v="no semana"/>
    <x v="0"/>
  </r>
  <r>
    <n v="3000001447"/>
    <d v="2026-03-25T00:00:00"/>
    <n v="13676438.4"/>
    <s v="FERRO JOSE NICOLAS FAMAILLA 14"/>
    <x v="1797"/>
    <n v="13676438.4"/>
    <x v="200"/>
    <x v="0"/>
    <s v="pagado"/>
    <s v="pagado"/>
    <s v="excluir"/>
    <s v="no semana"/>
    <x v="0"/>
  </r>
  <r>
    <n v="3000001448"/>
    <d v="2026-03-25T00:00:00"/>
    <n v="20365023.18"/>
    <s v="Astori Estructuras S.A. Bº Palmar 03"/>
    <x v="1798"/>
    <n v="20365023.18"/>
    <x v="200"/>
    <x v="0"/>
    <s v="pagado"/>
    <s v="pagado"/>
    <s v="excluir"/>
    <s v="no semana"/>
    <x v="0"/>
  </r>
  <r>
    <n v="3000001449"/>
    <d v="2026-03-25T00:00:00"/>
    <n v="24970255.57"/>
    <s v="CEMEVA SAS YERBA BUENA 14"/>
    <x v="1799"/>
    <n v="24970255.57"/>
    <x v="200"/>
    <x v="0"/>
    <s v="pagado"/>
    <s v="pagado"/>
    <s v="excluir"/>
    <s v="no semana"/>
    <x v="0"/>
  </r>
  <r>
    <n v="3000001450"/>
    <d v="2026-03-25T00:00:00"/>
    <n v="7885342.54"/>
    <s v="TRANSPORTE FRIOS DEL NORTE S.RSAN MIGUEL DE TUCUMAN 14"/>
    <x v="1800"/>
    <n v="7885342.54"/>
    <x v="226"/>
    <x v="0"/>
    <s v="pagado"/>
    <s v="pagado"/>
    <s v="excluir"/>
    <s v="no semana"/>
    <x v="0"/>
  </r>
  <r>
    <n v="3000001451"/>
    <d v="2026-03-25T00:00:00"/>
    <n v="9031077.9800000004"/>
    <s v="MAC DONALD MIGUEL ALEJANDRO BANDA DEL RIO SALI 14"/>
    <x v="1801"/>
    <n v="9031077.9800000004"/>
    <x v="200"/>
    <x v="0"/>
    <s v="pagado"/>
    <s v="pagado"/>
    <s v="excluir"/>
    <s v="no semana"/>
    <x v="0"/>
  </r>
  <r>
    <n v="3000001452"/>
    <d v="2026-03-25T00:00:00"/>
    <n v="13859450.800000001"/>
    <s v="VILLAGRA VELEZ ROQUE RICARDO SAN MIGUEL DE TUCUMAN 14"/>
    <x v="1802"/>
    <n v="13859450.800000001"/>
    <x v="200"/>
    <x v="0"/>
    <s v="pagado"/>
    <s v="pagado"/>
    <s v="excluir"/>
    <s v="no semana"/>
    <x v="0"/>
  </r>
  <r>
    <n v="3000001453"/>
    <d v="2026-03-25T00:00:00"/>
    <n v="6730493.6399999997"/>
    <s v="JACQUET NORBERTO SALVADOR SAN JOSE 05"/>
    <x v="1803"/>
    <n v="6730493.6399999997"/>
    <x v="226"/>
    <x v="0"/>
    <s v="pagado"/>
    <s v="pagado"/>
    <s v="excluir"/>
    <s v="no semana"/>
    <x v="0"/>
  </r>
  <r>
    <n v="3000001454"/>
    <d v="2026-03-25T00:00:00"/>
    <n v="4686675"/>
    <s v="LATCOMEX SA CAPITAL FEDERAL 00"/>
    <x v="1804"/>
    <n v="4686675"/>
    <x v="200"/>
    <x v="0"/>
    <s v="pagado"/>
    <s v="pagado"/>
    <s v="excluir"/>
    <s v="no semana"/>
    <x v="0"/>
  </r>
  <r>
    <n v="3000007593"/>
    <d v="2026-03-27T00:00:00"/>
    <n v="2243497.88"/>
    <s v="VILLAGRA VELEZ ROQUE RICARDO SAN MIGUEL DE TUCUMAN 14"/>
    <x v="1805"/>
    <n v="2243497.88"/>
    <x v="226"/>
    <x v="2"/>
    <s v="pagado"/>
    <s v="pagado"/>
    <s v="excluir"/>
    <s v="no semana"/>
    <x v="0"/>
  </r>
  <r>
    <n v="3000001348"/>
    <d v="2026-03-27T00:00:00"/>
    <n v="19699035.510000002"/>
    <s v="Poda Verde SRL SAN MIGUEL DE TUCUMAN 14"/>
    <x v="1806"/>
    <n v="19699035.510000002"/>
    <x v="226"/>
    <x v="0"/>
    <s v="pagado"/>
    <s v="pagado"/>
    <s v="excluir"/>
    <s v="no semana"/>
    <x v="0"/>
  </r>
  <r>
    <n v="3000001554"/>
    <d v="2026-03-27T00:00:00"/>
    <n v="649200"/>
    <s v=". TUCUMAN"/>
    <x v="1807"/>
    <n v="649200"/>
    <x v="226"/>
    <x v="0"/>
    <s v="pagado"/>
    <s v="pagado"/>
    <s v="excluir"/>
    <s v="no semana"/>
    <x v="0"/>
  </r>
  <r>
    <n v="3000001696"/>
    <d v="2026-04-06T00:00:00"/>
    <n v="23575430.25"/>
    <s v="Roda Transformecanica Serv.SRLSAN MIGUEL DE TUCUMAN 14"/>
    <x v="1808"/>
    <n v="23575430.25"/>
    <x v="227"/>
    <x v="0"/>
    <s v="pagado"/>
    <s v="pagado"/>
    <s v="excluir"/>
    <s v="no semana"/>
    <x v="0"/>
  </r>
  <r>
    <n v="3000001697"/>
    <d v="2026-04-06T00:00:00"/>
    <n v="5739462.1500000004"/>
    <s v="VISMA ARGENTINA SA CAPITAL FEDERAL 14"/>
    <x v="1809"/>
    <n v="5739462.1500000004"/>
    <x v="227"/>
    <x v="0"/>
    <s v="pagado"/>
    <s v="pagado"/>
    <s v="excluir"/>
    <s v="no semana"/>
    <x v="0"/>
  </r>
  <r>
    <n v="3000001698"/>
    <d v="2026-04-06T00:00:00"/>
    <n v="35006943.399999999"/>
    <s v="Consultoria en Tecnologia de IBUENOS AIRES 00"/>
    <x v="1810"/>
    <n v="35006943.399999999"/>
    <x v="227"/>
    <x v="0"/>
    <s v="pagado"/>
    <s v="pagado"/>
    <s v="excluir"/>
    <s v="no semana"/>
    <x v="0"/>
  </r>
  <r>
    <n v="3000001699"/>
    <d v="2026-04-06T00:00:00"/>
    <n v="9703847.4000000004"/>
    <s v="FERRO JOSE NICOLAS FAMAILLA 14"/>
    <x v="1811"/>
    <n v="9703847.4000000004"/>
    <x v="227"/>
    <x v="0"/>
    <s v="pagado"/>
    <s v="pagado"/>
    <s v="excluir"/>
    <s v="no semana"/>
    <x v="0"/>
  </r>
  <r>
    <n v="3000001700"/>
    <d v="2026-04-06T00:00:00"/>
    <n v="9118231.4000000004"/>
    <s v="TEKNOS TECHNOLOGY GROUP SA CAPITAL FEDERAL 00"/>
    <x v="1812"/>
    <n v="9118231.4000000004"/>
    <x v="227"/>
    <x v="0"/>
    <s v="pagado"/>
    <s v="pagado"/>
    <s v="excluir"/>
    <s v="no semana"/>
    <x v="0"/>
  </r>
  <r>
    <n v="3000001701"/>
    <d v="2026-04-06T00:00:00"/>
    <n v="18851123.23"/>
    <s v="CONFECAT S.A SAN FERNANDO DEL VALLE DE CATAMARCA 02"/>
    <x v="1813"/>
    <n v="18851123.23"/>
    <x v="227"/>
    <x v="0"/>
    <s v="pagado"/>
    <s v="pagado"/>
    <s v="excluir"/>
    <s v="no semana"/>
    <x v="0"/>
  </r>
  <r>
    <n v="3000001702"/>
    <d v="2026-04-06T00:00:00"/>
    <n v="9139264.1799999997"/>
    <s v="Marchese Grandi Meson y Asoc SAN MIGUEL DE TUCUMAN 14"/>
    <x v="1814"/>
    <n v="9139264.1799999997"/>
    <x v="227"/>
    <x v="0"/>
    <s v="pagado"/>
    <s v="pagado"/>
    <s v="excluir"/>
    <s v="no semana"/>
    <x v="0"/>
  </r>
  <r>
    <n v="3000001766"/>
    <d v="2026-04-08T00:00:00"/>
    <n v="16593343.4"/>
    <s v="Rutas Servicios Integrales SRLCapital Federal 00"/>
    <x v="1815"/>
    <n v="16593343.4"/>
    <x v="228"/>
    <x v="0"/>
    <s v="pagado"/>
    <s v="pagado"/>
    <s v="excluir"/>
    <s v="no semana"/>
    <x v="0"/>
  </r>
  <r>
    <n v="3000001767"/>
    <d v="2026-04-08T00:00:00"/>
    <n v="19457607.149999999"/>
    <s v="Terminal 4 S.A. Puerto Nuevo 01"/>
    <x v="1816"/>
    <n v="19457607.149999999"/>
    <x v="228"/>
    <x v="0"/>
    <s v="pagado"/>
    <s v="pagado"/>
    <s v="excluir"/>
    <s v="no semana"/>
    <x v="0"/>
  </r>
  <r>
    <n v="3000001768"/>
    <d v="2026-04-08T00:00:00"/>
    <n v="3996370.85"/>
    <s v="Southatlantic Maritime S.A. BUENOS AIRES 01"/>
    <x v="1817"/>
    <n v="3996370.85"/>
    <x v="228"/>
    <x v="0"/>
    <s v="pagado"/>
    <s v="pagado"/>
    <s v="excluir"/>
    <s v="no semana"/>
    <x v="0"/>
  </r>
  <r>
    <n v="3000001769"/>
    <d v="2026-04-08T00:00:00"/>
    <n v="2243497.87"/>
    <s v="RL SOLUCIONES S. A. S. SAN MIGUEL DE TUCUMAN 14"/>
    <x v="1818"/>
    <n v="2243497.87"/>
    <x v="228"/>
    <x v="0"/>
    <s v="pagado"/>
    <s v="pagado"/>
    <s v="excluir"/>
    <s v="no semana"/>
    <x v="0"/>
  </r>
  <r>
    <n v="3000001770"/>
    <d v="2026-04-08T00:00:00"/>
    <n v="2243665.7999999998"/>
    <s v="JACQUET NORBERTO SALVADOR SAN JOSE 05"/>
    <x v="1819"/>
    <n v="2243665.7999999998"/>
    <x v="228"/>
    <x v="0"/>
    <s v="pagado"/>
    <s v="pagado"/>
    <s v="excluir"/>
    <s v="no semana"/>
    <x v="0"/>
  </r>
  <r>
    <n v="3000001771"/>
    <d v="2026-04-08T00:00:00"/>
    <n v="2040745.01"/>
    <s v="PEDRO GABRIEL ALEJANDRO ALDERETES 14"/>
    <x v="1820"/>
    <n v="2040745.01"/>
    <x v="228"/>
    <x v="0"/>
    <s v="pagado"/>
    <s v="pagado"/>
    <s v="excluir"/>
    <s v="no semana"/>
    <x v="0"/>
  </r>
  <r>
    <n v="3000001772"/>
    <d v="2026-04-08T00:00:00"/>
    <n v="4290889.25"/>
    <s v="Expreso Bisonte S.R.L. BANDA DEL RIO SALI 14"/>
    <x v="1821"/>
    <n v="4290889.25"/>
    <x v="228"/>
    <x v="0"/>
    <s v="pagado"/>
    <s v="pagado"/>
    <s v="excluir"/>
    <s v="no semana"/>
    <x v="0"/>
  </r>
  <r>
    <n v="3000001773"/>
    <d v="2026-04-08T00:00:00"/>
    <n v="2527351.7799999998"/>
    <s v="CEMEVA SAS YERBA BUENA 14"/>
    <x v="1822"/>
    <n v="2527351.7799999998"/>
    <x v="228"/>
    <x v="0"/>
    <s v="pagado"/>
    <s v="pagado"/>
    <s v="excluir"/>
    <s v="no semana"/>
    <x v="0"/>
  </r>
  <r>
    <n v="3000001871"/>
    <d v="2026-04-13T00:00:00"/>
    <n v="1400000"/>
    <s v=". TUCUMAN"/>
    <x v="1823"/>
    <n v="1400000"/>
    <x v="229"/>
    <x v="0"/>
    <s v="pagado"/>
    <s v="pagado"/>
    <s v="excluir"/>
    <s v="no semana"/>
    <x v="0"/>
  </r>
  <r>
    <n v="3000001943"/>
    <d v="2026-04-14T00:00:00"/>
    <n v="459580.12"/>
    <s v="PEDRO CRISTOFER MAURICIO LOS GUTIERREZ 14"/>
    <x v="1824"/>
    <n v="459580.12"/>
    <x v="230"/>
    <x v="0"/>
    <s v="pagado"/>
    <s v="pagado"/>
    <s v="excluir"/>
    <s v="no semana"/>
    <x v="0"/>
  </r>
  <r>
    <n v="3000001880"/>
    <d v="2026-04-13T00:00:00"/>
    <n v="44368343.399999999"/>
    <s v="Jeblab S.R.L. YERBA BUENA 14"/>
    <x v="1825"/>
    <n v="44368343.399999999"/>
    <x v="229"/>
    <x v="0"/>
    <s v="pagado"/>
    <s v="pagado"/>
    <s v="excluir"/>
    <s v="no semana"/>
    <x v="0"/>
  </r>
  <r>
    <n v="3000001881"/>
    <d v="2026-04-13T00:00:00"/>
    <n v="10242029.73"/>
    <s v="SMART SEGURIDAD SA YERBA BUENA 14"/>
    <x v="1826"/>
    <n v="10242029.73"/>
    <x v="229"/>
    <x v="0"/>
    <s v="pagado"/>
    <s v="pagado"/>
    <s v="excluir"/>
    <s v="no semana"/>
    <x v="0"/>
  </r>
  <r>
    <n v="3000001883"/>
    <d v="2026-04-13T00:00:00"/>
    <n v="6113834.4000000004"/>
    <s v="M.A.D Serv y mant eléctri SAN MIGUEL DE TUCUMAN 14"/>
    <x v="1827"/>
    <n v="6113834.4000000004"/>
    <x v="229"/>
    <x v="0"/>
    <s v="pagado"/>
    <s v="pagado"/>
    <s v="excluir"/>
    <s v="no semana"/>
    <x v="0"/>
  </r>
  <r>
    <n v="3000001884"/>
    <d v="2026-04-13T00:00:00"/>
    <n v="22548375"/>
    <s v="BONSUR SA CAPITAL FEDERAL 00"/>
    <x v="1828"/>
    <n v="22548375"/>
    <x v="229"/>
    <x v="0"/>
    <s v="pagado"/>
    <s v="pagado"/>
    <s v="excluir"/>
    <s v="no semana"/>
    <x v="0"/>
  </r>
  <r>
    <n v="3000001885"/>
    <d v="2026-04-13T00:00:00"/>
    <n v="5131056.05"/>
    <s v="CAPETTA ANTONELLA ANAHI SAN MIGUEL DE TUCUMAN 14"/>
    <x v="1829"/>
    <n v="5131056.05"/>
    <x v="229"/>
    <x v="0"/>
    <s v="pagado"/>
    <s v="pagado"/>
    <s v="excluir"/>
    <s v="no semana"/>
    <x v="0"/>
  </r>
  <r>
    <n v="3000001886"/>
    <d v="2026-04-13T00:00:00"/>
    <n v="10826452.17"/>
    <s v="Poda Verde SRL SAN MIGUEL DE TUCUMAN 14"/>
    <x v="1830"/>
    <n v="10826452.17"/>
    <x v="229"/>
    <x v="0"/>
    <s v="pagado"/>
    <s v="pagado"/>
    <s v="excluir"/>
    <s v="no semana"/>
    <x v="0"/>
  </r>
  <r>
    <n v="3000001887"/>
    <d v="2026-04-13T00:00:00"/>
    <n v="173851885.88999999"/>
    <s v="CATALANA DE SERVICIOS SRL YERBA BUENA 14"/>
    <x v="1831"/>
    <n v="173851885.88999999"/>
    <x v="229"/>
    <x v="0"/>
    <s v="pagado"/>
    <s v="pagado"/>
    <s v="excluir"/>
    <s v="no semana"/>
    <x v="0"/>
  </r>
  <r>
    <n v="3000001888"/>
    <d v="2026-04-13T00:00:00"/>
    <n v="21749242.460000001"/>
    <s v="CAMPOAGRO SRL YERBA BUENA 14"/>
    <x v="1832"/>
    <n v="21749242.460000001"/>
    <x v="230"/>
    <x v="0"/>
    <s v="pagado"/>
    <s v="pagado"/>
    <s v="excluir"/>
    <s v="no semana"/>
    <x v="0"/>
  </r>
  <r>
    <n v="3000001882"/>
    <d v="2026-04-13T00:00:00"/>
    <n v="15085000"/>
    <s v="MG SERVICIOS AGROPECUARIOS SASTAFI VIEJO 14"/>
    <x v="1833"/>
    <n v="15085000"/>
    <x v="229"/>
    <x v="0"/>
    <s v="pagado"/>
    <s v="pagado"/>
    <s v="excluir"/>
    <s v="no semana"/>
    <x v="0"/>
  </r>
  <r>
    <n v="3000001882"/>
    <d v="2026-04-13T00:00:00"/>
    <n v="12500000"/>
    <s v="MG SERVICIOS AGROPECUARIOS SASTAFI VIEJO 14"/>
    <x v="1834"/>
    <n v="12500000"/>
    <x v="229"/>
    <x v="0"/>
    <s v="pagado"/>
    <s v="pagado"/>
    <s v="excluir"/>
    <s v="no semana"/>
    <x v="0"/>
  </r>
  <r>
    <n v="3000001882"/>
    <d v="2026-04-13T00:00:00"/>
    <n v="8000000"/>
    <s v="MG SERVICIOS AGROPECUARIOS SASTAFI VIEJO 14"/>
    <x v="1835"/>
    <n v="8000000"/>
    <x v="229"/>
    <x v="0"/>
    <s v="pagado"/>
    <s v="pagado"/>
    <s v="excluir"/>
    <s v="no semana"/>
    <x v="0"/>
  </r>
  <r>
    <n v="3000001882"/>
    <d v="2026-04-13T00:00:00"/>
    <n v="4619219"/>
    <s v="MG SERVICIOS AGROPECUARIOS SASTAFI VIEJO 14"/>
    <x v="1836"/>
    <n v="4619219"/>
    <x v="229"/>
    <x v="0"/>
    <s v="pagado"/>
    <s v="pagado"/>
    <s v="excluir"/>
    <s v="no semana"/>
    <x v="0"/>
  </r>
  <r>
    <n v="3000001882"/>
    <d v="2026-04-13T00:00:00"/>
    <n v="2149975"/>
    <s v="MG SERVICIOS AGROPECUARIOS SASTAFI VIEJO 14"/>
    <x v="1837"/>
    <n v="2149975"/>
    <x v="229"/>
    <x v="0"/>
    <s v="pagado"/>
    <s v="pagado"/>
    <s v="excluir"/>
    <s v="no semana"/>
    <x v="0"/>
  </r>
  <r>
    <n v="3000001882"/>
    <d v="2026-04-13T00:00:00"/>
    <n v="147744535.21000001"/>
    <s v="MG SERVICIOS AGROPECUARIOS SASTAFI VIEJO 14"/>
    <x v="1838"/>
    <n v="147744535.21000001"/>
    <x v="230"/>
    <x v="0"/>
    <s v="pagado"/>
    <s v="pagado"/>
    <s v="excluir"/>
    <s v="no semana"/>
    <x v="0"/>
  </r>
  <r>
    <n v="3000001890"/>
    <d v="2026-04-13T00:00:00"/>
    <n v="1947595.77"/>
    <s v="AGROGANADERA DEL NOA CEVIL POZO 14"/>
    <x v="1839"/>
    <n v="1947595.77"/>
    <x v="229"/>
    <x v="0"/>
    <s v="pagado"/>
    <s v="pagado"/>
    <s v="excluir"/>
    <s v="no semana"/>
    <x v="0"/>
  </r>
  <r>
    <n v="3000001890"/>
    <d v="2026-04-13T00:00:00"/>
    <n v="2326904.62"/>
    <s v="AGROGANADERA DEL NOA CEVIL POZO 14"/>
    <x v="1840"/>
    <n v="2326904.62"/>
    <x v="229"/>
    <x v="0"/>
    <s v="pagado"/>
    <s v="pagado"/>
    <s v="excluir"/>
    <s v="no semana"/>
    <x v="0"/>
  </r>
  <r>
    <n v="3000001890"/>
    <d v="2026-04-13T00:00:00"/>
    <n v="1954667.92"/>
    <s v="AGROGANADERA DEL NOA CEVIL POZO 14"/>
    <x v="1841"/>
    <n v="1954667.92"/>
    <x v="229"/>
    <x v="0"/>
    <s v="no pagado"/>
    <s v="fuera de fecha"/>
    <s v="excluir"/>
    <s v="no semana"/>
    <x v="0"/>
  </r>
  <r>
    <n v="3000001890"/>
    <d v="2026-04-13T00:00:00"/>
    <n v="3029304.79"/>
    <s v="AGROGANADERA DEL NOA CEVIL POZO 14"/>
    <x v="1842"/>
    <n v="3029304.79"/>
    <x v="229"/>
    <x v="0"/>
    <s v="pagado"/>
    <s v="pagado"/>
    <s v="excluir"/>
    <s v="no semana"/>
    <x v="0"/>
  </r>
  <r>
    <n v="3000001890"/>
    <d v="2026-04-13T00:00:00"/>
    <n v="3597606.51"/>
    <s v="AGROGANADERA DEL NOA CEVIL POZO 14"/>
    <x v="1843"/>
    <n v="3597606.51"/>
    <x v="229"/>
    <x v="0"/>
    <s v="no pagado"/>
    <s v="fuera de fecha"/>
    <s v="excluir"/>
    <s v="no semana"/>
    <x v="0"/>
  </r>
  <r>
    <n v="3000001890"/>
    <d v="2026-04-13T00:00:00"/>
    <n v="27269382.5"/>
    <s v="AGROGANADERA DEL NOA CEVIL POZO 14"/>
    <x v="1844"/>
    <n v="27269382.5"/>
    <x v="229"/>
    <x v="0"/>
    <s v="pagado"/>
    <s v="pagado"/>
    <s v="excluir"/>
    <s v="no semana"/>
    <x v="0"/>
  </r>
  <r>
    <n v="3000001890"/>
    <d v="2026-04-13T00:00:00"/>
    <n v="31651343.399999999"/>
    <s v="AGROGANADERA DEL NOA CEVIL POZO 14"/>
    <x v="1845"/>
    <n v="31651343.399999999"/>
    <x v="229"/>
    <x v="0"/>
    <s v="pagado"/>
    <s v="pagado"/>
    <s v="excluir"/>
    <s v="no semana"/>
    <x v="0"/>
  </r>
  <r>
    <n v="3000001890"/>
    <d v="2026-04-13T00:00:00"/>
    <n v="3510098.49"/>
    <s v="AGROGANADERA DEL NOA CEVIL POZO 14"/>
    <x v="1846"/>
    <n v="3510098.49"/>
    <x v="229"/>
    <x v="0"/>
    <s v="pagado"/>
    <s v="pagado"/>
    <s v="excluir"/>
    <s v="no semana"/>
    <x v="0"/>
  </r>
  <r>
    <n v="3000001953"/>
    <d v="2026-04-14T00:00:00"/>
    <n v="12396489.369999999"/>
    <s v="RL SOLUCIONES S. A. S. SAN MIGUEL DE TUCUMAN 14"/>
    <x v="1847"/>
    <n v="12396489.369999999"/>
    <x v="231"/>
    <x v="0"/>
    <s v="pagado"/>
    <s v="pagado"/>
    <s v="excluir"/>
    <s v="no semana"/>
    <x v="0"/>
  </r>
  <r>
    <n v="3000001952"/>
    <d v="2026-04-14T00:00:00"/>
    <n v="5257062.96"/>
    <s v="TRANSPORTE FRIOS DEL NORTE S.RSAN MIGUEL DE TUCUMAN 14"/>
    <x v="1848"/>
    <n v="5257062.96"/>
    <x v="231"/>
    <x v="0"/>
    <s v="pagado"/>
    <s v="pagado"/>
    <s v="excluir"/>
    <s v="no semana"/>
    <x v="0"/>
  </r>
  <r>
    <n v="3000001951"/>
    <d v="2026-04-14T00:00:00"/>
    <n v="11312633.49"/>
    <s v="CAPETTA ANTONELLA ANAHI SAN MIGUEL DE TUCUMAN 14"/>
    <x v="1849"/>
    <n v="11312633.49"/>
    <x v="231"/>
    <x v="0"/>
    <s v="pagado"/>
    <s v="pagado"/>
    <s v="excluir"/>
    <s v="no semana"/>
    <x v="0"/>
  </r>
  <r>
    <n v="3000001950"/>
    <d v="2026-04-14T00:00:00"/>
    <n v="7416248.1600000001"/>
    <s v="VIDES GUSTAVO ENRIQUE LA TRINIDAD 14"/>
    <x v="1850"/>
    <n v="7416248.1600000001"/>
    <x v="231"/>
    <x v="0"/>
    <s v="no pagado"/>
    <s v="fuera de fecha"/>
    <s v="excluir"/>
    <s v="no semana"/>
    <x v="0"/>
  </r>
  <r>
    <n v="3000001944"/>
    <d v="2026-04-14T00:00:00"/>
    <n v="8499850.9199999999"/>
    <s v="CAFELI S.R.L. SAN MIGUEL DE TUCUMAN 14"/>
    <x v="1851"/>
    <n v="8499850.9199999999"/>
    <x v="232"/>
    <x v="0"/>
    <s v="pagado"/>
    <s v="pagado"/>
    <s v="excluir"/>
    <s v="no semana"/>
    <x v="0"/>
  </r>
  <r>
    <n v="3000001945"/>
    <d v="2026-04-14T00:00:00"/>
    <n v="19714253.350000001"/>
    <s v="SEGURIDAD OMEGA SRL SAN FERNANDO DEL VALLE DE CATAMARCA 02"/>
    <x v="1852"/>
    <n v="19714253.350000001"/>
    <x v="232"/>
    <x v="0"/>
    <s v="pagado"/>
    <s v="pagado"/>
    <s v="excluir"/>
    <s v="no semana"/>
    <x v="0"/>
  </r>
  <r>
    <n v="3000001946"/>
    <d v="2026-04-14T00:00:00"/>
    <n v="15277327.029999999"/>
    <s v="ROMERO SERVICIOS S. A. S. ALPACHIRI 14"/>
    <x v="1853"/>
    <n v="15277327.029999999"/>
    <x v="232"/>
    <x v="0"/>
    <s v="pagado"/>
    <s v="pagado"/>
    <s v="excluir"/>
    <s v="no semana"/>
    <x v="0"/>
  </r>
  <r>
    <n v="3000001947"/>
    <d v="2026-04-14T00:00:00"/>
    <n v="12428257.5"/>
    <s v="PAMPLONA SRL SAN MIGUEL DE TUCUMAN 14"/>
    <x v="1854"/>
    <n v="12428257.5"/>
    <x v="232"/>
    <x v="0"/>
    <s v="pagado"/>
    <s v="pagado"/>
    <s v="excluir"/>
    <s v="no semana"/>
    <x v="0"/>
  </r>
  <r>
    <n v="3000001948"/>
    <d v="2026-04-14T00:00:00"/>
    <n v="27538833.109999999"/>
    <s v="MG SERVICIOS AGROPECUARIOS SASTAFI VIEJO 14"/>
    <x v="1855"/>
    <n v="27538833.109999999"/>
    <x v="232"/>
    <x v="0"/>
    <s v="pagado"/>
    <s v="pagado"/>
    <s v="excluir"/>
    <s v="no semana"/>
    <x v="0"/>
  </r>
  <r>
    <n v="3000001949"/>
    <d v="2026-04-14T00:00:00"/>
    <n v="23521840.329999998"/>
    <s v="LA MARTINA SERV. AGRICOLAS S.RSAN PABLO 14"/>
    <x v="1856"/>
    <n v="23521840.329999998"/>
    <x v="232"/>
    <x v="0"/>
    <s v="pagado"/>
    <s v="pagado"/>
    <s v="excluir"/>
    <s v="no semana"/>
    <x v="0"/>
  </r>
  <r>
    <n v="3000002030"/>
    <d v="2026-04-16T00:00:00"/>
    <n v="23311830.98"/>
    <s v="BONSUR SA CAPITAL FEDERAL 00"/>
    <x v="1857"/>
    <n v="23311830.98"/>
    <x v="233"/>
    <x v="0"/>
    <s v="pagado"/>
    <s v="pagado"/>
    <s v="excluir"/>
    <s v="no semana"/>
    <x v="0"/>
  </r>
  <r>
    <n v="3000002087"/>
    <d v="2026-04-20T00:00:00"/>
    <n v="2000000"/>
    <s v="Hierronort Salta S.R.L. SAN MIGUEL DE TUCUMAN 14"/>
    <x v="1858"/>
    <n v="2000000"/>
    <x v="234"/>
    <x v="0"/>
    <s v="pagado"/>
    <s v="pagado"/>
    <s v="excluir"/>
    <s v="no semana"/>
    <x v="0"/>
  </r>
  <r>
    <n v="3000002087"/>
    <d v="2026-04-20T00:00:00"/>
    <n v="2000000"/>
    <s v="Hierronort Salta S.R.L. SAN MIGUEL DE TUCUMAN 14"/>
    <x v="1859"/>
    <n v="2000000"/>
    <x v="235"/>
    <x v="0"/>
    <s v="pagado"/>
    <s v="pagado"/>
    <s v="excluir"/>
    <s v="no semana"/>
    <x v="0"/>
  </r>
  <r>
    <n v="3000002087"/>
    <d v="2026-04-20T00:00:00"/>
    <n v="2573127.7799999998"/>
    <s v="Hierronort Salta S.R.L. SAN MIGUEL DE TUCUMAN 14"/>
    <x v="1860"/>
    <n v="2573127.7799999998"/>
    <x v="236"/>
    <x v="0"/>
    <s v="pagado"/>
    <s v="pagado"/>
    <s v="excluir"/>
    <s v="no semana"/>
    <x v="0"/>
  </r>
  <r>
    <n v="3000002088"/>
    <d v="2026-04-20T00:00:00"/>
    <n v="4543274.22"/>
    <s v="PEREZ CURBELO HNOS SRL SAN MIGUEL DE TUCUMAN 14"/>
    <x v="1861"/>
    <n v="4543274.22"/>
    <x v="234"/>
    <x v="0"/>
    <s v="pagado"/>
    <s v="pagado"/>
    <s v="excluir"/>
    <s v="no semana"/>
    <x v="0"/>
  </r>
  <r>
    <n v="3000002089"/>
    <d v="2026-04-20T00:00:00"/>
    <n v="11327967.66"/>
    <s v="SMART SEGURIDAD SA YERBA BUENA 14"/>
    <x v="1862"/>
    <n v="11327967.66"/>
    <x v="234"/>
    <x v="0"/>
    <s v="pagado"/>
    <s v="pagado"/>
    <s v="excluir"/>
    <s v="no semana"/>
    <x v="0"/>
  </r>
  <r>
    <n v="3000002090"/>
    <d v="2026-04-20T00:00:00"/>
    <n v="19279785.890000001"/>
    <s v="SEGURIDAD OMEGA SRL SAN FERNANDO DEL VALLE DE CATAMARCA 02"/>
    <x v="1863"/>
    <n v="19279785.890000001"/>
    <x v="234"/>
    <x v="0"/>
    <s v="pagado"/>
    <s v="pagado"/>
    <s v="excluir"/>
    <s v="no semana"/>
    <x v="0"/>
  </r>
  <r>
    <n v="3000002091"/>
    <d v="2026-04-20T00:00:00"/>
    <n v="189544258.16"/>
    <s v="CATALANA DE SERVICIOS SRL YERBA BUENA 14"/>
    <x v="1864"/>
    <n v="189544258.16"/>
    <x v="234"/>
    <x v="0"/>
    <s v="pagado"/>
    <s v="pagado"/>
    <s v="excluir"/>
    <s v="no semana"/>
    <x v="0"/>
  </r>
  <r>
    <n v="3000002092"/>
    <d v="2026-04-20T00:00:00"/>
    <n v="5608563.4000000004"/>
    <s v="AG SUSTENTABLE SAS CABA 00"/>
    <x v="1865"/>
    <n v="5608563.4000000004"/>
    <x v="234"/>
    <x v="0"/>
    <s v="pagado"/>
    <s v="pagado"/>
    <s v="excluir"/>
    <s v="no semana"/>
    <x v="0"/>
  </r>
  <r>
    <n v="3000002093"/>
    <d v="2026-04-20T00:00:00"/>
    <n v="5193980"/>
    <s v="GIL ISABEL CRISTINA SAN MIGUEL DE TUCUMAN 14"/>
    <x v="1866"/>
    <n v="5193980"/>
    <x v="237"/>
    <x v="0"/>
    <s v="pagado"/>
    <s v="pagado"/>
    <s v="excluir"/>
    <s v="no semana"/>
    <x v="0"/>
  </r>
  <r>
    <n v="3000002136"/>
    <d v="2026-04-21T00:00:00"/>
    <n v="14831765.09"/>
    <s v="SERVICIO INTERNACIONAL DE FLETCAPTAL FEDERAL 00"/>
    <x v="1867"/>
    <n v="14831765.09"/>
    <x v="238"/>
    <x v="0"/>
    <s v="no pagado"/>
    <s v="fuera de fecha"/>
    <s v="excluir"/>
    <s v="no semana"/>
    <x v="0"/>
  </r>
  <r>
    <n v="3000002137"/>
    <d v="2026-04-21T00:00:00"/>
    <n v="3420636.3"/>
    <s v="PERATO LUIS ALBERTO BANDA DEL RIO SALI 14"/>
    <x v="1868"/>
    <n v="3420636.3"/>
    <x v="238"/>
    <x v="0"/>
    <s v="no pagado"/>
    <s v="fuera de fecha"/>
    <s v="excluir"/>
    <s v="no semana"/>
    <x v="0"/>
  </r>
  <r>
    <n v="3000002138"/>
    <d v="2026-04-21T00:00:00"/>
    <n v="8567468.9800000004"/>
    <s v="ACOSTA ROQUE RAMON SAN MIGUEL DE TUCUMAN 14"/>
    <x v="1869"/>
    <n v="8567468.9800000004"/>
    <x v="238"/>
    <x v="0"/>
    <s v="pagado"/>
    <s v="pagado"/>
    <s v="excluir"/>
    <s v="no semana"/>
    <x v="0"/>
  </r>
  <r>
    <n v="3000002139"/>
    <d v="2026-04-21T00:00:00"/>
    <n v="5133802.09"/>
    <s v="FERNANDEZ HECTOR JOSE SIMOCA 14"/>
    <x v="1870"/>
    <n v="5133802.09"/>
    <x v="238"/>
    <x v="0"/>
    <s v="no pagado"/>
    <s v="fuera de fecha"/>
    <s v="excluir"/>
    <s v="no semana"/>
    <x v="0"/>
  </r>
  <r>
    <n v="3000002140"/>
    <d v="2026-04-21T00:00:00"/>
    <n v="7751298.9699999997"/>
    <s v="GOMEZ JUANA ROSA VILLA LA TRINIDAD 14"/>
    <x v="1871"/>
    <n v="7751298.9699999997"/>
    <x v="238"/>
    <x v="0"/>
    <s v="no pagado"/>
    <s v="fuera de fecha"/>
    <s v="excluir"/>
    <s v="no semana"/>
    <x v="0"/>
  </r>
  <r>
    <n v="3000002141"/>
    <d v="2026-04-21T00:00:00"/>
    <n v="23905685.699999999"/>
    <s v="CEMEVA SAS YERBA BUENA 14"/>
    <x v="1872"/>
    <n v="23905685.699999999"/>
    <x v="238"/>
    <x v="0"/>
    <s v="no pagado"/>
    <s v="fuera de fecha"/>
    <s v="excluir"/>
    <s v="no semana"/>
    <x v="0"/>
  </r>
  <r>
    <n v="3000002142"/>
    <d v="2026-04-21T00:00:00"/>
    <n v="6380801.7599999998"/>
    <s v="Gonzalez Jose Luis Lastenia 14"/>
    <x v="1873"/>
    <n v="6380801.7599999998"/>
    <x v="238"/>
    <x v="0"/>
    <s v="no pagado"/>
    <s v="fuera de fecha"/>
    <s v="excluir"/>
    <s v="no semana"/>
    <x v="0"/>
  </r>
  <r>
    <n v="3000002056"/>
    <d v="2026-04-20T00:00:00"/>
    <n v="30330400"/>
    <s v="EDET S.A. SAN MIGUEL DE TUCUMAN 14"/>
    <x v="1874"/>
    <n v="30330400"/>
    <x v="232"/>
    <x v="0"/>
    <s v="pagado"/>
    <s v="pagado"/>
    <s v="excluir"/>
    <s v="no semana"/>
    <x v="0"/>
  </r>
  <r>
    <n v="3000002182"/>
    <d v="2026-04-22T00:00:00"/>
    <n v="222414331.91999999"/>
    <s v="EDET S.A. SAN MIGUEL DE TUCUMAN 14"/>
    <x v="1875"/>
    <n v="222414331.91999999"/>
    <x v="238"/>
    <x v="0"/>
    <s v="no pagado"/>
    <s v="fuera de fecha"/>
    <s v="excluir"/>
    <s v="no semana"/>
    <x v="0"/>
  </r>
  <r>
    <n v="3000002183"/>
    <d v="2026-04-22T00:00:00"/>
    <n v="350514.88"/>
    <s v="ACOSTA ANGEL ALEJANDRO SAN MIGUEL DE TUCUMAN 14"/>
    <x v="1876"/>
    <n v="350514.88"/>
    <x v="237"/>
    <x v="0"/>
    <s v="pagado"/>
    <s v="pagado"/>
    <s v="excluir"/>
    <s v="no semana"/>
    <x v="0"/>
  </r>
  <r>
    <n v="3000002223"/>
    <d v="2026-04-24T00:00:00"/>
    <n v="6893841.6399999997"/>
    <s v="ROMERO SERVICIOS S. A. S. ALPACHIRI 14"/>
    <x v="1877"/>
    <n v="6893841.6399999997"/>
    <x v="238"/>
    <x v="0"/>
    <s v="pagado"/>
    <s v="pagado"/>
    <s v="excluir"/>
    <s v="no semana"/>
    <x v="0"/>
  </r>
  <r>
    <n v="3000002224"/>
    <d v="2026-04-24T00:00:00"/>
    <n v="42625439.039999999"/>
    <s v="AGROPECUARIA MUNDO NUEVO SRL SAN PABLO 14"/>
    <x v="1878"/>
    <n v="42625439.039999999"/>
    <x v="238"/>
    <x v="0"/>
    <s v="pagado"/>
    <s v="pagado"/>
    <s v="excluir"/>
    <s v="no semana"/>
    <x v="0"/>
  </r>
  <r>
    <n v="3000002225"/>
    <d v="2026-04-24T00:00:00"/>
    <n v="26623627.559999999"/>
    <s v="PAMPLONA SRL SAN MIGUEL DE TUCUMAN 14"/>
    <x v="1879"/>
    <n v="26623627.559999999"/>
    <x v="238"/>
    <x v="0"/>
    <s v="pagado"/>
    <s v="pagado"/>
    <s v="excluir"/>
    <s v="no semana"/>
    <x v="0"/>
  </r>
  <r>
    <n v="3000002296"/>
    <d v="2026-04-27T00:00:00"/>
    <n v="14600000"/>
    <s v="LEGADO DEL NORTE SA LOS VALLISTOS 14"/>
    <x v="1880"/>
    <n v="14600000"/>
    <x v="239"/>
    <x v="0"/>
    <s v="no pagado"/>
    <s v="fuera de fecha"/>
    <s v="excluir"/>
    <s v="no semana"/>
    <x v="0"/>
  </r>
  <r>
    <n v="3000002296"/>
    <d v="2026-04-27T00:00:00"/>
    <n v="14600000"/>
    <s v="LEGADO DEL NORTE SA LOS VALLISTOS 14"/>
    <x v="1881"/>
    <n v="14600000"/>
    <x v="239"/>
    <x v="0"/>
    <s v="no pagado"/>
    <s v="fuera de fecha"/>
    <s v="excluir"/>
    <s v="no semana"/>
    <x v="0"/>
  </r>
  <r>
    <n v="3000002296"/>
    <d v="2026-04-27T00:00:00"/>
    <n v="14600000"/>
    <s v="LEGADO DEL NORTE SA LOS VALLISTOS 14"/>
    <x v="1882"/>
    <n v="14600000"/>
    <x v="239"/>
    <x v="0"/>
    <s v="no pagado"/>
    <s v="fuera de fecha"/>
    <s v="excluir"/>
    <s v="no semana"/>
    <x v="0"/>
  </r>
  <r>
    <n v="3000002296"/>
    <d v="2026-04-27T00:00:00"/>
    <n v="14600000"/>
    <s v="LEGADO DEL NORTE SA LOS VALLISTOS 14"/>
    <x v="1883"/>
    <n v="14600000"/>
    <x v="239"/>
    <x v="0"/>
    <s v="no pagado"/>
    <s v="fuera de fecha"/>
    <s v="excluir"/>
    <s v="no semana"/>
    <x v="0"/>
  </r>
  <r>
    <n v="3000002296"/>
    <d v="2026-04-27T00:00:00"/>
    <n v="14519180.300000001"/>
    <s v="LEGADO DEL NORTE SA LOS VALLISTOS 14"/>
    <x v="1884"/>
    <n v="14519180.300000001"/>
    <x v="239"/>
    <x v="0"/>
    <s v="no pagado"/>
    <s v="fuera de fecha"/>
    <s v="excluir"/>
    <s v="no semana"/>
    <x v="0"/>
  </r>
  <r>
    <n v="3000002280"/>
    <d v="2026-04-27T00:00:00"/>
    <n v="4490853.6500000004"/>
    <s v="Astori Estructuras S.A. Bº Palmar 03"/>
    <x v="1885"/>
    <n v="4490853.6500000004"/>
    <x v="239"/>
    <x v="0"/>
    <s v="pagado"/>
    <s v="pagado"/>
    <s v="excluir"/>
    <s v="no semana"/>
    <x v="0"/>
  </r>
  <r>
    <n v="3000002281"/>
    <d v="2026-04-27T00:00:00"/>
    <n v="10384519.9"/>
    <s v="Inquinat S.A. San Martín 01"/>
    <x v="1886"/>
    <n v="10384519.9"/>
    <x v="239"/>
    <x v="0"/>
    <s v="pagado"/>
    <s v="pagado"/>
    <s v="excluir"/>
    <s v="no semana"/>
    <x v="0"/>
  </r>
  <r>
    <n v="3000002282"/>
    <d v="2026-04-27T00:00:00"/>
    <n v="4588053.75"/>
    <s v="Autino Hierros S.R.L. SAN MIGUEL DE TUCUMAN 14"/>
    <x v="1887"/>
    <n v="4588053.75"/>
    <x v="239"/>
    <x v="0"/>
    <s v="no pagado"/>
    <s v="fuera de fecha"/>
    <s v="excluir"/>
    <s v="no semana"/>
    <x v="0"/>
  </r>
  <r>
    <n v="3000002283"/>
    <d v="2026-04-27T00:00:00"/>
    <n v="33111550.079999998"/>
    <s v="ROMERO SERVICIOS S. A. S. ALPACHIRI 14"/>
    <x v="1888"/>
    <n v="33111550.079999998"/>
    <x v="239"/>
    <x v="0"/>
    <s v="pagado"/>
    <s v="pagado"/>
    <s v="excluir"/>
    <s v="no semana"/>
    <x v="0"/>
  </r>
  <r>
    <n v="3000002284"/>
    <d v="2026-04-27T00:00:00"/>
    <n v="9180648.7300000004"/>
    <s v="PERATO CRISTIAN LUIS BANDA DEL RIO SALI 14"/>
    <x v="1889"/>
    <n v="9180648.7300000004"/>
    <x v="239"/>
    <x v="0"/>
    <s v="pagado"/>
    <s v="pagado"/>
    <s v="excluir"/>
    <s v="no semana"/>
    <x v="0"/>
  </r>
  <r>
    <n v="3000002285"/>
    <d v="2026-04-27T00:00:00"/>
    <n v="3190003.44"/>
    <s v="HERRERA RICARDO ALBERTO BANDA DEL RIO SALI 14"/>
    <x v="1890"/>
    <n v="3190003.44"/>
    <x v="239"/>
    <x v="0"/>
    <s v="pagado"/>
    <s v="pagado"/>
    <s v="excluir"/>
    <s v="no semana"/>
    <x v="0"/>
  </r>
  <r>
    <n v="3000002286"/>
    <d v="2026-04-27T00:00:00"/>
    <n v="4074680.69"/>
    <s v="Arias Gonzalo Alejandro San Miguel de Tucumán 14"/>
    <x v="1891"/>
    <n v="4074680.69"/>
    <x v="239"/>
    <x v="0"/>
    <s v="no pagado"/>
    <s v="fuera de fecha"/>
    <s v="excluir"/>
    <s v="no semana"/>
    <x v="0"/>
  </r>
  <r>
    <n v="3000002287"/>
    <d v="2026-04-27T00:00:00"/>
    <n v="47033595.619999997"/>
    <s v="LA MARTINA SERV. AGRICOLAS S.RSAN PABLO 14"/>
    <x v="1892"/>
    <n v="47033595.619999997"/>
    <x v="239"/>
    <x v="0"/>
    <s v="pagado"/>
    <s v="pagado"/>
    <s v="excluir"/>
    <s v="no semana"/>
    <x v="0"/>
  </r>
  <r>
    <n v="3000002289"/>
    <d v="2026-04-27T00:00:00"/>
    <n v="3267634.21"/>
    <s v="LANCHELA HECTOR ROLANDO CONCEPCION 14"/>
    <x v="1893"/>
    <n v="3267634.21"/>
    <x v="239"/>
    <x v="0"/>
    <s v="pagado"/>
    <s v="pagado"/>
    <s v="excluir"/>
    <s v="no semana"/>
    <x v="0"/>
  </r>
  <r>
    <n v="3000002290"/>
    <d v="2026-04-27T00:00:00"/>
    <n v="5530828.9400000004"/>
    <s v="SUAREZ MANUEL RODOLFO ALDERETES 14"/>
    <x v="1894"/>
    <n v="5530828.9400000004"/>
    <x v="239"/>
    <x v="0"/>
    <s v="no pagado"/>
    <s v="fuera de fecha"/>
    <s v="excluir"/>
    <s v="no semana"/>
    <x v="0"/>
  </r>
  <r>
    <n v="3000002291"/>
    <d v="2026-04-27T00:00:00"/>
    <n v="5011443.46"/>
    <s v="Transportes La Sevillanita S.RALDERETES 14"/>
    <x v="1895"/>
    <n v="5011443.46"/>
    <x v="239"/>
    <x v="0"/>
    <s v="no pagado"/>
    <s v="fuera de fecha"/>
    <s v="excluir"/>
    <s v="no semana"/>
    <x v="0"/>
  </r>
  <r>
    <n v="3000002292"/>
    <d v="2026-04-27T00:00:00"/>
    <n v="29425910.899999999"/>
    <s v="LATCOMEX SA CAPITAL FEDERAL 00"/>
    <x v="1896"/>
    <n v="29425910.899999999"/>
    <x v="239"/>
    <x v="0"/>
    <s v="pagado"/>
    <s v="pagado"/>
    <s v="excluir"/>
    <s v="no semana"/>
    <x v="0"/>
  </r>
  <r>
    <n v="3000002293"/>
    <d v="2026-04-27T00:00:00"/>
    <n v="10211869.41"/>
    <s v="CONTROL UNION NORTE S.A YERBA BUENA 14"/>
    <x v="1897"/>
    <n v="10211869.41"/>
    <x v="239"/>
    <x v="0"/>
    <s v="pagado"/>
    <s v="pagado"/>
    <s v="excluir"/>
    <s v="no semana"/>
    <x v="0"/>
  </r>
  <r>
    <n v="3000002294"/>
    <d v="2026-04-27T00:00:00"/>
    <n v="19764000"/>
    <s v="Rutas Servicios Integrales SRLCapital Federal 00"/>
    <x v="1898"/>
    <n v="19764000"/>
    <x v="239"/>
    <x v="0"/>
    <s v="pagado"/>
    <s v="pagado"/>
    <s v="excluir"/>
    <s v="no semana"/>
    <x v="0"/>
  </r>
  <r>
    <n v="3000002295"/>
    <d v="2026-04-27T00:00:00"/>
    <n v="3149017.23"/>
    <s v="Sanchez Jose Mauricio San Miguel de Tucuman 14"/>
    <x v="1899"/>
    <n v="3149017.23"/>
    <x v="239"/>
    <x v="0"/>
    <s v="pagado"/>
    <s v="pagado"/>
    <s v="excluir"/>
    <s v="no semana"/>
    <x v="0"/>
  </r>
  <r>
    <n v="3000002288"/>
    <d v="2026-04-27T00:00:00"/>
    <n v="19780904.050000001"/>
    <s v="PAMPLONA SRL SAN MIGUEL DE TUCUMAN 14"/>
    <x v="1900"/>
    <n v="19780904.050000001"/>
    <x v="239"/>
    <x v="0"/>
    <s v="pagado"/>
    <s v="pagado"/>
    <s v="excluir"/>
    <s v="no semana"/>
    <x v="0"/>
  </r>
  <r>
    <n v="3000002340"/>
    <d v="2026-04-28T00:00:00"/>
    <n v="3000000"/>
    <s v=". TUCUMAN"/>
    <x v="1901"/>
    <n v="3000000"/>
    <x v="240"/>
    <x v="0"/>
    <s v="pagado"/>
    <s v="pagado"/>
    <s v="excluir"/>
    <s v="no semana"/>
    <x v="0"/>
  </r>
  <r>
    <n v="3000002342"/>
    <d v="2026-04-29T00:00:00"/>
    <n v="50000000"/>
    <s v="CV CONSTRUCCIONES SRL SAN MIGUEL DE TUCUMAN 14"/>
    <x v="1902"/>
    <n v="50000000"/>
    <x v="241"/>
    <x v="0"/>
    <s v="no pagado"/>
    <s v="fuera de fecha"/>
    <s v="excluir"/>
    <s v="no semana"/>
    <x v="0"/>
  </r>
  <r>
    <n v="3000002342"/>
    <d v="2026-04-29T00:00:00"/>
    <n v="57830447.140000001"/>
    <s v="CV CONSTRUCCIONES SRL SAN MIGUEL DE TUCUMAN 14"/>
    <x v="1903"/>
    <n v="57830447.140000001"/>
    <x v="242"/>
    <x v="0"/>
    <s v="pagado"/>
    <s v="pagado"/>
    <s v="excluir"/>
    <s v="no semana"/>
    <x v="0"/>
  </r>
  <r>
    <n v="3000002392"/>
    <d v="2026-04-29T00:00:00"/>
    <n v="2856663.29"/>
    <s v="TRANSPORTE MEDINA S.H. CRUZ ALTA 14"/>
    <x v="1904"/>
    <n v="2856663.29"/>
    <x v="241"/>
    <x v="0"/>
    <s v="pagado"/>
    <s v="pagado"/>
    <s v="excluir"/>
    <s v="no semana"/>
    <x v="0"/>
  </r>
  <r>
    <n v="3000002423"/>
    <d v="2026-04-30T00:00:00"/>
    <n v="10000000"/>
    <s v="AGROGANADERA DEL NOA CEVIL POZO 14"/>
    <x v="1905"/>
    <n v="10000000"/>
    <x v="243"/>
    <x v="0"/>
    <s v="pagado"/>
    <s v="pagado"/>
    <s v="excluir"/>
    <s v="no semana"/>
    <x v="0"/>
  </r>
  <r>
    <n v="3000002423"/>
    <d v="2026-04-30T00:00:00"/>
    <n v="10000000"/>
    <s v="AGROGANADERA DEL NOA CEVIL POZO 14"/>
    <x v="1906"/>
    <n v="10000000"/>
    <x v="243"/>
    <x v="0"/>
    <s v="pagado"/>
    <s v="pagado"/>
    <s v="excluir"/>
    <s v="no semana"/>
    <x v="0"/>
  </r>
  <r>
    <n v="3000002423"/>
    <d v="2026-04-30T00:00:00"/>
    <n v="10000000"/>
    <s v="AGROGANADERA DEL NOA CEVIL POZO 14"/>
    <x v="1907"/>
    <n v="10000000"/>
    <x v="243"/>
    <x v="0"/>
    <s v="pagado"/>
    <s v="pagado"/>
    <s v="excluir"/>
    <s v="no semana"/>
    <x v="0"/>
  </r>
  <r>
    <n v="3000002423"/>
    <d v="2026-04-30T00:00:00"/>
    <n v="10000000"/>
    <s v="AGROGANADERA DEL NOA CEVIL POZO 14"/>
    <x v="1908"/>
    <n v="10000000"/>
    <x v="244"/>
    <x v="0"/>
    <s v="pagado"/>
    <s v="pagado"/>
    <s v="excluir"/>
    <s v="no semana"/>
    <x v="0"/>
  </r>
  <r>
    <n v="3000002423"/>
    <d v="2026-04-30T00:00:00"/>
    <n v="5000000"/>
    <s v="AGROGANADERA DEL NOA CEVIL POZO 14"/>
    <x v="1909"/>
    <n v="5000000"/>
    <x v="244"/>
    <x v="0"/>
    <s v="pagado"/>
    <s v="pagado"/>
    <s v="excluir"/>
    <s v="no semana"/>
    <x v="0"/>
  </r>
  <r>
    <n v="3000002423"/>
    <d v="2026-04-30T00:00:00"/>
    <n v="5000000"/>
    <s v="AGROGANADERA DEL NOA CEVIL POZO 14"/>
    <x v="1910"/>
    <n v="5000000"/>
    <x v="244"/>
    <x v="0"/>
    <s v="pagado"/>
    <s v="pagado"/>
    <s v="excluir"/>
    <s v="no semana"/>
    <x v="0"/>
  </r>
  <r>
    <n v="3000002423"/>
    <d v="2026-04-30T00:00:00"/>
    <n v="5000000"/>
    <s v="AGROGANADERA DEL NOA CEVIL POZO 14"/>
    <x v="1911"/>
    <n v="5000000"/>
    <x v="244"/>
    <x v="0"/>
    <s v="pagado"/>
    <s v="pagado"/>
    <s v="excluir"/>
    <s v="no semana"/>
    <x v="0"/>
  </r>
  <r>
    <n v="3000002423"/>
    <d v="2026-04-30T00:00:00"/>
    <n v="5000000"/>
    <s v="AGROGANADERA DEL NOA CEVIL POZO 14"/>
    <x v="1912"/>
    <n v="5000000"/>
    <x v="244"/>
    <x v="0"/>
    <s v="pagado"/>
    <s v="pagado"/>
    <s v="excluir"/>
    <s v="no semana"/>
    <x v="0"/>
  </r>
  <r>
    <n v="3000002423"/>
    <d v="2026-04-30T00:00:00"/>
    <n v="5000000"/>
    <s v="AGROGANADERA DEL NOA CEVIL POZO 14"/>
    <x v="1913"/>
    <n v="5000000"/>
    <x v="244"/>
    <x v="0"/>
    <s v="pagado"/>
    <s v="pagado"/>
    <s v="excluir"/>
    <s v="no semana"/>
    <x v="0"/>
  </r>
  <r>
    <n v="3000002423"/>
    <d v="2026-04-30T00:00:00"/>
    <n v="5000000"/>
    <s v="AGROGANADERA DEL NOA CEVIL POZO 14"/>
    <x v="1914"/>
    <n v="5000000"/>
    <x v="244"/>
    <x v="0"/>
    <s v="pagado"/>
    <s v="pagado"/>
    <s v="excluir"/>
    <s v="no semana"/>
    <x v="0"/>
  </r>
  <r>
    <n v="3000002423"/>
    <d v="2026-04-30T00:00:00"/>
    <n v="5000000"/>
    <s v="AGROGANADERA DEL NOA CEVIL POZO 14"/>
    <x v="1915"/>
    <n v="5000000"/>
    <x v="244"/>
    <x v="0"/>
    <s v="pagado"/>
    <s v="pagado"/>
    <s v="excluir"/>
    <s v="no semana"/>
    <x v="0"/>
  </r>
  <r>
    <n v="3000002423"/>
    <d v="2026-04-30T00:00:00"/>
    <n v="8780695.2899999991"/>
    <s v="AGROGANADERA DEL NOA CEVIL POZO 14"/>
    <x v="1916"/>
    <n v="8780695.2899999991"/>
    <x v="244"/>
    <x v="0"/>
    <s v="pagado"/>
    <s v="pagado"/>
    <s v="excluir"/>
    <s v="no semana"/>
    <x v="0"/>
  </r>
  <r>
    <n v="3000002447"/>
    <d v="2026-05-04T00:00:00"/>
    <n v="45000000"/>
    <s v="Cheque de terceros TUCUMAN"/>
    <x v="1917"/>
    <n v="45000000"/>
    <x v="245"/>
    <x v="0"/>
    <s v="pagado"/>
    <s v="pagado"/>
    <s v="excluir"/>
    <s v="no semana"/>
    <x v="0"/>
  </r>
  <r>
    <n v="3000002447"/>
    <d v="2026-05-04T00:00:00"/>
    <n v="45796981.350000001"/>
    <s v="Cheque de terceros TUCUMAN"/>
    <x v="1918"/>
    <n v="45796981.350000001"/>
    <x v="245"/>
    <x v="0"/>
    <s v="pagado"/>
    <s v="pagado"/>
    <s v="excluir"/>
    <s v="no semana"/>
    <x v="0"/>
  </r>
  <r>
    <n v="3000002447"/>
    <d v="2026-05-04T00:00:00"/>
    <n v="30250"/>
    <s v="Cheque de terceros TUCUMAN"/>
    <x v="1919"/>
    <n v="30250"/>
    <x v="245"/>
    <x v="0"/>
    <s v="no pagado"/>
    <s v="fuera de fecha"/>
    <s v="excluir"/>
    <s v="no semana"/>
    <x v="0"/>
  </r>
  <r>
    <n v="3000002447"/>
    <d v="2026-05-04T00:00:00"/>
    <n v="18459650.890000001"/>
    <s v="Cheque de terceros TUCUMAN"/>
    <x v="1920"/>
    <n v="18459650.890000001"/>
    <x v="245"/>
    <x v="0"/>
    <s v="pagado"/>
    <s v="pagado"/>
    <s v="excluir"/>
    <s v="no semana"/>
    <x v="0"/>
  </r>
  <r>
    <n v="3000002447"/>
    <d v="2026-05-04T00:00:00"/>
    <n v="657119.32999999996"/>
    <s v="Cheque de terceros TUCUMAN"/>
    <x v="1921"/>
    <n v="657119.32999999996"/>
    <x v="245"/>
    <x v="0"/>
    <s v="no pagado"/>
    <s v="fuera de fecha"/>
    <s v="excluir"/>
    <s v="no semana"/>
    <x v="0"/>
  </r>
  <r>
    <n v="3000002448"/>
    <d v="2026-05-04T00:00:00"/>
    <n v="45000000"/>
    <s v="Cheque de terceros TUCUMAN"/>
    <x v="1922"/>
    <n v="45000000"/>
    <x v="245"/>
    <x v="0"/>
    <s v="pagado"/>
    <s v="pagado"/>
    <s v="excluir"/>
    <s v="no semana"/>
    <x v="0"/>
  </r>
  <r>
    <n v="3000002448"/>
    <d v="2026-05-04T00:00:00"/>
    <n v="45796981.350000001"/>
    <s v="Cheque de terceros TUCUMAN"/>
    <x v="1923"/>
    <n v="45796981.350000001"/>
    <x v="245"/>
    <x v="0"/>
    <s v="pagado"/>
    <s v="pagado"/>
    <s v="excluir"/>
    <s v="no semana"/>
    <x v="0"/>
  </r>
  <r>
    <n v="3000002448"/>
    <d v="2026-05-04T00:00:00"/>
    <n v="30250"/>
    <s v="Cheque de terceros TUCUMAN"/>
    <x v="1924"/>
    <n v="30250"/>
    <x v="245"/>
    <x v="0"/>
    <s v="no pagado"/>
    <s v="fuera de fecha"/>
    <s v="excluir"/>
    <s v="no semana"/>
    <x v="0"/>
  </r>
  <r>
    <n v="3000002448"/>
    <d v="2026-05-04T00:00:00"/>
    <n v="18459650.890000001"/>
    <s v="Cheque de terceros TUCUMAN"/>
    <x v="1925"/>
    <n v="18459650.890000001"/>
    <x v="245"/>
    <x v="0"/>
    <s v="pagado"/>
    <s v="pagado"/>
    <s v="excluir"/>
    <s v="no semana"/>
    <x v="0"/>
  </r>
  <r>
    <n v="3000002448"/>
    <d v="2026-05-04T00:00:00"/>
    <n v="657119.32999999996"/>
    <s v="Cheque de terceros TUCUMAN"/>
    <x v="1926"/>
    <n v="657119.32999999996"/>
    <x v="245"/>
    <x v="0"/>
    <s v="no pagado"/>
    <s v="fuera de fecha"/>
    <s v="excluir"/>
    <s v="no semana"/>
    <x v="0"/>
  </r>
  <r>
    <n v="3000002478"/>
    <d v="2026-05-05T00:00:00"/>
    <n v="1500000"/>
    <s v=". TUCUMAN"/>
    <x v="1927"/>
    <n v="1500000"/>
    <x v="243"/>
    <x v="0"/>
    <s v="pagado"/>
    <s v="pagado"/>
    <s v="excluir"/>
    <s v="no semana"/>
    <x v="0"/>
  </r>
  <r>
    <n v="3000002479"/>
    <d v="2026-05-05T00:00:00"/>
    <n v="3320230"/>
    <s v="EDET S.A. SAN MIGUEL DE TUCUMAN 14"/>
    <x v="1928"/>
    <n v="3320230"/>
    <x v="245"/>
    <x v="0"/>
    <s v="no pagado"/>
    <s v="fuera de fecha"/>
    <s v="excluir"/>
    <s v="no semana"/>
    <x v="0"/>
  </r>
  <r>
    <n v="3000002483"/>
    <d v="2026-05-05T00:00:00"/>
    <n v="6167688.8499999996"/>
    <s v="PEDRO GABRIEL ALEJANDRO ALDERETES 14"/>
    <x v="1929"/>
    <n v="6167688.8499999996"/>
    <x v="244"/>
    <x v="0"/>
    <s v="pagado"/>
    <s v="pagado"/>
    <s v="excluir"/>
    <s v="no semana"/>
    <x v="0"/>
  </r>
  <r>
    <n v="3000002486"/>
    <d v="2026-05-05T00:00:00"/>
    <n v="1989790.52"/>
    <s v="TRANSPORTE MEDINA S.H. CRUZ ALTA 14"/>
    <x v="1930"/>
    <n v="1989790.52"/>
    <x v="244"/>
    <x v="0"/>
    <s v="pagado"/>
    <s v="pagado"/>
    <s v="excluir"/>
    <s v="no semana"/>
    <x v="0"/>
  </r>
  <r>
    <n v="3000002480"/>
    <d v="2026-05-05T00:00:00"/>
    <n v="6246803.4000000004"/>
    <s v="GEOTECNOLOGIA S.R.L SAN MIGUEL DE TUCUMAN 14"/>
    <x v="1931"/>
    <n v="6246803.4000000004"/>
    <x v="244"/>
    <x v="0"/>
    <s v="pagado"/>
    <s v="pagado"/>
    <s v="excluir"/>
    <s v="no semana"/>
    <x v="0"/>
  </r>
  <r>
    <n v="3000002481"/>
    <d v="2026-05-05T00:00:00"/>
    <n v="22028025"/>
    <s v="FERRO JOSE NICOLAS FAMAILLA 14"/>
    <x v="1932"/>
    <n v="22028025"/>
    <x v="244"/>
    <x v="0"/>
    <s v="pagado"/>
    <s v="pagado"/>
    <s v="excluir"/>
    <s v="no semana"/>
    <x v="0"/>
  </r>
  <r>
    <n v="3000002482"/>
    <d v="2026-05-05T00:00:00"/>
    <n v="5709023.4000000004"/>
    <s v="PABLO Y FERNANDO TACCHELLA S.RSAN MIGUEL DE TUCUMAN 14"/>
    <x v="1933"/>
    <n v="5709023.4000000004"/>
    <x v="244"/>
    <x v="0"/>
    <s v="pagado"/>
    <s v="pagado"/>
    <s v="excluir"/>
    <s v="no semana"/>
    <x v="0"/>
  </r>
  <r>
    <n v="3000002484"/>
    <d v="2026-05-05T00:00:00"/>
    <n v="15171638.5"/>
    <s v="BARBARISI JUAREZ PABLO EMANUELSAN JUAN 10"/>
    <x v="1934"/>
    <n v="15171638.5"/>
    <x v="244"/>
    <x v="0"/>
    <s v="pagado"/>
    <s v="pagado"/>
    <s v="excluir"/>
    <s v="no semana"/>
    <x v="0"/>
  </r>
  <r>
    <n v="3000002485"/>
    <d v="2026-05-05T00:00:00"/>
    <n v="3056012.13"/>
    <s v="JACQUET NORBERTO SALVADOR SAN JOSE 05"/>
    <x v="1935"/>
    <n v="3056012.13"/>
    <x v="244"/>
    <x v="0"/>
    <s v="pagado"/>
    <s v="pagado"/>
    <s v="excluir"/>
    <s v="no semana"/>
    <x v="0"/>
  </r>
  <r>
    <n v="3000002487"/>
    <d v="2026-05-05T00:00:00"/>
    <n v="18806823.469999999"/>
    <s v="CAPETTA ANTONELLA ANAHI SAN MIGUEL DE TUCUMAN 14"/>
    <x v="1936"/>
    <n v="18806823.469999999"/>
    <x v="244"/>
    <x v="0"/>
    <s v="pagado"/>
    <s v="pagado"/>
    <s v="excluir"/>
    <s v="no semana"/>
    <x v="0"/>
  </r>
  <r>
    <n v="3000002488"/>
    <d v="2026-05-05T00:00:00"/>
    <n v="5598760.7199999997"/>
    <s v="MAC DONALD MIGUEL ALEJANDRO BANDA DEL RIO SALI 14"/>
    <x v="1937"/>
    <n v="5598760.7199999997"/>
    <x v="244"/>
    <x v="0"/>
    <s v="pagado"/>
    <s v="pagado"/>
    <s v="excluir"/>
    <s v="no semana"/>
    <x v="0"/>
  </r>
  <r>
    <n v="3000002489"/>
    <d v="2026-05-05T00:00:00"/>
    <n v="21527151.829999998"/>
    <s v="TRANSPORTE FRIOS DEL NORTE S.RSAN MIGUEL DE TUCUMAN 14"/>
    <x v="1938"/>
    <n v="21527151.829999998"/>
    <x v="244"/>
    <x v="0"/>
    <s v="pagado"/>
    <s v="pagado"/>
    <s v="excluir"/>
    <s v="no semana"/>
    <x v="0"/>
  </r>
  <r>
    <n v="3000002490"/>
    <d v="2026-05-05T00:00:00"/>
    <n v="10189865.58"/>
    <s v="GOMEZ JUANA ROSA VILLA LA TRINIDAD 14"/>
    <x v="1939"/>
    <n v="10189865.58"/>
    <x v="244"/>
    <x v="0"/>
    <s v="pagado"/>
    <s v="pagado"/>
    <s v="excluir"/>
    <s v="no semana"/>
    <x v="0"/>
  </r>
  <r>
    <n v="3000002491"/>
    <d v="2026-05-05T00:00:00"/>
    <n v="2238697.2799999998"/>
    <s v="SUAREZ ENRIQUE FLORENCIO ALDERETES 14"/>
    <x v="1940"/>
    <n v="2238697.2799999998"/>
    <x v="244"/>
    <x v="0"/>
    <s v="pagado"/>
    <s v="pagado"/>
    <s v="excluir"/>
    <s v="no semana"/>
    <x v="0"/>
  </r>
  <r>
    <n v="3000002492"/>
    <d v="2026-05-05T00:00:00"/>
    <n v="11829504.689999999"/>
    <s v="PERATO CRISTIAN LUIS BANDA DEL RIO SALI 14"/>
    <x v="1941"/>
    <n v="11829504.689999999"/>
    <x v="244"/>
    <x v="0"/>
    <s v="pagado"/>
    <s v="pagado"/>
    <s v="excluir"/>
    <s v="no semana"/>
    <x v="0"/>
  </r>
  <r>
    <n v="3000002493"/>
    <d v="2026-05-05T00:00:00"/>
    <n v="2237657.85"/>
    <s v="GONZALEZ SANTIAGO ROQUE TAFI VIEJO 14"/>
    <x v="1942"/>
    <n v="2237657.85"/>
    <x v="244"/>
    <x v="0"/>
    <s v="pagado"/>
    <s v="pagado"/>
    <s v="excluir"/>
    <s v="no semana"/>
    <x v="0"/>
  </r>
  <r>
    <n v="3000002494"/>
    <d v="2026-05-05T00:00:00"/>
    <n v="3716293.1"/>
    <s v="TORRES JUAN RAMON ALDERETES 14"/>
    <x v="1943"/>
    <n v="3716293.1"/>
    <x v="244"/>
    <x v="0"/>
    <s v="pagado"/>
    <s v="pagado"/>
    <s v="excluir"/>
    <s v="no semana"/>
    <x v="0"/>
  </r>
  <r>
    <n v="3000002495"/>
    <d v="2026-05-05T00:00:00"/>
    <n v="4536566.55"/>
    <s v="PERATO LUIS ALBERTO BANDA DEL RIO SALI 14"/>
    <x v="1944"/>
    <n v="4536566.55"/>
    <x v="244"/>
    <x v="0"/>
    <s v="pagado"/>
    <s v="pagado"/>
    <s v="excluir"/>
    <s v="no semana"/>
    <x v="0"/>
  </r>
  <r>
    <n v="3000002496"/>
    <d v="2026-05-05T00:00:00"/>
    <n v="2161912.81"/>
    <s v="ALBERTUS JUAN CARLOS SAN MIGUEL DE TUCUMAN 14"/>
    <x v="1945"/>
    <n v="2161912.81"/>
    <x v="244"/>
    <x v="0"/>
    <s v="pagado"/>
    <s v="pagado"/>
    <s v="excluir"/>
    <s v="no semana"/>
    <x v="0"/>
  </r>
  <r>
    <n v="3000002497"/>
    <d v="2026-05-06T00:00:00"/>
    <n v="5064950.8499999996"/>
    <s v="MOLINA JUAN F. Y MOLINA ROQUE Lastenia 14"/>
    <x v="1946"/>
    <n v="5064950.8499999996"/>
    <x v="244"/>
    <x v="0"/>
    <s v="pagado"/>
    <s v="pagado"/>
    <s v="excluir"/>
    <s v="no semana"/>
    <x v="0"/>
  </r>
  <r>
    <n v="3000002497"/>
    <d v="2026-05-06T00:00:00"/>
    <n v="10020951.16"/>
    <s v="MOLINA JUAN F. Y MOLINA ROQUE Lastenia 14"/>
    <x v="1947"/>
    <n v="10020951.16"/>
    <x v="244"/>
    <x v="0"/>
    <s v="pagado"/>
    <s v="pagado"/>
    <s v="excluir"/>
    <s v="no semana"/>
    <x v="0"/>
  </r>
  <r>
    <n v="3000002635"/>
    <d v="2026-05-12T00:00:00"/>
    <n v="35000000"/>
    <s v="Rosso Hnos SH MONTEROS 14"/>
    <x v="1948"/>
    <n v="35000000"/>
    <x v="246"/>
    <x v="0"/>
    <s v="pagado"/>
    <s v="pagado"/>
    <s v="excluir"/>
    <s v="no semana"/>
    <x v="0"/>
  </r>
  <r>
    <n v="3000002635"/>
    <d v="2026-05-12T00:00:00"/>
    <n v="34832829.740000002"/>
    <s v="Rosso Hnos SH MONTEROS 14"/>
    <x v="1949"/>
    <n v="34832829.740000002"/>
    <x v="246"/>
    <x v="0"/>
    <s v="pagado"/>
    <s v="pagado"/>
    <s v="excluir"/>
    <s v="no semana"/>
    <x v="0"/>
  </r>
  <r>
    <n v="3000002709"/>
    <d v="2026-05-12T00:00:00"/>
    <n v="20000000"/>
    <s v="CAPETTA ANTONELLA ANAHI SAN MIGUEL DE TUCUMAN 14"/>
    <x v="1950"/>
    <n v="20000000"/>
    <x v="247"/>
    <x v="0"/>
    <s v="pagado"/>
    <s v="pagado"/>
    <s v="excluir"/>
    <s v="no semana"/>
    <x v="0"/>
  </r>
  <r>
    <n v="3000002709"/>
    <d v="2026-05-12T00:00:00"/>
    <n v="22094015.399999999"/>
    <s v="CAPETTA ANTONELLA ANAHI SAN MIGUEL DE TUCUMAN 14"/>
    <x v="1951"/>
    <n v="22094015.399999999"/>
    <x v="247"/>
    <x v="0"/>
    <s v="pagado"/>
    <s v="pagado"/>
    <s v="excluir"/>
    <s v="no semana"/>
    <x v="0"/>
  </r>
  <r>
    <n v="3000002636"/>
    <d v="2026-05-12T00:00:00"/>
    <n v="173710874.16999999"/>
    <s v="CATALANA DE SERVICIOS SRL YERBA BUENA 14"/>
    <x v="1952"/>
    <n v="173710874.16999999"/>
    <x v="248"/>
    <x v="0"/>
    <s v="pagado"/>
    <s v="pagado"/>
    <s v="excluir"/>
    <s v="no semana"/>
    <x v="0"/>
  </r>
  <r>
    <n v="3000002637"/>
    <d v="2026-05-12T00:00:00"/>
    <n v="5445534.4199999999"/>
    <s v="Marchese Grandi Meson y Asoc SAN MIGUEL DE TUCUMAN 14"/>
    <x v="1953"/>
    <n v="5445534.4199999999"/>
    <x v="248"/>
    <x v="0"/>
    <s v="pagado"/>
    <s v="pagado"/>
    <s v="excluir"/>
    <s v="no semana"/>
    <x v="0"/>
  </r>
  <r>
    <n v="3000002638"/>
    <d v="2026-05-12T00:00:00"/>
    <n v="44368343.399999999"/>
    <s v="Jeblab S.R.L. YERBA BUENA 14"/>
    <x v="1954"/>
    <n v="44368343.399999999"/>
    <x v="248"/>
    <x v="0"/>
    <s v="pagado"/>
    <s v="pagado"/>
    <s v="excluir"/>
    <s v="no semana"/>
    <x v="0"/>
  </r>
  <r>
    <n v="3000002639"/>
    <d v="2026-05-12T00:00:00"/>
    <n v="7964741.1100000003"/>
    <s v="RODRIGO HEREDIA PUIG LASTENIA 14"/>
    <x v="1955"/>
    <n v="7964741.1100000003"/>
    <x v="248"/>
    <x v="0"/>
    <s v="pagado"/>
    <s v="pagado"/>
    <s v="excluir"/>
    <s v="no semana"/>
    <x v="0"/>
  </r>
  <r>
    <n v="3000002640"/>
    <d v="2026-05-12T00:00:00"/>
    <n v="25394426.609999999"/>
    <s v="CAMPOAGRO SRL YERBA BUENA 14"/>
    <x v="1956"/>
    <n v="25394426.609999999"/>
    <x v="248"/>
    <x v="0"/>
    <s v="pagado"/>
    <s v="pagado"/>
    <s v="excluir"/>
    <s v="no semana"/>
    <x v="0"/>
  </r>
  <r>
    <n v="3000002641"/>
    <d v="2026-05-12T00:00:00"/>
    <n v="11867365.5"/>
    <s v="Poda Verde SRL SAN MIGUEL DE TUCUMAN 14"/>
    <x v="1957"/>
    <n v="11867365.5"/>
    <x v="248"/>
    <x v="0"/>
    <s v="pagado"/>
    <s v="pagado"/>
    <s v="excluir"/>
    <s v="no semana"/>
    <x v="0"/>
  </r>
  <r>
    <n v="3000002642"/>
    <d v="2026-05-12T00:00:00"/>
    <n v="14058127.23"/>
    <s v="CAFELI S.R.L. SAN MIGUEL DE TUCUMAN 14"/>
    <x v="1958"/>
    <n v="14058127.23"/>
    <x v="248"/>
    <x v="0"/>
    <s v="pagado"/>
    <s v="pagado"/>
    <s v="excluir"/>
    <s v="no semana"/>
    <x v="0"/>
  </r>
  <r>
    <n v="3000002643"/>
    <d v="2026-05-12T00:00:00"/>
    <n v="38363892.060000002"/>
    <s v="TRUSARELLI CARLOS ALBERTO BANDA DEL RIO SALI 14"/>
    <x v="1959"/>
    <n v="38363892.060000002"/>
    <x v="248"/>
    <x v="0"/>
    <s v="pagado"/>
    <s v="pagado"/>
    <s v="excluir"/>
    <s v="no semana"/>
    <x v="0"/>
  </r>
  <r>
    <n v="3000002644"/>
    <d v="2026-05-12T00:00:00"/>
    <n v="6043958.4900000002"/>
    <s v="LOBO BENICIO MARTIN ALDERETES 14"/>
    <x v="1960"/>
    <n v="6043958.4900000002"/>
    <x v="248"/>
    <x v="0"/>
    <s v="pagado"/>
    <s v="pagado"/>
    <s v="excluir"/>
    <s v="no semana"/>
    <x v="0"/>
  </r>
  <r>
    <n v="3000002645"/>
    <d v="2026-05-12T00:00:00"/>
    <n v="6793880.7999999998"/>
    <s v="SUAREZ MANUEL RODOLFO ALDERETES 14"/>
    <x v="1961"/>
    <n v="6793880.7999999998"/>
    <x v="248"/>
    <x v="0"/>
    <s v="pagado"/>
    <s v="pagado"/>
    <s v="excluir"/>
    <s v="no semana"/>
    <x v="0"/>
  </r>
  <r>
    <n v="3000002646"/>
    <d v="2026-05-12T00:00:00"/>
    <n v="8658934.8499999996"/>
    <s v="FERNANDEZ HECTOR JOSE SIMOCA 14"/>
    <x v="1962"/>
    <n v="8658934.8499999996"/>
    <x v="248"/>
    <x v="0"/>
    <s v="pagado"/>
    <s v="pagado"/>
    <s v="excluir"/>
    <s v="no semana"/>
    <x v="0"/>
  </r>
  <r>
    <n v="3000002647"/>
    <d v="2026-05-12T00:00:00"/>
    <n v="4887290.55"/>
    <s v="PAEZ ANDRES ALEXIS MACIO 14"/>
    <x v="1963"/>
    <n v="4887290.55"/>
    <x v="248"/>
    <x v="0"/>
    <s v="pagado"/>
    <s v="pagado"/>
    <s v="excluir"/>
    <s v="no semana"/>
    <x v="0"/>
  </r>
  <r>
    <n v="3000002648"/>
    <d v="2026-05-12T00:00:00"/>
    <n v="9318577.6199999992"/>
    <s v="LA 10 SRL SAN MIGUEL DE TUCUMAN 14"/>
    <x v="1964"/>
    <n v="9318577.6199999992"/>
    <x v="248"/>
    <x v="0"/>
    <s v="pagado"/>
    <s v="pagado"/>
    <s v="excluir"/>
    <s v="no semana"/>
    <x v="0"/>
  </r>
  <r>
    <n v="3000002649"/>
    <d v="2026-05-12T00:00:00"/>
    <n v="3999841.95"/>
    <s v="BERCOVICH COMERCIAL SAS SAN MIGUEL DE TUCUMAN 14"/>
    <x v="1965"/>
    <n v="3999841.95"/>
    <x v="248"/>
    <x v="0"/>
    <s v="pagado"/>
    <s v="pagado"/>
    <s v="excluir"/>
    <s v="no semana"/>
    <x v="0"/>
  </r>
  <r>
    <n v="3000002650"/>
    <d v="2026-05-12T00:00:00"/>
    <n v="3551708.4"/>
    <s v="BME DISENO Y COMUNICACION SAS CAPITAL FEDERAL 00"/>
    <x v="1966"/>
    <n v="3551708.4"/>
    <x v="248"/>
    <x v="0"/>
    <s v="pagado"/>
    <s v="pagado"/>
    <s v="excluir"/>
    <s v="no semana"/>
    <x v="0"/>
  </r>
  <r>
    <n v="3000002651"/>
    <d v="2026-05-12T00:00:00"/>
    <n v="12873220.869999999"/>
    <s v="Hierronort Salta S.R.L. SAN MIGUEL DE TUCUMAN 14"/>
    <x v="1967"/>
    <n v="12873220.869999999"/>
    <x v="248"/>
    <x v="0"/>
    <s v="pagado"/>
    <s v="pagado"/>
    <s v="excluir"/>
    <s v="no semana"/>
    <x v="0"/>
  </r>
  <r>
    <n v="3000002652"/>
    <d v="2026-05-12T00:00:00"/>
    <n v="5375231.9500000002"/>
    <s v="EL SOL MATERIALES SA SAN MIGUEL DE TUCUMAN 14"/>
    <x v="1968"/>
    <n v="5375231.9500000002"/>
    <x v="248"/>
    <x v="0"/>
    <s v="pagado"/>
    <s v="pagado"/>
    <s v="excluir"/>
    <s v="no semana"/>
    <x v="0"/>
  </r>
  <r>
    <n v="3000002653"/>
    <d v="2026-05-12T00:00:00"/>
    <n v="21704180.800000001"/>
    <s v="MG SERVICIOS AGROPECUARIOS SASTAFI VIEJO 14"/>
    <x v="1969"/>
    <n v="21704180.800000001"/>
    <x v="249"/>
    <x v="0"/>
    <s v="pagado"/>
    <s v="pagado"/>
    <s v="excluir"/>
    <s v="no semana"/>
    <x v="0"/>
  </r>
  <r>
    <n v="3000002654"/>
    <d v="2026-05-12T00:00:00"/>
    <n v="11884741"/>
    <s v="Di Bacco &amp; Cia. S.A. SAN MIGUEL DE TUCUMAN 14"/>
    <x v="1970"/>
    <n v="11884741"/>
    <x v="249"/>
    <x v="0"/>
    <s v="pagado"/>
    <s v="pagado"/>
    <s v="excluir"/>
    <s v="no semana"/>
    <x v="0"/>
  </r>
  <r>
    <n v="3000002700"/>
    <d v="2026-05-12T00:00:00"/>
    <n v="7924771.1299999999"/>
    <s v="MAC DONALD MIGUEL ALEJANDRO BANDA DEL RIO SALI 14"/>
    <x v="1971"/>
    <n v="7924771.1299999999"/>
    <x v="247"/>
    <x v="0"/>
    <s v="pagado"/>
    <s v="pagado"/>
    <s v="excluir"/>
    <s v="no semana"/>
    <x v="0"/>
  </r>
  <r>
    <n v="3000002701"/>
    <d v="2026-05-12T00:00:00"/>
    <n v="15279388.949999999"/>
    <s v="RL SOLUCIONES S. A. S. SAN MIGUEL DE TUCUMAN 14"/>
    <x v="1972"/>
    <n v="15279388.949999999"/>
    <x v="247"/>
    <x v="0"/>
    <s v="pagado"/>
    <s v="pagado"/>
    <s v="excluir"/>
    <s v="no semana"/>
    <x v="0"/>
  </r>
  <r>
    <n v="3000002702"/>
    <d v="2026-05-12T00:00:00"/>
    <n v="8736580.9900000002"/>
    <s v="JACQUET NORBERTO SALVADOR SAN JOSE 05"/>
    <x v="1973"/>
    <n v="8736580.9900000002"/>
    <x v="247"/>
    <x v="0"/>
    <s v="pagado"/>
    <s v="pagado"/>
    <s v="excluir"/>
    <s v="no semana"/>
    <x v="0"/>
  </r>
  <r>
    <n v="3000002703"/>
    <d v="2026-05-12T00:00:00"/>
    <n v="11086768.189999999"/>
    <s v="ACOSTA ROQUE RAMON SAN MIGUEL DE TUCUMAN 14"/>
    <x v="1974"/>
    <n v="11086768.189999999"/>
    <x v="247"/>
    <x v="0"/>
    <s v="pagado"/>
    <s v="pagado"/>
    <s v="excluir"/>
    <s v="no semana"/>
    <x v="0"/>
  </r>
  <r>
    <n v="3000002704"/>
    <d v="2026-05-12T00:00:00"/>
    <n v="3937443.82"/>
    <s v="Cruz Jonas Marcos Tafi del Valle 14"/>
    <x v="1975"/>
    <n v="3937443.82"/>
    <x v="247"/>
    <x v="0"/>
    <s v="pagado"/>
    <s v="pagado"/>
    <s v="excluir"/>
    <s v="no semana"/>
    <x v="0"/>
  </r>
  <r>
    <n v="3000002705"/>
    <d v="2026-05-12T00:00:00"/>
    <n v="4008330.08"/>
    <s v="Almibar SRL San Miguel de Tucuman 14"/>
    <x v="1976"/>
    <n v="4008330.08"/>
    <x v="247"/>
    <x v="0"/>
    <s v="pagado"/>
    <s v="pagado"/>
    <s v="excluir"/>
    <s v="no semana"/>
    <x v="0"/>
  </r>
  <r>
    <n v="3000002706"/>
    <d v="2026-05-12T00:00:00"/>
    <n v="5379268.9400000004"/>
    <s v="Pedro Angel Michael Alderetes 14"/>
    <x v="1977"/>
    <n v="5379268.9400000004"/>
    <x v="247"/>
    <x v="0"/>
    <s v="pagado"/>
    <s v="pagado"/>
    <s v="excluir"/>
    <s v="no semana"/>
    <x v="0"/>
  </r>
  <r>
    <n v="3000002707"/>
    <d v="2026-05-12T00:00:00"/>
    <n v="7378084.8099999996"/>
    <s v="Gonzalez Jose Luis Lastenia 14"/>
    <x v="1978"/>
    <n v="7378084.8099999996"/>
    <x v="247"/>
    <x v="0"/>
    <s v="pagado"/>
    <s v="pagado"/>
    <s v="excluir"/>
    <s v="no semana"/>
    <x v="0"/>
  </r>
  <r>
    <n v="3000002708"/>
    <d v="2026-05-12T00:00:00"/>
    <n v="4364576.5999999996"/>
    <s v="BESTANI JUAN JOSE SAN MIGUEL DE TUCUMAN 14"/>
    <x v="1979"/>
    <n v="4364576.5999999996"/>
    <x v="247"/>
    <x v="0"/>
    <s v="no pagado"/>
    <s v="fuera de fecha"/>
    <s v="excluir"/>
    <s v="no semana"/>
    <x v="0"/>
  </r>
  <r>
    <n v="3000002741"/>
    <d v="2026-05-13T00:00:00"/>
    <n v="1247830.69"/>
    <s v="Gentile Juan Luis Yerba Buena 14"/>
    <x v="1980"/>
    <n v="1247830.69"/>
    <x v="250"/>
    <x v="0"/>
    <s v="pagado"/>
    <s v="pagado"/>
    <s v="excluir"/>
    <s v="no semana"/>
    <x v="0"/>
  </r>
  <r>
    <n v="3000002756"/>
    <d v="2026-05-14T00:00:00"/>
    <n v="4198284.25"/>
    <s v=". TUCUMAN"/>
    <x v="1981"/>
    <n v="4198284.25"/>
    <x v="250"/>
    <x v="0"/>
    <s v="pagado"/>
    <s v="pagado"/>
    <s v="excluir"/>
    <s v="no semana"/>
    <x v="0"/>
  </r>
  <r>
    <n v="3000002822"/>
    <d v="2026-05-18T00:00:00"/>
    <n v="46676000"/>
    <s v="EDET S.A. SAN MIGUEL DE TUCUMAN 14"/>
    <x v="1982"/>
    <n v="46676000"/>
    <x v="251"/>
    <x v="0"/>
    <s v="pagado"/>
    <s v="pagado"/>
    <s v="excluir"/>
    <s v="no semana"/>
    <x v="0"/>
  </r>
  <r>
    <n v="3000002845"/>
    <d v="2026-05-18T00:00:00"/>
    <n v="4769627.3899999997"/>
    <s v="Arias Gonzalo Alejandro San Miguel de Tucumán 14"/>
    <x v="1983"/>
    <n v="4769627.3899999997"/>
    <x v="252"/>
    <x v="0"/>
    <s v="pagado"/>
    <s v="pagado"/>
    <s v="excluir"/>
    <s v="no semana"/>
    <x v="0"/>
  </r>
  <r>
    <n v="3000002846"/>
    <d v="2026-05-18T00:00:00"/>
    <n v="7149291.6600000001"/>
    <s v="LANCHELA HECTOR ROLANDO CONCEPCION 14"/>
    <x v="1984"/>
    <n v="7149291.6600000001"/>
    <x v="252"/>
    <x v="0"/>
    <s v="pagado"/>
    <s v="pagado"/>
    <s v="excluir"/>
    <s v="no semana"/>
    <x v="0"/>
  </r>
  <r>
    <n v="3000002847"/>
    <d v="2026-05-18T00:00:00"/>
    <n v="18628195.239999998"/>
    <s v="LA 10 SRL SAN MIGUEL DE TUCUMAN 14"/>
    <x v="1985"/>
    <n v="18628195.239999998"/>
    <x v="252"/>
    <x v="0"/>
    <s v="pagado"/>
    <s v="pagado"/>
    <s v="excluir"/>
    <s v="no semana"/>
    <x v="0"/>
  </r>
  <r>
    <n v="3000002848"/>
    <d v="2026-05-18T00:00:00"/>
    <n v="9736155"/>
    <s v="GEOTECNOLOGIA S.R.L SAN MIGUEL DE TUCUMAN 14"/>
    <x v="1986"/>
    <n v="9736155"/>
    <x v="252"/>
    <x v="0"/>
    <s v="pagado"/>
    <s v="pagado"/>
    <s v="excluir"/>
    <s v="no semana"/>
    <x v="0"/>
  </r>
  <r>
    <n v="3000002849"/>
    <d v="2026-05-18T00:00:00"/>
    <n v="4241481.58"/>
    <s v="Pintureria España S.R.L SAN MIGUEL DE TUCUMAN 14"/>
    <x v="1987"/>
    <n v="4241481.58"/>
    <x v="252"/>
    <x v="0"/>
    <s v="pagado"/>
    <s v="pagado"/>
    <s v="excluir"/>
    <s v="no semana"/>
    <x v="0"/>
  </r>
  <r>
    <n v="3000002850"/>
    <d v="2026-05-18T00:00:00"/>
    <n v="5264764.26"/>
    <s v="NORTE DISTRIBUCIONES S.R.L SAN MIGUEL DE TUCUMAN 14"/>
    <x v="1988"/>
    <n v="5264764.26"/>
    <x v="252"/>
    <x v="0"/>
    <s v="pagado"/>
    <s v="pagado"/>
    <s v="excluir"/>
    <s v="no semana"/>
    <x v="0"/>
  </r>
  <r>
    <n v="3000002851"/>
    <d v="2026-05-18T00:00:00"/>
    <n v="6545153.4000000004"/>
    <s v="BEVERINA BASCULAS SRL SAN MIGUEL DE TUCUMAN 14"/>
    <x v="1989"/>
    <n v="6545153.4000000004"/>
    <x v="252"/>
    <x v="0"/>
    <s v="pagado"/>
    <s v="pagado"/>
    <s v="excluir"/>
    <s v="no semana"/>
    <x v="0"/>
  </r>
  <r>
    <n v="3000002852"/>
    <d v="2026-05-18T00:00:00"/>
    <n v="5306090"/>
    <s v="Stok, Leandro SAN MIGUEL DE TUCUMAN 14"/>
    <x v="1990"/>
    <n v="5306090"/>
    <x v="252"/>
    <x v="0"/>
    <s v="pagado"/>
    <s v="pagado"/>
    <s v="excluir"/>
    <s v="no semana"/>
    <x v="0"/>
  </r>
  <r>
    <n v="3000002853"/>
    <d v="2026-05-18T00:00:00"/>
    <n v="16786994"/>
    <s v="CANEVARO JOSE MARIA CONCEPCION 14"/>
    <x v="1991"/>
    <n v="16786994"/>
    <x v="252"/>
    <x v="0"/>
    <s v="pagado"/>
    <s v="pagado"/>
    <s v="excluir"/>
    <s v="no semana"/>
    <x v="0"/>
  </r>
  <r>
    <n v="3000002854"/>
    <d v="2026-05-18T00:00:00"/>
    <n v="5181585.09"/>
    <s v="Sisdam S.A. CAPITAL FEDERAL 00"/>
    <x v="1992"/>
    <n v="5181585.09"/>
    <x v="252"/>
    <x v="0"/>
    <s v="pagado"/>
    <s v="pagado"/>
    <s v="excluir"/>
    <s v="no semana"/>
    <x v="0"/>
  </r>
  <r>
    <n v="3000002855"/>
    <d v="2026-05-18T00:00:00"/>
    <n v="6513032.8300000001"/>
    <s v="Norviguet S.R.L. SAN MIGUEL DE TUCUMAN 14"/>
    <x v="1993"/>
    <n v="6513032.8300000001"/>
    <x v="252"/>
    <x v="0"/>
    <s v="pagado"/>
    <s v="pagado"/>
    <s v="excluir"/>
    <s v="no semana"/>
    <x v="0"/>
  </r>
  <r>
    <n v="3000002856"/>
    <d v="2026-05-18T00:00:00"/>
    <n v="2925000"/>
    <s v="LOPEZ CAPARROS EDGARDO AGUSTINSAN MIGUEL DE TUCUMAN 14"/>
    <x v="1994"/>
    <n v="2925000"/>
    <x v="252"/>
    <x v="0"/>
    <s v="pagado"/>
    <s v="pagado"/>
    <s v="excluir"/>
    <s v="no semana"/>
    <x v="0"/>
  </r>
  <r>
    <n v="3000002887"/>
    <d v="2026-05-19T00:00:00"/>
    <n v="20000000"/>
    <s v="GAR S.A SAN MIGUEL DE TUCUMAN 14"/>
    <x v="1995"/>
    <n v="20000000"/>
    <x v="253"/>
    <x v="0"/>
    <s v="pagado"/>
    <s v="pagado"/>
    <s v="excluir"/>
    <s v="no semana"/>
    <x v="0"/>
  </r>
  <r>
    <n v="3000002887"/>
    <d v="2026-05-19T00:00:00"/>
    <n v="22364265.850000001"/>
    <s v="GAR S.A SAN MIGUEL DE TUCUMAN 14"/>
    <x v="1996"/>
    <n v="22364265.850000001"/>
    <x v="235"/>
    <x v="0"/>
    <s v="pagado"/>
    <s v="pagado"/>
    <s v="excluir"/>
    <s v="no semana"/>
    <x v="0"/>
  </r>
  <r>
    <n v="3000002879"/>
    <d v="2026-05-19T00:00:00"/>
    <n v="6628458.7400000002"/>
    <s v="PEDRO CRISTOFER MAURICIO LOS GUTIERREZ 14"/>
    <x v="1997"/>
    <n v="6628458.7400000002"/>
    <x v="235"/>
    <x v="0"/>
    <s v="pagado"/>
    <s v="pagado"/>
    <s v="excluir"/>
    <s v="no semana"/>
    <x v="0"/>
  </r>
  <r>
    <n v="3000002880"/>
    <d v="2026-05-19T00:00:00"/>
    <n v="7728463.0499999998"/>
    <s v="Pedro Ivan Marcelo ALDERETES 14"/>
    <x v="1998"/>
    <n v="7728463.0499999998"/>
    <x v="235"/>
    <x v="0"/>
    <s v="pagado"/>
    <s v="pagado"/>
    <s v="excluir"/>
    <s v="no semana"/>
    <x v="0"/>
  </r>
  <r>
    <n v="3000002881"/>
    <d v="2026-05-19T00:00:00"/>
    <n v="19642573.09"/>
    <s v="FERNANDEZ HECTOR JOSE SIMOCA 14"/>
    <x v="1999"/>
    <n v="19642573.09"/>
    <x v="235"/>
    <x v="0"/>
    <s v="pagado"/>
    <s v="pagado"/>
    <s v="excluir"/>
    <s v="no semana"/>
    <x v="0"/>
  </r>
  <r>
    <n v="3000002882"/>
    <d v="2026-05-19T00:00:00"/>
    <n v="31012217.920000002"/>
    <s v="Rutas Servicios Integrales SRLCapital Federal 00"/>
    <x v="2000"/>
    <n v="31012217.920000002"/>
    <x v="235"/>
    <x v="0"/>
    <s v="pagado"/>
    <s v="pagado"/>
    <s v="excluir"/>
    <s v="no semana"/>
    <x v="0"/>
  </r>
  <r>
    <n v="3000002883"/>
    <d v="2026-05-19T00:00:00"/>
    <n v="10396879.68"/>
    <s v="CONTROL UNION NORTE S.A YERBA BUENA 14"/>
    <x v="2001"/>
    <n v="10396879.68"/>
    <x v="235"/>
    <x v="0"/>
    <s v="pagado"/>
    <s v="pagado"/>
    <s v="excluir"/>
    <s v="no semana"/>
    <x v="0"/>
  </r>
  <r>
    <n v="3000002884"/>
    <d v="2026-05-19T00:00:00"/>
    <n v="5249785.18"/>
    <s v="VILLAGRA VELEZ ROQUE RICARDO SAN MIGUEL DE TUCUMAN 14"/>
    <x v="2002"/>
    <n v="5249785.18"/>
    <x v="235"/>
    <x v="0"/>
    <s v="pagado"/>
    <s v="pagado"/>
    <s v="excluir"/>
    <s v="no semana"/>
    <x v="0"/>
  </r>
  <r>
    <n v="3000002885"/>
    <d v="2026-05-19T00:00:00"/>
    <n v="11220778.48"/>
    <s v="CAPETTA ANTONELLA ANAHI SAN MIGUEL DE TUCUMAN 14"/>
    <x v="2003"/>
    <n v="11220778.48"/>
    <x v="235"/>
    <x v="0"/>
    <s v="pagado"/>
    <s v="pagado"/>
    <s v="excluir"/>
    <s v="no semana"/>
    <x v="0"/>
  </r>
  <r>
    <n v="3000002886"/>
    <d v="2026-05-19T00:00:00"/>
    <n v="13061725.810000001"/>
    <s v="RL SOLUCIONES S. A. S. SAN MIGUEL DE TUCUMAN 14"/>
    <x v="2004"/>
    <n v="13061725.810000001"/>
    <x v="235"/>
    <x v="0"/>
    <s v="pagado"/>
    <s v="pagado"/>
    <s v="excluir"/>
    <s v="no semana"/>
    <x v="0"/>
  </r>
  <r>
    <n v="3000002993"/>
    <d v="2026-05-26T00:00:00"/>
    <n v="5294933.7699999996"/>
    <s v="TRANSPORTE MEDINA S.H. CRUZ ALTA 14"/>
    <x v="2005"/>
    <n v="5294933.7699999996"/>
    <x v="254"/>
    <x v="0"/>
    <s v="pagado"/>
    <s v="pagado"/>
    <s v="excluir"/>
    <s v="no semana"/>
    <x v="0"/>
  </r>
  <r>
    <n v="3000002994"/>
    <d v="2026-05-26T00:00:00"/>
    <n v="6028954.5800000001"/>
    <s v="ABALOS ENZO FEDERICO Villa Mariano Moreno 14"/>
    <x v="2006"/>
    <n v="6028954.5800000001"/>
    <x v="254"/>
    <x v="0"/>
    <s v="pagado"/>
    <s v="pagado"/>
    <s v="excluir"/>
    <s v="no semana"/>
    <x v="0"/>
  </r>
  <r>
    <n v="3000003027"/>
    <d v="2026-05-26T00:00:00"/>
    <n v="45479271.909999996"/>
    <s v="PAMPLONA SRL SAN MIGUEL DE TUCUMAN 14"/>
    <x v="2007"/>
    <n v="45479271.909999996"/>
    <x v="254"/>
    <x v="0"/>
    <s v="pagado"/>
    <s v="pagado"/>
    <s v="excluir"/>
    <s v="no semana"/>
    <x v="0"/>
  </r>
  <r>
    <n v="3000003028"/>
    <d v="2026-05-26T00:00:00"/>
    <n v="9604516.3100000005"/>
    <s v="NATURAL GAS SA SAN MIGUEL DE TUCUMAN 14"/>
    <x v="2008"/>
    <n v="9604516.3100000005"/>
    <x v="254"/>
    <x v="0"/>
    <s v="pagado"/>
    <s v="pagado"/>
    <s v="excluir"/>
    <s v="no semana"/>
    <x v="0"/>
  </r>
  <r>
    <n v="3000003029"/>
    <d v="2026-05-26T00:00:00"/>
    <n v="6447707.1699999999"/>
    <s v="TODOS RETENES SA CORDOBA 03"/>
    <x v="2009"/>
    <n v="6447707.1699999999"/>
    <x v="254"/>
    <x v="0"/>
    <s v="pagado"/>
    <s v="pagado"/>
    <s v="excluir"/>
    <s v="no semana"/>
    <x v="0"/>
  </r>
  <r>
    <n v="3000003030"/>
    <d v="2026-05-26T00:00:00"/>
    <n v="5862000.6600000001"/>
    <s v="PIQUE JUAN MANUEL San Miguel De Tucuman 14"/>
    <x v="2010"/>
    <n v="5862000.6600000001"/>
    <x v="254"/>
    <x v="0"/>
    <s v="pagado"/>
    <s v="pagado"/>
    <s v="excluir"/>
    <s v="no semana"/>
    <x v="0"/>
  </r>
  <r>
    <n v="3000003031"/>
    <d v="2026-05-26T00:00:00"/>
    <n v="37091057.369999997"/>
    <s v="AGROPECUARIA MUNDO NUEVO SRL SAN PABLO 14"/>
    <x v="2011"/>
    <n v="37091057.369999997"/>
    <x v="254"/>
    <x v="0"/>
    <s v="pagado"/>
    <s v="pagado"/>
    <s v="excluir"/>
    <s v="no semana"/>
    <x v="0"/>
  </r>
  <r>
    <n v="3000003032"/>
    <d v="2026-05-26T00:00:00"/>
    <n v="6903429.7300000004"/>
    <s v="ROMERO SERVICIOS S. A. S. ALPACHIRI 14"/>
    <x v="2012"/>
    <n v="6903429.7300000004"/>
    <x v="254"/>
    <x v="0"/>
    <s v="pagado"/>
    <s v="pagado"/>
    <s v="excluir"/>
    <s v="no semana"/>
    <x v="0"/>
  </r>
  <r>
    <n v="3000003033"/>
    <d v="2026-05-26T00:00:00"/>
    <n v="8440894.5"/>
    <s v="BARBARISI JUAREZ PABLO EMANUELSAN JUAN 10"/>
    <x v="2013"/>
    <n v="8440894.5"/>
    <x v="254"/>
    <x v="0"/>
    <s v="pagado"/>
    <s v="pagado"/>
    <s v="excluir"/>
    <s v="no semana"/>
    <x v="0"/>
  </r>
  <r>
    <n v="3000003034"/>
    <d v="2026-05-26T00:00:00"/>
    <n v="7253898.6799999997"/>
    <s v="ALVAREZ RENE JOSE MARIA BELLA VISTA 14"/>
    <x v="2014"/>
    <n v="7253898.6799999997"/>
    <x v="254"/>
    <x v="0"/>
    <s v="pagado"/>
    <s v="pagado"/>
    <s v="excluir"/>
    <s v="no semana"/>
    <x v="0"/>
  </r>
  <r>
    <n v="3000003035"/>
    <d v="2026-05-26T00:00:00"/>
    <n v="10777880.48"/>
    <s v="SUAREZ MANUEL RODOLFO ALDERETES 14"/>
    <x v="2015"/>
    <n v="10777880.48"/>
    <x v="254"/>
    <x v="0"/>
    <s v="pagado"/>
    <s v="pagado"/>
    <s v="excluir"/>
    <s v="no semana"/>
    <x v="0"/>
  </r>
  <r>
    <n v="3000003036"/>
    <d v="2026-05-26T00:00:00"/>
    <n v="12280442.92"/>
    <s v="LATCOMEX SA CAPITAL FEDERAL 00"/>
    <x v="2016"/>
    <n v="12280442.92"/>
    <x v="254"/>
    <x v="0"/>
    <s v="pagado"/>
    <s v="pagado"/>
    <s v="excluir"/>
    <s v="no semana"/>
    <x v="0"/>
  </r>
  <r>
    <n v="3000003037"/>
    <d v="2026-05-26T00:00:00"/>
    <n v="13981484.93"/>
    <s v="GOMEZ JUANA ROSA VILLA LA TRINIDAD 14"/>
    <x v="2017"/>
    <n v="13981484.93"/>
    <x v="254"/>
    <x v="0"/>
    <s v="pagado"/>
    <s v="pagado"/>
    <s v="excluir"/>
    <s v="no semana"/>
    <x v="0"/>
  </r>
  <r>
    <n v="3000003038"/>
    <d v="2026-05-26T00:00:00"/>
    <n v="6321019.3700000001"/>
    <s v="Robles Angel Gabriel San Miguel de Tucuman 14"/>
    <x v="2018"/>
    <n v="6321019.3700000001"/>
    <x v="254"/>
    <x v="0"/>
    <s v="pagado"/>
    <s v="pagado"/>
    <s v="excluir"/>
    <s v="no semana"/>
    <x v="0"/>
  </r>
  <r>
    <n v="3000003039"/>
    <d v="2026-05-26T00:00:00"/>
    <n v="16688060.960000001"/>
    <s v="PERATO CRISTIAN LUIS BANDA DEL RIO SALI 14"/>
    <x v="2019"/>
    <n v="16688060.960000001"/>
    <x v="254"/>
    <x v="0"/>
    <s v="pagado"/>
    <s v="pagado"/>
    <s v="excluir"/>
    <s v="no semana"/>
    <x v="0"/>
  </r>
  <r>
    <n v="3000003040"/>
    <d v="2026-05-26T00:00:00"/>
    <n v="6308516.1399999997"/>
    <s v="PERATO LUIS ALBERTO BANDA DEL RIO SALI 14"/>
    <x v="2020"/>
    <n v="6308516.1399999997"/>
    <x v="254"/>
    <x v="0"/>
    <s v="pagado"/>
    <s v="pagado"/>
    <s v="excluir"/>
    <s v="no semana"/>
    <x v="0"/>
  </r>
  <r>
    <n v="3000003041"/>
    <d v="2026-05-26T00:00:00"/>
    <n v="8220401.6699999999"/>
    <s v="LA MARTINA SERV. AGRICOLAS S.RSAN PABLO 14"/>
    <x v="2021"/>
    <n v="8220401.6699999999"/>
    <x v="254"/>
    <x v="0"/>
    <s v="pagado"/>
    <s v="pagado"/>
    <s v="excluir"/>
    <s v="no semana"/>
    <x v="0"/>
  </r>
  <r>
    <n v="3000003042"/>
    <d v="2026-05-26T00:00:00"/>
    <n v="11926381.970000001"/>
    <s v="DE COULON EDUARDO JARDIN AMERICA 19"/>
    <x v="2022"/>
    <n v="11926381.970000001"/>
    <x v="254"/>
    <x v="0"/>
    <s v="pagado"/>
    <s v="pagado"/>
    <s v="excluir"/>
    <s v="no semana"/>
    <x v="0"/>
  </r>
  <r>
    <n v="3000003043"/>
    <d v="2026-05-26T00:00:00"/>
    <n v="12805043.4"/>
    <s v="MARIN TOMAS LAZARO CAFAYATE - SALTA 09"/>
    <x v="2023"/>
    <n v="12805043.4"/>
    <x v="254"/>
    <x v="0"/>
    <s v="pagado"/>
    <s v="pagado"/>
    <s v="excluir"/>
    <s v="no semana"/>
    <x v="0"/>
  </r>
  <r>
    <n v="3000003044"/>
    <d v="2026-05-26T00:00:00"/>
    <n v="40543895.899999999"/>
    <s v="Consultoria en Tecnologia de IBUENOS AIRES 00"/>
    <x v="2024"/>
    <n v="40543895.899999999"/>
    <x v="254"/>
    <x v="0"/>
    <s v="pagado"/>
    <s v="pagado"/>
    <s v="excluir"/>
    <s v="no semana"/>
    <x v="0"/>
  </r>
  <r>
    <n v="3000003045"/>
    <d v="2026-05-26T00:00:00"/>
    <n v="6132962.7300000004"/>
    <s v="BESTANI JUAN JOSE SAN MIGUEL DE TUCUMAN 14"/>
    <x v="2025"/>
    <n v="6132962.7300000004"/>
    <x v="255"/>
    <x v="0"/>
    <s v="no pagado"/>
    <s v="fuera de fecha"/>
    <s v="excluir"/>
    <s v="no semana"/>
    <x v="0"/>
  </r>
  <r>
    <n v="3000003046"/>
    <d v="2026-05-26T00:00:00"/>
    <n v="6796398.0099999998"/>
    <s v="Arias Gonzalo Alejandro San Miguel de Tucumán 14"/>
    <x v="2026"/>
    <n v="6796398.0099999998"/>
    <x v="255"/>
    <x v="0"/>
    <s v="pagado"/>
    <s v="pagado"/>
    <s v="excluir"/>
    <s v="no semana"/>
    <x v="0"/>
  </r>
  <r>
    <n v="3000003047"/>
    <d v="2026-05-26T00:00:00"/>
    <n v="6258241.1699999999"/>
    <s v="Pedro Angel Michael Alderetes 14"/>
    <x v="2027"/>
    <n v="6258241.1699999999"/>
    <x v="255"/>
    <x v="0"/>
    <s v="pagado"/>
    <s v="pagado"/>
    <s v="excluir"/>
    <s v="no semana"/>
    <x v="0"/>
  </r>
  <r>
    <n v="3000003048"/>
    <d v="2026-05-26T00:00:00"/>
    <n v="5878038.8200000003"/>
    <s v="PAEZ ANDRES ALEXIS MACIO 14"/>
    <x v="2028"/>
    <n v="5878038.8200000003"/>
    <x v="255"/>
    <x v="0"/>
    <s v="pagado"/>
    <s v="pagado"/>
    <s v="excluir"/>
    <s v="no semana"/>
    <x v="0"/>
  </r>
  <r>
    <n v="3000003049"/>
    <d v="2026-05-26T00:00:00"/>
    <n v="4969297.1500000004"/>
    <s v="PAEZ LEONEL EXEQUIEL MACIO 14"/>
    <x v="2029"/>
    <n v="4969297.1500000004"/>
    <x v="255"/>
    <x v="0"/>
    <s v="pagado"/>
    <s v="pagado"/>
    <s v="excluir"/>
    <s v="no semana"/>
    <x v="0"/>
  </r>
  <r>
    <n v="3000003050"/>
    <d v="2026-05-26T00:00:00"/>
    <n v="10508834.92"/>
    <s v="LANCHELA HECTOR ROLANDO CONCEPCION 14"/>
    <x v="2030"/>
    <n v="10508834.92"/>
    <x v="255"/>
    <x v="0"/>
    <s v="pagado"/>
    <s v="pagado"/>
    <s v="excluir"/>
    <s v="no semana"/>
    <x v="0"/>
  </r>
  <r>
    <n v="3000003051"/>
    <d v="2026-05-26T00:00:00"/>
    <n v="8442301.1799999997"/>
    <s v="RL SOLUCIONES S. A. S. SAN MIGUEL DE TUCUMAN 14"/>
    <x v="2031"/>
    <n v="8442301.1799999997"/>
    <x v="255"/>
    <x v="0"/>
    <s v="pagado"/>
    <s v="pagado"/>
    <s v="excluir"/>
    <s v="no semana"/>
    <x v="0"/>
  </r>
  <r>
    <n v="3000003052"/>
    <d v="2026-05-26T00:00:00"/>
    <n v="8306862.6100000003"/>
    <s v="JACQUET NORBERTO SALVADOR SAN JOSE 05"/>
    <x v="2032"/>
    <n v="8306862.6100000003"/>
    <x v="255"/>
    <x v="0"/>
    <s v="pagado"/>
    <s v="pagado"/>
    <s v="excluir"/>
    <s v="no semana"/>
    <x v="0"/>
  </r>
  <r>
    <n v="3000003053"/>
    <d v="2026-05-26T00:00:00"/>
    <n v="19215740.739999998"/>
    <s v="CAPETTA ANTONELLA ANAHI SAN MIGUEL DE TUCUMAN 14"/>
    <x v="2033"/>
    <n v="19215740.739999998"/>
    <x v="255"/>
    <x v="0"/>
    <s v="pagado"/>
    <s v="pagado"/>
    <s v="excluir"/>
    <s v="no semana"/>
    <x v="0"/>
  </r>
  <r>
    <n v="3000003054"/>
    <d v="2026-05-26T00:00:00"/>
    <n v="270032.24"/>
    <s v="ACOSTA ROQUE RAMON SAN MIGUEL DE TUCUMAN 14"/>
    <x v="2034"/>
    <n v="270032.24"/>
    <x v="255"/>
    <x v="0"/>
    <s v="pagado"/>
    <s v="pagado"/>
    <s v="excluir"/>
    <s v="no semana"/>
    <x v="0"/>
  </r>
  <r>
    <n v="3000003026"/>
    <d v="2026-05-26T00:00:00"/>
    <n v="0"/>
    <s v="invalidado med.EOLIVERA -Destruido/ Sin uso"/>
    <x v="2035"/>
    <n v="0"/>
    <x v="256"/>
    <x v="0"/>
    <s v="no pagado"/>
    <s v="fuera de fecha"/>
    <s v="excluir"/>
    <s v="no semana"/>
    <x v="0"/>
  </r>
  <r>
    <n v="3000003026"/>
    <d v="2026-05-26T00:00:00"/>
    <n v="0"/>
    <s v="invalidado med.EOLIVERA -Destruido/ Sin uso"/>
    <x v="2036"/>
    <n v="0"/>
    <x v="257"/>
    <x v="0"/>
    <s v="no pagado"/>
    <s v="fuera de fecha"/>
    <s v="excluir"/>
    <s v="no semana"/>
    <x v="0"/>
  </r>
  <r>
    <n v="3000003199"/>
    <d v="2026-06-01T00:00:00"/>
    <n v="3035073.08"/>
    <s v="Fondo Fijo Administracion CitrNO TIENE"/>
    <x v="2037"/>
    <n v="3035073.08"/>
    <x v="246"/>
    <x v="0"/>
    <s v="pagado"/>
    <s v="pagado"/>
    <s v="excluir"/>
    <s v="no semana"/>
    <x v="0"/>
  </r>
  <r>
    <n v="3000003198"/>
    <d v="2026-06-01T00:00:00"/>
    <n v="6867907.04"/>
    <s v="Libreria San Pablo S.R.L. SAN MIGUEL DE TUCUMAN 14"/>
    <x v="2038"/>
    <n v="6867907.04"/>
    <x v="246"/>
    <x v="0"/>
    <s v="pagado"/>
    <s v="pagado"/>
    <s v="excluir"/>
    <s v="no semana"/>
    <x v="0"/>
  </r>
  <r>
    <n v="3000003200"/>
    <d v="2026-06-01T00:00:00"/>
    <n v="28510473"/>
    <s v="DISLUB INTERIOR SA CAPÍTAL FEDERAL 00"/>
    <x v="2039"/>
    <n v="28510473"/>
    <x v="246"/>
    <x v="0"/>
    <s v="pagado"/>
    <s v="pagado"/>
    <s v="excluir"/>
    <s v="no semana"/>
    <x v="0"/>
  </r>
  <r>
    <n v="3000003201"/>
    <d v="2026-06-01T00:00:00"/>
    <n v="10679001.24"/>
    <s v="SEGURIDAD OMEGA SRL SAN FERNANDO DEL VALLE DE CATAMARCA 02"/>
    <x v="2040"/>
    <n v="10679001.24"/>
    <x v="246"/>
    <x v="0"/>
    <s v="pagado"/>
    <s v="pagado"/>
    <s v="excluir"/>
    <s v="no semana"/>
    <x v="0"/>
  </r>
  <r>
    <n v="3000003202"/>
    <d v="2026-06-01T00:00:00"/>
    <n v="11848847.25"/>
    <s v="M.A.D Serv y mant eléctri SAN MIGUEL DE TUCUMAN 14"/>
    <x v="2041"/>
    <n v="11848847.25"/>
    <x v="246"/>
    <x v="0"/>
    <s v="pagado"/>
    <s v="pagado"/>
    <s v="excluir"/>
    <s v="no semana"/>
    <x v="0"/>
  </r>
  <r>
    <n v="3000003203"/>
    <d v="2026-06-01T00:00:00"/>
    <n v="17447056.370000001"/>
    <s v="LA 10 SRL SAN MIGUEL DE TUCUMAN 14"/>
    <x v="2042"/>
    <n v="17447056.370000001"/>
    <x v="246"/>
    <x v="0"/>
    <s v="pagado"/>
    <s v="pagado"/>
    <s v="excluir"/>
    <s v="no semana"/>
    <x v="0"/>
  </r>
  <r>
    <n v="3000003204"/>
    <d v="2026-06-01T00:00:00"/>
    <n v="8400000"/>
    <s v="Muñoz Silvia Liliana Capital Federal 00"/>
    <x v="2043"/>
    <n v="8400000"/>
    <x v="246"/>
    <x v="0"/>
    <s v="pagado"/>
    <s v="pagado"/>
    <s v="excluir"/>
    <s v="no semana"/>
    <x v="0"/>
  </r>
  <r>
    <n v="3000003239"/>
    <d v="2026-06-02T00:00:00"/>
    <n v="20000000"/>
    <s v="GAR S.A SAN MIGUEL DE TUCUMAN 14"/>
    <x v="2044"/>
    <n v="20000000"/>
    <x v="258"/>
    <x v="0"/>
    <s v="pagado"/>
    <s v="pagado"/>
    <s v="excluir"/>
    <s v="no semana"/>
    <x v="0"/>
  </r>
  <r>
    <n v="3000003239"/>
    <d v="2026-06-02T00:00:00"/>
    <n v="11523274.1"/>
    <s v="GAR S.A SAN MIGUEL DE TUCUMAN 14"/>
    <x v="2045"/>
    <n v="11523274.1"/>
    <x v="259"/>
    <x v="0"/>
    <s v="pagado"/>
    <s v="pagado"/>
    <s v="excluir"/>
    <s v="no semana"/>
    <x v="0"/>
  </r>
  <r>
    <n v="3000003235"/>
    <d v="2026-06-02T00:00:00"/>
    <n v="6153158.0099999998"/>
    <s v="GONZALEZ JOSE LUIS CONCEPCION 14"/>
    <x v="2046"/>
    <n v="6153158.0099999998"/>
    <x v="259"/>
    <x v="0"/>
    <s v="pagado"/>
    <s v="pagado"/>
    <s v="excluir"/>
    <s v="no semana"/>
    <x v="0"/>
  </r>
  <r>
    <n v="3000003236"/>
    <d v="2026-06-02T00:00:00"/>
    <n v="6645020.5700000003"/>
    <s v="TRANSPORTE MARIANITA S.R.L SAN MIGUEL DE TUCUMAN 14"/>
    <x v="2047"/>
    <n v="6645020.5700000003"/>
    <x v="259"/>
    <x v="0"/>
    <s v="pagado"/>
    <s v="pagado"/>
    <s v="excluir"/>
    <s v="no semana"/>
    <x v="0"/>
  </r>
  <r>
    <n v="3000003237"/>
    <d v="2026-06-02T00:00:00"/>
    <n v="6469278.04"/>
    <s v="Rojas Antonio Domingo ALDERETES 14"/>
    <x v="2048"/>
    <n v="6469278.04"/>
    <x v="259"/>
    <x v="0"/>
    <s v="pagado"/>
    <s v="pagado"/>
    <s v="excluir"/>
    <s v="no semana"/>
    <x v="0"/>
  </r>
  <r>
    <n v="3000003238"/>
    <d v="2026-06-02T00:00:00"/>
    <n v="7618281.8300000001"/>
    <s v="Transportes La Sevillanita S.RALDERETES 14"/>
    <x v="2049"/>
    <n v="7618281.8300000001"/>
    <x v="259"/>
    <x v="0"/>
    <s v="pagado"/>
    <s v="pagado"/>
    <s v="excluir"/>
    <s v="no semana"/>
    <x v="0"/>
  </r>
  <r>
    <n v="3000003240"/>
    <d v="2026-06-02T00:00:00"/>
    <n v="7874845.6900000004"/>
    <s v="VILLAGRA VELEZ ROQUE RICARDO SAN MIGUEL DE TUCUMAN 14"/>
    <x v="2050"/>
    <n v="7874845.6900000004"/>
    <x v="259"/>
    <x v="0"/>
    <s v="pagado"/>
    <s v="pagado"/>
    <s v="excluir"/>
    <s v="no semana"/>
    <x v="0"/>
  </r>
  <r>
    <n v="3000003241"/>
    <d v="2026-06-02T00:00:00"/>
    <n v="7874797.04"/>
    <s v="JACQUET NORBERTO SALVADOR SAN JOSE 05"/>
    <x v="2051"/>
    <n v="7874797.04"/>
    <x v="259"/>
    <x v="0"/>
    <s v="pagado"/>
    <s v="pagado"/>
    <s v="excluir"/>
    <s v="no semana"/>
    <x v="0"/>
  </r>
  <r>
    <n v="3000003242"/>
    <d v="2026-06-02T00:00:00"/>
    <n v="13742345.189999999"/>
    <s v="CONTROL UNION NORTE S.A YERBA BUENA 14"/>
    <x v="2052"/>
    <n v="13742345.189999999"/>
    <x v="259"/>
    <x v="0"/>
    <s v="pagado"/>
    <s v="pagado"/>
    <s v="excluir"/>
    <s v="no semana"/>
    <x v="0"/>
  </r>
  <r>
    <n v="3000003243"/>
    <d v="2026-06-02T00:00:00"/>
    <n v="29196776.23"/>
    <s v="CAPETTA ANTONELLA ANAHI SAN MIGUEL DE TUCUMAN 14"/>
    <x v="2053"/>
    <n v="29196776.23"/>
    <x v="259"/>
    <x v="0"/>
    <s v="pagado"/>
    <s v="pagado"/>
    <s v="excluir"/>
    <s v="no semana"/>
    <x v="0"/>
  </r>
  <r>
    <n v="3000003244"/>
    <d v="2026-06-02T00:00:00"/>
    <n v="15376585.01"/>
    <s v="TRANSPORTE FRIOS DEL NORTE S.RSAN MIGUEL DE TUCUMAN 14"/>
    <x v="2054"/>
    <n v="15376585.01"/>
    <x v="259"/>
    <x v="0"/>
    <s v="pagado"/>
    <s v="pagado"/>
    <s v="excluir"/>
    <s v="no semana"/>
    <x v="0"/>
  </r>
  <r>
    <n v="3000003245"/>
    <d v="2026-06-02T00:00:00"/>
    <n v="13104593.51"/>
    <s v="RL SOLUCIONES S. A. S. SAN MIGUEL DE TUCUMAN 14"/>
    <x v="2055"/>
    <n v="13104593.51"/>
    <x v="259"/>
    <x v="0"/>
    <s v="pagado"/>
    <s v="pagado"/>
    <s v="excluir"/>
    <s v="no semana"/>
    <x v="0"/>
  </r>
  <r>
    <n v="3000003246"/>
    <d v="2026-06-02T00:00:00"/>
    <n v="7924939.0599999996"/>
    <s v="MAC DONALD MIGUEL ALEJANDRO BANDA DEL RIO SALI 14"/>
    <x v="2056"/>
    <n v="7924939.0599999996"/>
    <x v="259"/>
    <x v="0"/>
    <s v="pagado"/>
    <s v="pagado"/>
    <s v="excluir"/>
    <s v="no semana"/>
    <x v="0"/>
  </r>
  <r>
    <n v="3000003247"/>
    <d v="2026-06-02T00:00:00"/>
    <n v="9226018.1699999999"/>
    <s v="CEMEVA SAS YERBA BUENA 14"/>
    <x v="2057"/>
    <n v="9226018.1699999999"/>
    <x v="259"/>
    <x v="0"/>
    <s v="pagado"/>
    <s v="pagado"/>
    <s v="excluir"/>
    <s v="no semana"/>
    <x v="0"/>
  </r>
  <r>
    <n v="3000003248"/>
    <d v="2026-06-02T00:00:00"/>
    <n v="20967580.399999999"/>
    <s v="M DODERO COMPANIA GRAL DE SERVCIUDAD AUTONOMA DE BUENOS AIRES 01"/>
    <x v="2058"/>
    <n v="20967580.399999999"/>
    <x v="259"/>
    <x v="0"/>
    <s v="pagado"/>
    <s v="pagado"/>
    <s v="excluir"/>
    <s v="no semana"/>
    <x v="0"/>
  </r>
  <r>
    <n v="3000003249"/>
    <d v="2026-06-02T00:00:00"/>
    <n v="6564607.0199999996"/>
    <s v="BESTANI LEANDRO EXEQUIEL SAN MIGUEL DE TUCUMAN 14"/>
    <x v="2059"/>
    <n v="6564607.0199999996"/>
    <x v="259"/>
    <x v="0"/>
    <s v="pagado"/>
    <s v="pagado"/>
    <s v="excluir"/>
    <s v="no semana"/>
    <x v="0"/>
  </r>
  <r>
    <n v="3000003281"/>
    <d v="2026-06-03T00:00:00"/>
    <n v="45612602.57"/>
    <s v="Rosso Hnos SH MONTEROS 14"/>
    <x v="2060"/>
    <n v="45612602.57"/>
    <x v="260"/>
    <x v="0"/>
    <s v="pagado"/>
    <s v="pagado"/>
    <s v="excluir"/>
    <s v="no semana"/>
    <x v="0"/>
  </r>
  <r>
    <n v="3000003281"/>
    <d v="2026-06-03T00:00:00"/>
    <n v="0"/>
    <s v="Rosso Hnos SH MONTEROS 14"/>
    <x v="2061"/>
    <n v="0"/>
    <x v="261"/>
    <x v="0"/>
    <s v="no pagado"/>
    <s v="fuera de fecha"/>
    <s v="excluir"/>
    <s v="no semana"/>
    <x v="0"/>
  </r>
  <r>
    <n v="3000003281"/>
    <d v="2026-06-03T00:00:00"/>
    <n v="0"/>
    <s v="Rosso Hnos SH MONTEROS 14"/>
    <x v="2062"/>
    <n v="0"/>
    <x v="261"/>
    <x v="0"/>
    <s v="no pagado"/>
    <s v="fuera de fecha"/>
    <s v="excluir"/>
    <s v="no semana"/>
    <x v="0"/>
  </r>
  <r>
    <n v="3000003282"/>
    <d v="2026-06-03T00:00:00"/>
    <n v="8800000"/>
    <s v="BERNASCONI MARIANO SAN MIGUEL DE TUCUMAN 14"/>
    <x v="2063"/>
    <n v="8800000"/>
    <x v="262"/>
    <x v="0"/>
    <s v="pagado"/>
    <s v="pagado"/>
    <s v="excluir"/>
    <s v="no semana"/>
    <x v="0"/>
  </r>
  <r>
    <n v="3000003282"/>
    <d v="2026-06-03T00:00:00"/>
    <n v="8800000"/>
    <s v="BERNASCONI MARIANO SAN MIGUEL DE TUCUMAN 14"/>
    <x v="2064"/>
    <n v="8800000"/>
    <x v="262"/>
    <x v="0"/>
    <s v="pagado"/>
    <s v="pagado"/>
    <s v="excluir"/>
    <s v="no semana"/>
    <x v="0"/>
  </r>
  <r>
    <n v="3000003282"/>
    <d v="2026-06-03T00:00:00"/>
    <n v="8800000"/>
    <s v="BERNASCONI MARIANO SAN MIGUEL DE TUCUMAN 14"/>
    <x v="2065"/>
    <n v="8800000"/>
    <x v="262"/>
    <x v="0"/>
    <s v="pagado"/>
    <s v="pagado"/>
    <s v="excluir"/>
    <s v="no semana"/>
    <x v="0"/>
  </r>
  <r>
    <n v="3000003282"/>
    <d v="2026-06-03T00:00:00"/>
    <n v="8800000"/>
    <s v="BERNASCONI MARIANO SAN MIGUEL DE TUCUMAN 14"/>
    <x v="2066"/>
    <n v="8800000"/>
    <x v="263"/>
    <x v="0"/>
    <s v="no pagado"/>
    <s v="fuera de fecha"/>
    <s v="excluir"/>
    <s v="no semana"/>
    <x v="0"/>
  </r>
  <r>
    <n v="3000003282"/>
    <d v="2026-06-03T00:00:00"/>
    <n v="8800000"/>
    <s v="BERNASCONI MARIANO SAN MIGUEL DE TUCUMAN 14"/>
    <x v="2067"/>
    <n v="8800000"/>
    <x v="263"/>
    <x v="0"/>
    <s v="pagado"/>
    <s v="pagado"/>
    <s v="excluir"/>
    <s v="no semana"/>
    <x v="0"/>
  </r>
  <r>
    <n v="3000003282"/>
    <d v="2026-06-03T00:00:00"/>
    <n v="8759343.4000000004"/>
    <s v="BERNASCONI MARIANO SAN MIGUEL DE TUCUMAN 14"/>
    <x v="2068"/>
    <n v="8759343.4000000004"/>
    <x v="263"/>
    <x v="0"/>
    <s v="pagado"/>
    <s v="pagado"/>
    <s v="excluir"/>
    <s v="no semana"/>
    <x v="0"/>
  </r>
  <r>
    <n v="3000003383"/>
    <d v="2026-06-08T00:00:00"/>
    <n v="7964741.1100000003"/>
    <s v="RODRIGO HEREDIA PUIG LASTENIA 14"/>
    <x v="2069"/>
    <n v="7964741.1100000003"/>
    <x v="264"/>
    <x v="0"/>
    <s v="pagado"/>
    <s v="pagado"/>
    <s v="excluir"/>
    <s v="no semana"/>
    <x v="0"/>
  </r>
  <r>
    <n v="3000003384"/>
    <d v="2026-06-08T00:00:00"/>
    <n v="4571980"/>
    <s v="Atenor Hnos. S.R.L SAN MIGUEL DE TUCUMAN 14"/>
    <x v="2070"/>
    <n v="4571980"/>
    <x v="264"/>
    <x v="0"/>
    <s v="pagado"/>
    <s v="pagado"/>
    <s v="excluir"/>
    <s v="no semana"/>
    <x v="0"/>
  </r>
  <r>
    <n v="3000003385"/>
    <d v="2026-06-08T00:00:00"/>
    <n v="4997234.58"/>
    <s v="Marchese Grandi Meson y Asoc SAN MIGUEL DE TUCUMAN 14"/>
    <x v="2071"/>
    <n v="4997234.58"/>
    <x v="264"/>
    <x v="0"/>
    <s v="pagado"/>
    <s v="pagado"/>
    <s v="excluir"/>
    <s v="no semana"/>
    <x v="0"/>
  </r>
  <r>
    <n v="3000003386"/>
    <d v="2026-06-08T00:00:00"/>
    <n v="11688329"/>
    <s v="SMART SEGURIDAD SA YERBA BUENA 14"/>
    <x v="2072"/>
    <n v="11688329"/>
    <x v="264"/>
    <x v="0"/>
    <s v="pagado"/>
    <s v="pagado"/>
    <s v="excluir"/>
    <s v="no semana"/>
    <x v="0"/>
  </r>
  <r>
    <n v="3000003387"/>
    <d v="2026-06-08T00:00:00"/>
    <n v="12686763.4"/>
    <s v="ADLER HASENCLEVER Y ASOCIADOS BUENOS AIRES 01"/>
    <x v="2073"/>
    <n v="12686763.4"/>
    <x v="264"/>
    <x v="0"/>
    <s v="pagado"/>
    <s v="pagado"/>
    <s v="excluir"/>
    <s v="no semana"/>
    <x v="0"/>
  </r>
  <r>
    <n v="3000003388"/>
    <d v="2026-06-08T00:00:00"/>
    <n v="6371178.6900000004"/>
    <s v="VISMA ARGENTINA SA CAPITAL FEDERAL 14"/>
    <x v="2074"/>
    <n v="6371178.6900000004"/>
    <x v="264"/>
    <x v="0"/>
    <s v="pagado"/>
    <s v="pagado"/>
    <s v="excluir"/>
    <s v="no semana"/>
    <x v="0"/>
  </r>
  <r>
    <n v="3000003389"/>
    <d v="2026-06-08T00:00:00"/>
    <n v="11325235.5"/>
    <s v="SUAREZ MANUEL RODOLFO ALDERETES 14"/>
    <x v="2075"/>
    <n v="11325235.5"/>
    <x v="264"/>
    <x v="0"/>
    <s v="pagado"/>
    <s v="pagado"/>
    <s v="excluir"/>
    <s v="no semana"/>
    <x v="0"/>
  </r>
  <r>
    <n v="3000003390"/>
    <d v="2026-06-08T00:00:00"/>
    <n v="8888501.5199999996"/>
    <s v="ALVAREZ RENE JOSE MARIA BELLA VISTA 14"/>
    <x v="2076"/>
    <n v="8888501.5199999996"/>
    <x v="265"/>
    <x v="0"/>
    <s v="pagado"/>
    <s v="pagado"/>
    <s v="excluir"/>
    <s v="no semana"/>
    <x v="0"/>
  </r>
  <r>
    <n v="3000003391"/>
    <d v="2026-06-08T00:00:00"/>
    <n v="5894099.1299999999"/>
    <s v="PEDRO CRISTOFER MAURICIO LOS GUTIERREZ 14"/>
    <x v="2077"/>
    <n v="5894099.1299999999"/>
    <x v="265"/>
    <x v="0"/>
    <s v="pagado"/>
    <s v="pagado"/>
    <s v="excluir"/>
    <s v="no semana"/>
    <x v="0"/>
  </r>
  <r>
    <n v="3000003392"/>
    <d v="2026-06-08T00:00:00"/>
    <n v="6175831.4299999997"/>
    <s v="Arias Gonzalo Alejandro San Miguel de Tucumán 14"/>
    <x v="2078"/>
    <n v="6175831.4299999997"/>
    <x v="265"/>
    <x v="0"/>
    <s v="pagado"/>
    <s v="pagado"/>
    <s v="excluir"/>
    <s v="no semana"/>
    <x v="0"/>
  </r>
  <r>
    <n v="3000003393"/>
    <d v="2026-06-08T00:00:00"/>
    <n v="24503999.850000001"/>
    <s v="Gonzalez Jose Luis Lastenia 14"/>
    <x v="2079"/>
    <n v="24503999.850000001"/>
    <x v="265"/>
    <x v="0"/>
    <s v="pagado"/>
    <s v="pagado"/>
    <s v="excluir"/>
    <s v="no semana"/>
    <x v="0"/>
  </r>
  <r>
    <n v="3000003394"/>
    <d v="2026-06-08T00:00:00"/>
    <n v="7116564.3099999996"/>
    <s v="Pedro Ivan Marcelo ALDERETES 14"/>
    <x v="2080"/>
    <n v="7116564.3099999996"/>
    <x v="265"/>
    <x v="0"/>
    <s v="pagado"/>
    <s v="pagado"/>
    <s v="excluir"/>
    <s v="no semana"/>
    <x v="0"/>
  </r>
  <r>
    <n v="3000003395"/>
    <d v="2026-06-08T00:00:00"/>
    <n v="8444051.1300000008"/>
    <s v="Verde y Sol S.R.L. SAN MIGUEL DE TUCUMAN 14"/>
    <x v="2081"/>
    <n v="8444051.1300000008"/>
    <x v="265"/>
    <x v="0"/>
    <s v="pagado"/>
    <s v="pagado"/>
    <s v="excluir"/>
    <s v="no semana"/>
    <x v="0"/>
  </r>
  <r>
    <n v="3000003396"/>
    <d v="2026-06-08T00:00:00"/>
    <n v="12187329.83"/>
    <s v="Poda Verde SRL SAN MIGUEL DE TUCUMAN 14"/>
    <x v="2082"/>
    <n v="12187329.83"/>
    <x v="265"/>
    <x v="0"/>
    <s v="pagado"/>
    <s v="pagado"/>
    <s v="excluir"/>
    <s v="no semana"/>
    <x v="0"/>
  </r>
  <r>
    <n v="3000003397"/>
    <d v="2026-06-08T00:00:00"/>
    <n v="20279802.039999999"/>
    <s v="CAMPOAGRO SRL YERBA BUENA 14"/>
    <x v="2083"/>
    <n v="20279802.039999999"/>
    <x v="265"/>
    <x v="0"/>
    <s v="pagado"/>
    <s v="pagado"/>
    <s v="excluir"/>
    <s v="no semana"/>
    <x v="0"/>
  </r>
  <r>
    <n v="3000003428"/>
    <d v="2026-06-09T00:00:00"/>
    <n v="15000000"/>
    <s v="GAR S.A SAN MIGUEL DE TUCUMAN 14"/>
    <x v="2084"/>
    <n v="15000000"/>
    <x v="264"/>
    <x v="0"/>
    <s v="pagado"/>
    <s v="pagado"/>
    <s v="excluir"/>
    <s v="no semana"/>
    <x v="0"/>
  </r>
  <r>
    <n v="3000003428"/>
    <d v="2026-06-09T00:00:00"/>
    <n v="13062124.51"/>
    <s v="GAR S.A SAN MIGUEL DE TUCUMAN 14"/>
    <x v="2085"/>
    <n v="13062124.51"/>
    <x v="265"/>
    <x v="0"/>
    <s v="pagado"/>
    <s v="pagado"/>
    <s v="excluir"/>
    <s v="no semana"/>
    <x v="0"/>
  </r>
  <r>
    <n v="3000003425"/>
    <d v="2026-06-09T00:00:00"/>
    <n v="5212678.82"/>
    <s v="HERRERA RICARDO ALBERTO BANDA DEL RIO SALI 14"/>
    <x v="2086"/>
    <n v="5212678.82"/>
    <x v="265"/>
    <x v="0"/>
    <s v="pagado"/>
    <s v="pagado"/>
    <s v="excluir"/>
    <s v="no semana"/>
    <x v="0"/>
  </r>
  <r>
    <n v="3000003426"/>
    <d v="2026-06-09T00:00:00"/>
    <n v="15896382.42"/>
    <s v="PERATO CRISTIAN LUIS BANDA DEL RIO SALI 14"/>
    <x v="2087"/>
    <n v="15896382.42"/>
    <x v="265"/>
    <x v="0"/>
    <s v="pagado"/>
    <s v="pagado"/>
    <s v="excluir"/>
    <s v="no semana"/>
    <x v="0"/>
  </r>
  <r>
    <n v="3000003427"/>
    <d v="2026-06-09T00:00:00"/>
    <n v="5698133.3700000001"/>
    <s v="ABALOS ENZO FEDERICO Villa Mariano Moreno 14"/>
    <x v="2088"/>
    <n v="5698133.3700000001"/>
    <x v="265"/>
    <x v="0"/>
    <s v="pagado"/>
    <s v="pagado"/>
    <s v="excluir"/>
    <s v="no semana"/>
    <x v="0"/>
  </r>
  <r>
    <n v="3000003429"/>
    <d v="2026-06-09T00:00:00"/>
    <n v="16082767.58"/>
    <s v="GONZALEZ JOSE LUIS CONCEPCION 14"/>
    <x v="2089"/>
    <n v="16082767.58"/>
    <x v="265"/>
    <x v="0"/>
    <s v="pagado"/>
    <s v="pagado"/>
    <s v="excluir"/>
    <s v="no semana"/>
    <x v="0"/>
  </r>
  <r>
    <n v="3000003430"/>
    <d v="2026-06-09T00:00:00"/>
    <n v="7924771.1399999997"/>
    <s v="MAC DONALD MIGUEL ALEJANDRO BANDA DEL RIO SALI 14"/>
    <x v="2090"/>
    <n v="7924771.1399999997"/>
    <x v="265"/>
    <x v="0"/>
    <s v="pagado"/>
    <s v="pagado"/>
    <s v="excluir"/>
    <s v="no semana"/>
    <x v="0"/>
  </r>
  <r>
    <n v="3000003431"/>
    <d v="2026-06-09T00:00:00"/>
    <n v="6925301.2699999996"/>
    <s v="PAEZ ANDRES ALEXIS MACIO 14"/>
    <x v="2091"/>
    <n v="6925301.2699999996"/>
    <x v="265"/>
    <x v="0"/>
    <s v="pagado"/>
    <s v="pagado"/>
    <s v="excluir"/>
    <s v="no semana"/>
    <x v="0"/>
  </r>
  <r>
    <n v="3000003432"/>
    <d v="2026-06-09T00:00:00"/>
    <n v="7169849.1200000001"/>
    <s v="Sanchez Jose Mauricio San Miguel de Tucuman 14"/>
    <x v="2092"/>
    <n v="7169849.1200000001"/>
    <x v="265"/>
    <x v="0"/>
    <s v="pagado"/>
    <s v="pagado"/>
    <s v="excluir"/>
    <s v="no semana"/>
    <x v="0"/>
  </r>
  <r>
    <n v="3000003433"/>
    <d v="2026-06-09T00:00:00"/>
    <n v="5168447.88"/>
    <s v="PAEZ LEONEL EXEQUIEL MACIO 14"/>
    <x v="2093"/>
    <n v="5168447.88"/>
    <x v="265"/>
    <x v="0"/>
    <s v="pagado"/>
    <s v="pagado"/>
    <s v="excluir"/>
    <s v="no semana"/>
    <x v="0"/>
  </r>
  <r>
    <n v="3000003434"/>
    <d v="2026-06-09T00:00:00"/>
    <n v="5507017.8200000003"/>
    <s v="Robles Angel Gabriel San Miguel de Tucuman 14"/>
    <x v="2094"/>
    <n v="5507017.8200000003"/>
    <x v="265"/>
    <x v="0"/>
    <s v="pagado"/>
    <s v="pagado"/>
    <s v="excluir"/>
    <s v="no semana"/>
    <x v="0"/>
  </r>
  <r>
    <n v="3000003435"/>
    <d v="2026-06-09T00:00:00"/>
    <n v="15376417.07"/>
    <s v="TRANSPORTE FRIOS DEL NORTE S.RSAN MIGUEL DE TUCUMAN 14"/>
    <x v="2095"/>
    <n v="15376417.07"/>
    <x v="265"/>
    <x v="0"/>
    <s v="pagado"/>
    <s v="pagado"/>
    <s v="excluir"/>
    <s v="no semana"/>
    <x v="0"/>
  </r>
  <r>
    <n v="3000003436"/>
    <d v="2026-06-09T00:00:00"/>
    <n v="18590445.859999999"/>
    <s v="FERNANDEZ HECTOR JOSE SIMOCA 14"/>
    <x v="2096"/>
    <n v="18590445.859999999"/>
    <x v="265"/>
    <x v="0"/>
    <s v="pagado"/>
    <s v="pagado"/>
    <s v="excluir"/>
    <s v="no semana"/>
    <x v="0"/>
  </r>
  <r>
    <n v="3000003437"/>
    <d v="2026-06-09T00:00:00"/>
    <n v="4724421.3600000003"/>
    <s v="CAPETTA ANTONELLA ANAHI SAN MIGUEL DE TUCUMAN 14"/>
    <x v="2097"/>
    <n v="4724421.3600000003"/>
    <x v="265"/>
    <x v="0"/>
    <s v="pagado"/>
    <s v="pagado"/>
    <s v="excluir"/>
    <s v="no semana"/>
    <x v="0"/>
  </r>
  <r>
    <n v="3000003466"/>
    <d v="2026-06-10T00:00:00"/>
    <n v="6610132.3700000001"/>
    <s v="TRANSPORTE MEDINA S.H. CRUZ ALTA 14"/>
    <x v="2098"/>
    <n v="6610132.3700000001"/>
    <x v="265"/>
    <x v="0"/>
    <s v="pagado"/>
    <s v="pagado"/>
    <s v="excluir"/>
    <s v="no semana"/>
    <x v="0"/>
  </r>
  <r>
    <n v="3000003502"/>
    <d v="2026-06-11T00:00:00"/>
    <n v="19250000"/>
    <s v="LINEA CONSTRUCCIONES SRL SAN MIGUEL DE TUCUMAN 14"/>
    <x v="2099"/>
    <n v="19250000"/>
    <x v="266"/>
    <x v="0"/>
    <s v="pagado"/>
    <s v="pagado"/>
    <s v="excluir"/>
    <s v="no semana"/>
    <x v="0"/>
  </r>
  <r>
    <n v="3000003502"/>
    <d v="2026-06-11T00:00:00"/>
    <n v="19312053.399999999"/>
    <s v="LINEA CONSTRUCCIONES SRL SAN MIGUEL DE TUCUMAN 14"/>
    <x v="2100"/>
    <n v="19312053.399999999"/>
    <x v="267"/>
    <x v="0"/>
    <s v="pagado"/>
    <s v="pagado"/>
    <s v="excluir"/>
    <s v="no semana"/>
    <x v="0"/>
  </r>
  <r>
    <n v="3000003281"/>
    <d v="2026-06-16T00:00:00"/>
    <n v="45580986.57"/>
    <s v="Rosso Hnos SA MONTEROS 14"/>
    <x v="2101"/>
    <n v="45580986.57"/>
    <x v="268"/>
    <x v="0"/>
    <s v="pagado"/>
    <s v="pagado"/>
    <s v="excluir"/>
    <s v="no semana"/>
    <x v="0"/>
  </r>
  <r>
    <n v="3000003281"/>
    <d v="2026-06-16T00:00:00"/>
    <n v="15785035.92"/>
    <s v="Rosso Hnos SA MONTEROS 14"/>
    <x v="2102"/>
    <n v="15785035.92"/>
    <x v="269"/>
    <x v="0"/>
    <s v="pagado"/>
    <s v="pagado"/>
    <s v="excluir"/>
    <s v="no semana"/>
    <x v="0"/>
  </r>
  <r>
    <n v="3000003580"/>
    <d v="2026-06-16T00:00:00"/>
    <n v="7261652.4000000004"/>
    <s v="DUN Y BRADSTREET S.A CIUDAD AUTONOMA DE BUENOS AIRES 01"/>
    <x v="2103"/>
    <n v="7261652.4000000004"/>
    <x v="270"/>
    <x v="0"/>
    <s v="pagado"/>
    <s v="pagado"/>
    <s v="excluir"/>
    <s v="no semana"/>
    <x v="0"/>
  </r>
  <r>
    <n v="3000003580"/>
    <d v="2026-06-16T00:00:00"/>
    <n v="7261380"/>
    <s v="DUN Y BRADSTREET S.A CIUDAD AUTONOMA DE BUENOS AIRES 01"/>
    <x v="2104"/>
    <n v="7261380"/>
    <x v="271"/>
    <x v="0"/>
    <s v="pagado"/>
    <s v="pagado"/>
    <s v="excluir"/>
    <s v="no semana"/>
    <x v="0"/>
  </r>
  <r>
    <n v="3000003580"/>
    <d v="2026-06-16T00:00:00"/>
    <n v="7261380"/>
    <s v="DUN Y BRADSTREET S.A CIUDAD AUTONOMA DE BUENOS AIRES 01"/>
    <x v="2105"/>
    <n v="7261380"/>
    <x v="272"/>
    <x v="0"/>
    <s v="pagado"/>
    <s v="pagado"/>
    <s v="excluir"/>
    <s v="no semana"/>
    <x v="0"/>
  </r>
  <r>
    <n v="3000003576"/>
    <d v="2026-06-16T00:00:00"/>
    <n v="62528420"/>
    <s v="EDET S.A. SAN MIGUEL DE TUCUMAN 14"/>
    <x v="2106"/>
    <n v="62528420"/>
    <x v="257"/>
    <x v="0"/>
    <s v="pagado"/>
    <s v="pagado"/>
    <s v="excluir"/>
    <s v="no semana"/>
    <x v="0"/>
  </r>
  <r>
    <n v="3000003577"/>
    <d v="2026-06-16T00:00:00"/>
    <n v="6618152.2199999997"/>
    <s v="LUCENA ANGEL OMAR LOS VALLISTOS 13"/>
    <x v="2107"/>
    <n v="6618152.2199999997"/>
    <x v="270"/>
    <x v="0"/>
    <s v="pagado"/>
    <s v="pagado"/>
    <s v="excluir"/>
    <s v="no semana"/>
    <x v="0"/>
  </r>
  <r>
    <n v="3000003578"/>
    <d v="2026-06-16T00:00:00"/>
    <n v="7277623.4000000004"/>
    <s v="PABLO Y FERNANDO TACCHELLA S.RSAN MIGUEL DE TUCUMAN 14"/>
    <x v="2108"/>
    <n v="7277623.4000000004"/>
    <x v="270"/>
    <x v="0"/>
    <s v="pagado"/>
    <s v="pagado"/>
    <s v="excluir"/>
    <s v="no semana"/>
    <x v="0"/>
  </r>
  <r>
    <n v="3000003579"/>
    <d v="2026-06-16T00:00:00"/>
    <n v="10179271.609999999"/>
    <s v="JLA ARGENTINA S A GENERAL CABRERA 03"/>
    <x v="2109"/>
    <n v="10179271.609999999"/>
    <x v="270"/>
    <x v="0"/>
    <s v="pagado"/>
    <s v="pagado"/>
    <s v="excluir"/>
    <s v="no semana"/>
    <x v="0"/>
  </r>
  <r>
    <n v="3000003581"/>
    <d v="2026-06-16T00:00:00"/>
    <n v="10047463.720000001"/>
    <s v="LA 10 SRL SAN MIGUEL DE TUCUMAN 14"/>
    <x v="2110"/>
    <n v="10047463.720000001"/>
    <x v="270"/>
    <x v="0"/>
    <s v="pagado"/>
    <s v="pagado"/>
    <s v="excluir"/>
    <s v="no semana"/>
    <x v="0"/>
  </r>
  <r>
    <n v="3000003582"/>
    <d v="2026-06-16T00:00:00"/>
    <n v="32823360"/>
    <s v="BONSUR SA CAPITAL FEDERAL 00"/>
    <x v="2111"/>
    <n v="32823360"/>
    <x v="236"/>
    <x v="0"/>
    <s v="pagado"/>
    <s v="pagado"/>
    <s v="excluir"/>
    <s v="no semana"/>
    <x v="0"/>
  </r>
  <r>
    <n v="3000003583"/>
    <d v="2026-06-16T00:00:00"/>
    <n v="5283180.76"/>
    <s v="MAC DONALD MIGUEL ALEJANDRO BANDA DEL RIO SALI 14"/>
    <x v="2112"/>
    <n v="5283180.76"/>
    <x v="270"/>
    <x v="0"/>
    <s v="pagado"/>
    <s v="pagado"/>
    <s v="excluir"/>
    <s v="no semana"/>
    <x v="0"/>
  </r>
  <r>
    <n v="3000003584"/>
    <d v="2026-06-16T00:00:00"/>
    <n v="6111688.4100000001"/>
    <s v="JACQUET NORBERTO SALVADOR SAN JOSE 05"/>
    <x v="2113"/>
    <n v="6111688.4100000001"/>
    <x v="270"/>
    <x v="0"/>
    <s v="pagado"/>
    <s v="pagado"/>
    <s v="excluir"/>
    <s v="no semana"/>
    <x v="0"/>
  </r>
  <r>
    <n v="3000003585"/>
    <d v="2026-06-16T00:00:00"/>
    <n v="24602267.329999998"/>
    <s v="TRANSPORTE FRIOS DEL NORTE S.RSAN MIGUEL DE TUCUMAN 14"/>
    <x v="2114"/>
    <n v="24602267.329999998"/>
    <x v="236"/>
    <x v="0"/>
    <s v="pagado"/>
    <s v="pagado"/>
    <s v="excluir"/>
    <s v="no semana"/>
    <x v="0"/>
  </r>
  <r>
    <n v="3000003586"/>
    <d v="2026-06-16T00:00:00"/>
    <n v="30540503.539999999"/>
    <s v="CAPETTA ANTONELLA ANAHI SAN MIGUEL DE TUCUMAN 14"/>
    <x v="2115"/>
    <n v="30540503.539999999"/>
    <x v="236"/>
    <x v="0"/>
    <s v="pagado"/>
    <s v="pagado"/>
    <s v="excluir"/>
    <s v="no semana"/>
    <x v="0"/>
  </r>
  <r>
    <n v="3000003587"/>
    <d v="2026-06-16T00:00:00"/>
    <n v="5249785.18"/>
    <s v="VILLAGRA VELEZ ROQUE RICARDO SAN MIGUEL DE TUCUMAN 14"/>
    <x v="2116"/>
    <n v="5249785.18"/>
    <x v="270"/>
    <x v="0"/>
    <s v="pagado"/>
    <s v="pagado"/>
    <s v="excluir"/>
    <s v="no semana"/>
    <x v="0"/>
  </r>
  <r>
    <n v="3000003588"/>
    <d v="2026-06-16T00:00:00"/>
    <n v="9356502.7200000007"/>
    <s v="LANCHELA HECTOR ROLANDO CONCEPCION 14"/>
    <x v="2117"/>
    <n v="9356502.7200000007"/>
    <x v="270"/>
    <x v="0"/>
    <s v="pagado"/>
    <s v="pagado"/>
    <s v="excluir"/>
    <s v="no semana"/>
    <x v="0"/>
  </r>
  <r>
    <n v="3000003589"/>
    <d v="2026-06-16T00:00:00"/>
    <n v="5461022.1500000004"/>
    <s v="PERATO LUIS ALBERTO BANDA DEL RIO SALI 14"/>
    <x v="2118"/>
    <n v="5461022.1500000004"/>
    <x v="270"/>
    <x v="0"/>
    <s v="pagado"/>
    <s v="pagado"/>
    <s v="excluir"/>
    <s v="no semana"/>
    <x v="0"/>
  </r>
  <r>
    <n v="3000003590"/>
    <d v="2026-06-16T00:00:00"/>
    <n v="16082126"/>
    <s v="TORRES JUAN RAMON ALDERETES 14"/>
    <x v="2119"/>
    <n v="16082126"/>
    <x v="236"/>
    <x v="0"/>
    <s v="pagado"/>
    <s v="pagado"/>
    <s v="excluir"/>
    <s v="no semana"/>
    <x v="0"/>
  </r>
  <r>
    <n v="3000003591"/>
    <d v="2026-06-16T00:00:00"/>
    <n v="6004293.6399999997"/>
    <s v="Vaquera Francisco Alfredo Monteros 14"/>
    <x v="2120"/>
    <n v="6004293.6399999997"/>
    <x v="270"/>
    <x v="0"/>
    <s v="pagado"/>
    <s v="pagado"/>
    <s v="excluir"/>
    <s v="no semana"/>
    <x v="0"/>
  </r>
  <r>
    <n v="3000003592"/>
    <d v="2026-06-16T00:00:00"/>
    <n v="6362321.5999999996"/>
    <s v="TRANSPORTE MARIANITA S.R.L SAN MIGUEL DE TUCUMAN 14"/>
    <x v="2121"/>
    <n v="6362321.5999999996"/>
    <x v="270"/>
    <x v="0"/>
    <s v="pagado"/>
    <s v="pagado"/>
    <s v="excluir"/>
    <s v="no semana"/>
    <x v="0"/>
  </r>
  <r>
    <n v="3000003593"/>
    <d v="2026-06-16T00:00:00"/>
    <n v="10780103.529999999"/>
    <s v="Pedro Angel Michael Alderetes 14"/>
    <x v="2122"/>
    <n v="10780103.529999999"/>
    <x v="270"/>
    <x v="0"/>
    <s v="pagado"/>
    <s v="pagado"/>
    <s v="excluir"/>
    <s v="no semana"/>
    <x v="0"/>
  </r>
  <r>
    <n v="3000003594"/>
    <d v="2026-06-16T00:00:00"/>
    <n v="20988908.399999999"/>
    <s v="ACOSTA ROQUE RAMON SAN MIGUEL DE TUCUMAN 14"/>
    <x v="2123"/>
    <n v="20988908.399999999"/>
    <x v="236"/>
    <x v="0"/>
    <s v="pagado"/>
    <s v="pagado"/>
    <s v="excluir"/>
    <s v="no semana"/>
    <x v="0"/>
  </r>
  <r>
    <n v="3000003634"/>
    <d v="2026-06-17T00:00:00"/>
    <n v="11000000"/>
    <s v="Norviguet S.R.L. SAN MIGUEL DE TUCUMAN 14"/>
    <x v="2124"/>
    <n v="11000000"/>
    <x v="268"/>
    <x v="0"/>
    <s v="pagado"/>
    <s v="pagado"/>
    <s v="excluir"/>
    <s v="no semana"/>
    <x v="0"/>
  </r>
  <r>
    <n v="3000003634"/>
    <d v="2026-06-17T00:00:00"/>
    <n v="11000000"/>
    <s v="Norviguet S.R.L. SAN MIGUEL DE TUCUMAN 14"/>
    <x v="2125"/>
    <n v="11000000"/>
    <x v="273"/>
    <x v="0"/>
    <s v="pagado"/>
    <s v="pagado"/>
    <s v="excluir"/>
    <s v="no semana"/>
    <x v="0"/>
  </r>
  <r>
    <n v="3000003634"/>
    <d v="2026-06-17T00:00:00"/>
    <n v="11000000"/>
    <s v="Norviguet S.R.L. SAN MIGUEL DE TUCUMAN 14"/>
    <x v="2126"/>
    <n v="11000000"/>
    <x v="274"/>
    <x v="0"/>
    <s v="no pagado"/>
    <s v="en periodo de pago"/>
    <s v="proximo a vencer"/>
    <s v="para la semana"/>
    <x v="0"/>
  </r>
  <r>
    <n v="3000003634"/>
    <d v="2026-06-17T00:00:00"/>
    <n v="11000000"/>
    <s v="Norviguet S.R.L. SAN MIGUEL DE TUCUMAN 14"/>
    <x v="2127"/>
    <n v="11000000"/>
    <x v="275"/>
    <x v="0"/>
    <s v="no pagado"/>
    <s v="en periodo de pago"/>
    <s v="proximo a vencer"/>
    <s v="no semana"/>
    <x v="0"/>
  </r>
  <r>
    <n v="3000003634"/>
    <d v="2026-06-17T00:00:00"/>
    <n v="11093885"/>
    <s v="Norviguet S.R.L. SAN MIGUEL DE TUCUMAN 14"/>
    <x v="2128"/>
    <n v="11093885"/>
    <x v="276"/>
    <x v="0"/>
    <s v="no pagado"/>
    <s v="en periodo de pago"/>
    <s v="proximo a vencer"/>
    <s v="no semana"/>
    <x v="0"/>
  </r>
  <r>
    <n v="3000003633"/>
    <d v="2026-06-17T00:00:00"/>
    <n v="3234870.66"/>
    <s v="BESTANI JUAN JOSE SAN MIGUEL DE TUCUMAN 14"/>
    <x v="2129"/>
    <n v="3234870.66"/>
    <x v="236"/>
    <x v="0"/>
    <s v="pagado"/>
    <s v="pagado"/>
    <s v="excluir"/>
    <s v="no semana"/>
    <x v="0"/>
  </r>
  <r>
    <n v="3000003751"/>
    <d v="2026-06-22T00:00:00"/>
    <n v="5367617.3499999996"/>
    <s v="Hierronort Salta S.R.L. SAN MIGUEL DE TUCUMAN 14"/>
    <x v="2130"/>
    <n v="5367617.3499999996"/>
    <x v="277"/>
    <x v="0"/>
    <s v="pagado"/>
    <s v="pagado"/>
    <s v="excluir"/>
    <s v="no semana"/>
    <x v="0"/>
  </r>
  <r>
    <n v="3000003752"/>
    <d v="2026-06-22T00:00:00"/>
    <n v="5678260"/>
    <s v="LUGUIMAC S.R.L VILLA LYNCH 01"/>
    <x v="2131"/>
    <n v="5678260"/>
    <x v="277"/>
    <x v="0"/>
    <s v="pagado"/>
    <s v="pagado"/>
    <s v="excluir"/>
    <s v="no semana"/>
    <x v="0"/>
  </r>
  <r>
    <n v="3000003754"/>
    <d v="2026-06-22T00:00:00"/>
    <n v="10088492.9"/>
    <s v="SUAREZ MANUEL RODOLFO ALDERETES 14"/>
    <x v="2132"/>
    <n v="10088492.9"/>
    <x v="277"/>
    <x v="0"/>
    <s v="pagado"/>
    <s v="pagado"/>
    <s v="excluir"/>
    <s v="no semana"/>
    <x v="0"/>
  </r>
  <r>
    <n v="3000003755"/>
    <d v="2026-06-22T00:00:00"/>
    <n v="7878185.2599999998"/>
    <s v="Transporte CDC S.A. CAPITAL FEDERAL 00"/>
    <x v="2133"/>
    <n v="7878185.2599999998"/>
    <x v="277"/>
    <x v="0"/>
    <s v="pagado"/>
    <s v="pagado"/>
    <s v="excluir"/>
    <s v="no semana"/>
    <x v="0"/>
  </r>
  <r>
    <n v="3000003757"/>
    <d v="2026-06-22T00:00:00"/>
    <n v="8247800"/>
    <s v="PABLO Y FERNANDO TACCHELLA S.RSAN MIGUEL DE TUCUMAN 14"/>
    <x v="2134"/>
    <n v="8247800"/>
    <x v="277"/>
    <x v="0"/>
    <s v="pagado"/>
    <s v="pagado"/>
    <s v="excluir"/>
    <s v="no semana"/>
    <x v="0"/>
  </r>
  <r>
    <n v="3000003758"/>
    <d v="2026-06-22T00:00:00"/>
    <n v="5283180.76"/>
    <s v="MAC DONALD MIGUEL ALEJANDRO BANDA DEL RIO SALI 14"/>
    <x v="2135"/>
    <n v="5283180.76"/>
    <x v="277"/>
    <x v="0"/>
    <s v="pagado"/>
    <s v="pagado"/>
    <s v="excluir"/>
    <s v="no semana"/>
    <x v="0"/>
  </r>
  <r>
    <n v="3000003759"/>
    <d v="2026-06-22T00:00:00"/>
    <n v="13233931.23"/>
    <s v="FERNANDEZ HECTOR JOSE SIMOCA 14"/>
    <x v="2136"/>
    <n v="13233931.23"/>
    <x v="277"/>
    <x v="0"/>
    <s v="pagado"/>
    <s v="pagado"/>
    <s v="excluir"/>
    <s v="no semana"/>
    <x v="0"/>
  </r>
  <r>
    <n v="3000003760"/>
    <d v="2026-06-22T00:00:00"/>
    <n v="18907877.879999999"/>
    <s v="RL SOLUCIONES S. A. S. SAN MIGUEL DE TUCUMAN 14"/>
    <x v="2137"/>
    <n v="18907877.879999999"/>
    <x v="277"/>
    <x v="0"/>
    <s v="pagado"/>
    <s v="pagado"/>
    <s v="excluir"/>
    <s v="no semana"/>
    <x v="0"/>
  </r>
  <r>
    <n v="3000003761"/>
    <d v="2026-06-22T00:00:00"/>
    <n v="6855862.4800000004"/>
    <s v="Arias Gonzalo Alejandro San Miguel de Tucumán 14"/>
    <x v="2138"/>
    <n v="6855862.4800000004"/>
    <x v="277"/>
    <x v="0"/>
    <s v="pagado"/>
    <s v="pagado"/>
    <s v="excluir"/>
    <s v="no semana"/>
    <x v="0"/>
  </r>
  <r>
    <n v="3000003762"/>
    <d v="2026-06-22T00:00:00"/>
    <n v="6971555.1299999999"/>
    <s v="Pedro Ivan Marcelo ALDERETES 14"/>
    <x v="2139"/>
    <n v="6971555.1299999999"/>
    <x v="277"/>
    <x v="0"/>
    <s v="pagado"/>
    <s v="pagado"/>
    <s v="excluir"/>
    <s v="no semana"/>
    <x v="0"/>
  </r>
  <r>
    <n v="3000003763"/>
    <d v="2026-06-22T00:00:00"/>
    <n v="5294031.25"/>
    <s v="Consultoria en Tecnologia de IBUENOS AIRES 00"/>
    <x v="2140"/>
    <n v="5294031.25"/>
    <x v="277"/>
    <x v="0"/>
    <s v="pagado"/>
    <s v="pagado"/>
    <s v="excluir"/>
    <s v="no semana"/>
    <x v="0"/>
  </r>
  <r>
    <n v="3000003756"/>
    <d v="2026-06-22T00:00:00"/>
    <n v="21526983.920000002"/>
    <s v="TRANSPORTE FRIOS DEL NORTE S.RSAN MIGUEL DE TUCUMAN 14"/>
    <x v="2141"/>
    <n v="21526983.920000002"/>
    <x v="277"/>
    <x v="0"/>
    <s v="pagado"/>
    <s v="pagado"/>
    <s v="excluir"/>
    <s v="no semana"/>
    <x v="0"/>
  </r>
  <r>
    <n v="3000003764"/>
    <d v="2026-06-23T00:00:00"/>
    <n v="20000000"/>
    <s v="KENTEC ARGENTINA SA CAPITAL FEDERAL 00"/>
    <x v="2142"/>
    <n v="20000000"/>
    <x v="203"/>
    <x v="0"/>
    <s v="pagado"/>
    <s v="pagado"/>
    <s v="excluir"/>
    <s v="no semana"/>
    <x v="0"/>
  </r>
  <r>
    <n v="3000003764"/>
    <d v="2026-06-23T00:00:00"/>
    <n v="20391102.609999999"/>
    <s v="KENTEC ARGENTINA SA CAPITAL FEDERAL 00"/>
    <x v="2143"/>
    <n v="20391102.609999999"/>
    <x v="278"/>
    <x v="0"/>
    <s v="pagado"/>
    <s v="pagado"/>
    <s v="excluir"/>
    <s v="no semana"/>
    <x v="0"/>
  </r>
  <r>
    <n v="3000003787"/>
    <d v="2026-06-23T00:00:00"/>
    <n v="0"/>
    <s v="invalidado med.EOLIVERA -Destruido/ Sin uso"/>
    <x v="2144"/>
    <n v="0"/>
    <x v="277"/>
    <x v="0"/>
    <s v="no pagado"/>
    <s v="fuera de fecha"/>
    <s v="excluir"/>
    <s v="no semana"/>
    <x v="0"/>
  </r>
  <r>
    <n v="3000001950"/>
    <d v="2026-06-23T00:00:00"/>
    <n v="7416248.1600000001"/>
    <s v="VIDES GUSTAVO ENRIQUE LA TRINIDAD 14"/>
    <x v="2145"/>
    <n v="7416248.1600000001"/>
    <x v="277"/>
    <x v="0"/>
    <s v="pagado"/>
    <s v="pagado"/>
    <s v="excluir"/>
    <s v="no semana"/>
    <x v="0"/>
  </r>
  <r>
    <n v="3000003788"/>
    <d v="2026-06-23T00:00:00"/>
    <n v="17820092.859999999"/>
    <s v="PERATO CRISTIAN LUIS BANDA DEL RIO SALI 14"/>
    <x v="2146"/>
    <n v="17820092.859999999"/>
    <x v="277"/>
    <x v="0"/>
    <s v="pagado"/>
    <s v="pagado"/>
    <s v="excluir"/>
    <s v="no semana"/>
    <x v="0"/>
  </r>
  <r>
    <n v="3000003789"/>
    <d v="2026-06-23T00:00:00"/>
    <n v="25294855.75"/>
    <s v="GAR S.A SAN MIGUEL DE TUCUMAN 14"/>
    <x v="2147"/>
    <n v="25294855.75"/>
    <x v="277"/>
    <x v="0"/>
    <s v="pagado"/>
    <s v="pagado"/>
    <s v="excluir"/>
    <s v="no semana"/>
    <x v="0"/>
  </r>
  <r>
    <n v="3000003790"/>
    <d v="2026-06-23T00:00:00"/>
    <n v="11099595.26"/>
    <s v="Gonzalez Jose Luis Lastenia 14"/>
    <x v="2148"/>
    <n v="11099595.26"/>
    <x v="277"/>
    <x v="0"/>
    <s v="pagado"/>
    <s v="pagado"/>
    <s v="excluir"/>
    <s v="no semana"/>
    <x v="0"/>
  </r>
  <r>
    <n v="3000003791"/>
    <d v="2026-06-23T00:00:00"/>
    <n v="16217357.949999999"/>
    <s v="CAPETTA ANTONELLA ANAHI SAN MIGUEL DE TUCUMAN 14"/>
    <x v="2149"/>
    <n v="16217357.949999999"/>
    <x v="277"/>
    <x v="0"/>
    <s v="pagado"/>
    <s v="pagado"/>
    <s v="excluir"/>
    <s v="no semana"/>
    <x v="0"/>
  </r>
  <r>
    <n v="3000003792"/>
    <d v="2026-06-23T00:00:00"/>
    <n v="8716543.6500000004"/>
    <s v="RL SOLUCIONES S. A. S. SAN MIGUEL DE TUCUMAN 14"/>
    <x v="2150"/>
    <n v="8716543.6500000004"/>
    <x v="277"/>
    <x v="0"/>
    <s v="pagado"/>
    <s v="pagado"/>
    <s v="excluir"/>
    <s v="no semana"/>
    <x v="0"/>
  </r>
  <r>
    <n v="3000003793"/>
    <d v="2026-06-23T00:00:00"/>
    <n v="6150566.8300000001"/>
    <s v="TRANSPORTE FRIOS DEL NORTE S.RSAN MIGUEL DE TUCUMAN 14"/>
    <x v="2151"/>
    <n v="6150566.8300000001"/>
    <x v="277"/>
    <x v="0"/>
    <s v="pagado"/>
    <s v="pagado"/>
    <s v="excluir"/>
    <s v="no semana"/>
    <x v="0"/>
  </r>
  <r>
    <n v="3000003794"/>
    <d v="2026-06-23T00:00:00"/>
    <n v="7798056.5999999996"/>
    <s v="M DODERO COMPANIA GRAL DE SERVCIUDAD AUTONOMA DE BUENOS AIRES 01"/>
    <x v="2152"/>
    <n v="7798056.5999999996"/>
    <x v="277"/>
    <x v="0"/>
    <s v="pagado"/>
    <s v="pagado"/>
    <s v="excluir"/>
    <s v="no semana"/>
    <x v="0"/>
  </r>
  <r>
    <n v="3000003795"/>
    <d v="2026-06-23T00:00:00"/>
    <n v="46999521.079999998"/>
    <s v="ROMERO SERVICIOS S. A. S. ALPACHIRI 14"/>
    <x v="2153"/>
    <n v="46999521.079999998"/>
    <x v="277"/>
    <x v="0"/>
    <s v="pagado"/>
    <s v="pagado"/>
    <s v="excluir"/>
    <s v="no semana"/>
    <x v="0"/>
  </r>
  <r>
    <n v="3000003787"/>
    <d v="2026-06-23T00:00:00"/>
    <n v="7669554.5300000003"/>
    <s v="TRANSPORTE MEDINA S.H. CRUZ ALTA 14"/>
    <x v="2154"/>
    <n v="7669554.5300000003"/>
    <x v="277"/>
    <x v="0"/>
    <s v="pagado"/>
    <s v="pagado"/>
    <s v="excluir"/>
    <s v="no semana"/>
    <x v="0"/>
  </r>
  <r>
    <n v="3000003936"/>
    <d v="2026-06-29T00:00:00"/>
    <n v="8663897.5399999991"/>
    <s v="Bureau Veritas Arg.S.A. CIUDAD AUTONOMA DE BUENOS AIRES 01"/>
    <x v="2155"/>
    <n v="8663897.5399999991"/>
    <x v="279"/>
    <x v="0"/>
    <s v="pagado"/>
    <s v="pagado"/>
    <s v="excluir"/>
    <s v="no semana"/>
    <x v="0"/>
  </r>
  <r>
    <n v="3000003937"/>
    <d v="2026-06-29T00:00:00"/>
    <n v="5688358.96"/>
    <s v="Saiko S.A Tucumàn 14"/>
    <x v="2156"/>
    <n v="5688358.96"/>
    <x v="279"/>
    <x v="0"/>
    <s v="pagado"/>
    <s v="pagado"/>
    <s v="excluir"/>
    <s v="no semana"/>
    <x v="0"/>
  </r>
  <r>
    <n v="3000003938"/>
    <d v="2026-06-29T00:00:00"/>
    <n v="6760635"/>
    <s v="CAÑA Y SEMILLA SRL Capital Federal 00"/>
    <x v="2157"/>
    <n v="6760635"/>
    <x v="279"/>
    <x v="0"/>
    <s v="pagado"/>
    <s v="pagado"/>
    <s v="excluir"/>
    <s v="no semana"/>
    <x v="0"/>
  </r>
  <r>
    <n v="3000003939"/>
    <d v="2026-06-29T00:00:00"/>
    <n v="8319224.5899999999"/>
    <s v="ROMERO SERVICIOS S. A. S. ALPACHIRI 14"/>
    <x v="2158"/>
    <n v="8319224.5899999999"/>
    <x v="279"/>
    <x v="0"/>
    <s v="pagado"/>
    <s v="pagado"/>
    <s v="excluir"/>
    <s v="no semana"/>
    <x v="0"/>
  </r>
  <r>
    <n v="3000003940"/>
    <d v="2026-06-29T00:00:00"/>
    <n v="14077087.5"/>
    <s v="M.A.D Serv y mant eléctri SAN MIGUEL DE TUCUMAN 14"/>
    <x v="2159"/>
    <n v="14077087.5"/>
    <x v="279"/>
    <x v="0"/>
    <s v="pagado"/>
    <s v="pagado"/>
    <s v="excluir"/>
    <s v="no semana"/>
    <x v="0"/>
  </r>
  <r>
    <n v="3000003941"/>
    <d v="2026-06-29T00:00:00"/>
    <n v="18241440"/>
    <s v="LA 10 SRL SAN MIGUEL DE TUCUMAN 14"/>
    <x v="2160"/>
    <n v="18241440"/>
    <x v="279"/>
    <x v="0"/>
    <s v="pagado"/>
    <s v="pagado"/>
    <s v="excluir"/>
    <s v="no semana"/>
    <x v="0"/>
  </r>
  <r>
    <n v="3000003942"/>
    <d v="2026-06-29T00:00:00"/>
    <n v="9022835.9399999995"/>
    <s v="TRANSPORTE MARIANITA S.R.L SAN MIGUEL DE TUCUMAN 14"/>
    <x v="2161"/>
    <n v="9022835.9399999995"/>
    <x v="279"/>
    <x v="0"/>
    <s v="pagado"/>
    <s v="pagado"/>
    <s v="excluir"/>
    <s v="no semana"/>
    <x v="0"/>
  </r>
  <r>
    <n v="3000003943"/>
    <d v="2026-06-29T00:00:00"/>
    <n v="15376417.08"/>
    <s v="TRANSPORTE FRIOS DEL NORTE S.RSAN MIGUEL DE TUCUMAN 14"/>
    <x v="2162"/>
    <n v="15376417.08"/>
    <x v="279"/>
    <x v="0"/>
    <s v="pagado"/>
    <s v="pagado"/>
    <s v="excluir"/>
    <s v="no semana"/>
    <x v="0"/>
  </r>
  <r>
    <n v="3000003944"/>
    <d v="2026-06-29T00:00:00"/>
    <n v="14331346.609999999"/>
    <s v="ACOSTA ROQUE RAMON SAN MIGUEL DE TUCUMAN 14"/>
    <x v="2163"/>
    <n v="14331346.609999999"/>
    <x v="279"/>
    <x v="0"/>
    <s v="pagado"/>
    <s v="pagado"/>
    <s v="excluir"/>
    <s v="no semana"/>
    <x v="0"/>
  </r>
  <r>
    <n v="3000003945"/>
    <d v="2026-06-29T00:00:00"/>
    <n v="5329201.8099999996"/>
    <s v="HERRERA RICARDO ALBERTO BANDA DEL RIO SALI 14"/>
    <x v="2164"/>
    <n v="5329201.8099999996"/>
    <x v="279"/>
    <x v="0"/>
    <s v="pagado"/>
    <s v="pagado"/>
    <s v="excluir"/>
    <s v="no semana"/>
    <x v="0"/>
  </r>
  <r>
    <n v="3000003946"/>
    <d v="2026-06-29T00:00:00"/>
    <n v="11000054.550000001"/>
    <s v="CEMEVA SAS YERBA BUENA 14"/>
    <x v="2165"/>
    <n v="11000054.550000001"/>
    <x v="279"/>
    <x v="0"/>
    <s v="pagado"/>
    <s v="pagado"/>
    <s v="excluir"/>
    <s v="no semana"/>
    <x v="0"/>
  </r>
  <r>
    <n v="3000003947"/>
    <d v="2026-06-29T00:00:00"/>
    <n v="15882937.85"/>
    <s v="CAPETTA ANTONELLA ANAHI SAN MIGUEL DE TUCUMAN 14"/>
    <x v="2166"/>
    <n v="15882937.85"/>
    <x v="279"/>
    <x v="0"/>
    <s v="pagado"/>
    <s v="pagado"/>
    <s v="excluir"/>
    <s v="no semana"/>
    <x v="0"/>
  </r>
  <r>
    <n v="3000003948"/>
    <d v="2026-06-29T00:00:00"/>
    <n v="8285592.0300000003"/>
    <s v="RL SOLUCIONES S. A. S. SAN MIGUEL DE TUCUMAN 14"/>
    <x v="2167"/>
    <n v="8285592.0300000003"/>
    <x v="279"/>
    <x v="0"/>
    <s v="pagado"/>
    <s v="pagado"/>
    <s v="excluir"/>
    <s v="no semana"/>
    <x v="0"/>
  </r>
  <r>
    <n v="3000003949"/>
    <d v="2026-06-29T00:00:00"/>
    <n v="18754918.239999998"/>
    <s v="LA MARTINA SERV. AGRICOLAS S.RSAN PABLO 14"/>
    <x v="2168"/>
    <n v="18754918.239999998"/>
    <x v="279"/>
    <x v="0"/>
    <s v="pagado"/>
    <s v="pagado"/>
    <s v="excluir"/>
    <s v="no semana"/>
    <x v="0"/>
  </r>
  <r>
    <n v="3000003950"/>
    <d v="2026-06-29T00:00:00"/>
    <n v="8016210.29"/>
    <s v="CAMPOAGRO SRL YERBA BUENA 14"/>
    <x v="2169"/>
    <n v="8016210.29"/>
    <x v="279"/>
    <x v="0"/>
    <s v="pagado"/>
    <s v="pagado"/>
    <s v="excluir"/>
    <s v="no semana"/>
    <x v="0"/>
  </r>
  <r>
    <n v="3000004005"/>
    <d v="2026-07-01T00:00:00"/>
    <n v="20000000"/>
    <s v="GAR S.A SAN MIGUEL DE TUCUMAN 14"/>
    <x v="2170"/>
    <n v="20000000"/>
    <x v="280"/>
    <x v="0"/>
    <s v="pagado"/>
    <s v="pagado"/>
    <s v="excluir"/>
    <s v="no semana"/>
    <x v="0"/>
  </r>
  <r>
    <n v="3000004005"/>
    <d v="2026-07-01T00:00:00"/>
    <n v="14615988.960000001"/>
    <s v="GAR S.A SAN MIGUEL DE TUCUMAN 14"/>
    <x v="2171"/>
    <n v="14615988.960000001"/>
    <x v="268"/>
    <x v="0"/>
    <s v="pagado"/>
    <s v="pagado"/>
    <s v="excluir"/>
    <s v="no semana"/>
    <x v="0"/>
  </r>
  <r>
    <n v="3000003999"/>
    <d v="2026-07-01T00:00:00"/>
    <n v="13555582.49"/>
    <s v="RL SOLUCIONES S. A. S. SAN MIGUEL DE TUCUMAN 14"/>
    <x v="2172"/>
    <n v="13555582.49"/>
    <x v="268"/>
    <x v="0"/>
    <s v="pagado"/>
    <s v="pagado"/>
    <s v="excluir"/>
    <s v="no semana"/>
    <x v="0"/>
  </r>
  <r>
    <n v="3000004000"/>
    <d v="2026-07-01T00:00:00"/>
    <n v="11361641.51"/>
    <s v="JACQUET NORBERTO SALVADOR SAN JOSE 05"/>
    <x v="2173"/>
    <n v="11361641.51"/>
    <x v="268"/>
    <x v="0"/>
    <s v="pagado"/>
    <s v="pagado"/>
    <s v="excluir"/>
    <s v="no semana"/>
    <x v="0"/>
  </r>
  <r>
    <n v="3000004001"/>
    <d v="2026-07-01T00:00:00"/>
    <n v="13988677.369999999"/>
    <s v="CEMEVA SAS YERBA BUENA 14"/>
    <x v="2174"/>
    <n v="13988677.369999999"/>
    <x v="268"/>
    <x v="0"/>
    <s v="pagado"/>
    <s v="pagado"/>
    <s v="excluir"/>
    <s v="no semana"/>
    <x v="0"/>
  </r>
  <r>
    <n v="3000004002"/>
    <d v="2026-07-01T00:00:00"/>
    <n v="14974376.84"/>
    <s v="CAPETTA ANTONELLA ANAHI SAN MIGUEL DE TUCUMAN 14"/>
    <x v="2175"/>
    <n v="14974376.84"/>
    <x v="268"/>
    <x v="0"/>
    <s v="pagado"/>
    <s v="pagado"/>
    <s v="excluir"/>
    <s v="no semana"/>
    <x v="0"/>
  </r>
  <r>
    <n v="3000004003"/>
    <d v="2026-07-01T00:00:00"/>
    <n v="10773587.92"/>
    <s v="LATCOMEX SA CAPITAL FEDERAL 00"/>
    <x v="2176"/>
    <n v="10773587.92"/>
    <x v="268"/>
    <x v="0"/>
    <s v="pagado"/>
    <s v="pagado"/>
    <s v="excluir"/>
    <s v="no semana"/>
    <x v="0"/>
  </r>
  <r>
    <n v="3000004004"/>
    <d v="2026-07-01T00:00:00"/>
    <n v="12131294.33"/>
    <s v="Transportes La Sevillanita S.RALDERETES 14"/>
    <x v="2177"/>
    <n v="12131294.33"/>
    <x v="268"/>
    <x v="0"/>
    <s v="pagado"/>
    <s v="pagado"/>
    <s v="excluir"/>
    <s v="no semana"/>
    <x v="0"/>
  </r>
  <r>
    <n v="3000004128"/>
    <d v="2026-07-06T00:00:00"/>
    <n v="5704781.5599999996"/>
    <s v="TRANSPORTE MEDINA S.H. CRUZ ALTA 14"/>
    <x v="2178"/>
    <n v="5704781.5599999996"/>
    <x v="266"/>
    <x v="0"/>
    <s v="pagado"/>
    <s v="pagado"/>
    <s v="excluir"/>
    <s v="no semana"/>
    <x v="0"/>
  </r>
  <r>
    <n v="3000004129"/>
    <d v="2026-07-06T00:00:00"/>
    <n v="7054113.21"/>
    <s v="Marchese Grandi Meson y Asoc SAN MIGUEL DE TUCUMAN 14"/>
    <x v="2179"/>
    <n v="7054113.21"/>
    <x v="266"/>
    <x v="0"/>
    <s v="pagado"/>
    <s v="pagado"/>
    <s v="excluir"/>
    <s v="no semana"/>
    <x v="0"/>
  </r>
  <r>
    <n v="3000004130"/>
    <d v="2026-07-06T00:00:00"/>
    <n v="13890730"/>
    <s v="Agricola Garcia S.A. SAN MIGUEL DE TUCUMAN 14"/>
    <x v="2180"/>
    <n v="13890730"/>
    <x v="266"/>
    <x v="0"/>
    <s v="pagado"/>
    <s v="pagado"/>
    <s v="excluir"/>
    <s v="no semana"/>
    <x v="0"/>
  </r>
  <r>
    <n v="3000004131"/>
    <d v="2026-07-06T00:00:00"/>
    <n v="7347164.3899999997"/>
    <s v="EXCELENCIA OPERACIONAL SRL CIUDAD AUTONOMA DE BUENOS AIRES 00"/>
    <x v="2181"/>
    <n v="7347164.3899999997"/>
    <x v="266"/>
    <x v="0"/>
    <s v="pagado"/>
    <s v="pagado"/>
    <s v="excluir"/>
    <s v="no semana"/>
    <x v="0"/>
  </r>
  <r>
    <n v="3000004132"/>
    <d v="2026-07-06T00:00:00"/>
    <n v="9962077.7799999993"/>
    <s v="SEGURIDAD OMEGA SRL SAN FERNANDO DEL VALLE DE CATAMARCA 02"/>
    <x v="2182"/>
    <n v="9962077.7799999993"/>
    <x v="266"/>
    <x v="0"/>
    <s v="pagado"/>
    <s v="pagado"/>
    <s v="excluir"/>
    <s v="no semana"/>
    <x v="0"/>
  </r>
  <r>
    <n v="3000004133"/>
    <d v="2026-07-06T00:00:00"/>
    <n v="6800786.4000000004"/>
    <s v="M.A.D Serv y mant eléctri SAN MIGUEL DE TUCUMAN 14"/>
    <x v="2183"/>
    <n v="6800786.4000000004"/>
    <x v="266"/>
    <x v="0"/>
    <s v="pagado"/>
    <s v="pagado"/>
    <s v="excluir"/>
    <s v="no semana"/>
    <x v="0"/>
  </r>
  <r>
    <n v="3000004134"/>
    <d v="2026-07-06T00:00:00"/>
    <n v="8455481.1400000006"/>
    <s v="ALVAREZ RENE JOSE MARIA BELLA VISTA 14"/>
    <x v="2184"/>
    <n v="8455481.1400000006"/>
    <x v="266"/>
    <x v="0"/>
    <s v="pagado"/>
    <s v="pagado"/>
    <s v="excluir"/>
    <s v="no semana"/>
    <x v="0"/>
  </r>
  <r>
    <n v="3000004135"/>
    <d v="2026-07-06T00:00:00"/>
    <n v="8462338.5199999996"/>
    <s v="JACQUET NORBERTO SALVADOR SAN JOSE 05"/>
    <x v="2185"/>
    <n v="8462338.5199999996"/>
    <x v="266"/>
    <x v="0"/>
    <s v="pagado"/>
    <s v="pagado"/>
    <s v="excluir"/>
    <s v="no semana"/>
    <x v="0"/>
  </r>
  <r>
    <n v="3000004136"/>
    <d v="2026-07-06T00:00:00"/>
    <n v="21526983.91"/>
    <s v="TRANSPORTE FRIOS DEL NORTE S.RSAN MIGUEL DE TUCUMAN 14"/>
    <x v="2186"/>
    <n v="21526983.91"/>
    <x v="266"/>
    <x v="0"/>
    <s v="pagado"/>
    <s v="pagado"/>
    <s v="excluir"/>
    <s v="no semana"/>
    <x v="0"/>
  </r>
  <r>
    <n v="3000004137"/>
    <d v="2026-07-06T00:00:00"/>
    <n v="5283180.76"/>
    <s v="MAC DONALD MIGUEL ALEJANDRO BANDA DEL RIO SALI 14"/>
    <x v="2187"/>
    <n v="5283180.76"/>
    <x v="266"/>
    <x v="0"/>
    <s v="pagado"/>
    <s v="pagado"/>
    <s v="excluir"/>
    <s v="no semana"/>
    <x v="0"/>
  </r>
  <r>
    <n v="3000004138"/>
    <d v="2026-07-06T00:00:00"/>
    <n v="38653005.789999999"/>
    <s v="BARBARISI JUAREZ PABLO EMANUELSAN JUAN 10"/>
    <x v="2188"/>
    <n v="38653005.789999999"/>
    <x v="266"/>
    <x v="0"/>
    <s v="pagado"/>
    <s v="pagado"/>
    <s v="excluir"/>
    <s v="no semana"/>
    <x v="0"/>
  </r>
  <r>
    <n v="3000004139"/>
    <d v="2026-07-06T00:00:00"/>
    <n v="18530094.16"/>
    <s v="CAPETTA ANTONELLA ANAHI SAN MIGUEL DE TUCUMAN 14"/>
    <x v="2189"/>
    <n v="18530094.16"/>
    <x v="266"/>
    <x v="0"/>
    <s v="pagado"/>
    <s v="pagado"/>
    <s v="excluir"/>
    <s v="no semana"/>
    <x v="0"/>
  </r>
  <r>
    <n v="3000004140"/>
    <d v="2026-07-06T00:00:00"/>
    <n v="17629871.120000001"/>
    <s v="RL SOLUCIONES S. A. S. SAN MIGUEL DE TUCUMAN 14"/>
    <x v="2190"/>
    <n v="17629871.120000001"/>
    <x v="266"/>
    <x v="0"/>
    <s v="pagado"/>
    <s v="pagado"/>
    <s v="excluir"/>
    <s v="no semana"/>
    <x v="0"/>
  </r>
  <r>
    <n v="3000004141"/>
    <d v="2026-07-06T00:00:00"/>
    <n v="6378951.2199999997"/>
    <s v="Pedro Ivan Marcelo ALDERETES 14"/>
    <x v="2191"/>
    <n v="6378951.2199999997"/>
    <x v="266"/>
    <x v="0"/>
    <s v="pagado"/>
    <s v="pagado"/>
    <s v="excluir"/>
    <s v="no semana"/>
    <x v="0"/>
  </r>
  <r>
    <n v="3000004142"/>
    <d v="2026-07-06T00:00:00"/>
    <n v="7255671.1699999999"/>
    <s v="Verde y Sol S.R.L. SAN MIGUEL DE TUCUMAN 14"/>
    <x v="2192"/>
    <n v="7255671.1699999999"/>
    <x v="266"/>
    <x v="0"/>
    <s v="pagado"/>
    <s v="pagado"/>
    <s v="excluir"/>
    <s v="no semana"/>
    <x v="0"/>
  </r>
  <r>
    <n v="3000004143"/>
    <d v="2026-07-06T00:00:00"/>
    <n v="41951984.049999997"/>
    <s v="M DODERO COMPANIA GRAL DE SERVCIUDAD AUTONOMA DE BUENOS AIRES 01"/>
    <x v="2193"/>
    <n v="41951984.049999997"/>
    <x v="266"/>
    <x v="0"/>
    <s v="pagado"/>
    <s v="pagado"/>
    <s v="excluir"/>
    <s v="no semana"/>
    <x v="0"/>
  </r>
  <r>
    <n v="3000004144"/>
    <d v="2026-07-06T00:00:00"/>
    <n v="8845604.0800000001"/>
    <s v="CAMPOAGRO SRL YERBA BUENA 14"/>
    <x v="2194"/>
    <n v="8845604.0800000001"/>
    <x v="266"/>
    <x v="0"/>
    <s v="pagado"/>
    <s v="pagado"/>
    <s v="excluir"/>
    <s v="no semana"/>
    <x v="0"/>
  </r>
  <r>
    <n v="3000004145"/>
    <d v="2026-07-06T00:00:00"/>
    <n v="27044550.27"/>
    <s v="GAR S.A SAN MIGUEL DE TUCUMAN 14"/>
    <x v="2195"/>
    <n v="27044550.27"/>
    <x v="266"/>
    <x v="0"/>
    <s v="pagado"/>
    <s v="pagado"/>
    <s v="excluir"/>
    <s v="no semana"/>
    <x v="0"/>
  </r>
  <r>
    <n v="3000004146"/>
    <d v="2026-07-06T00:00:00"/>
    <n v="19896630.829999998"/>
    <s v="VIDES GUSTAVO ENRIQUE LA TRINIDAD 14"/>
    <x v="2196"/>
    <n v="19896630.829999998"/>
    <x v="281"/>
    <x v="0"/>
    <s v="pagado"/>
    <s v="pagado"/>
    <s v="excluir"/>
    <s v="no semana"/>
    <x v="0"/>
  </r>
  <r>
    <n v="3000004284"/>
    <d v="2026-07-13T00:00:00"/>
    <n v="15000000"/>
    <s v="MOLINA JUAN F. Y MOLINA ROQUE Lastenia 14"/>
    <x v="2197"/>
    <n v="15000000"/>
    <x v="282"/>
    <x v="0"/>
    <s v="pagado"/>
    <s v="pagado"/>
    <s v="excluir"/>
    <s v="no semana"/>
    <x v="0"/>
  </r>
  <r>
    <n v="3000004284"/>
    <d v="2026-07-13T00:00:00"/>
    <n v="15000000"/>
    <s v="MOLINA JUAN F. Y MOLINA ROQUE Lastenia 14"/>
    <x v="2198"/>
    <n v="15000000"/>
    <x v="282"/>
    <x v="0"/>
    <s v="pagado"/>
    <s v="pagado"/>
    <s v="excluir"/>
    <s v="no semana"/>
    <x v="0"/>
  </r>
  <r>
    <n v="3000004284"/>
    <d v="2026-07-13T00:00:00"/>
    <n v="10880378.08"/>
    <s v="MOLINA JUAN F. Y MOLINA ROQUE Lastenia 14"/>
    <x v="2199"/>
    <n v="10880378.08"/>
    <x v="282"/>
    <x v="0"/>
    <s v="pagado"/>
    <s v="pagado"/>
    <s v="excluir"/>
    <s v="no semana"/>
    <x v="0"/>
  </r>
  <r>
    <n v="3000004280"/>
    <d v="2026-07-13T00:00:00"/>
    <n v="8236487.5199999996"/>
    <s v="Hierronort Salta S.R.L. SAN MIGUEL DE TUCUMAN 14"/>
    <x v="2200"/>
    <n v="8236487.5199999996"/>
    <x v="282"/>
    <x v="0"/>
    <s v="pagado"/>
    <s v="pagado"/>
    <s v="excluir"/>
    <s v="no semana"/>
    <x v="0"/>
  </r>
  <r>
    <n v="3000004281"/>
    <d v="2026-07-13T00:00:00"/>
    <n v="11741181.529999999"/>
    <s v="SUAREZ MANUEL RODOLFO ALDERETES 14"/>
    <x v="2201"/>
    <n v="11741181.529999999"/>
    <x v="282"/>
    <x v="0"/>
    <s v="pagado"/>
    <s v="pagado"/>
    <s v="excluir"/>
    <s v="no semana"/>
    <x v="0"/>
  </r>
  <r>
    <n v="3000004282"/>
    <d v="2026-07-13T00:00:00"/>
    <n v="5220309.6900000004"/>
    <s v="PERATO LUIS ALBERTO BANDA DEL RIO SALI 14"/>
    <x v="2202"/>
    <n v="5220309.6900000004"/>
    <x v="282"/>
    <x v="0"/>
    <s v="pagado"/>
    <s v="pagado"/>
    <s v="excluir"/>
    <s v="no semana"/>
    <x v="0"/>
  </r>
  <r>
    <n v="3000004283"/>
    <d v="2026-07-13T00:00:00"/>
    <n v="15170268.42"/>
    <s v="PERATO CRISTIAN LUIS BANDA DEL RIO SALI 14"/>
    <x v="2203"/>
    <n v="15170268.42"/>
    <x v="282"/>
    <x v="0"/>
    <s v="pagado"/>
    <s v="pagado"/>
    <s v="excluir"/>
    <s v="no semana"/>
    <x v="0"/>
  </r>
  <r>
    <n v="3000004286"/>
    <d v="2026-07-13T00:00:00"/>
    <n v="13391321.01"/>
    <s v="FERNANDEZ HECTOR JOSE SIMOCA 14"/>
    <x v="2204"/>
    <n v="13391321.01"/>
    <x v="282"/>
    <x v="0"/>
    <s v="pagado"/>
    <s v="pagado"/>
    <s v="excluir"/>
    <s v="no semana"/>
    <x v="0"/>
  </r>
  <r>
    <n v="3000004288"/>
    <d v="2026-07-13T00:00:00"/>
    <n v="15010301.109999999"/>
    <s v="BARBARISI JUAREZ PABLO EMANUELSAN JUAN 10"/>
    <x v="2205"/>
    <n v="15010301.109999999"/>
    <x v="282"/>
    <x v="0"/>
    <s v="pagado"/>
    <s v="pagado"/>
    <s v="excluir"/>
    <s v="no semana"/>
    <x v="0"/>
  </r>
  <r>
    <n v="3000004289"/>
    <d v="2026-07-13T00:00:00"/>
    <n v="7314226.79"/>
    <s v="Sanchez Jose Mauricio San Miguel de Tucuman 14"/>
    <x v="2206"/>
    <n v="7314226.79"/>
    <x v="282"/>
    <x v="0"/>
    <s v="pagado"/>
    <s v="pagado"/>
    <s v="excluir"/>
    <s v="no semana"/>
    <x v="0"/>
  </r>
  <r>
    <n v="3000004290"/>
    <d v="2026-07-13T00:00:00"/>
    <n v="6003269"/>
    <s v="Arias Gonzalo Alejandro San Miguel de Tucumán 14"/>
    <x v="2207"/>
    <n v="6003269"/>
    <x v="282"/>
    <x v="0"/>
    <s v="pagado"/>
    <s v="pagado"/>
    <s v="excluir"/>
    <s v="no semana"/>
    <x v="0"/>
  </r>
  <r>
    <n v="3000004291"/>
    <d v="2026-07-13T00:00:00"/>
    <n v="5643449.7599999998"/>
    <s v="Rojas Antonio Domingo ALDERETES 14"/>
    <x v="2208"/>
    <n v="5643449.7599999998"/>
    <x v="282"/>
    <x v="0"/>
    <s v="pagado"/>
    <s v="pagado"/>
    <s v="excluir"/>
    <s v="no semana"/>
    <x v="0"/>
  </r>
  <r>
    <n v="3000004292"/>
    <d v="2026-07-13T00:00:00"/>
    <n v="12361745.539999999"/>
    <s v="Poda Verde SRL SAN MIGUEL DE TUCUMAN 14"/>
    <x v="2209"/>
    <n v="12361745.539999999"/>
    <x v="282"/>
    <x v="0"/>
    <s v="pagado"/>
    <s v="pagado"/>
    <s v="excluir"/>
    <s v="no semana"/>
    <x v="0"/>
  </r>
  <r>
    <n v="3000004293"/>
    <d v="2026-07-13T00:00:00"/>
    <n v="7812681.4100000001"/>
    <s v="LA MARTINA SERV. AGRICOLAS S.RSAN PABLO 14"/>
    <x v="2210"/>
    <n v="7812681.4100000001"/>
    <x v="282"/>
    <x v="0"/>
    <s v="pagado"/>
    <s v="pagado"/>
    <s v="excluir"/>
    <s v="no semana"/>
    <x v="0"/>
  </r>
  <r>
    <n v="3000004294"/>
    <d v="2026-07-13T00:00:00"/>
    <n v="5471093.4000000004"/>
    <s v="GEOTECNOLOGIA S.R.L SAN MIGUEL DE TUCUMAN 14"/>
    <x v="2211"/>
    <n v="5471093.4000000004"/>
    <x v="282"/>
    <x v="0"/>
    <s v="pagado"/>
    <s v="pagado"/>
    <s v="excluir"/>
    <s v="no semana"/>
    <x v="0"/>
  </r>
  <r>
    <n v="3000004295"/>
    <d v="2026-07-13T00:00:00"/>
    <n v="22700807.460000001"/>
    <s v="CAMPOAGRO SRL YERBA BUENA 14"/>
    <x v="2212"/>
    <n v="22700807.460000001"/>
    <x v="282"/>
    <x v="0"/>
    <s v="pagado"/>
    <s v="pagado"/>
    <s v="excluir"/>
    <s v="no semana"/>
    <x v="0"/>
  </r>
  <r>
    <n v="3000004299"/>
    <d v="2026-07-13T00:00:00"/>
    <n v="667589.18000000005"/>
    <s v="FERPASI S.R.L SAN MIGUEL DE TUCUMAN 14"/>
    <x v="2213"/>
    <n v="667589.18000000005"/>
    <x v="283"/>
    <x v="0"/>
    <s v="pagado"/>
    <s v="pagado"/>
    <s v="excluir"/>
    <s v="no semana"/>
    <x v="0"/>
  </r>
  <r>
    <n v="3000002708"/>
    <d v="2026-07-13T00:00:00"/>
    <n v="4364576.5999999996"/>
    <s v="BESTANI JUAN JOSE SAN MIGUEL DE TUCUMAN 14"/>
    <x v="2214"/>
    <n v="4364576.5999999996"/>
    <x v="282"/>
    <x v="0"/>
    <s v="pagado"/>
    <s v="pagado"/>
    <s v="excluir"/>
    <s v="no semana"/>
    <x v="0"/>
  </r>
  <r>
    <n v="3000003045"/>
    <d v="2026-07-13T00:00:00"/>
    <n v="6132962.7300000004"/>
    <s v="BESTANI JUAN JOSE SAN MIGUEL DE TUCUMAN 14"/>
    <x v="2215"/>
    <n v="6132962.7300000004"/>
    <x v="282"/>
    <x v="0"/>
    <s v="pagado"/>
    <s v="pagado"/>
    <s v="excluir"/>
    <s v="no semana"/>
    <x v="0"/>
  </r>
  <r>
    <n v="3000004341"/>
    <d v="2026-07-15T00:00:00"/>
    <n v="20000000"/>
    <s v="GAR S.A SAN MIGUEL DE TUCUMAN 14"/>
    <x v="2216"/>
    <n v="20000000"/>
    <x v="271"/>
    <x v="0"/>
    <s v="pagado"/>
    <s v="pagado"/>
    <s v="excluir"/>
    <s v="no semana"/>
    <x v="0"/>
  </r>
  <r>
    <n v="3000004341"/>
    <d v="2026-07-15T00:00:00"/>
    <n v="16379416.83"/>
    <s v="GAR S.A SAN MIGUEL DE TUCUMAN 14"/>
    <x v="2217"/>
    <n v="16379416.83"/>
    <x v="284"/>
    <x v="0"/>
    <s v="pagado"/>
    <s v="pagado"/>
    <s v="excluir"/>
    <s v="no semana"/>
    <x v="0"/>
  </r>
  <r>
    <n v="3000004340"/>
    <d v="2026-07-15T00:00:00"/>
    <n v="5236393.82"/>
    <s v="CAPITAN CORTES SACIFIYA Puerto Nuevo 01"/>
    <x v="2218"/>
    <n v="5236393.82"/>
    <x v="284"/>
    <x v="0"/>
    <s v="pagado"/>
    <s v="pagado"/>
    <s v="excluir"/>
    <s v="no semana"/>
    <x v="0"/>
  </r>
  <r>
    <n v="3000004342"/>
    <d v="2026-07-15T00:00:00"/>
    <n v="20916741.260000002"/>
    <s v="CONTROL UNION NORTE S.A YERBA BUENA 14"/>
    <x v="2219"/>
    <n v="20916741.260000002"/>
    <x v="284"/>
    <x v="0"/>
    <s v="pagado"/>
    <s v="pagado"/>
    <s v="excluir"/>
    <s v="no semana"/>
    <x v="0"/>
  </r>
  <r>
    <n v="3000004343"/>
    <d v="2026-07-15T00:00:00"/>
    <n v="8539093.4000000004"/>
    <s v="LANCHELA HECTOR ROLANDO CONCEPCION 14"/>
    <x v="2220"/>
    <n v="8539093.4000000004"/>
    <x v="284"/>
    <x v="0"/>
    <s v="pagado"/>
    <s v="pagado"/>
    <s v="excluir"/>
    <s v="no semana"/>
    <x v="0"/>
  </r>
  <r>
    <n v="3000004344"/>
    <d v="2026-07-15T00:00:00"/>
    <n v="11518182.73"/>
    <s v="JACQUET NORBERTO SALVADOR SAN JOSE 05"/>
    <x v="2221"/>
    <n v="11518182.73"/>
    <x v="284"/>
    <x v="0"/>
    <s v="pagado"/>
    <s v="pagado"/>
    <s v="excluir"/>
    <s v="no semana"/>
    <x v="0"/>
  </r>
  <r>
    <n v="3000004345"/>
    <d v="2026-07-15T00:00:00"/>
    <n v="16235667.48"/>
    <s v="TRANSPORTE FRIOS DEL NORTE S.RSAN MIGUEL DE TUCUMAN 14"/>
    <x v="2222"/>
    <n v="16235667.48"/>
    <x v="284"/>
    <x v="0"/>
    <s v="pagado"/>
    <s v="pagado"/>
    <s v="excluir"/>
    <s v="no semana"/>
    <x v="0"/>
  </r>
  <r>
    <n v="3000004346"/>
    <d v="2026-07-15T00:00:00"/>
    <n v="13166941.689999999"/>
    <s v="ACOSTA ROQUE RAMON SAN MIGUEL DE TUCUMAN 14"/>
    <x v="2223"/>
    <n v="13166941.689999999"/>
    <x v="284"/>
    <x v="0"/>
    <s v="pagado"/>
    <s v="pagado"/>
    <s v="excluir"/>
    <s v="no semana"/>
    <x v="0"/>
  </r>
  <r>
    <n v="3000004347"/>
    <d v="2026-07-15T00:00:00"/>
    <n v="10566361.52"/>
    <s v="MAC DONALD MIGUEL ALEJANDRO BANDA DEL RIO SALI 14"/>
    <x v="2224"/>
    <n v="10566361.52"/>
    <x v="284"/>
    <x v="0"/>
    <s v="pagado"/>
    <s v="pagado"/>
    <s v="excluir"/>
    <s v="no semana"/>
    <x v="0"/>
  </r>
  <r>
    <n v="3000004348"/>
    <d v="2026-07-15T00:00:00"/>
    <n v="19087807.280000001"/>
    <s v="TORRES JUAN RAMON ALDERETES 14"/>
    <x v="2225"/>
    <n v="19087807.280000001"/>
    <x v="284"/>
    <x v="0"/>
    <s v="pagado"/>
    <s v="pagado"/>
    <s v="excluir"/>
    <s v="no semana"/>
    <x v="0"/>
  </r>
  <r>
    <n v="3000004349"/>
    <d v="2026-07-15T00:00:00"/>
    <n v="5256841.4000000004"/>
    <s v="HERRERA RICARDO ALBERTO BANDA DEL RIO SALI 14"/>
    <x v="2226"/>
    <n v="5256841.4000000004"/>
    <x v="284"/>
    <x v="0"/>
    <s v="pagado"/>
    <s v="pagado"/>
    <s v="excluir"/>
    <s v="no semana"/>
    <x v="0"/>
  </r>
  <r>
    <n v="3000004350"/>
    <d v="2026-07-15T00:00:00"/>
    <n v="5749016.1100000003"/>
    <s v="GONZALEZ JOSE LUIS CONCEPCION 14"/>
    <x v="2227"/>
    <n v="5749016.1100000003"/>
    <x v="284"/>
    <x v="0"/>
    <s v="pagado"/>
    <s v="pagado"/>
    <s v="excluir"/>
    <s v="no semana"/>
    <x v="0"/>
  </r>
  <r>
    <n v="3000004351"/>
    <d v="2026-07-15T00:00:00"/>
    <n v="20100625.23"/>
    <s v="CAPETTA ANTONELLA ANAHI SAN MIGUEL DE TUCUMAN 14"/>
    <x v="2228"/>
    <n v="20100625.23"/>
    <x v="284"/>
    <x v="0"/>
    <s v="pagado"/>
    <s v="pagado"/>
    <s v="excluir"/>
    <s v="no semana"/>
    <x v="0"/>
  </r>
  <r>
    <n v="3000004352"/>
    <d v="2026-07-15T00:00:00"/>
    <n v="17042210.379999999"/>
    <s v="RL SOLUCIONES S. A. S. SAN MIGUEL DE TUCUMAN 14"/>
    <x v="2229"/>
    <n v="17042210.379999999"/>
    <x v="284"/>
    <x v="0"/>
    <s v="pagado"/>
    <s v="pagado"/>
    <s v="excluir"/>
    <s v="no semana"/>
    <x v="0"/>
  </r>
  <r>
    <n v="3000004353"/>
    <d v="2026-07-15T00:00:00"/>
    <n v="5520914.6299999999"/>
    <s v="Vaquera Francisco Alfredo Monteros 14"/>
    <x v="2230"/>
    <n v="5520914.6299999999"/>
    <x v="284"/>
    <x v="0"/>
    <s v="pagado"/>
    <s v="pagado"/>
    <s v="excluir"/>
    <s v="no semana"/>
    <x v="0"/>
  </r>
  <r>
    <n v="3000004354"/>
    <d v="2026-07-15T00:00:00"/>
    <n v="6419237.9100000001"/>
    <s v="Gonzalez Jose Luis Lastenia 14"/>
    <x v="2231"/>
    <n v="6419237.9100000001"/>
    <x v="284"/>
    <x v="0"/>
    <s v="pagado"/>
    <s v="pagado"/>
    <s v="excluir"/>
    <s v="no semana"/>
    <x v="0"/>
  </r>
  <r>
    <n v="3000004355"/>
    <d v="2026-07-15T00:00:00"/>
    <n v="5945350.1200000001"/>
    <s v="Robles Angel Gabriel San Miguel de Tucuman 14"/>
    <x v="2232"/>
    <n v="5945350.1200000001"/>
    <x v="284"/>
    <x v="0"/>
    <s v="pagado"/>
    <s v="pagado"/>
    <s v="excluir"/>
    <s v="no semana"/>
    <x v="0"/>
  </r>
  <r>
    <n v="3000004391"/>
    <d v="2026-07-17T00:00:00"/>
    <n v="4500000"/>
    <s v=". TUCUMAN"/>
    <x v="2233"/>
    <n v="4500000"/>
    <x v="284"/>
    <x v="0"/>
    <s v="pagado"/>
    <s v="pagado"/>
    <s v="excluir"/>
    <s v="no semana"/>
    <x v="0"/>
  </r>
  <r>
    <n v="3000004392"/>
    <d v="2026-07-17T00:00:00"/>
    <n v="1233278"/>
    <s v="Fondo Fijo Administracion CitrNO TIENE"/>
    <x v="2234"/>
    <n v="1233278"/>
    <x v="284"/>
    <x v="0"/>
    <s v="pagado"/>
    <s v="pagado"/>
    <s v="excluir"/>
    <s v="no semana"/>
    <x v="0"/>
  </r>
  <r>
    <n v="3000004469"/>
    <d v="2026-07-20T00:00:00"/>
    <n v="22733841.359999999"/>
    <s v="CAPETTA ANTONELLA ANAHI SAN MIGUEL DE TUCUMAN 14"/>
    <x v="2235"/>
    <n v="22733841.359999999"/>
    <x v="285"/>
    <x v="0"/>
    <s v="pagado"/>
    <s v="pagado"/>
    <s v="excluir"/>
    <s v="no semana"/>
    <x v="0"/>
  </r>
  <r>
    <n v="3000004470"/>
    <d v="2026-07-20T00:00:00"/>
    <n v="19156407.719999999"/>
    <s v="Consultoria en Tecnologia de IBUENOS AIRES 00"/>
    <x v="2236"/>
    <n v="19156407.719999999"/>
    <x v="285"/>
    <x v="0"/>
    <s v="pagado"/>
    <s v="pagado"/>
    <s v="excluir"/>
    <s v="no semana"/>
    <x v="0"/>
  </r>
  <r>
    <n v="3000004471"/>
    <d v="2026-07-20T00:00:00"/>
    <n v="20646345.800000001"/>
    <s v="ANTONELLI Hnos. S.H SAN MIGUEL DE TUCUMAN 14"/>
    <x v="2237"/>
    <n v="20646345.800000001"/>
    <x v="285"/>
    <x v="0"/>
    <s v="pagado"/>
    <s v="pagado"/>
    <s v="excluir"/>
    <s v="no semana"/>
    <x v="0"/>
  </r>
  <r>
    <n v="3000004472"/>
    <d v="2026-07-20T00:00:00"/>
    <n v="11461364.26"/>
    <s v="SMART SEGURIDAD SA YERBA BUENA 14"/>
    <x v="2238"/>
    <n v="11461364.26"/>
    <x v="285"/>
    <x v="0"/>
    <s v="pagado"/>
    <s v="pagado"/>
    <s v="excluir"/>
    <s v="no semana"/>
    <x v="0"/>
  </r>
  <r>
    <n v="3000004473"/>
    <d v="2026-07-20T00:00:00"/>
    <n v="7353600.2999999998"/>
    <s v="ROMERO SERVICIOS S. A. S. ALPACHIRI 14"/>
    <x v="2239"/>
    <n v="7353600.2999999998"/>
    <x v="285"/>
    <x v="0"/>
    <s v="pagado"/>
    <s v="pagado"/>
    <s v="excluir"/>
    <s v="no semana"/>
    <x v="0"/>
  </r>
  <r>
    <n v="3000004474"/>
    <d v="2026-07-20T00:00:00"/>
    <n v="6408915.9000000004"/>
    <s v="FERRO JOSE NICOLAS FAMAILLA 14"/>
    <x v="2240"/>
    <n v="6408915.9000000004"/>
    <x v="285"/>
    <x v="0"/>
    <s v="pagado"/>
    <s v="pagado"/>
    <s v="excluir"/>
    <s v="no semana"/>
    <x v="0"/>
  </r>
  <r>
    <n v="3000004475"/>
    <d v="2026-07-20T00:00:00"/>
    <n v="11405380"/>
    <s v="LA 10 SRL SAN MIGUEL DE TUCUMAN 14"/>
    <x v="2241"/>
    <n v="11405380"/>
    <x v="285"/>
    <x v="0"/>
    <s v="pagado"/>
    <s v="pagado"/>
    <s v="excluir"/>
    <s v="no semana"/>
    <x v="0"/>
  </r>
  <r>
    <n v="3000004476"/>
    <d v="2026-07-20T00:00:00"/>
    <n v="14694000"/>
    <s v="SANCHEZ MOLINA CAMILA INES HIPOLITO YRIGOYEN 09"/>
    <x v="2242"/>
    <n v="14694000"/>
    <x v="285"/>
    <x v="0"/>
    <s v="pagado"/>
    <s v="pagado"/>
    <s v="excluir"/>
    <s v="no semana"/>
    <x v="0"/>
  </r>
  <r>
    <n v="3000004477"/>
    <d v="2026-07-20T00:00:00"/>
    <n v="15376417.08"/>
    <s v="TRANSPORTE FRIOS DEL NORTE S.RSAN MIGUEL DE TUCUMAN 14"/>
    <x v="2243"/>
    <n v="15376417.08"/>
    <x v="285"/>
    <x v="0"/>
    <s v="pagado"/>
    <s v="pagado"/>
    <s v="excluir"/>
    <s v="no semana"/>
    <x v="0"/>
  </r>
  <r>
    <n v="3000004478"/>
    <d v="2026-07-20T00:00:00"/>
    <n v="5234927.92"/>
    <s v="MANLLA LEANDRO GERMAN TERMAS DE RIO HONDO 13"/>
    <x v="2244"/>
    <n v="5234927.92"/>
    <x v="285"/>
    <x v="0"/>
    <s v="pagado"/>
    <s v="pagado"/>
    <s v="excluir"/>
    <s v="no semana"/>
    <x v="0"/>
  </r>
  <r>
    <n v="3000004479"/>
    <d v="2026-07-20T00:00:00"/>
    <n v="5777004.5099999998"/>
    <s v="FERNANDEZ HECTOR JOSE SIMOCA 14"/>
    <x v="2245"/>
    <n v="5777004.5099999998"/>
    <x v="285"/>
    <x v="0"/>
    <s v="pagado"/>
    <s v="pagado"/>
    <s v="excluir"/>
    <s v="no semana"/>
    <x v="0"/>
  </r>
  <r>
    <n v="3000004480"/>
    <d v="2026-07-20T00:00:00"/>
    <n v="20659765.75"/>
    <s v="MAGNONE S. A. CIUDAD AUTONOMA BUENOS AIRES 00"/>
    <x v="2246"/>
    <n v="20659765.75"/>
    <x v="285"/>
    <x v="0"/>
    <s v="pagado"/>
    <s v="pagado"/>
    <s v="excluir"/>
    <s v="no semana"/>
    <x v="0"/>
  </r>
  <r>
    <n v="3000004481"/>
    <d v="2026-07-20T00:00:00"/>
    <n v="33765919.299999997"/>
    <s v="LA MARTINA SERV. AGRICOLAS S.RSAN PABLO 14"/>
    <x v="2247"/>
    <n v="33765919.299999997"/>
    <x v="285"/>
    <x v="0"/>
    <s v="pagado"/>
    <s v="pagado"/>
    <s v="excluir"/>
    <s v="no semana"/>
    <x v="0"/>
  </r>
  <r>
    <n v="3000004482"/>
    <d v="2026-07-20T00:00:00"/>
    <n v="11739889.42"/>
    <s v="AGROPECUARIA MUNDO NUEVO SRL SAN PABLO 14"/>
    <x v="2248"/>
    <n v="11739889.42"/>
    <x v="285"/>
    <x v="0"/>
    <s v="pagado"/>
    <s v="pagado"/>
    <s v="excluir"/>
    <s v="no semana"/>
    <x v="0"/>
  </r>
  <r>
    <n v="3000004483"/>
    <d v="2026-07-21T00:00:00"/>
    <n v="11000000"/>
    <s v="NUVE AGRO S.A.S. SAN MIGUEL DE TUCUMAN 14"/>
    <x v="2249"/>
    <n v="11000000"/>
    <x v="286"/>
    <x v="0"/>
    <s v="no pagado"/>
    <s v="en periodo de pago"/>
    <s v="proximo a vencer"/>
    <s v="para la semana"/>
    <x v="0"/>
  </r>
  <r>
    <n v="3000004483"/>
    <d v="2026-07-21T00:00:00"/>
    <n v="10124650.75"/>
    <s v="NUVE AGRO S.A.S. SAN MIGUEL DE TUCUMAN 14"/>
    <x v="2250"/>
    <n v="10124650.75"/>
    <x v="287"/>
    <x v="0"/>
    <s v="no pagado"/>
    <s v="en periodo de pago"/>
    <s v="proximo a vencer"/>
    <s v="no semana"/>
    <x v="0"/>
  </r>
  <r>
    <n v="3000004484"/>
    <d v="2026-07-21T00:00:00"/>
    <n v="25899764.850000001"/>
    <s v="PAMPLONA SRL SAN MIGUEL DE TUCUMAN 14"/>
    <x v="2251"/>
    <n v="25899764.850000001"/>
    <x v="288"/>
    <x v="0"/>
    <s v="pagado"/>
    <s v="pagado"/>
    <s v="excluir"/>
    <s v="no semana"/>
    <x v="0"/>
  </r>
  <r>
    <n v="3000004524"/>
    <d v="2026-07-21T00:00:00"/>
    <n v="11087231.119999999"/>
    <s v="JACQUET NORBERTO SALVADOR SAN JOSE 05"/>
    <x v="2252"/>
    <n v="11087231.119999999"/>
    <x v="288"/>
    <x v="0"/>
    <s v="pagado"/>
    <s v="pagado"/>
    <s v="excluir"/>
    <s v="no semana"/>
    <x v="0"/>
  </r>
  <r>
    <n v="3000004525"/>
    <d v="2026-07-21T00:00:00"/>
    <n v="39978684.420000002"/>
    <s v="TRANSPORTE FRIOS DEL NORTE S.RSAN MIGUEL DE TUCUMAN 14"/>
    <x v="2253"/>
    <n v="39978684.420000002"/>
    <x v="288"/>
    <x v="0"/>
    <s v="pagado"/>
    <s v="pagado"/>
    <s v="excluir"/>
    <s v="no semana"/>
    <x v="0"/>
  </r>
  <r>
    <n v="3000004526"/>
    <d v="2026-07-21T00:00:00"/>
    <n v="18202167.920000002"/>
    <s v="TRUSARELLI CARLOS ALBERTO BANDA DEL RIO SALI 14"/>
    <x v="2254"/>
    <n v="18202167.920000002"/>
    <x v="288"/>
    <x v="0"/>
    <s v="pagado"/>
    <s v="pagado"/>
    <s v="excluir"/>
    <s v="no semana"/>
    <x v="0"/>
  </r>
  <r>
    <n v="3000004527"/>
    <d v="2026-07-21T00:00:00"/>
    <n v="7920167.9199999999"/>
    <s v="BUSTOS GUILLERMO DARIO ALDERETES 14"/>
    <x v="2255"/>
    <n v="7920167.9199999999"/>
    <x v="288"/>
    <x v="0"/>
    <s v="pagado"/>
    <s v="pagado"/>
    <s v="excluir"/>
    <s v="no semana"/>
    <x v="0"/>
  </r>
  <r>
    <n v="3000004528"/>
    <d v="2026-07-21T00:00:00"/>
    <n v="33109439.16"/>
    <s v="GAR S.A SAN MIGUEL DE TUCUMAN 14"/>
    <x v="2256"/>
    <n v="33109439.16"/>
    <x v="288"/>
    <x v="0"/>
    <s v="pagado"/>
    <s v="pagado"/>
    <s v="excluir"/>
    <s v="no semana"/>
    <x v="0"/>
  </r>
  <r>
    <n v="3000004529"/>
    <d v="2026-07-21T00:00:00"/>
    <n v="10067805.58"/>
    <s v="PERATO CRISTIAN LUIS BANDA DEL RIO SALI 14"/>
    <x v="2257"/>
    <n v="10067805.58"/>
    <x v="288"/>
    <x v="0"/>
    <s v="pagado"/>
    <s v="pagado"/>
    <s v="excluir"/>
    <s v="no semana"/>
    <x v="0"/>
  </r>
  <r>
    <n v="3000004530"/>
    <d v="2026-07-21T00:00:00"/>
    <n v="11350142.369999999"/>
    <s v="RL SOLUCIONES S. A. S. SAN MIGUEL DE TUCUMAN 14"/>
    <x v="2258"/>
    <n v="11350142.369999999"/>
    <x v="288"/>
    <x v="0"/>
    <s v="pagado"/>
    <s v="pagado"/>
    <s v="excluir"/>
    <s v="no semana"/>
    <x v="0"/>
  </r>
  <r>
    <n v="3000004537"/>
    <d v="2026-07-22T00:00:00"/>
    <n v="43955280"/>
    <s v="EDET S.A. SAN MIGUEL DE TUCUMAN 14"/>
    <x v="2259"/>
    <n v="43955280"/>
    <x v="278"/>
    <x v="0"/>
    <s v="pagado"/>
    <s v="pagado"/>
    <s v="excluir"/>
    <s v="no semana"/>
    <x v="0"/>
  </r>
  <r>
    <n v="3000004672"/>
    <d v="2026-07-27T00:00:00"/>
    <n v="4099325.68"/>
    <s v="TRANSPORTE MEDINA S.H. CRUZ ALTA 14"/>
    <x v="2260"/>
    <n v="4099325.68"/>
    <x v="289"/>
    <x v="0"/>
    <s v="pagado"/>
    <s v="pagado"/>
    <s v="excluir"/>
    <s v="no semana"/>
    <x v="0"/>
  </r>
  <r>
    <n v="3000004661"/>
    <d v="2026-07-28T00:00:00"/>
    <n v="10488239.15"/>
    <s v="VILLAGRA VELEZ ROQUE RICARDO SAN MIGUEL DE TUCUMAN 14"/>
    <x v="2261"/>
    <n v="10488239.15"/>
    <x v="289"/>
    <x v="0"/>
    <s v="pagado"/>
    <s v="pagado"/>
    <s v="excluir"/>
    <s v="no semana"/>
    <x v="0"/>
  </r>
  <r>
    <n v="3000004662"/>
    <d v="2026-07-28T00:00:00"/>
    <n v="5042700.57"/>
    <s v="MG SERVICIOS AGROPECUARIOS SASTAFI VIEJO 14"/>
    <x v="2262"/>
    <n v="5042700.57"/>
    <x v="289"/>
    <x v="0"/>
    <s v="pagado"/>
    <s v="pagado"/>
    <s v="excluir"/>
    <s v="no semana"/>
    <x v="0"/>
  </r>
  <r>
    <n v="3000004663"/>
    <d v="2026-07-28T00:00:00"/>
    <n v="8354146"/>
    <s v="ASOCIACION TECNOLOGICA CORDOBACORDOBA 03"/>
    <x v="2263"/>
    <n v="8354146"/>
    <x v="289"/>
    <x v="0"/>
    <s v="pagado"/>
    <s v="pagado"/>
    <s v="excluir"/>
    <s v="no semana"/>
    <x v="0"/>
  </r>
  <r>
    <n v="3000004664"/>
    <d v="2026-07-28T00:00:00"/>
    <n v="7500000"/>
    <s v="Muñoz Silvia Liliana Capital Federal 00"/>
    <x v="2264"/>
    <n v="7500000"/>
    <x v="289"/>
    <x v="0"/>
    <s v="pagado"/>
    <s v="pagado"/>
    <s v="excluir"/>
    <s v="no semana"/>
    <x v="0"/>
  </r>
  <r>
    <n v="3000004665"/>
    <d v="2026-07-28T00:00:00"/>
    <n v="45669992.840000004"/>
    <s v="ROMERO SERVICIOS S. A. S. ALPACHIRI 14"/>
    <x v="2265"/>
    <n v="45669992.840000004"/>
    <x v="289"/>
    <x v="0"/>
    <s v="pagado"/>
    <s v="pagado"/>
    <s v="excluir"/>
    <s v="no semana"/>
    <x v="0"/>
  </r>
  <r>
    <n v="3000004666"/>
    <d v="2026-07-28T00:00:00"/>
    <n v="6316433.0099999998"/>
    <s v="SUAREZ MANUEL RODOLFO ALDERETES 14"/>
    <x v="2266"/>
    <n v="6316433.0099999998"/>
    <x v="289"/>
    <x v="0"/>
    <s v="pagado"/>
    <s v="pagado"/>
    <s v="excluir"/>
    <s v="no semana"/>
    <x v="0"/>
  </r>
  <r>
    <n v="3000004667"/>
    <d v="2026-07-28T00:00:00"/>
    <n v="11501432.369999999"/>
    <s v="Expreso Bisonte S.R.L. BANDA DEL RIO SALI 14"/>
    <x v="2267"/>
    <n v="11501432.369999999"/>
    <x v="289"/>
    <x v="0"/>
    <s v="pagado"/>
    <s v="pagado"/>
    <s v="excluir"/>
    <s v="no semana"/>
    <x v="0"/>
  </r>
  <r>
    <n v="3000004668"/>
    <d v="2026-07-28T00:00:00"/>
    <n v="15516146.66"/>
    <s v="BARBARISI JUAREZ PABLO EMANUELSAN JUAN 10"/>
    <x v="2268"/>
    <n v="15516146.66"/>
    <x v="289"/>
    <x v="0"/>
    <s v="pagado"/>
    <s v="pagado"/>
    <s v="excluir"/>
    <s v="no semana"/>
    <x v="0"/>
  </r>
  <r>
    <n v="3000004669"/>
    <d v="2026-07-28T00:00:00"/>
    <n v="37344496.280000001"/>
    <s v="CAPETTA ANTONELLA ANAHI SAN MIGUEL DE TUCUMAN 14"/>
    <x v="2269"/>
    <n v="37344496.280000001"/>
    <x v="289"/>
    <x v="0"/>
    <s v="pagado"/>
    <s v="pagado"/>
    <s v="excluir"/>
    <s v="no semana"/>
    <x v="0"/>
  </r>
  <r>
    <n v="3000004670"/>
    <d v="2026-07-28T00:00:00"/>
    <n v="11831043.35"/>
    <s v="RL SOLUCIONES S. A. S. SAN MIGUEL DE TUCUMAN 14"/>
    <x v="2270"/>
    <n v="11831043.35"/>
    <x v="289"/>
    <x v="0"/>
    <s v="pagado"/>
    <s v="pagado"/>
    <s v="excluir"/>
    <s v="no semana"/>
    <x v="0"/>
  </r>
  <r>
    <n v="3000004671"/>
    <d v="2026-07-28T00:00:00"/>
    <n v="7650430.1399999997"/>
    <s v="Pedro Carolina Alejandra ALDERETES 14"/>
    <x v="2271"/>
    <n v="7650430.1399999997"/>
    <x v="289"/>
    <x v="0"/>
    <s v="pagado"/>
    <s v="pagado"/>
    <s v="excluir"/>
    <s v="no semana"/>
    <x v="0"/>
  </r>
  <r>
    <n v="3000004700"/>
    <d v="2026-07-28T00:00:00"/>
    <n v="7283525.3799999999"/>
    <s v="Sanchez Jose Mauricio San Miguel de Tucuman 14"/>
    <x v="2272"/>
    <n v="7283525.3799999999"/>
    <x v="290"/>
    <x v="0"/>
    <s v="pagado"/>
    <s v="pagado"/>
    <s v="excluir"/>
    <s v="no semana"/>
    <x v="0"/>
  </r>
  <r>
    <n v="3000004701"/>
    <d v="2026-07-28T00:00:00"/>
    <n v="6709593.46"/>
    <s v="Pedro Carolina Alejandra ALDERETES 14"/>
    <x v="2273"/>
    <n v="6709593.46"/>
    <x v="290"/>
    <x v="0"/>
    <s v="pagado"/>
    <s v="pagado"/>
    <s v="excluir"/>
    <s v="no semana"/>
    <x v="0"/>
  </r>
  <r>
    <n v="3000004702"/>
    <d v="2026-07-28T00:00:00"/>
    <n v="8044675.6399999997"/>
    <s v="SANTILLI CARLOS MIGUEL SAN MIGUEL DE TUCUMAN 14"/>
    <x v="2274"/>
    <n v="8044675.6399999997"/>
    <x v="290"/>
    <x v="0"/>
    <s v="pagado"/>
    <s v="pagado"/>
    <s v="excluir"/>
    <s v="no semana"/>
    <x v="0"/>
  </r>
  <r>
    <n v="3000004703"/>
    <d v="2026-07-28T00:00:00"/>
    <n v="20407800"/>
    <s v="LATCOMEX SA CAPITAL FEDERAL 00"/>
    <x v="2275"/>
    <n v="20407800"/>
    <x v="290"/>
    <x v="0"/>
    <s v="pagado"/>
    <s v="pagado"/>
    <s v="excluir"/>
    <s v="no semana"/>
    <x v="0"/>
  </r>
  <r>
    <n v="3000004704"/>
    <d v="2026-07-28T00:00:00"/>
    <n v="27129969.649999999"/>
    <s v="M DODERO COMPANIA GRAL DE SERVCIUDAD AUTONOMA DE BUENOS AIRES 01"/>
    <x v="2276"/>
    <n v="27129969.649999999"/>
    <x v="290"/>
    <x v="0"/>
    <s v="pagado"/>
    <s v="pagado"/>
    <s v="excluir"/>
    <s v="no semana"/>
    <x v="0"/>
  </r>
  <r>
    <n v="3000004705"/>
    <d v="2026-07-28T00:00:00"/>
    <n v="18868422.68"/>
    <s v="ALDO A. MILITELLO GRUAS Y TRANMaipu 07"/>
    <x v="2277"/>
    <n v="18868422.68"/>
    <x v="290"/>
    <x v="0"/>
    <s v="pagado"/>
    <s v="pagado"/>
    <s v="excluir"/>
    <s v="no semana"/>
    <x v="0"/>
  </r>
  <r>
    <n v="3000004706"/>
    <d v="2026-07-28T00:00:00"/>
    <n v="27158985"/>
    <s v="TRANSPORTE FRIOS DEL NORTE S.RSAN MIGUEL DE TUCUMAN 14"/>
    <x v="2278"/>
    <n v="27158985"/>
    <x v="290"/>
    <x v="0"/>
    <s v="pagado"/>
    <s v="pagado"/>
    <s v="excluir"/>
    <s v="no semana"/>
    <x v="0"/>
  </r>
  <r>
    <n v="3000004707"/>
    <d v="2026-07-28T00:00:00"/>
    <n v="16283235.300000001"/>
    <s v="CEMEVA SAS YERBA BUENA 14"/>
    <x v="2279"/>
    <n v="16283235.300000001"/>
    <x v="290"/>
    <x v="0"/>
    <s v="pagado"/>
    <s v="pagado"/>
    <s v="excluir"/>
    <s v="no semana"/>
    <x v="0"/>
  </r>
  <r>
    <n v="3000004708"/>
    <d v="2026-07-28T00:00:00"/>
    <n v="10504023.1"/>
    <s v="Transporte CDC S.A. CAPITAL FEDERAL 00"/>
    <x v="2280"/>
    <n v="10504023.1"/>
    <x v="290"/>
    <x v="0"/>
    <s v="pagado"/>
    <s v="pagado"/>
    <s v="excluir"/>
    <s v="no semana"/>
    <x v="0"/>
  </r>
  <r>
    <n v="3000004709"/>
    <d v="2026-07-28T00:00:00"/>
    <n v="21831600"/>
    <s v="Rutas Servicios Integrales SRLCapital Federal 00"/>
    <x v="2281"/>
    <n v="21831600"/>
    <x v="290"/>
    <x v="0"/>
    <s v="pagado"/>
    <s v="pagado"/>
    <s v="excluir"/>
    <s v="no semana"/>
    <x v="0"/>
  </r>
  <r>
    <n v="3000004710"/>
    <d v="2026-07-28T00:00:00"/>
    <n v="8400733.9900000002"/>
    <s v="GONZALEZ JOSE LUIS CONCEPCION 14"/>
    <x v="2282"/>
    <n v="8400733.9900000002"/>
    <x v="290"/>
    <x v="0"/>
    <s v="pagado"/>
    <s v="pagado"/>
    <s v="excluir"/>
    <s v="no semana"/>
    <x v="0"/>
  </r>
  <r>
    <n v="3000004711"/>
    <d v="2026-07-28T00:00:00"/>
    <n v="30083865.960000001"/>
    <s v="GAR S.A SAN MIGUEL DE TUCUMAN 14"/>
    <x v="2283"/>
    <n v="30083865.960000001"/>
    <x v="290"/>
    <x v="0"/>
    <s v="pagado"/>
    <s v="pagado"/>
    <s v="excluir"/>
    <s v="no semana"/>
    <x v="0"/>
  </r>
  <r>
    <n v="3000004712"/>
    <d v="2026-07-28T00:00:00"/>
    <n v="16006021.18"/>
    <s v="FERNANDEZ HECTOR JOSE SIMOCA 14"/>
    <x v="2284"/>
    <n v="16006021.18"/>
    <x v="290"/>
    <x v="0"/>
    <s v="pagado"/>
    <s v="pagado"/>
    <s v="excluir"/>
    <s v="no semana"/>
    <x v="0"/>
  </r>
  <r>
    <n v="3000004713"/>
    <d v="2026-07-28T00:00:00"/>
    <n v="6841482.0199999996"/>
    <s v="LANCHELA HECTOR ROLANDO CONCEPCION 14"/>
    <x v="2285"/>
    <n v="6841482.0199999996"/>
    <x v="290"/>
    <x v="0"/>
    <s v="pagado"/>
    <s v="pagado"/>
    <s v="excluir"/>
    <s v="no semana"/>
    <x v="0"/>
  </r>
  <r>
    <n v="3000004714"/>
    <d v="2026-07-28T00:00:00"/>
    <n v="13769881.73"/>
    <s v="JACQUET NORBERTO SALVADOR SAN JOSE 05"/>
    <x v="2286"/>
    <n v="13769881.73"/>
    <x v="290"/>
    <x v="0"/>
    <s v="pagado"/>
    <s v="pagado"/>
    <s v="excluir"/>
    <s v="no semana"/>
    <x v="0"/>
  </r>
  <r>
    <n v="3000004765"/>
    <d v="2026-07-29T00:00:00"/>
    <n v="1005781.98"/>
    <s v="Fondo Fijo Administracion CitrNO TIENE"/>
    <x v="2287"/>
    <n v="1005781.98"/>
    <x v="290"/>
    <x v="0"/>
    <s v="pagado"/>
    <s v="pagado"/>
    <s v="excluir"/>
    <s v="no semana"/>
    <x v="0"/>
  </r>
  <r>
    <n v="3000004837"/>
    <d v="2026-08-03T00:00:00"/>
    <n v="5762882.5300000003"/>
    <s v="LOGISTICA INTERNACIONAL S.A SAN MIGUEL DE TUCUMAN 14"/>
    <x v="2288"/>
    <n v="5762882.5300000003"/>
    <x v="267"/>
    <x v="0"/>
    <s v="pagado"/>
    <s v="pagado"/>
    <s v="excluir"/>
    <s v="no semana"/>
    <x v="0"/>
  </r>
  <r>
    <n v="3000004838"/>
    <d v="2026-08-03T00:00:00"/>
    <n v="7479389.4400000004"/>
    <s v="EXCELENCIA OPERACIONAL SRL CIUDAD AUTONOMA DE BUENOS AIRES 00"/>
    <x v="2289"/>
    <n v="7479389.4400000004"/>
    <x v="267"/>
    <x v="0"/>
    <s v="pagado"/>
    <s v="pagado"/>
    <s v="excluir"/>
    <s v="no semana"/>
    <x v="0"/>
  </r>
  <r>
    <n v="3000004839"/>
    <d v="2026-08-03T00:00:00"/>
    <n v="6873096"/>
    <s v="BERCOVICH COMERCIAL SAS SAN MIGUEL DE TUCUMAN 14"/>
    <x v="2290"/>
    <n v="6873096"/>
    <x v="267"/>
    <x v="0"/>
    <s v="pagado"/>
    <s v="pagado"/>
    <s v="excluir"/>
    <s v="no semana"/>
    <x v="0"/>
  </r>
  <r>
    <n v="3000004840"/>
    <d v="2026-08-03T00:00:00"/>
    <n v="7558680"/>
    <s v="GIL ISABEL CRISTINA SAN MIGUEL DE TUCUMAN 14"/>
    <x v="2291"/>
    <n v="7558680"/>
    <x v="267"/>
    <x v="0"/>
    <s v="pagado"/>
    <s v="pagado"/>
    <s v="excluir"/>
    <s v="no semana"/>
    <x v="0"/>
  </r>
  <r>
    <n v="3000004841"/>
    <d v="2026-08-03T00:00:00"/>
    <n v="5265058.3"/>
    <s v="PERATO LUIS ALBERTO BANDA DEL RIO SALI 14"/>
    <x v="2292"/>
    <n v="5265058.3"/>
    <x v="267"/>
    <x v="0"/>
    <s v="pagado"/>
    <s v="pagado"/>
    <s v="excluir"/>
    <s v="no semana"/>
    <x v="0"/>
  </r>
  <r>
    <n v="3000004842"/>
    <d v="2026-08-03T00:00:00"/>
    <n v="12753742.130000001"/>
    <s v="Transportes La Sevillanita S.RALDERETES 14"/>
    <x v="2293"/>
    <n v="12753742.130000001"/>
    <x v="267"/>
    <x v="0"/>
    <s v="pagado"/>
    <s v="pagado"/>
    <s v="excluir"/>
    <s v="no semana"/>
    <x v="0"/>
  </r>
  <r>
    <n v="3000004843"/>
    <d v="2026-08-03T00:00:00"/>
    <n v="8188952.9199999999"/>
    <s v="MANLLA LEANDRO GERMAN TERMAS DE RIO HONDO 13"/>
    <x v="2294"/>
    <n v="8188952.9199999999"/>
    <x v="267"/>
    <x v="0"/>
    <s v="pagado"/>
    <s v="pagado"/>
    <s v="excluir"/>
    <s v="no semana"/>
    <x v="0"/>
  </r>
  <r>
    <n v="3000004844"/>
    <d v="2026-08-03T00:00:00"/>
    <n v="7959566.8600000003"/>
    <s v="BARBARISI JUAREZ PABLO EMANUELSAN JUAN 10"/>
    <x v="2295"/>
    <n v="7959566.8600000003"/>
    <x v="267"/>
    <x v="0"/>
    <s v="pagado"/>
    <s v="pagado"/>
    <s v="excluir"/>
    <s v="no semana"/>
    <x v="0"/>
  </r>
  <r>
    <n v="3000004845"/>
    <d v="2026-08-03T00:00:00"/>
    <n v="5005080"/>
    <s v="HERRERA RICARDO ALBERTO BANDA DEL RIO SALI 14"/>
    <x v="2296"/>
    <n v="5005080"/>
    <x v="267"/>
    <x v="0"/>
    <s v="pagado"/>
    <s v="pagado"/>
    <s v="excluir"/>
    <s v="no semana"/>
    <x v="0"/>
  </r>
  <r>
    <n v="3000004846"/>
    <d v="2026-08-03T00:00:00"/>
    <n v="6656402.4299999997"/>
    <s v="MULET WALTER HUMBERTO SAN MIGUEL DE TUCUMAN 14"/>
    <x v="2297"/>
    <n v="6656402.4299999997"/>
    <x v="267"/>
    <x v="0"/>
    <s v="pagado"/>
    <s v="pagado"/>
    <s v="excluir"/>
    <s v="no semana"/>
    <x v="0"/>
  </r>
  <r>
    <n v="3000004847"/>
    <d v="2026-08-03T00:00:00"/>
    <n v="14053560.390000001"/>
    <s v="CEMEVA SAS YERBA BUENA 14"/>
    <x v="2298"/>
    <n v="14053560.390000001"/>
    <x v="267"/>
    <x v="0"/>
    <s v="pagado"/>
    <s v="pagado"/>
    <s v="excluir"/>
    <s v="no semana"/>
    <x v="0"/>
  </r>
  <r>
    <n v="3000004848"/>
    <d v="2026-08-03T00:00:00"/>
    <n v="5646389.5700000003"/>
    <s v="PAEZ LEONEL EXEQUIEL MACIO 14"/>
    <x v="2299"/>
    <n v="5646389.5700000003"/>
    <x v="267"/>
    <x v="0"/>
    <s v="pagado"/>
    <s v="pagado"/>
    <s v="excluir"/>
    <s v="no semana"/>
    <x v="0"/>
  </r>
  <r>
    <n v="3000004849"/>
    <d v="2026-08-03T00:00:00"/>
    <n v="5473337.9199999999"/>
    <s v="RL SOLUCIONES S. A. S. SAN MIGUEL DE TUCUMAN 14"/>
    <x v="2300"/>
    <n v="5473337.9199999999"/>
    <x v="267"/>
    <x v="0"/>
    <s v="pagado"/>
    <s v="pagado"/>
    <s v="excluir"/>
    <s v="no semana"/>
    <x v="0"/>
  </r>
  <r>
    <n v="3000004850"/>
    <d v="2026-08-03T00:00:00"/>
    <n v="34271130.200000003"/>
    <s v="CONTROL UNION NORTE S.A YERBA BUENA 14"/>
    <x v="2301"/>
    <n v="34271130.200000003"/>
    <x v="267"/>
    <x v="0"/>
    <s v="pagado"/>
    <s v="pagado"/>
    <s v="excluir"/>
    <s v="no semana"/>
    <x v="0"/>
  </r>
  <r>
    <n v="3000004902"/>
    <d v="2026-08-05T00:00:00"/>
    <n v="2764712.92"/>
    <s v="MAC DONALD MIGUEL ALEJANDRO BANDA DEL RIO SALI 14"/>
    <x v="2302"/>
    <n v="2764712.92"/>
    <x v="267"/>
    <x v="0"/>
    <s v="pagado"/>
    <s v="pagado"/>
    <s v="excluir"/>
    <s v="no semana"/>
    <x v="0"/>
  </r>
  <r>
    <n v="3000004903"/>
    <d v="2026-08-05T00:00:00"/>
    <n v="35305119.100000001"/>
    <s v="GAR S.A SAN MIGUEL DE TUCUMAN 14"/>
    <x v="2303"/>
    <n v="35305119.100000001"/>
    <x v="291"/>
    <x v="0"/>
    <s v="pagado"/>
    <s v="pagado"/>
    <s v="excluir"/>
    <s v="no semana"/>
    <x v="0"/>
  </r>
  <r>
    <n v="3000004904"/>
    <d v="2026-08-05T00:00:00"/>
    <n v="29587417.920000002"/>
    <s v="Excer S.R.L. Buenos Aires 01"/>
    <x v="2304"/>
    <n v="29587417.920000002"/>
    <x v="291"/>
    <x v="0"/>
    <s v="pagado"/>
    <s v="pagado"/>
    <s v="excluir"/>
    <s v="no semana"/>
    <x v="0"/>
  </r>
  <r>
    <n v="3000004905"/>
    <d v="2026-08-05T00:00:00"/>
    <n v="5252179.4800000004"/>
    <s v="Transporte CDC S.A. CAPITAL FEDERAL 00"/>
    <x v="2305"/>
    <n v="5252179.4800000004"/>
    <x v="291"/>
    <x v="0"/>
    <s v="pagado"/>
    <s v="pagado"/>
    <s v="excluir"/>
    <s v="no semana"/>
    <x v="0"/>
  </r>
  <r>
    <n v="3000004906"/>
    <d v="2026-08-05T00:00:00"/>
    <n v="9432842.9199999999"/>
    <s v="TRANSPORTE FRIOS DEL NORTE S.RSAN MIGUEL DE TUCUMAN 14"/>
    <x v="2306"/>
    <n v="9432842.9199999999"/>
    <x v="291"/>
    <x v="0"/>
    <s v="pagado"/>
    <s v="pagado"/>
    <s v="excluir"/>
    <s v="no semana"/>
    <x v="0"/>
  </r>
  <r>
    <n v="3000004907"/>
    <d v="2026-08-05T00:00:00"/>
    <n v="13036315.41"/>
    <s v="TORRES JUAN RAMON ALDERETES 14"/>
    <x v="2307"/>
    <n v="13036315.41"/>
    <x v="291"/>
    <x v="0"/>
    <s v="pagado"/>
    <s v="pagado"/>
    <s v="excluir"/>
    <s v="no semana"/>
    <x v="0"/>
  </r>
  <r>
    <n v="3000004908"/>
    <d v="2026-08-05T00:00:00"/>
    <n v="8691757.9199999999"/>
    <s v="CAPETTA ANTONELLA ANAHI SAN MIGUEL DE TUCUMAN 14"/>
    <x v="2308"/>
    <n v="8691757.9199999999"/>
    <x v="291"/>
    <x v="0"/>
    <s v="pagado"/>
    <s v="pagado"/>
    <s v="excluir"/>
    <s v="no semana"/>
    <x v="0"/>
  </r>
  <r>
    <n v="3000004909"/>
    <d v="2026-08-05T00:00:00"/>
    <n v="11742840"/>
    <s v="RL SOLUCIONES S. A. S. SAN MIGUEL DE TUCUMAN 14"/>
    <x v="2309"/>
    <n v="11742840"/>
    <x v="291"/>
    <x v="0"/>
    <s v="pagado"/>
    <s v="pagado"/>
    <s v="excluir"/>
    <s v="no semana"/>
    <x v="0"/>
  </r>
  <r>
    <n v="3000004910"/>
    <d v="2026-08-05T00:00:00"/>
    <n v="8224211.8899999997"/>
    <s v="Pedro Ivan Marcelo ALDERETES 14"/>
    <x v="2310"/>
    <n v="8224211.8899999997"/>
    <x v="291"/>
    <x v="0"/>
    <s v="pagado"/>
    <s v="pagado"/>
    <s v="excluir"/>
    <s v="no semana"/>
    <x v="0"/>
  </r>
  <r>
    <n v="3000004911"/>
    <d v="2026-08-05T00:00:00"/>
    <n v="30460905.370000001"/>
    <s v="M DODERO COMPANIA GRAL DE SERVCIUDAD AUTONOMA DE BUENOS AIRES 01"/>
    <x v="2311"/>
    <n v="30460905.370000001"/>
    <x v="291"/>
    <x v="0"/>
    <s v="pagado"/>
    <s v="pagado"/>
    <s v="excluir"/>
    <s v="no semana"/>
    <x v="0"/>
  </r>
  <r>
    <n v="3000004912"/>
    <d v="2026-08-05T00:00:00"/>
    <n v="5025398.29"/>
    <s v="BONSUR SA CAPITAL FEDERAL 00"/>
    <x v="2312"/>
    <n v="5025398.29"/>
    <x v="291"/>
    <x v="0"/>
    <s v="pagado"/>
    <s v="pagado"/>
    <s v="excluir"/>
    <s v="no semana"/>
    <x v="0"/>
  </r>
  <r>
    <n v="3000004996"/>
    <d v="2026-08-10T00:00:00"/>
    <n v="25000000"/>
    <s v="MG SERVICIOS AGROPECUARIOS SASTAFI VIEJO 14"/>
    <x v="2313"/>
    <n v="25000000"/>
    <x v="292"/>
    <x v="0"/>
    <s v="pagado"/>
    <s v="pagado"/>
    <s v="excluir"/>
    <s v="no semana"/>
    <x v="0"/>
  </r>
  <r>
    <n v="3000004996"/>
    <d v="2026-08-10T00:00:00"/>
    <n v="27112251.559999999"/>
    <s v="MG SERVICIOS AGROPECUARIOS SASTAFI VIEJO 14"/>
    <x v="2314"/>
    <n v="27112251.559999999"/>
    <x v="293"/>
    <x v="0"/>
    <s v="pagado"/>
    <s v="pagado"/>
    <s v="excluir"/>
    <s v="no semana"/>
    <x v="0"/>
  </r>
  <r>
    <n v="3000005019"/>
    <d v="2026-08-10T00:00:00"/>
    <n v="25000000"/>
    <s v="PAMPLONA SRL SAN MIGUEL DE TUCUMAN 14"/>
    <x v="2315"/>
    <n v="25000000"/>
    <x v="292"/>
    <x v="0"/>
    <s v="pagado"/>
    <s v="pagado"/>
    <s v="excluir"/>
    <s v="no semana"/>
    <x v="0"/>
  </r>
  <r>
    <n v="3000005019"/>
    <d v="2026-08-10T00:00:00"/>
    <n v="28113073.309999999"/>
    <s v="PAMPLONA SRL SAN MIGUEL DE TUCUMAN 14"/>
    <x v="2316"/>
    <n v="28113073.309999999"/>
    <x v="293"/>
    <x v="0"/>
    <s v="pagado"/>
    <s v="pagado"/>
    <s v="excluir"/>
    <s v="no semana"/>
    <x v="0"/>
  </r>
  <r>
    <n v="3000005023"/>
    <d v="2026-08-10T00:00:00"/>
    <n v="22000000"/>
    <s v="SAKKANA S.R.L SAN MIGUEL DE TUCUMAN 14"/>
    <x v="2317"/>
    <n v="22000000"/>
    <x v="293"/>
    <x v="0"/>
    <s v="pagado"/>
    <s v="pagado"/>
    <s v="excluir"/>
    <s v="no semana"/>
    <x v="0"/>
  </r>
  <r>
    <n v="3000005023"/>
    <d v="2026-08-10T00:00:00"/>
    <n v="21466972.52"/>
    <s v="SAKKANA S.R.L SAN MIGUEL DE TUCUMAN 14"/>
    <x v="2318"/>
    <n v="21466972.52"/>
    <x v="286"/>
    <x v="0"/>
    <s v="no pagado"/>
    <s v="en periodo de pago"/>
    <s v="proximo a vencer"/>
    <s v="para la semana"/>
    <x v="0"/>
  </r>
  <r>
    <n v="3000005024"/>
    <d v="2026-08-10T00:00:00"/>
    <n v="2500000"/>
    <s v="ALBARRACIN MIGUEL SAN MIGUEL DE TUCUMAN 14"/>
    <x v="2319"/>
    <n v="2500000"/>
    <x v="293"/>
    <x v="0"/>
    <s v="pagado"/>
    <s v="pagado"/>
    <s v="excluir"/>
    <s v="no semana"/>
    <x v="0"/>
  </r>
  <r>
    <n v="3000005024"/>
    <d v="2026-08-10T00:00:00"/>
    <n v="2500000"/>
    <s v="ALBARRACIN MIGUEL SAN MIGUEL DE TUCUMAN 14"/>
    <x v="2320"/>
    <n v="2500000"/>
    <x v="294"/>
    <x v="0"/>
    <s v="pagado"/>
    <s v="pagado"/>
    <s v="excluir"/>
    <s v="no semana"/>
    <x v="0"/>
  </r>
  <r>
    <n v="3000005024"/>
    <d v="2026-08-10T00:00:00"/>
    <n v="2500000"/>
    <s v="ALBARRACIN MIGUEL SAN MIGUEL DE TUCUMAN 14"/>
    <x v="2321"/>
    <n v="2500000"/>
    <x v="275"/>
    <x v="0"/>
    <s v="no pagado"/>
    <s v="en periodo de pago"/>
    <s v="proximo a vencer"/>
    <s v="no semana"/>
    <x v="0"/>
  </r>
  <r>
    <n v="3000005024"/>
    <d v="2026-08-10T00:00:00"/>
    <n v="2265052.4900000002"/>
    <s v="ALBARRACIN MIGUEL SAN MIGUEL DE TUCUMAN 14"/>
    <x v="2322"/>
    <n v="2265052.4900000002"/>
    <x v="276"/>
    <x v="0"/>
    <s v="no pagado"/>
    <s v="en periodo de pago"/>
    <s v="proximo a vencer"/>
    <s v="no semana"/>
    <x v="0"/>
  </r>
  <r>
    <n v="3000004990"/>
    <d v="2026-08-10T00:00:00"/>
    <n v="10380401.630000001"/>
    <s v="Marchese Grandi Meson y Asoc SAN MIGUEL DE TUCUMAN 14"/>
    <x v="2323"/>
    <n v="10380401.630000001"/>
    <x v="292"/>
    <x v="0"/>
    <s v="pagado"/>
    <s v="pagado"/>
    <s v="excluir"/>
    <s v="no semana"/>
    <x v="0"/>
  </r>
  <r>
    <n v="3000004991"/>
    <d v="2026-08-10T00:00:00"/>
    <n v="7964741.1100000003"/>
    <s v="RODRIGO HEREDIA PUIG LASTENIA 14"/>
    <x v="2324"/>
    <n v="7964741.1100000003"/>
    <x v="292"/>
    <x v="0"/>
    <s v="pagado"/>
    <s v="pagado"/>
    <s v="excluir"/>
    <s v="no semana"/>
    <x v="0"/>
  </r>
  <r>
    <n v="3000004992"/>
    <d v="2026-08-10T00:00:00"/>
    <n v="16066665.800000001"/>
    <s v="CAFELI S.R.L. SAN MIGUEL DE TUCUMAN 14"/>
    <x v="2325"/>
    <n v="16066665.800000001"/>
    <x v="292"/>
    <x v="0"/>
    <s v="pagado"/>
    <s v="pagado"/>
    <s v="excluir"/>
    <s v="no semana"/>
    <x v="0"/>
  </r>
  <r>
    <n v="3000004993"/>
    <d v="2026-08-10T00:00:00"/>
    <n v="15667425.939999999"/>
    <s v="Saiko S.A Tucumàn 14"/>
    <x v="2326"/>
    <n v="15667425.939999999"/>
    <x v="292"/>
    <x v="0"/>
    <s v="pagado"/>
    <s v="pagado"/>
    <s v="excluir"/>
    <s v="no semana"/>
    <x v="0"/>
  </r>
  <r>
    <n v="3000004994"/>
    <d v="2026-08-10T00:00:00"/>
    <n v="16061443.869999999"/>
    <s v="LANCHELA HECTOR ROLANDO CONCEPCION 14"/>
    <x v="2327"/>
    <n v="16061443.869999999"/>
    <x v="292"/>
    <x v="0"/>
    <s v="pagado"/>
    <s v="pagado"/>
    <s v="excluir"/>
    <s v="no semana"/>
    <x v="0"/>
  </r>
  <r>
    <n v="3000004995"/>
    <d v="2026-08-10T00:00:00"/>
    <n v="6800607.8799999999"/>
    <s v="ADLER HASENCLEVER Y ASOCIADOS BUENOS AIRES 01"/>
    <x v="2328"/>
    <n v="6800607.8799999999"/>
    <x v="292"/>
    <x v="0"/>
    <s v="pagado"/>
    <s v="pagado"/>
    <s v="excluir"/>
    <s v="no semana"/>
    <x v="0"/>
  </r>
  <r>
    <n v="3000004997"/>
    <d v="2026-08-10T00:00:00"/>
    <n v="6952984.0099999998"/>
    <s v="VISMA ARGENTINA SA CAPITAL FEDERAL 14"/>
    <x v="2329"/>
    <n v="6952984.0099999998"/>
    <x v="292"/>
    <x v="0"/>
    <s v="pagado"/>
    <s v="pagado"/>
    <s v="excluir"/>
    <s v="no semana"/>
    <x v="0"/>
  </r>
  <r>
    <n v="3000004998"/>
    <d v="2026-08-10T00:00:00"/>
    <n v="12285246.16"/>
    <s v="SMART SEGURIDAD SA YERBA BUENA 14"/>
    <x v="2330"/>
    <n v="12285246.16"/>
    <x v="292"/>
    <x v="0"/>
    <s v="pagado"/>
    <s v="pagado"/>
    <s v="excluir"/>
    <s v="no semana"/>
    <x v="0"/>
  </r>
  <r>
    <n v="3000004999"/>
    <d v="2026-08-10T00:00:00"/>
    <n v="48746138.609999999"/>
    <s v="ROMERO SERVICIOS S. A. S. ALPACHIRI 14"/>
    <x v="2331"/>
    <n v="48746138.609999999"/>
    <x v="292"/>
    <x v="0"/>
    <s v="pagado"/>
    <s v="pagado"/>
    <s v="excluir"/>
    <s v="no semana"/>
    <x v="0"/>
  </r>
  <r>
    <n v="3000005000"/>
    <d v="2026-08-10T00:00:00"/>
    <n v="19398076.25"/>
    <s v="LA 10 SRL SAN MIGUEL DE TUCUMAN 14"/>
    <x v="2332"/>
    <n v="19398076.25"/>
    <x v="293"/>
    <x v="0"/>
    <s v="pagado"/>
    <s v="pagado"/>
    <s v="excluir"/>
    <s v="no semana"/>
    <x v="0"/>
  </r>
  <r>
    <n v="3000005001"/>
    <d v="2026-08-10T00:00:00"/>
    <n v="13476107.789999999"/>
    <s v="SUAREZ MANUEL RODOLFO ALDERETES 14"/>
    <x v="2333"/>
    <n v="13476107.789999999"/>
    <x v="292"/>
    <x v="0"/>
    <s v="pagado"/>
    <s v="pagado"/>
    <s v="excluir"/>
    <s v="no semana"/>
    <x v="0"/>
  </r>
  <r>
    <n v="3000005002"/>
    <d v="2026-08-10T00:00:00"/>
    <n v="5042931.2699999996"/>
    <s v="Arias Carlos Alberto SAN MIGUEL DE TUCUMAN 14"/>
    <x v="2334"/>
    <n v="5042931.2699999996"/>
    <x v="292"/>
    <x v="0"/>
    <s v="pagado"/>
    <s v="pagado"/>
    <s v="excluir"/>
    <s v="no semana"/>
    <x v="0"/>
  </r>
  <r>
    <n v="3000005003"/>
    <d v="2026-08-10T00:00:00"/>
    <n v="6884068.3499999996"/>
    <s v="PERATO LUIS ALBERTO BANDA DEL RIO SALI 14"/>
    <x v="2335"/>
    <n v="6884068.3499999996"/>
    <x v="292"/>
    <x v="0"/>
    <s v="pagado"/>
    <s v="pagado"/>
    <s v="excluir"/>
    <s v="no semana"/>
    <x v="0"/>
  </r>
  <r>
    <n v="3000005004"/>
    <d v="2026-08-10T00:00:00"/>
    <n v="20701260.280000001"/>
    <s v="PERATO CRISTIAN LUIS BANDA DEL RIO SALI 14"/>
    <x v="2336"/>
    <n v="20701260.280000001"/>
    <x v="292"/>
    <x v="0"/>
    <s v="pagado"/>
    <s v="pagado"/>
    <s v="excluir"/>
    <s v="no semana"/>
    <x v="0"/>
  </r>
  <r>
    <n v="3000005005"/>
    <d v="2026-08-10T00:00:00"/>
    <n v="19556107.18"/>
    <s v="JACQUET NORBERTO SALVADOR SAN JOSE 05"/>
    <x v="2337"/>
    <n v="19556107.18"/>
    <x v="292"/>
    <x v="0"/>
    <s v="pagado"/>
    <s v="pagado"/>
    <s v="excluir"/>
    <s v="no semana"/>
    <x v="0"/>
  </r>
  <r>
    <n v="3000005006"/>
    <d v="2026-08-10T00:00:00"/>
    <n v="15721125"/>
    <s v="TRANSPORTE FRIOS DEL NORTE S.RSAN MIGUEL DE TUCUMAN 14"/>
    <x v="2338"/>
    <n v="15721125"/>
    <x v="292"/>
    <x v="0"/>
    <s v="pagado"/>
    <s v="pagado"/>
    <s v="excluir"/>
    <s v="no semana"/>
    <x v="0"/>
  </r>
  <r>
    <n v="3000005007"/>
    <d v="2026-08-10T00:00:00"/>
    <n v="10340277.960000001"/>
    <s v="ACOSTA ROQUE RAMON SAN MIGUEL DE TUCUMAN 14"/>
    <x v="2339"/>
    <n v="10340277.960000001"/>
    <x v="292"/>
    <x v="0"/>
    <s v="pagado"/>
    <s v="pagado"/>
    <s v="excluir"/>
    <s v="no semana"/>
    <x v="0"/>
  </r>
  <r>
    <n v="3000005008"/>
    <d v="2026-08-10T00:00:00"/>
    <n v="21699792.690000001"/>
    <s v="FERNANDEZ HECTOR JOSE SIMOCA 14"/>
    <x v="2340"/>
    <n v="21699792.690000001"/>
    <x v="292"/>
    <x v="0"/>
    <s v="pagado"/>
    <s v="pagado"/>
    <s v="excluir"/>
    <s v="no semana"/>
    <x v="0"/>
  </r>
  <r>
    <n v="3000005009"/>
    <d v="2026-08-10T00:00:00"/>
    <n v="15212171.48"/>
    <s v="BUSTOS GUILLERMO DARIO ALDERETES 14"/>
    <x v="2341"/>
    <n v="15212171.48"/>
    <x v="292"/>
    <x v="0"/>
    <s v="pagado"/>
    <s v="pagado"/>
    <s v="excluir"/>
    <s v="no semana"/>
    <x v="0"/>
  </r>
  <r>
    <n v="3000005010"/>
    <d v="2026-08-10T00:00:00"/>
    <n v="9900419.2300000004"/>
    <s v="GONZALEZ JOSE LUIS CONCEPCION 14"/>
    <x v="2342"/>
    <n v="9900419.2300000004"/>
    <x v="292"/>
    <x v="0"/>
    <s v="pagado"/>
    <s v="pagado"/>
    <s v="excluir"/>
    <s v="no semana"/>
    <x v="0"/>
  </r>
  <r>
    <n v="3000005011"/>
    <d v="2026-08-10T00:00:00"/>
    <n v="8201247.2300000004"/>
    <s v="Sanchez Jose Mauricio San Miguel de Tucuman 14"/>
    <x v="2343"/>
    <n v="8201247.2300000004"/>
    <x v="292"/>
    <x v="0"/>
    <s v="pagado"/>
    <s v="pagado"/>
    <s v="excluir"/>
    <s v="no semana"/>
    <x v="0"/>
  </r>
  <r>
    <n v="3000005012"/>
    <d v="2026-08-10T00:00:00"/>
    <n v="6261579.71"/>
    <s v="Pedro Angel Michael Alderetes 14"/>
    <x v="2344"/>
    <n v="6261579.71"/>
    <x v="292"/>
    <x v="0"/>
    <s v="pagado"/>
    <s v="pagado"/>
    <s v="excluir"/>
    <s v="no semana"/>
    <x v="0"/>
  </r>
  <r>
    <n v="3000005013"/>
    <d v="2026-08-10T00:00:00"/>
    <n v="11223714.42"/>
    <s v="Arias Gonzalo Alejandro San Miguel de Tucumán 14"/>
    <x v="2345"/>
    <n v="11223714.42"/>
    <x v="292"/>
    <x v="0"/>
    <s v="pagado"/>
    <s v="pagado"/>
    <s v="excluir"/>
    <s v="no semana"/>
    <x v="0"/>
  </r>
  <r>
    <n v="3000005014"/>
    <d v="2026-08-10T00:00:00"/>
    <n v="6117737.4000000004"/>
    <s v="Verde y Sol S.R.L. SAN MIGUEL DE TUCUMAN 14"/>
    <x v="2346"/>
    <n v="6117737.4000000004"/>
    <x v="292"/>
    <x v="0"/>
    <s v="pagado"/>
    <s v="pagado"/>
    <s v="excluir"/>
    <s v="no semana"/>
    <x v="0"/>
  </r>
  <r>
    <n v="3000005015"/>
    <d v="2026-08-10T00:00:00"/>
    <n v="32683016.219999999"/>
    <s v="LA MARTINA SERV. AGRICOLAS S.RSAN PABLO 14"/>
    <x v="2347"/>
    <n v="32683016.219999999"/>
    <x v="292"/>
    <x v="0"/>
    <s v="pagado"/>
    <s v="pagado"/>
    <s v="excluir"/>
    <s v="no semana"/>
    <x v="0"/>
  </r>
  <r>
    <n v="3000005016"/>
    <d v="2026-08-10T00:00:00"/>
    <n v="21978587.09"/>
    <s v="DUBANIS ANA JOSEFINA SAN MIGUEL DE TUCUMAN 14"/>
    <x v="2348"/>
    <n v="21978587.09"/>
    <x v="293"/>
    <x v="0"/>
    <s v="pagado"/>
    <s v="pagado"/>
    <s v="excluir"/>
    <s v="no semana"/>
    <x v="0"/>
  </r>
  <r>
    <n v="3000005017"/>
    <d v="2026-08-10T00:00:00"/>
    <n v="40622666.259999998"/>
    <s v="AGROPECUARIA MUNDO NUEVO SRL SAN PABLO 14"/>
    <x v="2349"/>
    <n v="40622666.259999998"/>
    <x v="292"/>
    <x v="0"/>
    <s v="pagado"/>
    <s v="pagado"/>
    <s v="excluir"/>
    <s v="no semana"/>
    <x v="0"/>
  </r>
  <r>
    <n v="3000005018"/>
    <d v="2026-08-10T00:00:00"/>
    <n v="22756182.469999999"/>
    <s v="INSITU S.R.L SAN MIGUEL DE TUCUMAN 14"/>
    <x v="2350"/>
    <n v="22756182.469999999"/>
    <x v="292"/>
    <x v="0"/>
    <s v="pagado"/>
    <s v="pagado"/>
    <s v="excluir"/>
    <s v="no semana"/>
    <x v="0"/>
  </r>
  <r>
    <n v="3000005020"/>
    <d v="2026-08-10T00:00:00"/>
    <n v="21192379.57"/>
    <s v="CAMPOAGRO SRL YERBA BUENA 14"/>
    <x v="2351"/>
    <n v="21192379.57"/>
    <x v="292"/>
    <x v="0"/>
    <s v="pagado"/>
    <s v="pagado"/>
    <s v="excluir"/>
    <s v="no semana"/>
    <x v="0"/>
  </r>
  <r>
    <n v="3000005021"/>
    <d v="2026-08-10T00:00:00"/>
    <n v="2930136.51"/>
    <s v="MAC DONALD MIGUEL ALEJANDRO BANDA DEL RIO SALI 14"/>
    <x v="2352"/>
    <n v="2930136.51"/>
    <x v="293"/>
    <x v="0"/>
    <s v="pagado"/>
    <s v="pagado"/>
    <s v="excluir"/>
    <s v="no semana"/>
    <x v="0"/>
  </r>
  <r>
    <n v="3000005022"/>
    <d v="2026-08-10T00:00:00"/>
    <n v="8875287.4700000007"/>
    <s v="TRANSPORTE MEDINA S.H. CRUZ ALTA 14"/>
    <x v="2353"/>
    <n v="8875287.4700000007"/>
    <x v="292"/>
    <x v="0"/>
    <s v="pagado"/>
    <s v="pagado"/>
    <s v="excluir"/>
    <s v="no semana"/>
    <x v="0"/>
  </r>
  <r>
    <n v="3000005099"/>
    <d v="2026-08-12T00:00:00"/>
    <n v="41856340.350000001"/>
    <s v="GAR S.A SAN MIGUEL DE TUCUMAN 14"/>
    <x v="2354"/>
    <n v="41856340.350000001"/>
    <x v="293"/>
    <x v="0"/>
    <s v="pagado"/>
    <s v="pagado"/>
    <s v="excluir"/>
    <s v="no semana"/>
    <x v="0"/>
  </r>
  <r>
    <n v="3000005100"/>
    <d v="2026-08-12T00:00:00"/>
    <n v="7753970.7000000002"/>
    <s v="CONTROL UNION NORTE S.A YERBA BUENA 14"/>
    <x v="2355"/>
    <n v="7753970.7000000002"/>
    <x v="272"/>
    <x v="0"/>
    <s v="pagado"/>
    <s v="pagado"/>
    <s v="excluir"/>
    <s v="no semana"/>
    <x v="0"/>
  </r>
  <r>
    <n v="3000005101"/>
    <d v="2026-08-12T00:00:00"/>
    <n v="5673531.8799999999"/>
    <s v="ALVAREZ RENE JOSE MARIA BELLA VISTA 14"/>
    <x v="2356"/>
    <n v="5673531.8799999999"/>
    <x v="272"/>
    <x v="0"/>
    <s v="pagado"/>
    <s v="pagado"/>
    <s v="excluir"/>
    <s v="no semana"/>
    <x v="0"/>
  </r>
  <r>
    <n v="3000005102"/>
    <d v="2026-08-12T00:00:00"/>
    <n v="16052308"/>
    <s v="TRANSPORTE FRIOS DEL NORTE S.RSAN MIGUEL DE TUCUMAN 14"/>
    <x v="2357"/>
    <n v="16052308"/>
    <x v="272"/>
    <x v="0"/>
    <s v="pagado"/>
    <s v="pagado"/>
    <s v="excluir"/>
    <s v="no semana"/>
    <x v="0"/>
  </r>
  <r>
    <n v="3000005103"/>
    <d v="2026-08-12T00:00:00"/>
    <n v="5529090"/>
    <s v="MAC DONALD MIGUEL ALEJANDRO BANDA DEL RIO SALI 14"/>
    <x v="2358"/>
    <n v="5529090"/>
    <x v="272"/>
    <x v="0"/>
    <s v="pagado"/>
    <s v="pagado"/>
    <s v="excluir"/>
    <s v="no semana"/>
    <x v="0"/>
  </r>
  <r>
    <n v="3000005104"/>
    <d v="2026-08-12T00:00:00"/>
    <n v="8411614.8000000007"/>
    <s v="TORRES JUAN RAMON ALDERETES 14"/>
    <x v="2359"/>
    <n v="8411614.8000000007"/>
    <x v="272"/>
    <x v="0"/>
    <s v="pagado"/>
    <s v="pagado"/>
    <s v="excluir"/>
    <s v="no semana"/>
    <x v="0"/>
  </r>
  <r>
    <n v="3000005105"/>
    <d v="2026-08-12T00:00:00"/>
    <n v="14737546.800000001"/>
    <s v="CAPETTA ANTONELLA ANAHI SAN MIGUEL DE TUCUMAN 14"/>
    <x v="2360"/>
    <n v="14737546.800000001"/>
    <x v="272"/>
    <x v="0"/>
    <s v="pagado"/>
    <s v="pagado"/>
    <s v="excluir"/>
    <s v="no semana"/>
    <x v="0"/>
  </r>
  <r>
    <n v="3000005106"/>
    <d v="2026-08-12T00:00:00"/>
    <n v="11742840"/>
    <s v="RL SOLUCIONES S. A. S. SAN MIGUEL DE TUCUMAN 14"/>
    <x v="2361"/>
    <n v="11742840"/>
    <x v="272"/>
    <x v="0"/>
    <s v="pagado"/>
    <s v="pagado"/>
    <s v="excluir"/>
    <s v="no semana"/>
    <x v="0"/>
  </r>
  <r>
    <n v="3000005107"/>
    <d v="2026-08-12T00:00:00"/>
    <n v="7079595.6399999997"/>
    <s v="Vaquera Francisco Alfredo Monteros 14"/>
    <x v="2362"/>
    <n v="7079595.6399999997"/>
    <x v="272"/>
    <x v="0"/>
    <s v="pagado"/>
    <s v="pagado"/>
    <s v="excluir"/>
    <s v="no semana"/>
    <x v="0"/>
  </r>
  <r>
    <n v="3000005108"/>
    <d v="2026-08-12T00:00:00"/>
    <n v="6083967.8399999999"/>
    <s v="Gonzalez Jose Luis Lastenia 14"/>
    <x v="2363"/>
    <n v="6083967.8399999999"/>
    <x v="272"/>
    <x v="0"/>
    <s v="pagado"/>
    <s v="pagado"/>
    <s v="excluir"/>
    <s v="no semana"/>
    <x v="0"/>
  </r>
  <r>
    <n v="3000005109"/>
    <d v="2026-08-12T00:00:00"/>
    <n v="10785916.880000001"/>
    <s v="Robles Angel Gabriel San Miguel de Tucuman 14"/>
    <x v="2364"/>
    <n v="10785916.880000001"/>
    <x v="272"/>
    <x v="0"/>
    <s v="pagado"/>
    <s v="pagado"/>
    <s v="excluir"/>
    <s v="no semana"/>
    <x v="0"/>
  </r>
  <r>
    <n v="3000005110"/>
    <d v="2026-08-12T00:00:00"/>
    <n v="9219580.7699999996"/>
    <s v="Pedro Carolina Alejandra ALDERETES 14"/>
    <x v="2365"/>
    <n v="9219580.7699999996"/>
    <x v="272"/>
    <x v="0"/>
    <s v="pagado"/>
    <s v="pagado"/>
    <s v="excluir"/>
    <s v="no semana"/>
    <x v="0"/>
  </r>
  <r>
    <n v="3000005111"/>
    <d v="2026-08-12T00:00:00"/>
    <n v="7363889.0800000001"/>
    <s v="Garcia Pablo Nicolas San Miguel de Tucuman 14"/>
    <x v="2366"/>
    <n v="7363889.0800000001"/>
    <x v="272"/>
    <x v="0"/>
    <s v="pagado"/>
    <s v="pagado"/>
    <s v="excluir"/>
    <s v="no semana"/>
    <x v="0"/>
  </r>
  <r>
    <n v="3000005112"/>
    <d v="2026-08-12T00:00:00"/>
    <n v="8182825.7599999998"/>
    <s v="CLOVER LOGISTICS SRL CAPITAL FEDERAL 00"/>
    <x v="2367"/>
    <n v="8182825.7599999998"/>
    <x v="272"/>
    <x v="0"/>
    <s v="pagado"/>
    <s v="pagado"/>
    <s v="excluir"/>
    <s v="no semana"/>
    <x v="0"/>
  </r>
  <r>
    <n v="3000005153"/>
    <d v="2026-08-13T00:00:00"/>
    <n v="215909.12"/>
    <s v="LA SOLANITA SRL SAN MIGUEL DE TUCUMAN 14"/>
    <x v="2368"/>
    <n v="215909.12"/>
    <x v="293"/>
    <x v="0"/>
    <s v="pagado"/>
    <s v="pagado"/>
    <s v="excluir"/>
    <s v="no semana"/>
    <x v="0"/>
  </r>
  <r>
    <n v="3000005235"/>
    <d v="2026-08-18T00:00:00"/>
    <n v="12208463.75"/>
    <s v="LA 10 SRL SAN MIGUEL DE TUCUMAN 14"/>
    <x v="2369"/>
    <n v="12208463.75"/>
    <x v="295"/>
    <x v="0"/>
    <s v="pagado"/>
    <s v="pagado"/>
    <s v="excluir"/>
    <s v="no semana"/>
    <x v="0"/>
  </r>
  <r>
    <n v="3000005236"/>
    <d v="2026-08-18T00:00:00"/>
    <n v="7198980.8799999999"/>
    <s v="BARBARISI JUAREZ PABLO EMANUELSAN JUAN 10"/>
    <x v="2370"/>
    <n v="7198980.8799999999"/>
    <x v="295"/>
    <x v="0"/>
    <s v="pagado"/>
    <s v="pagado"/>
    <s v="excluir"/>
    <s v="no semana"/>
    <x v="0"/>
  </r>
  <r>
    <n v="3000005237"/>
    <d v="2026-08-18T00:00:00"/>
    <n v="10427887.130000001"/>
    <s v="SEGURIDAD OMEGA SRL SAN FERNANDO DEL VALLE DE CATAMARCA 02"/>
    <x v="2371"/>
    <n v="10427887.130000001"/>
    <x v="295"/>
    <x v="0"/>
    <s v="pagado"/>
    <s v="pagado"/>
    <s v="excluir"/>
    <s v="no semana"/>
    <x v="0"/>
  </r>
  <r>
    <n v="3000005238"/>
    <d v="2026-08-18T00:00:00"/>
    <n v="14723459.039999999"/>
    <s v="NORTE DISTRIBUCIONES S.R.L SAN MIGUEL DE TUCUMAN 14"/>
    <x v="2372"/>
    <n v="14723459.039999999"/>
    <x v="295"/>
    <x v="0"/>
    <s v="pagado"/>
    <s v="pagado"/>
    <s v="excluir"/>
    <s v="no semana"/>
    <x v="0"/>
  </r>
  <r>
    <n v="3000005239"/>
    <d v="2026-08-18T00:00:00"/>
    <n v="6608817.7199999997"/>
    <s v="Bureau Veritas Arg.S.A. CIUDAD AUTONOMA DE BUENOS AIRES 01"/>
    <x v="2373"/>
    <n v="6608817.7199999997"/>
    <x v="295"/>
    <x v="0"/>
    <s v="pagado"/>
    <s v="pagado"/>
    <s v="excluir"/>
    <s v="no semana"/>
    <x v="0"/>
  </r>
  <r>
    <n v="3000005240"/>
    <d v="2026-08-18T00:00:00"/>
    <n v="5529090"/>
    <s v="CEMEVA SAS YERBA BUENA 14"/>
    <x v="2374"/>
    <n v="5529090"/>
    <x v="295"/>
    <x v="0"/>
    <s v="pagado"/>
    <s v="pagado"/>
    <s v="excluir"/>
    <s v="no semana"/>
    <x v="0"/>
  </r>
  <r>
    <n v="3000005241"/>
    <d v="2026-08-18T00:00:00"/>
    <n v="8231290"/>
    <s v="JACQUET NORBERTO SALVADOR SAN JOSE 05"/>
    <x v="2375"/>
    <n v="8231290"/>
    <x v="295"/>
    <x v="0"/>
    <s v="pagado"/>
    <s v="pagado"/>
    <s v="excluir"/>
    <s v="no semana"/>
    <x v="0"/>
  </r>
  <r>
    <n v="3000005242"/>
    <d v="2026-08-18T00:00:00"/>
    <n v="8220240"/>
    <s v="RL SOLUCIONES S. A. S. SAN MIGUEL DE TUCUMAN 14"/>
    <x v="2376"/>
    <n v="8220240"/>
    <x v="295"/>
    <x v="0"/>
    <s v="pagado"/>
    <s v="pagado"/>
    <s v="excluir"/>
    <s v="no semana"/>
    <x v="0"/>
  </r>
  <r>
    <n v="3000005243"/>
    <d v="2026-08-18T00:00:00"/>
    <n v="6222653.0800000001"/>
    <s v="TRANSPORTE MARIANITA S.R.L SAN MIGUEL DE TUCUMAN 14"/>
    <x v="2377"/>
    <n v="6222653.0800000001"/>
    <x v="295"/>
    <x v="0"/>
    <s v="pagado"/>
    <s v="pagado"/>
    <s v="excluir"/>
    <s v="no semana"/>
    <x v="0"/>
  </r>
  <r>
    <n v="3000005244"/>
    <d v="2026-08-18T00:00:00"/>
    <n v="11006871.609999999"/>
    <s v="Transportes La Sevillanita S.RALDERETES 14"/>
    <x v="2378"/>
    <n v="11006871.609999999"/>
    <x v="295"/>
    <x v="0"/>
    <s v="pagado"/>
    <s v="pagado"/>
    <s v="excluir"/>
    <s v="no semana"/>
    <x v="0"/>
  </r>
  <r>
    <n v="3000005266"/>
    <d v="2026-08-19T00:00:00"/>
    <n v="13948499"/>
    <s v="GAR S.A SAN MIGUEL DE TUCUMAN 14"/>
    <x v="2379"/>
    <n v="13948499"/>
    <x v="205"/>
    <x v="0"/>
    <s v="pagado"/>
    <s v="pagado"/>
    <s v="excluir"/>
    <s v="no semana"/>
    <x v="0"/>
  </r>
  <r>
    <n v="3000005267"/>
    <d v="2026-08-19T00:00:00"/>
    <n v="2516000"/>
    <s v="FUNDACION UNIVERSIDAD TORCUATOCIUDAD AUTONOMA DE BUENOS AIRES 01"/>
    <x v="2380"/>
    <n v="2516000"/>
    <x v="296"/>
    <x v="0"/>
    <s v="pagado"/>
    <s v="pagado"/>
    <s v="excluir"/>
    <s v="no semana"/>
    <x v="0"/>
  </r>
  <r>
    <n v="3000005268"/>
    <d v="2026-08-19T00:00:00"/>
    <n v="3285959.9"/>
    <s v="LOBO BENICIO MARTIN ALDERETES 14"/>
    <x v="2381"/>
    <n v="3285959.9"/>
    <x v="296"/>
    <x v="0"/>
    <s v="pagado"/>
    <s v="pagado"/>
    <s v="excluir"/>
    <s v="no semana"/>
    <x v="0"/>
  </r>
  <r>
    <n v="3000005269"/>
    <d v="2026-08-19T00:00:00"/>
    <n v="3767425.94"/>
    <s v="IKIGAI SAS LA BANDA 13"/>
    <x v="2382"/>
    <n v="3767425.94"/>
    <x v="296"/>
    <x v="0"/>
    <s v="pagado"/>
    <s v="pagado"/>
    <s v="excluir"/>
    <s v="no semana"/>
    <x v="0"/>
  </r>
  <r>
    <n v="3000005270"/>
    <d v="2026-08-19T00:00:00"/>
    <n v="2514200"/>
    <s v="TEKNOS TECHNOLOGY GROUP SA CAPITAL FEDERAL 00"/>
    <x v="2383"/>
    <n v="2514200"/>
    <x v="296"/>
    <x v="0"/>
    <s v="pagado"/>
    <s v="pagado"/>
    <s v="excluir"/>
    <s v="no semana"/>
    <x v="0"/>
  </r>
  <r>
    <n v="3000005271"/>
    <d v="2026-08-19T00:00:00"/>
    <n v="4707675.99"/>
    <s v="BERCOVICH COMERCIAL SAS SAN MIGUEL DE TUCUMAN 14"/>
    <x v="2384"/>
    <n v="4707675.99"/>
    <x v="296"/>
    <x v="0"/>
    <s v="pagado"/>
    <s v="pagado"/>
    <s v="excluir"/>
    <s v="no semana"/>
    <x v="0"/>
  </r>
  <r>
    <n v="3000005272"/>
    <d v="2026-08-19T00:00:00"/>
    <n v="3576314.4"/>
    <s v="VSG S.R.L CIUDAD AUTONOMA BUENOS AIRES 00"/>
    <x v="2385"/>
    <n v="3576314.4"/>
    <x v="296"/>
    <x v="0"/>
    <s v="no pagado"/>
    <s v="en periodo de pago"/>
    <s v="a pagar"/>
    <s v="no semana"/>
    <x v="0"/>
  </r>
  <r>
    <n v="3000005273"/>
    <d v="2026-08-19T00:00:00"/>
    <n v="2651575.5"/>
    <s v="M.A.D Serv y mant eléctri SAN MIGUEL DE TUCUMAN 14"/>
    <x v="2386"/>
    <n v="2651575.5"/>
    <x v="296"/>
    <x v="0"/>
    <s v="pagado"/>
    <s v="pagado"/>
    <s v="excluir"/>
    <s v="no semana"/>
    <x v="0"/>
  </r>
  <r>
    <n v="3000005274"/>
    <d v="2026-08-19T00:00:00"/>
    <n v="4577865"/>
    <s v="ACOSTA ROSA MERCEDES BANDA DEL RIO SALI 14"/>
    <x v="2387"/>
    <n v="4577865"/>
    <x v="296"/>
    <x v="0"/>
    <s v="pagado"/>
    <s v="pagado"/>
    <s v="excluir"/>
    <s v="no semana"/>
    <x v="0"/>
  </r>
  <r>
    <n v="3000005275"/>
    <d v="2026-08-19T00:00:00"/>
    <n v="2084351.67"/>
    <s v="JG FITNESS GROUP S. A. S. SAN MIGUEL DE TUCUMAN 14"/>
    <x v="2388"/>
    <n v="2084351.67"/>
    <x v="296"/>
    <x v="0"/>
    <s v="pagado"/>
    <s v="pagado"/>
    <s v="excluir"/>
    <s v="no semana"/>
    <x v="0"/>
  </r>
  <r>
    <n v="3000005276"/>
    <d v="2026-08-19T00:00:00"/>
    <n v="3212127"/>
    <s v="Expreso San Jose S.A. SAN MIGUEL DE TUCUMAN 14"/>
    <x v="2389"/>
    <n v="3212127"/>
    <x v="296"/>
    <x v="0"/>
    <s v="pagado"/>
    <s v="pagado"/>
    <s v="excluir"/>
    <s v="no semana"/>
    <x v="0"/>
  </r>
  <r>
    <n v="3000005277"/>
    <d v="2026-08-19T00:00:00"/>
    <n v="9420989"/>
    <s v="BUSTOS GUILLERMO DARIO ALDERETES 14"/>
    <x v="2390"/>
    <n v="9420989"/>
    <x v="296"/>
    <x v="0"/>
    <s v="pagado"/>
    <s v="pagado"/>
    <s v="excluir"/>
    <s v="no semana"/>
    <x v="0"/>
  </r>
  <r>
    <n v="3000005278"/>
    <d v="2026-08-19T00:00:00"/>
    <n v="8231032.1699999999"/>
    <s v="MAGNONE S. A. CIUDAD AUTONOMA BUENOS AIRES 00"/>
    <x v="2391"/>
    <n v="8231032.1699999999"/>
    <x v="296"/>
    <x v="0"/>
    <s v="pagado"/>
    <s v="pagado"/>
    <s v="excluir"/>
    <s v="no semana"/>
    <x v="0"/>
  </r>
  <r>
    <n v="3000005279"/>
    <d v="2026-08-19T00:00:00"/>
    <n v="5529090"/>
    <s v="CEMEVA SAS YERBA BUENA 14"/>
    <x v="2392"/>
    <n v="5529090"/>
    <x v="296"/>
    <x v="0"/>
    <s v="pagado"/>
    <s v="pagado"/>
    <s v="excluir"/>
    <s v="no semana"/>
    <x v="0"/>
  </r>
  <r>
    <n v="3000005280"/>
    <d v="2026-08-19T00:00:00"/>
    <n v="13809910"/>
    <s v="CAPETTA ANTONELLA ANAHI SAN MIGUEL DE TUCUMAN 14"/>
    <x v="2393"/>
    <n v="13809910"/>
    <x v="296"/>
    <x v="0"/>
    <s v="pagado"/>
    <s v="pagado"/>
    <s v="excluir"/>
    <s v="no semana"/>
    <x v="0"/>
  </r>
  <r>
    <n v="3000005281"/>
    <d v="2026-08-19T00:00:00"/>
    <n v="3910060.28"/>
    <s v="PALAVECINO LUIS IGNACIO San Miguel De Tucuman 14"/>
    <x v="2394"/>
    <n v="3910060.28"/>
    <x v="296"/>
    <x v="0"/>
    <s v="no pagado"/>
    <s v="en periodo de pago"/>
    <s v="a pagar"/>
    <s v="no semana"/>
    <x v="0"/>
  </r>
  <r>
    <n v="3000005282"/>
    <d v="2026-08-19T00:00:00"/>
    <n v="3124350"/>
    <s v="RL SOLUCIONES S. A. S. SAN MIGUEL DE TUCUMAN 14"/>
    <x v="2395"/>
    <n v="3124350"/>
    <x v="296"/>
    <x v="0"/>
    <s v="pagado"/>
    <s v="pagado"/>
    <s v="excluir"/>
    <s v="no semana"/>
    <x v="0"/>
  </r>
  <r>
    <n v="3000005283"/>
    <d v="2026-08-19T00:00:00"/>
    <n v="4072503.18"/>
    <s v="GANBATTE SA CAPITAL FEDERAL 01"/>
    <x v="2396"/>
    <n v="4072503.18"/>
    <x v="296"/>
    <x v="0"/>
    <s v="pagado"/>
    <s v="pagado"/>
    <s v="excluir"/>
    <s v="no semana"/>
    <x v="0"/>
  </r>
  <r>
    <n v="3000005284"/>
    <d v="2026-08-19T00:00:00"/>
    <n v="2943381.06"/>
    <s v="Rojas Antonio Domingo ALDERETES 14"/>
    <x v="2397"/>
    <n v="2943381.06"/>
    <x v="296"/>
    <x v="0"/>
    <s v="pagado"/>
    <s v="pagado"/>
    <s v="excluir"/>
    <s v="no semana"/>
    <x v="0"/>
  </r>
  <r>
    <n v="3000005285"/>
    <d v="2026-08-19T00:00:00"/>
    <n v="4464734.33"/>
    <s v="Robles Angel Gabriel San Miguel de Tucuman 14"/>
    <x v="2398"/>
    <n v="4464734.33"/>
    <x v="296"/>
    <x v="0"/>
    <s v="no pagado"/>
    <s v="en periodo de pago"/>
    <s v="a pagar"/>
    <s v="no semana"/>
    <x v="0"/>
  </r>
  <r>
    <n v="3000005286"/>
    <d v="2026-08-19T00:00:00"/>
    <n v="9247413.9900000002"/>
    <s v="Pedro Ivan Marcelo ALDERETES 14"/>
    <x v="2399"/>
    <n v="9247413.9900000002"/>
    <x v="296"/>
    <x v="0"/>
    <s v="pagado"/>
    <s v="pagado"/>
    <s v="excluir"/>
    <s v="no semana"/>
    <x v="0"/>
  </r>
  <r>
    <n v="3000005287"/>
    <d v="2026-08-19T00:00:00"/>
    <n v="11870543.4"/>
    <s v="ALDO A. MILITELLO GRUAS Y TRANMaipu 07"/>
    <x v="2400"/>
    <n v="11870543.4"/>
    <x v="296"/>
    <x v="0"/>
    <s v="pagado"/>
    <s v="pagado"/>
    <s v="excluir"/>
    <s v="no semana"/>
    <x v="0"/>
  </r>
  <r>
    <n v="3000005288"/>
    <d v="2026-08-19T00:00:00"/>
    <n v="29872126.079999998"/>
    <s v="M DODERO COMPANIA GRAL DE SERVCIUDAD AUTONOMA DE BUENOS AIRES 01"/>
    <x v="2401"/>
    <n v="29872126.079999998"/>
    <x v="296"/>
    <x v="0"/>
    <s v="pagado"/>
    <s v="pagado"/>
    <s v="excluir"/>
    <s v="no semana"/>
    <x v="0"/>
  </r>
  <r>
    <n v="3000005289"/>
    <d v="2026-08-19T00:00:00"/>
    <n v="2825723.4"/>
    <s v="GEOTECNOLOGIA S.R.L SAN MIGUEL DE TUCUMAN 14"/>
    <x v="2402"/>
    <n v="2825723.4"/>
    <x v="296"/>
    <x v="0"/>
    <s v="pagado"/>
    <s v="pagado"/>
    <s v="excluir"/>
    <s v="no semana"/>
    <x v="0"/>
  </r>
  <r>
    <n v="3000005290"/>
    <d v="2026-08-19T00:00:00"/>
    <n v="2165486"/>
    <s v="AGUIAR MARTEAU MAIA JULIANA SAN MIGUEL DE TUCUMAN 14"/>
    <x v="2403"/>
    <n v="2165486"/>
    <x v="296"/>
    <x v="0"/>
    <s v="no pagado"/>
    <s v="en periodo de pago"/>
    <s v="a pagar"/>
    <s v="no semana"/>
    <x v="0"/>
  </r>
  <r>
    <n v="3000005291"/>
    <d v="2026-08-19T00:00:00"/>
    <n v="4384701.4000000004"/>
    <s v="COOPTRAR LTDA SAN MIGUEL DE TUCUMAN 14"/>
    <x v="2404"/>
    <n v="4384701.4000000004"/>
    <x v="296"/>
    <x v="0"/>
    <s v="pagado"/>
    <s v="pagado"/>
    <s v="excluir"/>
    <s v="no semana"/>
    <x v="0"/>
  </r>
  <r>
    <n v="3000005292"/>
    <d v="2026-08-19T00:00:00"/>
    <n v="4286064.24"/>
    <s v="CAMPOAGRO SRL YERBA BUENA 14"/>
    <x v="2405"/>
    <n v="4286064.24"/>
    <x v="296"/>
    <x v="0"/>
    <s v="pagado"/>
    <s v="pagado"/>
    <s v="excluir"/>
    <s v="no semana"/>
    <x v="0"/>
  </r>
  <r>
    <n v="3000005293"/>
    <d v="2026-08-19T00:00:00"/>
    <n v="3708400"/>
    <s v="Instituto Arg. de NormalizacioCIUDAD AUTONOMA DE BUENOS AIRES 01"/>
    <x v="2406"/>
    <n v="3708400"/>
    <x v="296"/>
    <x v="0"/>
    <s v="pagado"/>
    <s v="pagado"/>
    <s v="excluir"/>
    <s v="no semana"/>
    <x v="0"/>
  </r>
  <r>
    <n v="3000005326"/>
    <d v="2026-08-20T00:00:00"/>
    <n v="38997160"/>
    <s v="EDET S.A. SAN MIGUEL DE TUCUMAN 14"/>
    <x v="2407"/>
    <n v="38997160"/>
    <x v="297"/>
    <x v="0"/>
    <s v="pagado"/>
    <s v="pagado"/>
    <s v="excluir"/>
    <s v="no semana"/>
    <x v="0"/>
  </r>
  <r>
    <n v="3000005386"/>
    <d v="2026-08-24T00:00:00"/>
    <n v="8397402.3100000005"/>
    <s v="TRANSPORTE MEDINA S.H. CRUZ ALTA 14"/>
    <x v="2408"/>
    <n v="8397402.3100000005"/>
    <x v="296"/>
    <x v="0"/>
    <s v="no pagado"/>
    <s v="en periodo de pago"/>
    <s v="a pagar"/>
    <s v="no semana"/>
    <x v="0"/>
  </r>
  <r>
    <n v="3000005387"/>
    <d v="2026-08-24T00:00:00"/>
    <n v="458463870"/>
    <s v="EDET S.A. SAN MIGUEL DE TUCUMAN 14"/>
    <x v="2409"/>
    <n v="458463870"/>
    <x v="205"/>
    <x v="0"/>
    <s v="pagado"/>
    <s v="pagado"/>
    <s v="excluir"/>
    <s v="no semana"/>
    <x v="0"/>
  </r>
  <r>
    <n v="3000005388"/>
    <d v="2026-08-24T00:00:00"/>
    <n v="8385787.0700000003"/>
    <s v="LUBRE S.R.L. LOS NOGALES 14"/>
    <x v="2410"/>
    <n v="8385787.0700000003"/>
    <x v="298"/>
    <x v="0"/>
    <s v="pagado"/>
    <s v="pagado"/>
    <s v="excluir"/>
    <s v="no semana"/>
    <x v="0"/>
  </r>
  <r>
    <n v="3000005389"/>
    <d v="2026-08-24T00:00:00"/>
    <n v="6303157"/>
    <s v="TODOS RETENES SA CORDOBA 03"/>
    <x v="2411"/>
    <n v="6303157"/>
    <x v="298"/>
    <x v="0"/>
    <s v="pagado"/>
    <s v="pagado"/>
    <s v="excluir"/>
    <s v="no semana"/>
    <x v="0"/>
  </r>
  <r>
    <n v="3000005390"/>
    <d v="2026-08-24T00:00:00"/>
    <n v="22340293.399999999"/>
    <s v="CAD SOLUTIONS S.A. CAPITAL FEDERAL 00"/>
    <x v="2412"/>
    <n v="22340293.399999999"/>
    <x v="298"/>
    <x v="0"/>
    <s v="pagado"/>
    <s v="pagado"/>
    <s v="excluir"/>
    <s v="no semana"/>
    <x v="0"/>
  </r>
  <r>
    <n v="3000005391"/>
    <d v="2026-08-24T00:00:00"/>
    <n v="7688930.2699999996"/>
    <s v="EMPRESA MAYORISTA INDUSTRIAL SSAN MIGUEL DE TUCUMAN 14"/>
    <x v="2413"/>
    <n v="7688930.2699999996"/>
    <x v="298"/>
    <x v="0"/>
    <s v="pagado"/>
    <s v="pagado"/>
    <s v="excluir"/>
    <s v="no semana"/>
    <x v="0"/>
  </r>
  <r>
    <n v="3000005392"/>
    <d v="2026-08-24T00:00:00"/>
    <n v="8510227.1899999995"/>
    <s v="ROMERO SERVICIOS S. A. S. ALPACHIRI 14"/>
    <x v="2414"/>
    <n v="8510227.1899999995"/>
    <x v="298"/>
    <x v="0"/>
    <s v="pagado"/>
    <s v="pagado"/>
    <s v="excluir"/>
    <s v="no semana"/>
    <x v="0"/>
  </r>
  <r>
    <n v="3000005393"/>
    <d v="2026-08-24T00:00:00"/>
    <n v="6029748.1699999999"/>
    <s v="PERATO LUIS ALBERTO BANDA DEL RIO SALI 14"/>
    <x v="2415"/>
    <n v="6029748.1699999999"/>
    <x v="298"/>
    <x v="0"/>
    <s v="pagado"/>
    <s v="pagado"/>
    <s v="excluir"/>
    <s v="no semana"/>
    <x v="0"/>
  </r>
  <r>
    <n v="3000005394"/>
    <d v="2026-08-24T00:00:00"/>
    <n v="18603636.140000001"/>
    <s v="PERATO CRISTIAN LUIS BANDA DEL RIO SALI 14"/>
    <x v="2416"/>
    <n v="18603636.140000001"/>
    <x v="298"/>
    <x v="0"/>
    <s v="pagado"/>
    <s v="pagado"/>
    <s v="excluir"/>
    <s v="no semana"/>
    <x v="0"/>
  </r>
  <r>
    <n v="3000005395"/>
    <d v="2026-08-24T00:00:00"/>
    <n v="21895924.300000001"/>
    <s v="FERNANDEZ HECTOR JOSE SIMOCA 14"/>
    <x v="2417"/>
    <n v="21895924.300000001"/>
    <x v="298"/>
    <x v="0"/>
    <s v="pagado"/>
    <s v="pagado"/>
    <s v="excluir"/>
    <s v="no semana"/>
    <x v="0"/>
  </r>
  <r>
    <n v="3000005396"/>
    <d v="2026-08-24T00:00:00"/>
    <n v="8088204.1100000003"/>
    <s v="BARBARISI JUAREZ PABLO EMANUELSAN JUAN 10"/>
    <x v="2418"/>
    <n v="8088204.1100000003"/>
    <x v="298"/>
    <x v="0"/>
    <s v="pagado"/>
    <s v="pagado"/>
    <s v="excluir"/>
    <s v="no semana"/>
    <x v="0"/>
  </r>
  <r>
    <n v="3000005397"/>
    <d v="2026-08-24T00:00:00"/>
    <n v="12522622.35"/>
    <s v="GONZALEZ JOSE LUIS CONCEPCION 14"/>
    <x v="2419"/>
    <n v="12522622.35"/>
    <x v="298"/>
    <x v="0"/>
    <s v="pagado"/>
    <s v="pagado"/>
    <s v="excluir"/>
    <s v="no semana"/>
    <x v="0"/>
  </r>
  <r>
    <n v="3000005398"/>
    <d v="2026-08-24T00:00:00"/>
    <n v="7289316.6500000004"/>
    <s v="Sanchez Jose Mauricio San Miguel de Tucuman 14"/>
    <x v="2420"/>
    <n v="7289316.6500000004"/>
    <x v="298"/>
    <x v="0"/>
    <s v="pagado"/>
    <s v="pagado"/>
    <s v="excluir"/>
    <s v="no semana"/>
    <x v="0"/>
  </r>
  <r>
    <n v="3000005399"/>
    <d v="2026-08-24T00:00:00"/>
    <n v="6310818.3099999996"/>
    <s v="Vaquera Francisco Alfredo Monteros 14"/>
    <x v="2421"/>
    <n v="6310818.3099999996"/>
    <x v="298"/>
    <x v="0"/>
    <s v="pagado"/>
    <s v="pagado"/>
    <s v="excluir"/>
    <s v="no semana"/>
    <x v="0"/>
  </r>
  <r>
    <n v="3000005400"/>
    <d v="2026-08-24T00:00:00"/>
    <n v="5866810.9299999997"/>
    <s v="Pedro Angel Michael Alderetes 14"/>
    <x v="2422"/>
    <n v="5866810.9299999997"/>
    <x v="298"/>
    <x v="0"/>
    <s v="pagado"/>
    <s v="pagado"/>
    <s v="excluir"/>
    <s v="no semana"/>
    <x v="0"/>
  </r>
  <r>
    <n v="3000005401"/>
    <d v="2026-08-24T00:00:00"/>
    <n v="7749760.04"/>
    <s v="Gonzalez Jose Luis Lastenia 14"/>
    <x v="2423"/>
    <n v="7749760.04"/>
    <x v="298"/>
    <x v="0"/>
    <s v="pagado"/>
    <s v="pagado"/>
    <s v="excluir"/>
    <s v="no semana"/>
    <x v="0"/>
  </r>
  <r>
    <n v="3000005402"/>
    <d v="2026-08-24T00:00:00"/>
    <n v="39270743.020000003"/>
    <s v="LA MARTINA SERV. AGRICOLAS S.RSAN PABLO 14"/>
    <x v="2424"/>
    <n v="39270743.020000003"/>
    <x v="298"/>
    <x v="0"/>
    <s v="pagado"/>
    <s v="pagado"/>
    <s v="excluir"/>
    <s v="no semana"/>
    <x v="0"/>
  </r>
  <r>
    <n v="3000005403"/>
    <d v="2026-08-24T00:00:00"/>
    <n v="42777430.670000002"/>
    <s v="AGROPECUARIA MUNDO NUEVO SRL SAN PABLO 14"/>
    <x v="2425"/>
    <n v="42777430.670000002"/>
    <x v="298"/>
    <x v="0"/>
    <s v="pagado"/>
    <s v="pagado"/>
    <s v="excluir"/>
    <s v="no semana"/>
    <x v="0"/>
  </r>
  <r>
    <n v="3000005404"/>
    <d v="2026-08-24T00:00:00"/>
    <n v="8995080.8599999994"/>
    <s v="CASTRO MATIAS JOSE SAN MIGUEL DE TUCUMAN 14"/>
    <x v="2426"/>
    <n v="8995080.8599999994"/>
    <x v="298"/>
    <x v="0"/>
    <s v="pagado"/>
    <s v="pagado"/>
    <s v="excluir"/>
    <s v="no semana"/>
    <x v="0"/>
  </r>
  <r>
    <n v="3000005405"/>
    <d v="2026-08-24T00:00:00"/>
    <n v="6654193.9699999997"/>
    <s v="SUAREZ MANUEL RODOLFO ALDERETES 14"/>
    <x v="2427"/>
    <n v="6654193.9699999997"/>
    <x v="298"/>
    <x v="0"/>
    <s v="pagado"/>
    <s v="pagado"/>
    <s v="excluir"/>
    <s v="no semana"/>
    <x v="0"/>
  </r>
  <r>
    <n v="3000005406"/>
    <d v="2026-08-25T00:00:00"/>
    <n v="10000"/>
    <s v="EDET S.A. SAN MIGUEL DE TUCUMAN 14"/>
    <x v="2428"/>
    <n v="10000"/>
    <x v="295"/>
    <x v="0"/>
    <s v="pagado"/>
    <s v="pagado"/>
    <s v="excluir"/>
    <s v="no semana"/>
    <x v="0"/>
  </r>
  <r>
    <n v="3000005430"/>
    <d v="2026-08-25T00:00:00"/>
    <n v="7012764.0899999999"/>
    <s v="ALVAREZ RENE JOSE MARIA BELLA VISTA 14"/>
    <x v="2429"/>
    <n v="7012764.0899999999"/>
    <x v="299"/>
    <x v="0"/>
    <s v="pagado"/>
    <s v="pagado"/>
    <s v="excluir"/>
    <s v="no semana"/>
    <x v="0"/>
  </r>
  <r>
    <n v="3000005431"/>
    <d v="2026-08-25T00:00:00"/>
    <n v="16012232"/>
    <s v="LA MARTINA SERV. AGRICOLAS S.RSAN PABLO 14"/>
    <x v="2430"/>
    <n v="16012232"/>
    <x v="299"/>
    <x v="0"/>
    <s v="pagado"/>
    <s v="pagado"/>
    <s v="excluir"/>
    <s v="no semana"/>
    <x v="0"/>
  </r>
  <r>
    <n v="3000005432"/>
    <d v="2026-08-25T00:00:00"/>
    <n v="7610257.6900000004"/>
    <s v="ALDERETE GASTON ALBERTO TERMAS DE RIO HONDO 13"/>
    <x v="2431"/>
    <n v="7610257.6900000004"/>
    <x v="299"/>
    <x v="0"/>
    <s v="no pagado"/>
    <s v="en periodo de pago"/>
    <s v="a pagar"/>
    <s v="no semana"/>
    <x v="0"/>
  </r>
  <r>
    <n v="3000005433"/>
    <d v="2026-08-25T00:00:00"/>
    <n v="11204469.970000001"/>
    <s v="Arias Gonzalo Alejandro San Miguel de Tucumán 14"/>
    <x v="2432"/>
    <n v="11204469.970000001"/>
    <x v="299"/>
    <x v="0"/>
    <s v="pagado"/>
    <s v="pagado"/>
    <s v="excluir"/>
    <s v="no semana"/>
    <x v="0"/>
  </r>
  <r>
    <n v="3000005434"/>
    <d v="2026-08-25T00:00:00"/>
    <n v="6689354.1399999997"/>
    <s v="SANTILLI CARLOS MIGUEL SAN MIGUEL DE TUCUMAN 14"/>
    <x v="2433"/>
    <n v="6689354.1399999997"/>
    <x v="299"/>
    <x v="0"/>
    <s v="pagado"/>
    <s v="pagado"/>
    <s v="excluir"/>
    <s v="no semana"/>
    <x v="0"/>
  </r>
  <r>
    <n v="3000005435"/>
    <d v="2026-08-25T00:00:00"/>
    <n v="15721125"/>
    <s v="TRANSPORTE FRIOS DEL NORTE S.RSAN MIGUEL DE TUCUMAN 14"/>
    <x v="2434"/>
    <n v="15721125"/>
    <x v="299"/>
    <x v="0"/>
    <s v="pagado"/>
    <s v="pagado"/>
    <s v="excluir"/>
    <s v="no semana"/>
    <x v="0"/>
  </r>
  <r>
    <n v="3000005436"/>
    <d v="2026-08-25T00:00:00"/>
    <n v="8293635"/>
    <s v="MAC DONALD MIGUEL ALEJANDRO BANDA DEL RIO SALI 14"/>
    <x v="2435"/>
    <n v="8293635"/>
    <x v="299"/>
    <x v="0"/>
    <s v="pagado"/>
    <s v="pagado"/>
    <s v="excluir"/>
    <s v="no semana"/>
    <x v="0"/>
  </r>
  <r>
    <n v="3000005437"/>
    <d v="2026-08-25T00:00:00"/>
    <n v="17002700"/>
    <s v="CAPETTA ANTONELLA ANAHI SAN MIGUEL DE TUCUMAN 14"/>
    <x v="2436"/>
    <n v="17002700"/>
    <x v="299"/>
    <x v="0"/>
    <s v="pagado"/>
    <s v="pagado"/>
    <s v="excluir"/>
    <s v="no semana"/>
    <x v="0"/>
  </r>
  <r>
    <n v="3000005567"/>
    <d v="2026-08-31T00:00:00"/>
    <n v="27505450.899999999"/>
    <s v="CONTROL UNION NORTE S.A YERBA BUENA 14"/>
    <x v="2437"/>
    <n v="27505450.899999999"/>
    <x v="294"/>
    <x v="0"/>
    <s v="no pagado"/>
    <s v="en periodo de pago"/>
    <s v="a pagar"/>
    <s v="no semana"/>
    <x v="1"/>
  </r>
  <r>
    <n v="3000005568"/>
    <d v="2026-08-31T00:00:00"/>
    <n v="33776131.770000003"/>
    <s v="AGRICOLA MARES S.A FAMAILLA 14"/>
    <x v="2438"/>
    <n v="33776131.770000003"/>
    <x v="300"/>
    <x v="0"/>
    <s v="pagado"/>
    <s v="pagado"/>
    <s v="excluir"/>
    <s v="no semana"/>
    <x v="0"/>
  </r>
  <r>
    <n v="3000005569"/>
    <d v="2026-08-31T00:00:00"/>
    <n v="42236088.270000003"/>
    <s v="AGRO ALIANZA SA TAFI VIEJO 14"/>
    <x v="2439"/>
    <n v="42236088.270000003"/>
    <x v="300"/>
    <x v="0"/>
    <s v="no pagado"/>
    <s v="en periodo de pago"/>
    <s v="a pagar"/>
    <s v="no semana"/>
    <x v="0"/>
  </r>
  <r>
    <n v="3000005570"/>
    <d v="2026-08-31T00:00:00"/>
    <n v="10473653.380000001"/>
    <s v="SEGURIDAD OMEGA SRL SAN FERNANDO DEL VALLE DE CATAMARCA 02"/>
    <x v="2440"/>
    <n v="10473653.380000001"/>
    <x v="301"/>
    <x v="0"/>
    <s v="no pagado"/>
    <s v="en periodo de pago"/>
    <s v="a pagar"/>
    <s v="no semana"/>
    <x v="1"/>
  </r>
  <r>
    <n v="3000005571"/>
    <d v="2026-08-31T00:00:00"/>
    <n v="5357588.45"/>
    <s v="RASUK JORGE LUIS YERBA BUENA 14"/>
    <x v="2441"/>
    <n v="5357588.45"/>
    <x v="294"/>
    <x v="0"/>
    <s v="no pagado"/>
    <s v="en periodo de pago"/>
    <s v="a pagar"/>
    <s v="no semana"/>
    <x v="0"/>
  </r>
  <r>
    <n v="3000005573"/>
    <d v="2026-08-31T00:00:00"/>
    <n v="9474131.5199999996"/>
    <s v="FERRO JOSE NICOLAS FAMAILLA 14"/>
    <x v="2442"/>
    <n v="9474131.5199999996"/>
    <x v="294"/>
    <x v="0"/>
    <s v="no pagado"/>
    <s v="en periodo de pago"/>
    <s v="a pagar"/>
    <s v="no semana"/>
    <x v="1"/>
  </r>
  <r>
    <n v="3000005574"/>
    <d v="2026-08-31T00:00:00"/>
    <n v="2764712.92"/>
    <s v="FERPASI S.R.L SAN MIGUEL DE TUCUMAN 14"/>
    <x v="2443"/>
    <n v="2764712.92"/>
    <x v="294"/>
    <x v="0"/>
    <s v="no pagado"/>
    <s v="en periodo de pago"/>
    <s v="a pagar"/>
    <s v="no semana"/>
    <x v="0"/>
  </r>
  <r>
    <n v="3000005577"/>
    <d v="2026-08-31T00:00:00"/>
    <n v="11817540"/>
    <s v="CEMEVA SAS YERBA BUENA 14"/>
    <x v="2444"/>
    <n v="11817540"/>
    <x v="294"/>
    <x v="0"/>
    <s v="no pagado"/>
    <s v="en periodo de pago"/>
    <s v="a pagar"/>
    <s v="no semana"/>
    <x v="1"/>
  </r>
  <r>
    <n v="3000005579"/>
    <d v="2026-08-31T00:00:00"/>
    <n v="15450713.76"/>
    <s v="CAPETTA ANTONELLA ANAHI SAN MIGUEL DE TUCUMAN 14"/>
    <x v="2445"/>
    <n v="15450713.76"/>
    <x v="294"/>
    <x v="0"/>
    <s v="no pagado"/>
    <s v="en periodo de pago"/>
    <s v="a pagar"/>
    <s v="no semana"/>
    <x v="1"/>
  </r>
  <r>
    <n v="3000005581"/>
    <d v="2026-08-31T00:00:00"/>
    <n v="11365560"/>
    <s v="RL SOLUCIONES S. A. S. SAN MIGUEL DE TUCUMAN 14"/>
    <x v="2446"/>
    <n v="11365560"/>
    <x v="294"/>
    <x v="0"/>
    <s v="no pagado"/>
    <s v="en periodo de pago"/>
    <s v="a pagar"/>
    <s v="no semana"/>
    <x v="1"/>
  </r>
  <r>
    <n v="3000005583"/>
    <d v="2026-08-31T00:00:00"/>
    <n v="39228520.280000001"/>
    <s v="Martinez Zuccardi Emma CeciliaSAN MIGUEL DE TUCUMAN 14"/>
    <x v="2447"/>
    <n v="39228520.280000001"/>
    <x v="300"/>
    <x v="0"/>
    <s v="pagado"/>
    <s v="pagado"/>
    <s v="excluir"/>
    <s v="no semana"/>
    <x v="0"/>
  </r>
  <r>
    <n v="3000005584"/>
    <d v="2026-08-31T00:00:00"/>
    <n v="7359300"/>
    <s v="GEOTECNOLOGIA S.R.L SAN MIGUEL DE TUCUMAN 14"/>
    <x v="2448"/>
    <n v="7359300"/>
    <x v="294"/>
    <x v="0"/>
    <s v="no pagado"/>
    <s v="en periodo de pago"/>
    <s v="a pagar"/>
    <s v="no semana"/>
    <x v="0"/>
  </r>
  <r>
    <n v="3000005585"/>
    <d v="2026-08-31T00:00:00"/>
    <n v="12576900.01"/>
    <s v="TRANSPORTE FRIOS DEL NORTE S.RSAN MIGUEL DE TUCUMAN 14"/>
    <x v="2449"/>
    <n v="12576900.01"/>
    <x v="294"/>
    <x v="0"/>
    <s v="no pagado"/>
    <s v="en periodo de pago"/>
    <s v="a pagar"/>
    <s v="no semana"/>
    <x v="1"/>
  </r>
  <r>
    <n v="3000005572"/>
    <d v="2026-09-01T00:00:00"/>
    <n v="6801576.04"/>
    <s v="CARRASCO JUAN CARLOS BANDA DEL RIO SALI 14"/>
    <x v="2450"/>
    <n v="6801576.04"/>
    <x v="294"/>
    <x v="0"/>
    <s v="no pagado"/>
    <s v="en periodo de pago"/>
    <s v="a pagar"/>
    <s v="no semana"/>
    <x v="0"/>
  </r>
  <r>
    <n v="3000005637"/>
    <d v="2026-09-02T00:00:00"/>
    <n v="1713032.21"/>
    <s v="Fondo Fijo Administracion CitrNO TIENE"/>
    <x v="2451"/>
    <n v="1713032.21"/>
    <x v="301"/>
    <x v="0"/>
    <s v="pagado"/>
    <s v="pagado"/>
    <s v="excluir"/>
    <s v="no semana"/>
    <x v="0"/>
  </r>
  <r>
    <n v="3000005638"/>
    <d v="2026-09-02T00:00:00"/>
    <n v="38917367.920000002"/>
    <s v="Rutas Servicios Integrales SRLCapital Federal 00"/>
    <x v="2452"/>
    <n v="38917367.920000002"/>
    <x v="274"/>
    <x v="0"/>
    <s v="no pagado"/>
    <s v="en periodo de pago"/>
    <s v="proximo a vencer"/>
    <s v="para la semana"/>
    <x v="0"/>
  </r>
  <r>
    <n v="3000005639"/>
    <d v="2026-09-02T00:00:00"/>
    <n v="5935943.4000000004"/>
    <s v="ALDO A. MILITELLO GRUAS Y TRANMaipu 07"/>
    <x v="2453"/>
    <n v="5935943.4000000004"/>
    <x v="274"/>
    <x v="0"/>
    <s v="no pagado"/>
    <s v="en periodo de pago"/>
    <s v="proximo a vencer"/>
    <s v="para la semana"/>
    <x v="0"/>
  </r>
  <r>
    <n v="3000005640"/>
    <d v="2026-09-02T00:00:00"/>
    <n v="5305667.92"/>
    <s v="FLETES Y SERVICIOS PUJATO S.A PUJATO 12"/>
    <x v="2454"/>
    <n v="5305667.92"/>
    <x v="274"/>
    <x v="0"/>
    <s v="no pagado"/>
    <s v="en periodo de pago"/>
    <s v="proximo a vencer"/>
    <s v="para la semana"/>
    <x v="0"/>
  </r>
  <r>
    <n v="3000005641"/>
    <d v="2026-09-02T00:00:00"/>
    <n v="11555762.869999999"/>
    <s v="CAPETTA ANTONELLA ANAHI SAN MIGUEL DE TUCUMAN 14"/>
    <x v="2455"/>
    <n v="11555762.869999999"/>
    <x v="274"/>
    <x v="0"/>
    <s v="no pagado"/>
    <s v="en periodo de pago"/>
    <s v="proximo a vencer"/>
    <s v="para la semana"/>
    <x v="0"/>
  </r>
  <r>
    <n v="3000005642"/>
    <d v="2026-09-02T00:00:00"/>
    <n v="16859867.920000002"/>
    <s v="RL SOLUCIONES S. A. S. SAN MIGUEL DE TUCUMAN 14"/>
    <x v="2456"/>
    <n v="16859867.920000002"/>
    <x v="274"/>
    <x v="0"/>
    <s v="no pagado"/>
    <s v="en periodo de pago"/>
    <s v="proximo a vencer"/>
    <s v="para la semana"/>
    <x v="0"/>
  </r>
  <r>
    <n v="3000005643"/>
    <d v="2026-09-02T00:00:00"/>
    <n v="17393857.059999999"/>
    <s v="JACQUET NORBERTO SALVADOR SAN JOSE 05"/>
    <x v="2457"/>
    <n v="17393857.059999999"/>
    <x v="274"/>
    <x v="0"/>
    <s v="no pagado"/>
    <s v="en periodo de pago"/>
    <s v="proximo a vencer"/>
    <s v="para la semana"/>
    <x v="0"/>
  </r>
  <r>
    <m/>
    <m/>
    <m/>
    <m/>
    <x v="2458"/>
    <m/>
    <x v="302"/>
    <x v="0"/>
    <s v="no pagado"/>
    <s v="fuera de fecha"/>
    <s v="excluir"/>
    <s v="no semana"/>
    <x v="0"/>
  </r>
  <r>
    <m/>
    <m/>
    <m/>
    <m/>
    <x v="2458"/>
    <m/>
    <x v="302"/>
    <x v="3"/>
    <s v="no pagado"/>
    <s v="fuera de fecha"/>
    <s v="excluir"/>
    <s v="no semana"/>
    <x v="0"/>
  </r>
  <r>
    <m/>
    <m/>
    <m/>
    <m/>
    <x v="2458"/>
    <m/>
    <x v="302"/>
    <x v="3"/>
    <m/>
    <m/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2">
  <r>
    <n v="3000000030"/>
    <d v="2025-01-02T00:00:00"/>
    <n v="0"/>
    <s v="Anulado"/>
    <x v="0"/>
    <n v="0"/>
    <x v="0"/>
    <x v="0"/>
    <s v="no pagado"/>
    <s v="fuera de fecha"/>
    <x v="0"/>
  </r>
  <r>
    <n v="3000000031"/>
    <d v="2025-01-02T00:00:00"/>
    <n v="4656543.4000000004"/>
    <s v="HYDRASER SA ROSARIO 12"/>
    <x v="1"/>
    <n v="4656543.4000000004"/>
    <x v="1"/>
    <x v="0"/>
    <s v="pagado"/>
    <s v="pagado"/>
    <x v="0"/>
  </r>
  <r>
    <n v="3000000032"/>
    <d v="2025-01-02T00:00:00"/>
    <n v="4183758.4"/>
    <s v="LOBO BENICIO MARTIN ALDERETES 14"/>
    <x v="2"/>
    <n v="4183758.4"/>
    <x v="1"/>
    <x v="0"/>
    <s v="pagado"/>
    <s v="pagado"/>
    <x v="0"/>
  </r>
  <r>
    <n v="3000000033"/>
    <d v="2025-01-02T00:00:00"/>
    <n v="9873403.4000000004"/>
    <s v="PABLO Y FERNANDO TACCHELLA S.RSAN MIGUEL DE TUCUMAN 14"/>
    <x v="3"/>
    <n v="9873403.4000000004"/>
    <x v="2"/>
    <x v="0"/>
    <s v="pagado"/>
    <s v="pagado"/>
    <x v="0"/>
  </r>
  <r>
    <n v="3000000034"/>
    <d v="2025-01-02T00:00:00"/>
    <n v="6665838.2699999996"/>
    <s v="Servicom Group S.A. CAPITAL FEDERAL 00"/>
    <x v="4"/>
    <n v="6665838.2699999996"/>
    <x v="2"/>
    <x v="0"/>
    <s v="pagado"/>
    <s v="pagado"/>
    <x v="0"/>
  </r>
  <r>
    <n v="3000000083"/>
    <d v="2025-01-06T00:00:00"/>
    <n v="6715811.7999999998"/>
    <s v="MERCATOR TRANSPORT ARGENTINA SBUENOS AIRES 01"/>
    <x v="5"/>
    <n v="6715811.7999999998"/>
    <x v="1"/>
    <x v="1"/>
    <s v="pagado"/>
    <s v="pagado"/>
    <x v="0"/>
  </r>
  <r>
    <n v="3000000109"/>
    <d v="2025-01-07T00:00:00"/>
    <n v="37609623.539999999"/>
    <s v="Greif Argentina SA Tigre 01"/>
    <x v="6"/>
    <n v="37609623.539999999"/>
    <x v="2"/>
    <x v="1"/>
    <s v="pagado"/>
    <s v="pagado"/>
    <x v="0"/>
  </r>
  <r>
    <n v="3000000110"/>
    <d v="2025-01-07T00:00:00"/>
    <n v="18230418.23"/>
    <s v="MONTEROS LEMON SAS TAFI VIEJO 14"/>
    <x v="7"/>
    <n v="18230418.23"/>
    <x v="2"/>
    <x v="1"/>
    <s v="pagado"/>
    <s v="pagado"/>
    <x v="0"/>
  </r>
  <r>
    <n v="3000000149"/>
    <d v="2025-01-08T00:00:00"/>
    <n v="20000000"/>
    <s v="BONSUR SA CAPITAL FEDERAL 00"/>
    <x v="8"/>
    <n v="20000000"/>
    <x v="3"/>
    <x v="0"/>
    <s v="pagado"/>
    <s v="pagado"/>
    <x v="0"/>
  </r>
  <r>
    <n v="3000000149"/>
    <d v="2025-01-08T00:00:00"/>
    <n v="19850367.920000002"/>
    <s v="BONSUR SA CAPITAL FEDERAL 00"/>
    <x v="9"/>
    <n v="19850367.920000002"/>
    <x v="4"/>
    <x v="0"/>
    <s v="pagado"/>
    <s v="pagado"/>
    <x v="0"/>
  </r>
  <r>
    <n v="3000000148"/>
    <d v="2025-01-08T00:00:00"/>
    <n v="22860153.16"/>
    <s v="Terminal 4 S.A. Puerto Nuevo 01"/>
    <x v="10"/>
    <n v="22860153.16"/>
    <x v="5"/>
    <x v="0"/>
    <s v="pagado"/>
    <s v="pagado"/>
    <x v="0"/>
  </r>
  <r>
    <n v="3000000150"/>
    <d v="2025-01-09T00:00:00"/>
    <n v="2000000"/>
    <s v=". Tucumán"/>
    <x v="11"/>
    <n v="2000000"/>
    <x v="6"/>
    <x v="1"/>
    <s v="pagado"/>
    <s v="pagado"/>
    <x v="0"/>
  </r>
  <r>
    <n v="3000000226"/>
    <d v="2025-01-13T00:00:00"/>
    <n v="120000000"/>
    <s v="MG SERVICIOS AGROPECUARIOS SASTAFI VIEJO 14"/>
    <x v="12"/>
    <n v="120000000"/>
    <x v="7"/>
    <x v="1"/>
    <s v="pagado"/>
    <s v="pagado"/>
    <x v="0"/>
  </r>
  <r>
    <n v="3000000226"/>
    <d v="2025-01-13T00:00:00"/>
    <n v="22000000"/>
    <s v="MG SERVICIOS AGROPECUARIOS SASTAFI VIEJO 14"/>
    <x v="13"/>
    <n v="22000000"/>
    <x v="7"/>
    <x v="1"/>
    <s v="pagado"/>
    <s v="pagado"/>
    <x v="0"/>
  </r>
  <r>
    <n v="3000000226"/>
    <d v="2025-01-13T00:00:00"/>
    <n v="6127000"/>
    <s v="MG SERVICIOS AGROPECUARIOS SASTAFI VIEJO 14"/>
    <x v="14"/>
    <n v="6127000"/>
    <x v="7"/>
    <x v="1"/>
    <s v="pagado"/>
    <s v="pagado"/>
    <x v="0"/>
  </r>
  <r>
    <n v="3000000226"/>
    <d v="2025-01-13T00:00:00"/>
    <n v="2387500"/>
    <s v="MG SERVICIOS AGROPECUARIOS SASTAFI VIEJO 14"/>
    <x v="15"/>
    <n v="2387500"/>
    <x v="8"/>
    <x v="1"/>
    <s v="pagado"/>
    <s v="pagado"/>
    <x v="0"/>
  </r>
  <r>
    <n v="3000000226"/>
    <d v="2025-01-13T00:00:00"/>
    <n v="2633358"/>
    <s v="MG SERVICIOS AGROPECUARIOS SASTAFI VIEJO 14"/>
    <x v="16"/>
    <n v="2633358"/>
    <x v="8"/>
    <x v="1"/>
    <s v="pagado"/>
    <s v="pagado"/>
    <x v="0"/>
  </r>
  <r>
    <n v="3000000226"/>
    <d v="2025-01-13T00:00:00"/>
    <n v="12398389.27"/>
    <s v="MG SERVICIOS AGROPECUARIOS SASTAFI VIEJO 14"/>
    <x v="17"/>
    <n v="12398389.27"/>
    <x v="8"/>
    <x v="1"/>
    <s v="pagado"/>
    <s v="pagado"/>
    <x v="0"/>
  </r>
  <r>
    <n v="3000000227"/>
    <d v="2025-01-13T00:00:00"/>
    <n v="21000000"/>
    <s v="TRUSARELLI CARLOS ALBERTO BANDA DEL RIO SALI 14"/>
    <x v="18"/>
    <n v="21000000"/>
    <x v="7"/>
    <x v="1"/>
    <s v="pagado"/>
    <s v="pagado"/>
    <x v="0"/>
  </r>
  <r>
    <n v="3000000227"/>
    <d v="2025-01-13T00:00:00"/>
    <n v="20261104.68"/>
    <s v="TRUSARELLI CARLOS ALBERTO BANDA DEL RIO SALI 14"/>
    <x v="19"/>
    <n v="20261104.68"/>
    <x v="8"/>
    <x v="1"/>
    <s v="pagado"/>
    <s v="pagado"/>
    <x v="0"/>
  </r>
  <r>
    <n v="3000000230"/>
    <d v="2025-01-13T00:00:00"/>
    <n v="23000000"/>
    <s v="M. AMUCHASTEGUI S. R. L. YERBA BUENA 14"/>
    <x v="20"/>
    <n v="23000000"/>
    <x v="7"/>
    <x v="1"/>
    <s v="pagado"/>
    <s v="pagado"/>
    <x v="0"/>
  </r>
  <r>
    <n v="3000000230"/>
    <d v="2025-01-13T00:00:00"/>
    <n v="22928224.420000002"/>
    <s v="M. AMUCHASTEGUI S. R. L. YERBA BUENA 14"/>
    <x v="21"/>
    <n v="22928224.420000002"/>
    <x v="8"/>
    <x v="1"/>
    <s v="pagado"/>
    <s v="pagado"/>
    <x v="0"/>
  </r>
  <r>
    <n v="3000000228"/>
    <d v="2025-01-13T00:00:00"/>
    <n v="5222989.75"/>
    <s v="GCAMPO MAQUINARIAS S.R.L LAS TALITAS 14"/>
    <x v="22"/>
    <n v="5222989.75"/>
    <x v="7"/>
    <x v="1"/>
    <s v="pagado"/>
    <s v="pagado"/>
    <x v="0"/>
  </r>
  <r>
    <n v="3000000229"/>
    <d v="2025-01-13T00:00:00"/>
    <n v="9367605.0899999999"/>
    <s v="CAMPOAGRO SRL YERBA BUENA 14"/>
    <x v="23"/>
    <n v="9367605.0899999999"/>
    <x v="7"/>
    <x v="1"/>
    <s v="pagado"/>
    <s v="pagado"/>
    <x v="0"/>
  </r>
  <r>
    <n v="3000000231"/>
    <d v="2025-01-13T00:00:00"/>
    <n v="6205901.4900000002"/>
    <s v="PEREZ CURBELO HNOS SRL SAN MIGUEL DE TUCUMAN 14"/>
    <x v="24"/>
    <n v="6205901.4900000002"/>
    <x v="9"/>
    <x v="1"/>
    <s v="pagado"/>
    <s v="pagado"/>
    <x v="0"/>
  </r>
  <r>
    <n v="3000000232"/>
    <d v="2025-01-13T00:00:00"/>
    <n v="8636029.0899999999"/>
    <s v="Metalurgica Ramon S.R.L. Lastenia 14"/>
    <x v="25"/>
    <n v="8636029.0899999999"/>
    <x v="9"/>
    <x v="1"/>
    <s v="pagado"/>
    <s v="pagado"/>
    <x v="0"/>
  </r>
  <r>
    <n v="3000000268"/>
    <d v="2025-01-13T00:00:00"/>
    <n v="2024279"/>
    <s v="MG SERVICIOS AGROPECUARIOS SASTAFI VIEJO 14"/>
    <x v="26"/>
    <n v="2024279"/>
    <x v="9"/>
    <x v="1"/>
    <s v="pagado"/>
    <s v="pagado"/>
    <x v="0"/>
  </r>
  <r>
    <n v="3000000268"/>
    <d v="2025-01-13T00:00:00"/>
    <n v="1282000"/>
    <s v="MG SERVICIOS AGROPECUARIOS SASTAFI VIEJO 14"/>
    <x v="27"/>
    <n v="1282000"/>
    <x v="9"/>
    <x v="1"/>
    <s v="pagado"/>
    <s v="pagado"/>
    <x v="0"/>
  </r>
  <r>
    <n v="3000000268"/>
    <d v="2025-01-13T00:00:00"/>
    <n v="28812441.129999999"/>
    <s v="MG SERVICIOS AGROPECUARIOS SASTAFI VIEJO 14"/>
    <x v="28"/>
    <n v="28812441.129999999"/>
    <x v="9"/>
    <x v="1"/>
    <s v="pagado"/>
    <s v="pagado"/>
    <x v="0"/>
  </r>
  <r>
    <n v="3000000325"/>
    <d v="2025-01-20T00:00:00"/>
    <n v="10000000"/>
    <s v="CAFELI S.R.L. SAN MIGUEL DE TUCUMAN 14"/>
    <x v="29"/>
    <n v="10000000"/>
    <x v="10"/>
    <x v="1"/>
    <s v="pagado"/>
    <s v="pagado"/>
    <x v="0"/>
  </r>
  <r>
    <n v="3000000325"/>
    <d v="2025-01-20T00:00:00"/>
    <n v="5000000"/>
    <s v="CAFELI S.R.L. SAN MIGUEL DE TUCUMAN 14"/>
    <x v="30"/>
    <n v="5000000"/>
    <x v="10"/>
    <x v="1"/>
    <s v="pagado"/>
    <s v="pagado"/>
    <x v="0"/>
  </r>
  <r>
    <n v="3000000325"/>
    <d v="2025-01-20T00:00:00"/>
    <n v="5966545.0499999998"/>
    <s v="CAFELI S.R.L. SAN MIGUEL DE TUCUMAN 14"/>
    <x v="31"/>
    <n v="5966545.0499999998"/>
    <x v="11"/>
    <x v="1"/>
    <s v="pagado"/>
    <s v="pagado"/>
    <x v="0"/>
  </r>
  <r>
    <n v="3000000330"/>
    <d v="2025-01-20T00:00:00"/>
    <n v="20000000"/>
    <s v="MONTEROS LEMON SAS TAFI VIEJO 14"/>
    <x v="32"/>
    <n v="20000000"/>
    <x v="10"/>
    <x v="1"/>
    <s v="pagado"/>
    <s v="pagado"/>
    <x v="0"/>
  </r>
  <r>
    <n v="3000000330"/>
    <d v="2025-01-20T00:00:00"/>
    <n v="17169371.920000002"/>
    <s v="MONTEROS LEMON SAS TAFI VIEJO 14"/>
    <x v="33"/>
    <n v="17169371.920000002"/>
    <x v="11"/>
    <x v="1"/>
    <s v="pagado"/>
    <s v="pagado"/>
    <x v="0"/>
  </r>
  <r>
    <n v="3000000326"/>
    <d v="2025-01-20T00:00:00"/>
    <n v="220008590"/>
    <s v="EDET S.A. SAN MIGUEL DE TUCUMAN 14"/>
    <x v="34"/>
    <n v="220008590"/>
    <x v="12"/>
    <x v="1"/>
    <s v="pagado"/>
    <s v="pagado"/>
    <x v="0"/>
  </r>
  <r>
    <n v="3000000327"/>
    <d v="2025-01-20T00:00:00"/>
    <n v="6651581.3499999996"/>
    <s v="Consultoria en Tecnologia de IBUENOS AIRES 00"/>
    <x v="35"/>
    <n v="6651581.3499999996"/>
    <x v="10"/>
    <x v="1"/>
    <s v="pagado"/>
    <s v="pagado"/>
    <x v="0"/>
  </r>
  <r>
    <n v="3000000328"/>
    <d v="2025-01-20T00:00:00"/>
    <n v="5200982.25"/>
    <s v="M. AMUCHASTEGUI S. R. L. YERBA BUENA 14"/>
    <x v="36"/>
    <n v="5200982.25"/>
    <x v="10"/>
    <x v="1"/>
    <s v="pagado"/>
    <s v="pagado"/>
    <x v="0"/>
  </r>
  <r>
    <n v="3000000329"/>
    <d v="2025-01-20T00:00:00"/>
    <n v="11692197.359999999"/>
    <s v="Romero, Hector Ruben Alpachiri 14"/>
    <x v="37"/>
    <n v="11692197.359999999"/>
    <x v="10"/>
    <x v="1"/>
    <s v="pagado"/>
    <s v="pagado"/>
    <x v="0"/>
  </r>
  <r>
    <n v="3000000331"/>
    <d v="2025-01-20T00:00:00"/>
    <n v="5458642"/>
    <s v="SANTEX S. A. LOS NOGALES 14"/>
    <x v="38"/>
    <n v="5458642"/>
    <x v="10"/>
    <x v="1"/>
    <s v="pagado"/>
    <s v="pagado"/>
    <x v="0"/>
  </r>
  <r>
    <n v="3000000332"/>
    <d v="2025-01-20T00:00:00"/>
    <n v="7519903.3200000003"/>
    <s v="MARTINO HNOS SERVICIOS AGRICOLFAMAILLA 14"/>
    <x v="39"/>
    <n v="7519903.3200000003"/>
    <x v="10"/>
    <x v="1"/>
    <s v="pagado"/>
    <s v="pagado"/>
    <x v="0"/>
  </r>
  <r>
    <n v="3000000333"/>
    <d v="2025-01-20T00:00:00"/>
    <n v="6807063.8300000001"/>
    <s v="SALAZAR CARLOS ALBERTO SAN MIGUEL DE TUCUMAN 14"/>
    <x v="40"/>
    <n v="6807063.8300000001"/>
    <x v="10"/>
    <x v="1"/>
    <s v="pagado"/>
    <s v="pagado"/>
    <x v="0"/>
  </r>
  <r>
    <n v="3000000376"/>
    <d v="2025-01-22T00:00:00"/>
    <n v="11461757.92"/>
    <s v="TRANSPORTE LA TRADICION SRL ALDERETES 14"/>
    <x v="41"/>
    <n v="11461757.92"/>
    <x v="11"/>
    <x v="1"/>
    <s v="pagado"/>
    <s v="pagado"/>
    <x v="0"/>
  </r>
  <r>
    <n v="3000000377"/>
    <d v="2025-01-22T00:00:00"/>
    <n v="12894135.83"/>
    <s v="Terminal 4 S.A. Puerto Nuevo 01"/>
    <x v="42"/>
    <n v="12894135.83"/>
    <x v="11"/>
    <x v="1"/>
    <s v="pagado"/>
    <s v="pagado"/>
    <x v="0"/>
  </r>
  <r>
    <n v="3000000378"/>
    <d v="2025-01-22T00:00:00"/>
    <n v="20000000"/>
    <s v="MERCATOR TRANSPORT ARGENTINA SBUENOS AIRES 01"/>
    <x v="43"/>
    <n v="20000000"/>
    <x v="11"/>
    <x v="1"/>
    <s v="pagado"/>
    <s v="pagado"/>
    <x v="0"/>
  </r>
  <r>
    <n v="3000000378"/>
    <d v="2025-01-22T00:00:00"/>
    <n v="19797475.120000001"/>
    <s v="MERCATOR TRANSPORT ARGENTINA SBUENOS AIRES 01"/>
    <x v="44"/>
    <n v="19797475.120000001"/>
    <x v="13"/>
    <x v="1"/>
    <s v="pagado"/>
    <s v="pagado"/>
    <x v="0"/>
  </r>
  <r>
    <n v="3000000475"/>
    <d v="2025-01-28T00:00:00"/>
    <n v="12000000"/>
    <s v="MG SERVICIOS AGROPECUARIOS SASTAFI VIEJO 14"/>
    <x v="45"/>
    <n v="12000000"/>
    <x v="14"/>
    <x v="1"/>
    <s v="pagado"/>
    <s v="pagado"/>
    <x v="0"/>
  </r>
  <r>
    <n v="3000000475"/>
    <d v="2025-01-28T00:00:00"/>
    <n v="30362004.93"/>
    <s v="MG SERVICIOS AGROPECUARIOS SASTAFI VIEJO 14"/>
    <x v="46"/>
    <n v="30362004.93"/>
    <x v="15"/>
    <x v="1"/>
    <s v="pagado"/>
    <s v="pagado"/>
    <x v="0"/>
  </r>
  <r>
    <n v="3000000476"/>
    <d v="2025-01-28T00:00:00"/>
    <n v="530102.19999999995"/>
    <s v="Acosta, Angel Alejandro SAN MIGUEL DE TUCUMAN 14"/>
    <x v="47"/>
    <n v="530102.19999999995"/>
    <x v="14"/>
    <x v="1"/>
    <s v="pagado"/>
    <s v="pagado"/>
    <x v="0"/>
  </r>
  <r>
    <n v="3000000437"/>
    <d v="2025-01-27T00:00:00"/>
    <n v="8019745.9000000004"/>
    <s v="JUAREZ SERGIO DAVID SAN MIGUEL DE TUCUMAN 14"/>
    <x v="48"/>
    <n v="8019745.9000000004"/>
    <x v="14"/>
    <x v="0"/>
    <s v="pagado"/>
    <s v="pagado"/>
    <x v="0"/>
  </r>
  <r>
    <n v="3000000438"/>
    <d v="2025-01-27T00:00:00"/>
    <n v="7837597.1399999997"/>
    <s v="Silver Freight Logistic SRL CAPITAL FEDERAL 00"/>
    <x v="49"/>
    <n v="7837597.1399999997"/>
    <x v="14"/>
    <x v="0"/>
    <s v="pagado"/>
    <s v="pagado"/>
    <x v="0"/>
  </r>
  <r>
    <n v="3000000439"/>
    <d v="2025-01-27T00:00:00"/>
    <n v="19595351.219999999"/>
    <s v="SMART SEGURIDAD SA YERBA BUENA 14"/>
    <x v="50"/>
    <n v="19595351.219999999"/>
    <x v="14"/>
    <x v="0"/>
    <s v="pagado"/>
    <s v="pagado"/>
    <x v="0"/>
  </r>
  <r>
    <n v="3000000440"/>
    <d v="2025-01-27T00:00:00"/>
    <n v="17633539.030000001"/>
    <s v="LA ASTURIANA SRL SAN MIGUEL DE TUCUMAN 14"/>
    <x v="51"/>
    <n v="17633539.030000001"/>
    <x v="15"/>
    <x v="0"/>
    <s v="pagado"/>
    <s v="pagado"/>
    <x v="0"/>
  </r>
  <r>
    <n v="3000000441"/>
    <d v="2025-01-27T00:00:00"/>
    <n v="12650244.390000001"/>
    <s v="TRUSARELLI CARLOS ALBERTO BANDA DEL RIO SALI 14"/>
    <x v="52"/>
    <n v="12650244.390000001"/>
    <x v="15"/>
    <x v="0"/>
    <s v="pagado"/>
    <s v="pagado"/>
    <x v="0"/>
  </r>
  <r>
    <n v="3000000442"/>
    <d v="2025-01-27T00:00:00"/>
    <n v="12454897.109999999"/>
    <s v="Servicom Group S.A. CAPITAL FEDERAL 00"/>
    <x v="53"/>
    <n v="12454897.109999999"/>
    <x v="15"/>
    <x v="0"/>
    <s v="pagado"/>
    <s v="pagado"/>
    <x v="0"/>
  </r>
  <r>
    <n v="3000000443"/>
    <d v="2025-01-27T00:00:00"/>
    <n v="10049305"/>
    <s v="RIBA MONICA ELIZABETH LAS TALITAS 14"/>
    <x v="54"/>
    <n v="10049305"/>
    <x v="16"/>
    <x v="0"/>
    <s v="pagado"/>
    <s v="pagado"/>
    <x v="0"/>
  </r>
  <r>
    <n v="3000000444"/>
    <d v="2025-01-27T00:00:00"/>
    <n v="8177346.46"/>
    <s v="Marchese Grandi Meson y Asoc SAN MIGUEL DE TUCUMAN 14"/>
    <x v="55"/>
    <n v="8177346.46"/>
    <x v="16"/>
    <x v="0"/>
    <s v="pagado"/>
    <s v="pagado"/>
    <x v="0"/>
  </r>
  <r>
    <n v="3000000445"/>
    <d v="2025-01-27T00:00:00"/>
    <n v="6668436"/>
    <s v="TEKNOS TECHNOLOGY GROUP SA CAPITAL FEDERAL 00"/>
    <x v="56"/>
    <n v="6668436"/>
    <x v="16"/>
    <x v="0"/>
    <s v="pagado"/>
    <s v="pagado"/>
    <x v="0"/>
  </r>
  <r>
    <n v="3000000519"/>
    <d v="2025-01-30T00:00:00"/>
    <n v="1000000"/>
    <s v="Fondo Fijo Administracion CitrNO TIENE"/>
    <x v="57"/>
    <n v="1000000"/>
    <x v="16"/>
    <x v="1"/>
    <s v="pagado"/>
    <s v="pagado"/>
    <x v="0"/>
  </r>
  <r>
    <n v="3000000519"/>
    <d v="2025-01-30T00:00:00"/>
    <n v="938229.47"/>
    <s v="Fondo Fijo Administracion CitrNO TIENE"/>
    <x v="58"/>
    <n v="938229.47"/>
    <x v="17"/>
    <x v="1"/>
    <s v="pagado"/>
    <s v="pagado"/>
    <x v="0"/>
  </r>
  <r>
    <n v="3000000521"/>
    <d v="2025-01-31T00:00:00"/>
    <n v="24523200"/>
    <s v="BONSUR SA CAPITAL FEDERAL 00"/>
    <x v="59"/>
    <n v="24523200"/>
    <x v="18"/>
    <x v="1"/>
    <s v="pagado"/>
    <s v="pagado"/>
    <x v="0"/>
  </r>
  <r>
    <n v="3000000585"/>
    <d v="2025-02-04T00:00:00"/>
    <n v="2626701.19"/>
    <s v="MG SERVICIOS AGROPECUARIOS SASTAFI VIEJO 14"/>
    <x v="60"/>
    <n v="2626701.19"/>
    <x v="19"/>
    <x v="1"/>
    <s v="pagado"/>
    <s v="pagado"/>
    <x v="0"/>
  </r>
  <r>
    <n v="3000000557"/>
    <d v="2025-02-03T00:00:00"/>
    <n v="15000000"/>
    <s v="M. AMUCHASTEGUI S. R. L. YERBA BUENA 14"/>
    <x v="61"/>
    <n v="15000000"/>
    <x v="19"/>
    <x v="0"/>
    <s v="pagado"/>
    <s v="pagado"/>
    <x v="0"/>
  </r>
  <r>
    <n v="3000000557"/>
    <d v="2025-02-03T00:00:00"/>
    <n v="13269222.24"/>
    <s v="M. AMUCHASTEGUI S. R. L. YERBA BUENA 14"/>
    <x v="62"/>
    <n v="13269222.24"/>
    <x v="20"/>
    <x v="0"/>
    <s v="pagado"/>
    <s v="pagado"/>
    <x v="0"/>
  </r>
  <r>
    <n v="3000000559"/>
    <d v="2025-02-03T00:00:00"/>
    <n v="12000000"/>
    <s v="MAC DONALD MIGUEL ALEJANDRO BANDA DEL RIO SALI 14"/>
    <x v="63"/>
    <n v="12000000"/>
    <x v="19"/>
    <x v="0"/>
    <s v="pagado"/>
    <s v="pagado"/>
    <x v="0"/>
  </r>
  <r>
    <n v="3000000559"/>
    <d v="2025-02-03T00:00:00"/>
    <n v="11631009.74"/>
    <s v="MAC DONALD MIGUEL ALEJANDRO BANDA DEL RIO SALI 14"/>
    <x v="64"/>
    <n v="11631009.74"/>
    <x v="20"/>
    <x v="0"/>
    <s v="pagado"/>
    <s v="pagado"/>
    <x v="0"/>
  </r>
  <r>
    <n v="3000000562"/>
    <d v="2025-02-03T00:00:00"/>
    <n v="14000000"/>
    <s v="CAPETTA ANTONELLA ANAHI SAN MIGUEL DE TUCUMAN 14"/>
    <x v="65"/>
    <n v="14000000"/>
    <x v="19"/>
    <x v="0"/>
    <s v="pagado"/>
    <s v="pagado"/>
    <x v="0"/>
  </r>
  <r>
    <n v="3000000562"/>
    <d v="2025-02-03T00:00:00"/>
    <n v="13628138.09"/>
    <s v="CAPETTA ANTONELLA ANAHI SAN MIGUEL DE TUCUMAN 14"/>
    <x v="66"/>
    <n v="13628138.09"/>
    <x v="20"/>
    <x v="0"/>
    <s v="pagado"/>
    <s v="pagado"/>
    <x v="0"/>
  </r>
  <r>
    <n v="3000000555"/>
    <d v="2025-02-03T00:00:00"/>
    <n v="8113013.9000000004"/>
    <s v="LUGUIMAC S.R.L VILLA LYNCH 01"/>
    <x v="67"/>
    <n v="8113013.9000000004"/>
    <x v="19"/>
    <x v="0"/>
    <s v="pagado"/>
    <s v="pagado"/>
    <x v="0"/>
  </r>
  <r>
    <n v="3000000556"/>
    <d v="2025-02-03T00:00:00"/>
    <n v="16648171.25"/>
    <s v="FABRICA ARG. DE INDUMENTARIA SGENERAL RODRIGUEZ 01"/>
    <x v="68"/>
    <n v="16648171.25"/>
    <x v="19"/>
    <x v="0"/>
    <s v="pagado"/>
    <s v="pagado"/>
    <x v="0"/>
  </r>
  <r>
    <n v="3000000558"/>
    <d v="2025-02-03T00:00:00"/>
    <n v="7130759.9199999999"/>
    <s v="JACQUET NORBERTO SALVADOR SAN JOSE 05"/>
    <x v="69"/>
    <n v="7130759.9199999999"/>
    <x v="19"/>
    <x v="0"/>
    <s v="pagado"/>
    <s v="pagado"/>
    <x v="0"/>
  </r>
  <r>
    <n v="3000000560"/>
    <d v="2025-02-03T00:00:00"/>
    <n v="7131259.7800000003"/>
    <s v="LOGISTICA Y DISTRIBUCION FEDE CAPITAL FEDERAL 00"/>
    <x v="70"/>
    <n v="7131259.7800000003"/>
    <x v="19"/>
    <x v="0"/>
    <s v="pagado"/>
    <s v="pagado"/>
    <x v="0"/>
  </r>
  <r>
    <n v="3000000561"/>
    <d v="2025-02-03T00:00:00"/>
    <n v="8354845.9800000004"/>
    <s v="TRANSPORTE FRIOS DEL NORTE S.RSAN MIGUEL DE TUCUMAN 14"/>
    <x v="71"/>
    <n v="8354845.9800000004"/>
    <x v="19"/>
    <x v="0"/>
    <s v="pagado"/>
    <s v="pagado"/>
    <x v="0"/>
  </r>
  <r>
    <n v="3000000563"/>
    <d v="2025-02-03T00:00:00"/>
    <n v="7408404.0599999996"/>
    <s v="RL SOLUCIONES S. A. S. SAN MIGUEL DE TUCUMAN 14"/>
    <x v="72"/>
    <n v="7408404.0599999996"/>
    <x v="19"/>
    <x v="0"/>
    <s v="pagado"/>
    <s v="pagado"/>
    <x v="0"/>
  </r>
  <r>
    <n v="3000000601"/>
    <d v="2025-02-05T00:00:00"/>
    <n v="7468372.0499999998"/>
    <s v="Servicom Group S.A. CAPITAL FEDERAL 00"/>
    <x v="73"/>
    <n v="7468372.0499999998"/>
    <x v="21"/>
    <x v="1"/>
    <s v="pagado"/>
    <s v="pagado"/>
    <x v="0"/>
  </r>
  <r>
    <n v="3000000602"/>
    <d v="2025-02-05T00:00:00"/>
    <n v="15015420.970000001"/>
    <s v="Terminal 4 S.A. Puerto Nuevo 01"/>
    <x v="74"/>
    <n v="15015420.970000001"/>
    <x v="21"/>
    <x v="1"/>
    <s v="pagado"/>
    <s v="pagado"/>
    <x v="0"/>
  </r>
  <r>
    <n v="3000000603"/>
    <d v="2025-02-05T00:00:00"/>
    <n v="7834634.8799999999"/>
    <s v="FLETES Y SERVICIOS PUJATO S.A PUJATO 12"/>
    <x v="75"/>
    <n v="7834634.8799999999"/>
    <x v="21"/>
    <x v="1"/>
    <s v="pagado"/>
    <s v="pagado"/>
    <x v="0"/>
  </r>
  <r>
    <n v="3000000604"/>
    <d v="2025-02-05T00:00:00"/>
    <n v="5057267.5599999996"/>
    <s v="Expreso Bisonte S.R.L. BANDA DEL RIO SALI 14"/>
    <x v="76"/>
    <n v="5057267.5599999996"/>
    <x v="21"/>
    <x v="1"/>
    <s v="pagado"/>
    <s v="pagado"/>
    <x v="0"/>
  </r>
  <r>
    <n v="3000000728"/>
    <d v="2025-02-11T00:00:00"/>
    <n v="141557350.72"/>
    <s v="MG SERVICIOS AGROPECUARIOS SASTAFI VIEJO 14"/>
    <x v="77"/>
    <n v="141557350.72"/>
    <x v="22"/>
    <x v="1"/>
    <s v="pagado"/>
    <s v="pagado"/>
    <x v="0"/>
  </r>
  <r>
    <n v="3000000692"/>
    <d v="2025-02-11T00:00:00"/>
    <n v="8777470.7200000007"/>
    <s v="CAMPOAGRO SRL YERBA BUENA 14"/>
    <x v="78"/>
    <n v="8777470.7200000007"/>
    <x v="23"/>
    <x v="1"/>
    <s v="pagado"/>
    <s v="pagado"/>
    <x v="0"/>
  </r>
  <r>
    <n v="3000000693"/>
    <d v="2025-02-11T00:00:00"/>
    <n v="3887380.76"/>
    <s v="INSITU S.R.L SAN MIGUEL DE TUCUMAN 14"/>
    <x v="79"/>
    <n v="3887380.76"/>
    <x v="23"/>
    <x v="1"/>
    <s v="pagado"/>
    <s v="pagado"/>
    <x v="0"/>
  </r>
  <r>
    <n v="3000000694"/>
    <d v="2025-02-11T00:00:00"/>
    <n v="8309167.1399999997"/>
    <s v="GCAMPO MAQUINARIAS S.R.L LAS TALITAS 14"/>
    <x v="80"/>
    <n v="8309167.1399999997"/>
    <x v="23"/>
    <x v="1"/>
    <s v="pagado"/>
    <s v="pagado"/>
    <x v="0"/>
  </r>
  <r>
    <n v="3000000695"/>
    <d v="2025-02-11T00:00:00"/>
    <n v="20199491.75"/>
    <s v="SMART SEGURIDAD SA YERBA BUENA 14"/>
    <x v="81"/>
    <n v="20199491.75"/>
    <x v="24"/>
    <x v="1"/>
    <s v="pagado"/>
    <s v="pagado"/>
    <x v="0"/>
  </r>
  <r>
    <n v="3000000696"/>
    <d v="2025-02-11T00:00:00"/>
    <n v="13575156.43"/>
    <s v="MONTEROS LEMON SAS TAFI VIEJO 14"/>
    <x v="82"/>
    <n v="13575156.43"/>
    <x v="24"/>
    <x v="1"/>
    <s v="pagado"/>
    <s v="pagado"/>
    <x v="0"/>
  </r>
  <r>
    <n v="3000000697"/>
    <d v="2025-02-11T00:00:00"/>
    <n v="10000000"/>
    <s v="CAFELI S.R.L. SAN MIGUEL DE TUCUMAN 14"/>
    <x v="83"/>
    <n v="10000000"/>
    <x v="24"/>
    <x v="1"/>
    <s v="pagado"/>
    <s v="pagado"/>
    <x v="0"/>
  </r>
  <r>
    <n v="3000000697"/>
    <d v="2025-02-11T00:00:00"/>
    <n v="10000000"/>
    <s v="CAFELI S.R.L. SAN MIGUEL DE TUCUMAN 14"/>
    <x v="84"/>
    <n v="10000000"/>
    <x v="24"/>
    <x v="1"/>
    <s v="pagado"/>
    <s v="pagado"/>
    <x v="0"/>
  </r>
  <r>
    <n v="3000000697"/>
    <d v="2025-02-11T00:00:00"/>
    <n v="9976027.2699999996"/>
    <s v="CAFELI S.R.L. SAN MIGUEL DE TUCUMAN 14"/>
    <x v="85"/>
    <n v="9976027.2699999996"/>
    <x v="22"/>
    <x v="1"/>
    <s v="pagado"/>
    <s v="pagado"/>
    <x v="0"/>
  </r>
  <r>
    <n v="3000000698"/>
    <d v="2025-02-11T00:00:00"/>
    <n v="15000000"/>
    <s v="Servicom Group S.A. CAPITAL FEDERAL 00"/>
    <x v="86"/>
    <n v="15000000"/>
    <x v="24"/>
    <x v="1"/>
    <s v="pagado"/>
    <s v="pagado"/>
    <x v="0"/>
  </r>
  <r>
    <n v="3000000698"/>
    <d v="2025-02-11T00:00:00"/>
    <n v="12241454.27"/>
    <s v="Servicom Group S.A. CAPITAL FEDERAL 00"/>
    <x v="87"/>
    <n v="12241454.27"/>
    <x v="22"/>
    <x v="1"/>
    <s v="pagado"/>
    <s v="pagado"/>
    <x v="0"/>
  </r>
  <r>
    <n v="3000000728"/>
    <d v="2025-02-11T00:00:00"/>
    <n v="30000000"/>
    <s v="MG SERVICIOS AGROPECUARIOS SASTAFI VIEJO 14"/>
    <x v="88"/>
    <n v="30000000"/>
    <x v="23"/>
    <x v="1"/>
    <s v="pagado"/>
    <s v="pagado"/>
    <x v="0"/>
  </r>
  <r>
    <n v="3000000728"/>
    <d v="2025-02-11T00:00:00"/>
    <n v="29000000"/>
    <s v="MG SERVICIOS AGROPECUARIOS SASTAFI VIEJO 14"/>
    <x v="89"/>
    <n v="29000000"/>
    <x v="24"/>
    <x v="1"/>
    <s v="pagado"/>
    <s v="pagado"/>
    <x v="0"/>
  </r>
  <r>
    <n v="3000000728"/>
    <d v="2025-02-11T00:00:00"/>
    <n v="6201000"/>
    <s v="MG SERVICIOS AGROPECUARIOS SASTAFI VIEJO 14"/>
    <x v="90"/>
    <n v="6201000"/>
    <x v="24"/>
    <x v="1"/>
    <s v="pagado"/>
    <s v="pagado"/>
    <x v="0"/>
  </r>
  <r>
    <n v="3000000728"/>
    <d v="2025-02-11T00:00:00"/>
    <n v="2968655"/>
    <s v="MG SERVICIOS AGROPECUARIOS SASTAFI VIEJO 14"/>
    <x v="91"/>
    <n v="2968655"/>
    <x v="24"/>
    <x v="1"/>
    <s v="pagado"/>
    <s v="pagado"/>
    <x v="0"/>
  </r>
  <r>
    <n v="3000000728"/>
    <d v="2025-02-11T00:00:00"/>
    <n v="2900000"/>
    <s v="MG SERVICIOS AGROPECUARIOS SASTAFI VIEJO 14"/>
    <x v="92"/>
    <n v="2900000"/>
    <x v="24"/>
    <x v="1"/>
    <s v="pagado"/>
    <s v="pagado"/>
    <x v="0"/>
  </r>
  <r>
    <n v="3000000728"/>
    <d v="2025-02-11T00:00:00"/>
    <n v="2400000"/>
    <s v="MG SERVICIOS AGROPECUARIOS SASTAFI VIEJO 14"/>
    <x v="93"/>
    <n v="2400000"/>
    <x v="24"/>
    <x v="1"/>
    <s v="pagado"/>
    <s v="pagado"/>
    <x v="0"/>
  </r>
  <r>
    <n v="3000000728"/>
    <d v="2025-02-11T00:00:00"/>
    <n v="3063000"/>
    <s v="MG SERVICIOS AGROPECUARIOS SASTAFI VIEJO 14"/>
    <x v="94"/>
    <n v="3063000"/>
    <x v="24"/>
    <x v="1"/>
    <s v="pagado"/>
    <s v="pagado"/>
    <x v="0"/>
  </r>
  <r>
    <n v="3000000747"/>
    <d v="2025-02-12T00:00:00"/>
    <n v="10631532.810000001"/>
    <s v="Terminal 4 S.A. Puerto Nuevo 01"/>
    <x v="95"/>
    <n v="10631532.810000001"/>
    <x v="22"/>
    <x v="1"/>
    <s v="pagado"/>
    <s v="pagado"/>
    <x v="0"/>
  </r>
  <r>
    <n v="3000000748"/>
    <d v="2025-02-12T00:00:00"/>
    <n v="7356467.9199999999"/>
    <s v="LATCOMEX SA CAPITAL FEDERAL 00"/>
    <x v="96"/>
    <n v="7356467.9199999999"/>
    <x v="22"/>
    <x v="1"/>
    <s v="pagado"/>
    <s v="pagado"/>
    <x v="0"/>
  </r>
  <r>
    <n v="3000000749"/>
    <d v="2025-02-12T00:00:00"/>
    <n v="5393304"/>
    <s v="RL SOLUCIONES S. A. S. SAN MIGUEL DE TUCUMAN 14"/>
    <x v="97"/>
    <n v="5393304"/>
    <x v="22"/>
    <x v="1"/>
    <s v="pagado"/>
    <s v="pagado"/>
    <x v="0"/>
  </r>
  <r>
    <n v="3000000818"/>
    <d v="2025-02-17T00:00:00"/>
    <n v="10000000"/>
    <s v="SMART SEGURIDAD SA YERBA BUENA 14"/>
    <x v="98"/>
    <n v="10000000"/>
    <x v="25"/>
    <x v="1"/>
    <s v="pagado"/>
    <s v="pagado"/>
    <x v="0"/>
  </r>
  <r>
    <n v="3000000818"/>
    <d v="2025-02-17T00:00:00"/>
    <n v="10198148.34"/>
    <s v="SMART SEGURIDAD SA YERBA BUENA 14"/>
    <x v="99"/>
    <n v="10198148.34"/>
    <x v="26"/>
    <x v="1"/>
    <s v="pagado"/>
    <s v="pagado"/>
    <x v="0"/>
  </r>
  <r>
    <n v="3000000815"/>
    <d v="2025-02-17T00:00:00"/>
    <n v="5820317.9900000002"/>
    <s v="AGROPECUARIA MUNDO NUEVO SRL SAN PABLO 14"/>
    <x v="100"/>
    <n v="5820317.9900000002"/>
    <x v="25"/>
    <x v="1"/>
    <s v="pagado"/>
    <s v="pagado"/>
    <x v="0"/>
  </r>
  <r>
    <n v="3000000816"/>
    <d v="2025-02-17T00:00:00"/>
    <n v="6357816.6699999999"/>
    <s v="CAMPOAGRO SRL YERBA BUENA 14"/>
    <x v="101"/>
    <n v="6357816.6699999999"/>
    <x v="25"/>
    <x v="1"/>
    <s v="pagado"/>
    <s v="pagado"/>
    <x v="0"/>
  </r>
  <r>
    <n v="3000000817"/>
    <d v="2025-02-17T00:00:00"/>
    <n v="10186003.189999999"/>
    <s v="BERCOVICH COMERCIAL SAS SAN MIGUEL DE TUCUMAN 14"/>
    <x v="102"/>
    <n v="10186003.189999999"/>
    <x v="25"/>
    <x v="1"/>
    <s v="pagado"/>
    <s v="pagado"/>
    <x v="0"/>
  </r>
  <r>
    <n v="3000000839"/>
    <d v="2025-02-18T00:00:00"/>
    <n v="2592346.17"/>
    <s v="MG SERVICIOS AGROPECUARIOS SASTAFI VIEJO 14"/>
    <x v="103"/>
    <n v="2592346.17"/>
    <x v="26"/>
    <x v="1"/>
    <s v="pagado"/>
    <s v="pagado"/>
    <x v="0"/>
  </r>
  <r>
    <n v="3000000839"/>
    <d v="2025-02-18T00:00:00"/>
    <n v="1900000"/>
    <s v="MG SERVICIOS AGROPECUARIOS SASTAFI VIEJO 14"/>
    <x v="104"/>
    <n v="1900000"/>
    <x v="26"/>
    <x v="1"/>
    <s v="pagado"/>
    <s v="pagado"/>
    <x v="0"/>
  </r>
  <r>
    <n v="3000000839"/>
    <d v="2025-02-18T00:00:00"/>
    <n v="1447701"/>
    <s v="MG SERVICIOS AGROPECUARIOS SASTAFI VIEJO 14"/>
    <x v="105"/>
    <n v="1447701"/>
    <x v="26"/>
    <x v="1"/>
    <s v="pagado"/>
    <s v="pagado"/>
    <x v="0"/>
  </r>
  <r>
    <n v="3000000839"/>
    <d v="2025-02-18T00:00:00"/>
    <n v="2400000"/>
    <s v="MG SERVICIOS AGROPECUARIOS SASTAFI VIEJO 14"/>
    <x v="106"/>
    <n v="2400000"/>
    <x v="26"/>
    <x v="1"/>
    <s v="pagado"/>
    <s v="pagado"/>
    <x v="0"/>
  </r>
  <r>
    <n v="3000000839"/>
    <d v="2025-02-18T00:00:00"/>
    <n v="2186117"/>
    <s v="MG SERVICIOS AGROPECUARIOS SASTAFI VIEJO 14"/>
    <x v="107"/>
    <n v="2186117"/>
    <x v="26"/>
    <x v="1"/>
    <s v="pagado"/>
    <s v="pagado"/>
    <x v="0"/>
  </r>
  <r>
    <n v="3000000853"/>
    <d v="2025-02-19T00:00:00"/>
    <n v="123654020"/>
    <s v="EDET S.A. SAN MIGUEL DE TUCUMAN 14"/>
    <x v="108"/>
    <n v="123654020"/>
    <x v="26"/>
    <x v="1"/>
    <s v="pagado"/>
    <s v="pagado"/>
    <x v="0"/>
  </r>
  <r>
    <n v="3000000929"/>
    <d v="2025-02-25T00:00:00"/>
    <n v="83201230"/>
    <s v="EDET S.A. SAN MIGUEL DE TUCUMAN 14"/>
    <x v="109"/>
    <n v="83201230"/>
    <x v="27"/>
    <x v="1"/>
    <s v="pagado"/>
    <s v="pagado"/>
    <x v="0"/>
  </r>
  <r>
    <n v="3000000967"/>
    <d v="2025-02-26T00:00:00"/>
    <n v="12000000"/>
    <s v="BONSUR SA CAPITAL FEDERAL 00"/>
    <x v="110"/>
    <n v="12000000"/>
    <x v="28"/>
    <x v="1"/>
    <s v="pagado"/>
    <s v="pagado"/>
    <x v="0"/>
  </r>
  <r>
    <n v="3000000967"/>
    <d v="2025-02-26T00:00:00"/>
    <n v="12523367.92"/>
    <s v="BONSUR SA CAPITAL FEDERAL 00"/>
    <x v="111"/>
    <n v="12523367.92"/>
    <x v="29"/>
    <x v="1"/>
    <s v="pagado"/>
    <s v="pagado"/>
    <x v="0"/>
  </r>
  <r>
    <n v="3000000962"/>
    <d v="2025-02-26T00:00:00"/>
    <n v="5347944"/>
    <s v="JACQUET NORBERTO SALVADOR SAN JOSE 05"/>
    <x v="112"/>
    <n v="5347944"/>
    <x v="28"/>
    <x v="1"/>
    <s v="pagado"/>
    <s v="pagado"/>
    <x v="0"/>
  </r>
  <r>
    <n v="3000000963"/>
    <d v="2025-02-26T00:00:00"/>
    <n v="5361552"/>
    <s v="RL SOLUCIONES S. A. S. SAN MIGUEL DE TUCUMAN 14"/>
    <x v="113"/>
    <n v="5361552"/>
    <x v="28"/>
    <x v="1"/>
    <s v="pagado"/>
    <s v="pagado"/>
    <x v="0"/>
  </r>
  <r>
    <n v="3000000964"/>
    <d v="2025-02-26T00:00:00"/>
    <n v="9020299.0899999999"/>
    <s v="VILLAGRA VELEZ ROQUE RICARDO SAN MIGUEL DE TUCUMAN 14"/>
    <x v="114"/>
    <n v="9020299.0899999999"/>
    <x v="28"/>
    <x v="1"/>
    <s v="pagado"/>
    <s v="pagado"/>
    <x v="0"/>
  </r>
  <r>
    <n v="3000000965"/>
    <d v="2025-02-26T00:00:00"/>
    <n v="10764682.609999999"/>
    <s v="MAC DONALD MIGUEL ALEJANDRO BANDA DEL RIO SALI 14"/>
    <x v="115"/>
    <n v="10764682.609999999"/>
    <x v="28"/>
    <x v="1"/>
    <s v="pagado"/>
    <s v="pagado"/>
    <x v="0"/>
  </r>
  <r>
    <n v="3000000966"/>
    <d v="2025-02-26T00:00:00"/>
    <n v="9190143.6500000004"/>
    <s v="CAPETTA ANTONELLA ANAHI SAN MIGUEL DE TUCUMAN 14"/>
    <x v="116"/>
    <n v="9190143.6500000004"/>
    <x v="28"/>
    <x v="1"/>
    <s v="pagado"/>
    <s v="pagado"/>
    <x v="0"/>
  </r>
  <r>
    <n v="3000001037"/>
    <d v="2025-03-05T00:00:00"/>
    <n v="10000000"/>
    <s v="JACQUET NORBERTO SALVADOR SAN JOSE 05"/>
    <x v="117"/>
    <n v="10000000"/>
    <x v="30"/>
    <x v="0"/>
    <s v="pagado"/>
    <s v="pagado"/>
    <x v="0"/>
  </r>
  <r>
    <n v="3000001037"/>
    <d v="2025-03-05T00:00:00"/>
    <n v="8039516.3700000001"/>
    <s v="JACQUET NORBERTO SALVADOR SAN JOSE 05"/>
    <x v="118"/>
    <n v="8039516.3700000001"/>
    <x v="31"/>
    <x v="0"/>
    <s v="pagado"/>
    <s v="pagado"/>
    <x v="0"/>
  </r>
  <r>
    <n v="3000001032"/>
    <d v="2025-03-05T00:00:00"/>
    <n v="3663483.75"/>
    <s v="Cia. Azucarera Los Balcanes S.Ingenio La Florida 14"/>
    <x v="119"/>
    <n v="3663483.75"/>
    <x v="30"/>
    <x v="0"/>
    <s v="pagado"/>
    <s v="pagado"/>
    <x v="0"/>
  </r>
  <r>
    <n v="3000001033"/>
    <d v="2025-03-05T00:00:00"/>
    <n v="13440767.92"/>
    <s v="FLETES Y SERVICIOS PUJATO S.A PUJATO 12"/>
    <x v="120"/>
    <n v="13440767.92"/>
    <x v="30"/>
    <x v="0"/>
    <s v="pagado"/>
    <s v="pagado"/>
    <x v="0"/>
  </r>
  <r>
    <n v="3000001034"/>
    <d v="2025-03-05T00:00:00"/>
    <n v="7392417.5300000003"/>
    <s v="CAPETTA ANTONELLA ANAHI SAN MIGUEL DE TUCUMAN 14"/>
    <x v="121"/>
    <n v="7392417.5300000003"/>
    <x v="30"/>
    <x v="0"/>
    <s v="pagado"/>
    <s v="pagado"/>
    <x v="0"/>
  </r>
  <r>
    <n v="3000001035"/>
    <d v="2025-03-05T00:00:00"/>
    <n v="5382509.2300000004"/>
    <s v="MAC DONALD MIGUEL ALEJANDRO BANDA DEL RIO SALI 14"/>
    <x v="122"/>
    <n v="5382509.2300000004"/>
    <x v="30"/>
    <x v="0"/>
    <s v="pagado"/>
    <s v="pagado"/>
    <x v="0"/>
  </r>
  <r>
    <n v="3000001036"/>
    <d v="2025-03-05T00:00:00"/>
    <n v="11722771.939999999"/>
    <s v="Terminal 4 S.A. Puerto Nuevo 01"/>
    <x v="123"/>
    <n v="11722771.939999999"/>
    <x v="30"/>
    <x v="0"/>
    <s v="pagado"/>
    <s v="pagado"/>
    <x v="0"/>
  </r>
  <r>
    <n v="3000001038"/>
    <d v="2025-03-05T00:00:00"/>
    <n v="5771942.46"/>
    <s v="Dsv Air &amp; Sea SA BUENOS AIRES 01"/>
    <x v="124"/>
    <n v="5771942.46"/>
    <x v="30"/>
    <x v="0"/>
    <s v="pagado"/>
    <s v="pagado"/>
    <x v="0"/>
  </r>
  <r>
    <n v="3000001039"/>
    <d v="2025-03-05T00:00:00"/>
    <n v="9623461.2400000002"/>
    <s v="CATALANA DE SERVICIOS SRL YERBA BUENA 14"/>
    <x v="125"/>
    <n v="9623461.2400000002"/>
    <x v="30"/>
    <x v="0"/>
    <s v="pagado"/>
    <s v="pagado"/>
    <x v="0"/>
  </r>
  <r>
    <n v="3000001040"/>
    <d v="2025-03-05T00:00:00"/>
    <n v="3167373.04"/>
    <s v="AGROPECUARIA MUNDO NUEVO SRL SAN PABLO 14"/>
    <x v="126"/>
    <n v="3167373.04"/>
    <x v="30"/>
    <x v="0"/>
    <s v="pagado"/>
    <s v="pagado"/>
    <x v="0"/>
  </r>
  <r>
    <n v="3000001041"/>
    <d v="2025-03-05T00:00:00"/>
    <n v="8083476.8899999997"/>
    <s v="ROMERO SERVICIOS S. A. S. ALPACHIRI 14"/>
    <x v="127"/>
    <n v="8083476.8899999997"/>
    <x v="30"/>
    <x v="0"/>
    <s v="pagado"/>
    <s v="pagado"/>
    <x v="0"/>
  </r>
  <r>
    <n v="3000001042"/>
    <d v="2025-03-05T00:00:00"/>
    <n v="14589841.32"/>
    <s v="Consultoria en Tecnologia de IBUENOS AIRES 00"/>
    <x v="128"/>
    <n v="14589841.32"/>
    <x v="31"/>
    <x v="0"/>
    <s v="pagado"/>
    <s v="pagado"/>
    <x v="0"/>
  </r>
  <r>
    <n v="3000001043"/>
    <d v="2025-03-05T00:00:00"/>
    <n v="4798943.4000000004"/>
    <s v="SEPULVEDA MONTAJES S.R.L. SAN ISIDRO DE LULES 14"/>
    <x v="129"/>
    <n v="4798943.4000000004"/>
    <x v="30"/>
    <x v="0"/>
    <s v="pagado"/>
    <s v="pagado"/>
    <x v="0"/>
  </r>
  <r>
    <n v="3000001044"/>
    <d v="2025-03-05T00:00:00"/>
    <n v="4287715.08"/>
    <s v="VISMA ARGENTINA SA CAPITAL FEDERAL 14"/>
    <x v="130"/>
    <n v="4287715.08"/>
    <x v="30"/>
    <x v="0"/>
    <s v="pagado"/>
    <s v="pagado"/>
    <x v="0"/>
  </r>
  <r>
    <n v="3000001169"/>
    <d v="2025-03-11T00:00:00"/>
    <n v="15000000"/>
    <s v="Jeblab S.R.L. YERBA BUENA 14"/>
    <x v="131"/>
    <n v="15000000"/>
    <x v="32"/>
    <x v="1"/>
    <s v="pagado"/>
    <s v="pagado"/>
    <x v="0"/>
  </r>
  <r>
    <n v="3000001169"/>
    <d v="2025-03-11T00:00:00"/>
    <n v="14900843.4"/>
    <s v="Jeblab S.R.L. YERBA BUENA 14"/>
    <x v="132"/>
    <n v="14900843.4"/>
    <x v="33"/>
    <x v="1"/>
    <s v="pagado"/>
    <s v="pagado"/>
    <x v="0"/>
  </r>
  <r>
    <n v="3000001168"/>
    <d v="2025-03-11T00:00:00"/>
    <n v="7563406.8799999999"/>
    <s v="Marchese Grandi Meson y Asoc SAN MIGUEL DE TUCUMAN 14"/>
    <x v="133"/>
    <n v="7563406.8799999999"/>
    <x v="32"/>
    <x v="1"/>
    <s v="pagado"/>
    <s v="pagado"/>
    <x v="0"/>
  </r>
  <r>
    <n v="3000001259"/>
    <d v="2025-03-17T00:00:00"/>
    <n v="47000000"/>
    <s v="TRUSARELLI CARLOS ALBERTO BANDA DEL RIO SALI 14"/>
    <x v="134"/>
    <n v="47000000"/>
    <x v="34"/>
    <x v="0"/>
    <s v="pagado"/>
    <s v="pagado"/>
    <x v="0"/>
  </r>
  <r>
    <n v="3000001259"/>
    <d v="2025-03-17T00:00:00"/>
    <n v="34077795.270000003"/>
    <s v="TRUSARELLI CARLOS ALBERTO BANDA DEL RIO SALI 14"/>
    <x v="135"/>
    <n v="34077795.270000003"/>
    <x v="35"/>
    <x v="0"/>
    <s v="pagado"/>
    <s v="pagado"/>
    <x v="0"/>
  </r>
  <r>
    <n v="3000001256"/>
    <d v="2025-03-17T00:00:00"/>
    <n v="4287667.2699999996"/>
    <s v="GCAMPO MAQUINARIAS S.R.L LAS TALITAS 14"/>
    <x v="136"/>
    <n v="4287667.2699999996"/>
    <x v="34"/>
    <x v="0"/>
    <s v="pagado"/>
    <s v="pagado"/>
    <x v="0"/>
  </r>
  <r>
    <n v="3000001257"/>
    <d v="2025-03-17T00:00:00"/>
    <n v="12403793.92"/>
    <s v="CAMPOAGRO SRL YERBA BUENA 14"/>
    <x v="137"/>
    <n v="12403793.92"/>
    <x v="34"/>
    <x v="0"/>
    <s v="pagado"/>
    <s v="pagado"/>
    <x v="0"/>
  </r>
  <r>
    <n v="3000001258"/>
    <d v="2025-03-17T00:00:00"/>
    <n v="5500449.4199999999"/>
    <s v="Servicom Group S.A. CAPITAL FEDERAL 00"/>
    <x v="138"/>
    <n v="5500449.4199999999"/>
    <x v="34"/>
    <x v="0"/>
    <s v="pagado"/>
    <s v="pagado"/>
    <x v="0"/>
  </r>
  <r>
    <n v="3000001277"/>
    <d v="2025-03-18T00:00:00"/>
    <n v="24000000"/>
    <s v="MG SERVICIOS AGROPECUARIOS SASTAFI VIEJO 14"/>
    <x v="139"/>
    <n v="24000000"/>
    <x v="36"/>
    <x v="0"/>
    <s v="pagado"/>
    <s v="pagado"/>
    <x v="0"/>
  </r>
  <r>
    <n v="3000001277"/>
    <d v="2025-03-18T00:00:00"/>
    <n v="6790472"/>
    <s v="MG SERVICIOS AGROPECUARIOS SASTAFI VIEJO 14"/>
    <x v="140"/>
    <n v="6790472"/>
    <x v="36"/>
    <x v="0"/>
    <s v="pagado"/>
    <s v="pagado"/>
    <x v="0"/>
  </r>
  <r>
    <n v="3000001277"/>
    <d v="2025-03-18T00:00:00"/>
    <n v="4304616"/>
    <s v="MG SERVICIOS AGROPECUARIOS SASTAFI VIEJO 14"/>
    <x v="141"/>
    <n v="4304616"/>
    <x v="36"/>
    <x v="0"/>
    <s v="pagado"/>
    <s v="pagado"/>
    <x v="0"/>
  </r>
  <r>
    <n v="3000001277"/>
    <d v="2025-03-18T00:00:00"/>
    <n v="2942799"/>
    <s v="MG SERVICIOS AGROPECUARIOS SASTAFI VIEJO 14"/>
    <x v="142"/>
    <n v="2942799"/>
    <x v="36"/>
    <x v="0"/>
    <s v="pagado"/>
    <s v="pagado"/>
    <x v="0"/>
  </r>
  <r>
    <n v="3000001277"/>
    <d v="2025-03-18T00:00:00"/>
    <n v="2710453"/>
    <s v="MG SERVICIOS AGROPECUARIOS SASTAFI VIEJO 14"/>
    <x v="143"/>
    <n v="2710453"/>
    <x v="36"/>
    <x v="0"/>
    <s v="pagado"/>
    <s v="pagado"/>
    <x v="0"/>
  </r>
  <r>
    <n v="3000001277"/>
    <d v="2025-03-18T00:00:00"/>
    <n v="2688000"/>
    <s v="MG SERVICIOS AGROPECUARIOS SASTAFI VIEJO 14"/>
    <x v="144"/>
    <n v="2688000"/>
    <x v="36"/>
    <x v="0"/>
    <s v="pagado"/>
    <s v="pagado"/>
    <x v="0"/>
  </r>
  <r>
    <n v="3000001277"/>
    <d v="2025-03-18T00:00:00"/>
    <n v="2151780"/>
    <s v="MG SERVICIOS AGROPECUARIOS SASTAFI VIEJO 14"/>
    <x v="145"/>
    <n v="2151780"/>
    <x v="36"/>
    <x v="0"/>
    <s v="pagado"/>
    <s v="pagado"/>
    <x v="0"/>
  </r>
  <r>
    <n v="3000001277"/>
    <d v="2025-03-18T00:00:00"/>
    <n v="1500402"/>
    <s v="MG SERVICIOS AGROPECUARIOS SASTAFI VIEJO 14"/>
    <x v="146"/>
    <n v="1500402"/>
    <x v="36"/>
    <x v="0"/>
    <s v="pagado"/>
    <s v="pagado"/>
    <x v="0"/>
  </r>
  <r>
    <n v="3000001277"/>
    <d v="2025-03-18T00:00:00"/>
    <n v="1370043"/>
    <s v="MG SERVICIOS AGROPECUARIOS SASTAFI VIEJO 14"/>
    <x v="147"/>
    <n v="1370043"/>
    <x v="36"/>
    <x v="0"/>
    <s v="pagado"/>
    <s v="pagado"/>
    <x v="0"/>
  </r>
  <r>
    <n v="3000001280"/>
    <d v="2025-03-18T00:00:00"/>
    <n v="10000000"/>
    <s v="Verde y Sol S.R.L. SAN MIGUEL DE TUCUMAN 14"/>
    <x v="148"/>
    <n v="10000000"/>
    <x v="37"/>
    <x v="0"/>
    <s v="pagado"/>
    <s v="pagado"/>
    <x v="0"/>
  </r>
  <r>
    <n v="3000001280"/>
    <d v="2025-03-18T00:00:00"/>
    <n v="10000000"/>
    <s v="Verde y Sol S.R.L. SAN MIGUEL DE TUCUMAN 14"/>
    <x v="149"/>
    <n v="10000000"/>
    <x v="37"/>
    <x v="0"/>
    <s v="pagado"/>
    <s v="pagado"/>
    <x v="0"/>
  </r>
  <r>
    <n v="3000001280"/>
    <d v="2025-03-18T00:00:00"/>
    <n v="10000000"/>
    <s v="Verde y Sol S.R.L. SAN MIGUEL DE TUCUMAN 14"/>
    <x v="150"/>
    <n v="10000000"/>
    <x v="37"/>
    <x v="0"/>
    <s v="pagado"/>
    <s v="pagado"/>
    <x v="0"/>
  </r>
  <r>
    <n v="3000001280"/>
    <d v="2025-03-18T00:00:00"/>
    <n v="7280559.9900000002"/>
    <s v="Verde y Sol S.R.L. SAN MIGUEL DE TUCUMAN 14"/>
    <x v="151"/>
    <n v="7280559.9900000002"/>
    <x v="37"/>
    <x v="0"/>
    <s v="pagado"/>
    <s v="pagado"/>
    <x v="0"/>
  </r>
  <r>
    <n v="3000001278"/>
    <d v="2025-03-18T00:00:00"/>
    <n v="34218093.759999998"/>
    <s v="ROMERO SERVICIOS S. A. S. ALPACHIRI 14"/>
    <x v="152"/>
    <n v="34218093.759999998"/>
    <x v="38"/>
    <x v="0"/>
    <s v="pagado"/>
    <s v="pagado"/>
    <x v="0"/>
  </r>
  <r>
    <n v="3000001282"/>
    <d v="2025-03-18T00:00:00"/>
    <n v="39000675.039999999"/>
    <s v="AGROPECUARIA MUNDO NUEVO SRL SAN PABLO 14"/>
    <x v="153"/>
    <n v="39000675.039999999"/>
    <x v="37"/>
    <x v="0"/>
    <s v="pagado"/>
    <s v="pagado"/>
    <x v="0"/>
  </r>
  <r>
    <n v="3000001283"/>
    <d v="2025-03-18T00:00:00"/>
    <n v="56110224.469999999"/>
    <s v="M. AMUCHASTEGUI S. R. L. YERBA BUENA 14"/>
    <x v="154"/>
    <n v="56110224.469999999"/>
    <x v="37"/>
    <x v="0"/>
    <s v="pagado"/>
    <s v="pagado"/>
    <x v="0"/>
  </r>
  <r>
    <n v="3000001284"/>
    <d v="2025-03-18T00:00:00"/>
    <n v="21569443.960000001"/>
    <s v="PAMPLONA SRL SAN MIGUEL DE TUCUMAN 14"/>
    <x v="155"/>
    <n v="21569443.960000001"/>
    <x v="37"/>
    <x v="0"/>
    <s v="pagado"/>
    <s v="pagado"/>
    <x v="0"/>
  </r>
  <r>
    <n v="3000001261"/>
    <d v="2025-03-17T00:00:00"/>
    <n v="116986990"/>
    <s v="EDET S.A. SAN MIGUEL DE TUCUMAN 14"/>
    <x v="156"/>
    <n v="116986990"/>
    <x v="39"/>
    <x v="1"/>
    <s v="pagado"/>
    <s v="pagado"/>
    <x v="0"/>
  </r>
  <r>
    <n v="3000001341"/>
    <d v="2025-03-20T00:00:00"/>
    <n v="5411260"/>
    <s v="EDET S.A. SAN MIGUEL DE TUCUMAN 14"/>
    <x v="157"/>
    <n v="5411260"/>
    <x v="40"/>
    <x v="1"/>
    <s v="pagado"/>
    <s v="pagado"/>
    <x v="0"/>
  </r>
  <r>
    <n v="3000001341"/>
    <d v="2025-03-21T00:00:00"/>
    <n v="94737770"/>
    <s v="EDET S.A. SAN MIGUEL DE TUCUMAN 14"/>
    <x v="158"/>
    <n v="94737770"/>
    <x v="37"/>
    <x v="1"/>
    <s v="pagado"/>
    <s v="pagado"/>
    <x v="0"/>
  </r>
  <r>
    <n v="3000001388"/>
    <d v="2025-03-25T00:00:00"/>
    <n v="15000000"/>
    <s v="SMART SEGURIDAD SA YERBA BUENA 14"/>
    <x v="159"/>
    <n v="15000000"/>
    <x v="41"/>
    <x v="0"/>
    <s v="pagado"/>
    <s v="pagado"/>
    <x v="0"/>
  </r>
  <r>
    <n v="3000001388"/>
    <d v="2025-03-25T00:00:00"/>
    <n v="17400526.27"/>
    <s v="SMART SEGURIDAD SA YERBA BUENA 14"/>
    <x v="160"/>
    <n v="17400526.27"/>
    <x v="42"/>
    <x v="0"/>
    <s v="pagado"/>
    <s v="pagado"/>
    <x v="0"/>
  </r>
  <r>
    <n v="3000001389"/>
    <d v="2025-03-25T00:00:00"/>
    <n v="15000000"/>
    <s v="MAINCAL S.A ROSARIO SUD 12"/>
    <x v="161"/>
    <n v="15000000"/>
    <x v="41"/>
    <x v="0"/>
    <s v="pagado"/>
    <s v="pagado"/>
    <x v="0"/>
  </r>
  <r>
    <n v="3000001389"/>
    <d v="2025-03-25T00:00:00"/>
    <n v="16657718.85"/>
    <s v="MAINCAL S.A ROSARIO SUD 12"/>
    <x v="162"/>
    <n v="16657718.85"/>
    <x v="42"/>
    <x v="0"/>
    <s v="pagado"/>
    <s v="pagado"/>
    <x v="0"/>
  </r>
  <r>
    <n v="3000001390"/>
    <d v="2025-03-25T00:00:00"/>
    <n v="23000000"/>
    <s v="AGROPECUARIA MUNDO NUEVO SRL SAN PABLO 14"/>
    <x v="163"/>
    <n v="23000000"/>
    <x v="41"/>
    <x v="0"/>
    <s v="pagado"/>
    <s v="pagado"/>
    <x v="0"/>
  </r>
  <r>
    <n v="3000001390"/>
    <d v="2025-03-25T00:00:00"/>
    <n v="22005290.809999999"/>
    <s v="AGROPECUARIA MUNDO NUEVO SRL SAN PABLO 14"/>
    <x v="164"/>
    <n v="22005290.809999999"/>
    <x v="42"/>
    <x v="0"/>
    <s v="pagado"/>
    <s v="pagado"/>
    <x v="0"/>
  </r>
  <r>
    <n v="3000001399"/>
    <d v="2025-03-25T00:00:00"/>
    <n v="10000000"/>
    <s v="BONSUR SA CAPITAL FEDERAL 00"/>
    <x v="165"/>
    <n v="10000000"/>
    <x v="41"/>
    <x v="0"/>
    <s v="pagado"/>
    <s v="pagado"/>
    <x v="0"/>
  </r>
  <r>
    <n v="3000001399"/>
    <d v="2025-03-25T00:00:00"/>
    <n v="11222167.92"/>
    <s v="BONSUR SA CAPITAL FEDERAL 00"/>
    <x v="166"/>
    <n v="11222167.92"/>
    <x v="42"/>
    <x v="0"/>
    <s v="pagado"/>
    <s v="pagado"/>
    <x v="0"/>
  </r>
  <r>
    <n v="3000001387"/>
    <d v="2025-03-25T00:00:00"/>
    <n v="14944109.720000001"/>
    <s v="NOBEN SRL SAN MIGUEL DE TUCUMAN 14"/>
    <x v="167"/>
    <n v="14944109.720000001"/>
    <x v="41"/>
    <x v="0"/>
    <s v="pagado"/>
    <s v="pagado"/>
    <x v="0"/>
  </r>
  <r>
    <n v="3000001391"/>
    <d v="2025-03-25T00:00:00"/>
    <n v="5568020.6299999999"/>
    <s v="ROMERO SERVICIOS S. A. S. ALPACHIRI 14"/>
    <x v="168"/>
    <n v="5568020.6299999999"/>
    <x v="41"/>
    <x v="0"/>
    <s v="pagado"/>
    <s v="pagado"/>
    <x v="0"/>
  </r>
  <r>
    <n v="3000001392"/>
    <d v="2025-03-25T00:00:00"/>
    <n v="2263591.1"/>
    <s v="MG SERVICIOS AGROPECUARIOS SASTAFI VIEJO 14"/>
    <x v="169"/>
    <n v="2263591.1"/>
    <x v="41"/>
    <x v="0"/>
    <s v="pagado"/>
    <s v="pagado"/>
    <x v="0"/>
  </r>
  <r>
    <n v="3000001393"/>
    <d v="2025-03-25T00:00:00"/>
    <n v="6752691.5999999996"/>
    <s v="TEKNOS TECHNOLOGY GROUP SA CAPITAL FEDERAL 00"/>
    <x v="170"/>
    <n v="6752691.5999999996"/>
    <x v="41"/>
    <x v="0"/>
    <s v="pagado"/>
    <s v="pagado"/>
    <x v="0"/>
  </r>
  <r>
    <n v="3000001394"/>
    <d v="2025-03-25T00:00:00"/>
    <n v="5423997.9699999997"/>
    <s v="LOGISTICA INTERNACIONAL S.A SAN MIGUEL DE TUCUMAN 14"/>
    <x v="171"/>
    <n v="5423997.9699999997"/>
    <x v="41"/>
    <x v="0"/>
    <s v="pagado"/>
    <s v="pagado"/>
    <x v="0"/>
  </r>
  <r>
    <n v="3000001395"/>
    <d v="2025-03-25T00:00:00"/>
    <n v="9994718.9800000004"/>
    <s v="Transportes La Sevillanita S.RALDERETES 14"/>
    <x v="172"/>
    <n v="9994718.9800000004"/>
    <x v="41"/>
    <x v="0"/>
    <s v="pagado"/>
    <s v="pagado"/>
    <x v="0"/>
  </r>
  <r>
    <n v="3000001396"/>
    <d v="2025-03-25T00:00:00"/>
    <n v="3615552.18"/>
    <s v="BUENOS AIRES COMEX S.R.L. BANFIELD 14"/>
    <x v="173"/>
    <n v="3615552.18"/>
    <x v="41"/>
    <x v="0"/>
    <s v="pagado"/>
    <s v="pagado"/>
    <x v="0"/>
  </r>
  <r>
    <n v="3000001397"/>
    <d v="2025-03-25T00:00:00"/>
    <n v="5901818.9199999999"/>
    <s v="TRANSPORTE LA TRADICION SRL ALDERETES 14"/>
    <x v="174"/>
    <n v="5901818.9199999999"/>
    <x v="41"/>
    <x v="0"/>
    <s v="pagado"/>
    <s v="pagado"/>
    <x v="0"/>
  </r>
  <r>
    <n v="3000001398"/>
    <d v="2025-03-25T00:00:00"/>
    <n v="3565296"/>
    <s v="JACQUET NORBERTO SALVADOR SAN JOSE 05"/>
    <x v="175"/>
    <n v="3565296"/>
    <x v="41"/>
    <x v="0"/>
    <s v="pagado"/>
    <s v="pagado"/>
    <x v="0"/>
  </r>
  <r>
    <n v="3000001400"/>
    <d v="2025-03-25T00:00:00"/>
    <n v="9183173.0800000001"/>
    <s v="Terminal 4 S.A. Puerto Nuevo 01"/>
    <x v="176"/>
    <n v="9183173.0800000001"/>
    <x v="41"/>
    <x v="0"/>
    <s v="pagado"/>
    <s v="pagado"/>
    <x v="0"/>
  </r>
  <r>
    <n v="3000001401"/>
    <d v="2025-03-25T00:00:00"/>
    <n v="5393304"/>
    <s v="RL SOLUCIONES S. A. S. SAN MIGUEL DE TUCUMAN 14"/>
    <x v="177"/>
    <n v="5393304"/>
    <x v="41"/>
    <x v="0"/>
    <s v="pagado"/>
    <s v="pagado"/>
    <x v="0"/>
  </r>
  <r>
    <n v="3000001402"/>
    <d v="2025-03-25T00:00:00"/>
    <n v="15528177.1"/>
    <s v="CAPETTA ANTONELLA ANAHI SAN MIGUEL DE TUCUMAN 14"/>
    <x v="178"/>
    <n v="15528177.1"/>
    <x v="41"/>
    <x v="0"/>
    <s v="pagado"/>
    <s v="pagado"/>
    <x v="0"/>
  </r>
  <r>
    <n v="3000001403"/>
    <d v="2025-03-25T00:00:00"/>
    <n v="3588227.54"/>
    <s v="MAC DONALD MIGUEL ALEJANDRO BANDA DEL RIO SALI 14"/>
    <x v="179"/>
    <n v="3588227.54"/>
    <x v="41"/>
    <x v="0"/>
    <s v="pagado"/>
    <s v="pagado"/>
    <x v="0"/>
  </r>
  <r>
    <n v="3000001472"/>
    <d v="2025-03-27T00:00:00"/>
    <n v="484544.99"/>
    <s v=". Tucumán"/>
    <x v="180"/>
    <n v="484544.99"/>
    <x v="37"/>
    <x v="1"/>
    <s v="pagado"/>
    <s v="pagado"/>
    <x v="0"/>
  </r>
  <r>
    <n v="3000001507"/>
    <d v="2025-03-31T00:00:00"/>
    <n v="3000860.08"/>
    <s v="SABIKA SRL CIUDAD AUTONOMA BUENOS AIRES 00"/>
    <x v="181"/>
    <n v="3000860.08"/>
    <x v="43"/>
    <x v="0"/>
    <s v="pagado"/>
    <s v="pagado"/>
    <x v="0"/>
  </r>
  <r>
    <n v="3000001508"/>
    <d v="2025-03-31T00:00:00"/>
    <n v="4482479.4000000004"/>
    <s v="MORILLO ANTONIO JOSE EMBARCACION 09"/>
    <x v="182"/>
    <n v="4482479.4000000004"/>
    <x v="43"/>
    <x v="0"/>
    <s v="pagado"/>
    <s v="pagado"/>
    <x v="0"/>
  </r>
  <r>
    <n v="3000001509"/>
    <d v="2025-03-31T00:00:00"/>
    <n v="3514213.5"/>
    <s v="DECIMA MANUEL ARMANDO SAN MIGUEL DE TUCUMAN 14"/>
    <x v="183"/>
    <n v="3514213.5"/>
    <x v="43"/>
    <x v="0"/>
    <s v="pagado"/>
    <s v="pagado"/>
    <x v="0"/>
  </r>
  <r>
    <n v="3000001510"/>
    <d v="2025-03-31T00:00:00"/>
    <n v="2614409.79"/>
    <s v="MONTEROS LEMON SAS TAFI VIEJO 14"/>
    <x v="184"/>
    <n v="2614409.79"/>
    <x v="43"/>
    <x v="0"/>
    <s v="pagado"/>
    <s v="pagado"/>
    <x v="0"/>
  </r>
  <r>
    <n v="3000001511"/>
    <d v="2025-03-31T00:00:00"/>
    <n v="7567193.4000000004"/>
    <s v="SOLUCIONES RANDSTAD S.A ROSARIO 12"/>
    <x v="185"/>
    <n v="7567193.4000000004"/>
    <x v="44"/>
    <x v="0"/>
    <s v="pagado"/>
    <s v="pagado"/>
    <x v="0"/>
  </r>
  <r>
    <n v="3000001512"/>
    <d v="2025-03-31T00:00:00"/>
    <n v="6615069.0300000003"/>
    <s v="JS NORTE INGENIERIA S.R.L ANDALGALA 02"/>
    <x v="186"/>
    <n v="6615069.0300000003"/>
    <x v="44"/>
    <x v="0"/>
    <s v="pagado"/>
    <s v="pagado"/>
    <x v="0"/>
  </r>
  <r>
    <n v="3000001513"/>
    <d v="2025-03-31T00:00:00"/>
    <n v="6788075"/>
    <s v="TEKNOS TECHNOLOGY GROUP SA CAPITAL FEDERAL 00"/>
    <x v="187"/>
    <n v="6788075"/>
    <x v="44"/>
    <x v="0"/>
    <s v="pagado"/>
    <s v="pagado"/>
    <x v="0"/>
  </r>
  <r>
    <n v="3000001514"/>
    <d v="2025-03-31T00:00:00"/>
    <n v="8007068.4000000004"/>
    <s v="GEOTECNOLOGIA S.R.L SAN MIGUEL DE TUCUMAN 14"/>
    <x v="188"/>
    <n v="8007068.4000000004"/>
    <x v="44"/>
    <x v="0"/>
    <s v="pagado"/>
    <s v="pagado"/>
    <x v="0"/>
  </r>
  <r>
    <n v="3000001561"/>
    <d v="2025-04-03T00:00:00"/>
    <n v="1335665.95"/>
    <s v="Expreso Bisonte S.R.L. BANDA DEL RIO SALI 14"/>
    <x v="189"/>
    <n v="1335665.95"/>
    <x v="45"/>
    <x v="0"/>
    <s v="pagado"/>
    <s v="pagado"/>
    <x v="0"/>
  </r>
  <r>
    <n v="3000001562"/>
    <d v="2025-04-03T00:00:00"/>
    <n v="12056607.32"/>
    <s v="MAC DONALD MIGUEL ALEJANDRO BANDA DEL RIO SALI 14"/>
    <x v="190"/>
    <n v="12056607.32"/>
    <x v="45"/>
    <x v="0"/>
    <s v="pagado"/>
    <s v="pagado"/>
    <x v="0"/>
  </r>
  <r>
    <n v="3000001563"/>
    <d v="2025-04-03T00:00:00"/>
    <n v="5064966.97"/>
    <s v="VILLAGRA VELEZ ROQUE RICARDO SAN MIGUEL DE TUCUMAN 14"/>
    <x v="191"/>
    <n v="5064966.97"/>
    <x v="45"/>
    <x v="0"/>
    <s v="pagado"/>
    <s v="pagado"/>
    <x v="0"/>
  </r>
  <r>
    <n v="3000001536"/>
    <d v="2025-04-03T00:00:00"/>
    <n v="2000000"/>
    <s v=". Tucumán"/>
    <x v="192"/>
    <n v="2000000"/>
    <x v="43"/>
    <x v="1"/>
    <s v="pagado"/>
    <s v="pagado"/>
    <x v="0"/>
  </r>
  <r>
    <n v="3000001642"/>
    <d v="2025-04-08T00:00:00"/>
    <n v="13000000"/>
    <s v="Verde y Sol S.R.L. SAN MIGUEL DE TUCUMAN 14"/>
    <x v="193"/>
    <n v="13000000"/>
    <x v="46"/>
    <x v="0"/>
    <s v="pagado"/>
    <s v="pagado"/>
    <x v="0"/>
  </r>
  <r>
    <n v="3000001642"/>
    <d v="2025-04-08T00:00:00"/>
    <n v="13000000"/>
    <s v="Verde y Sol S.R.L. SAN MIGUEL DE TUCUMAN 14"/>
    <x v="194"/>
    <n v="13000000"/>
    <x v="46"/>
    <x v="0"/>
    <s v="pagado"/>
    <s v="pagado"/>
    <x v="0"/>
  </r>
  <r>
    <n v="3000001642"/>
    <d v="2025-04-08T00:00:00"/>
    <n v="13000000"/>
    <s v="Verde y Sol S.R.L. SAN MIGUEL DE TUCUMAN 14"/>
    <x v="195"/>
    <n v="13000000"/>
    <x v="46"/>
    <x v="0"/>
    <s v="pagado"/>
    <s v="pagado"/>
    <x v="0"/>
  </r>
  <r>
    <n v="3000001642"/>
    <d v="2025-04-08T00:00:00"/>
    <n v="7582335.4199999999"/>
    <s v="Verde y Sol S.R.L. SAN MIGUEL DE TUCUMAN 14"/>
    <x v="196"/>
    <n v="7582335.4199999999"/>
    <x v="47"/>
    <x v="0"/>
    <s v="pagado"/>
    <s v="pagado"/>
    <x v="0"/>
  </r>
  <r>
    <n v="3000001644"/>
    <d v="2025-04-08T00:00:00"/>
    <n v="11000000"/>
    <s v="SEGURIDAD OMEGA SRL SAN FERNANDO DEL VALLE DE CATAMARCA 02"/>
    <x v="197"/>
    <n v="11000000"/>
    <x v="46"/>
    <x v="0"/>
    <s v="pagado"/>
    <s v="pagado"/>
    <x v="0"/>
  </r>
  <r>
    <n v="3000001644"/>
    <d v="2025-04-08T00:00:00"/>
    <n v="11099306.92"/>
    <s v="SEGURIDAD OMEGA SRL SAN FERNANDO DEL VALLE DE CATAMARCA 02"/>
    <x v="198"/>
    <n v="11099306.92"/>
    <x v="47"/>
    <x v="0"/>
    <s v="pagado"/>
    <s v="pagado"/>
    <x v="0"/>
  </r>
  <r>
    <n v="3000001645"/>
    <d v="2025-04-08T00:00:00"/>
    <n v="20000000"/>
    <s v="M. AMUCHASTEGUI S. R. L. YERBA BUENA 14"/>
    <x v="199"/>
    <n v="20000000"/>
    <x v="46"/>
    <x v="0"/>
    <s v="pagado"/>
    <s v="pagado"/>
    <x v="0"/>
  </r>
  <r>
    <n v="3000001645"/>
    <d v="2025-04-08T00:00:00"/>
    <n v="19337004.699999999"/>
    <s v="M. AMUCHASTEGUI S. R. L. YERBA BUENA 14"/>
    <x v="200"/>
    <n v="19337004.699999999"/>
    <x v="47"/>
    <x v="0"/>
    <s v="pagado"/>
    <s v="pagado"/>
    <x v="0"/>
  </r>
  <r>
    <n v="3000001649"/>
    <d v="2025-04-08T00:00:00"/>
    <n v="10000000"/>
    <s v="SMART SEGURIDAD SA YERBA BUENA 14"/>
    <x v="201"/>
    <n v="10000000"/>
    <x v="46"/>
    <x v="0"/>
    <s v="pagado"/>
    <s v="pagado"/>
    <x v="0"/>
  </r>
  <r>
    <n v="3000001649"/>
    <d v="2025-04-08T00:00:00"/>
    <n v="10252296.890000001"/>
    <s v="SMART SEGURIDAD SA YERBA BUENA 14"/>
    <x v="202"/>
    <n v="10252296.890000001"/>
    <x v="47"/>
    <x v="0"/>
    <s v="pagado"/>
    <s v="pagado"/>
    <x v="0"/>
  </r>
  <r>
    <n v="3000001654"/>
    <d v="2025-04-08T00:00:00"/>
    <n v="21000000"/>
    <s v="MERCATOR TRANSPORT ARGENTINA SBUENOS AIRES 01"/>
    <x v="203"/>
    <n v="21000000"/>
    <x v="47"/>
    <x v="0"/>
    <s v="pagado"/>
    <s v="pagado"/>
    <x v="0"/>
  </r>
  <r>
    <n v="3000001654"/>
    <d v="2025-04-08T00:00:00"/>
    <n v="21089967.289999999"/>
    <s v="MERCATOR TRANSPORT ARGENTINA SBUENOS AIRES 01"/>
    <x v="204"/>
    <n v="21089967.289999999"/>
    <x v="48"/>
    <x v="0"/>
    <s v="pagado"/>
    <s v="pagado"/>
    <x v="0"/>
  </r>
  <r>
    <n v="3000001655"/>
    <d v="2025-04-08T00:00:00"/>
    <n v="11000000"/>
    <s v="BUENOS AIRES COMEX S.R.L. BANFIELD 14"/>
    <x v="205"/>
    <n v="11000000"/>
    <x v="47"/>
    <x v="0"/>
    <s v="pagado"/>
    <s v="pagado"/>
    <x v="0"/>
  </r>
  <r>
    <n v="3000001655"/>
    <d v="2025-04-08T00:00:00"/>
    <n v="11031415.73"/>
    <s v="BUENOS AIRES COMEX S.R.L. BANFIELD 14"/>
    <x v="206"/>
    <n v="11031415.73"/>
    <x v="48"/>
    <x v="0"/>
    <s v="pagado"/>
    <s v="pagado"/>
    <x v="0"/>
  </r>
  <r>
    <n v="3000001640"/>
    <d v="2025-04-08T00:00:00"/>
    <n v="5779626.3899999997"/>
    <s v="RODRIGO HEREDIA PUIG LASTENIA 14"/>
    <x v="207"/>
    <n v="5779626.3899999997"/>
    <x v="46"/>
    <x v="0"/>
    <s v="pagado"/>
    <s v="pagado"/>
    <x v="0"/>
  </r>
  <r>
    <n v="3000001641"/>
    <d v="2025-04-08T00:00:00"/>
    <n v="27631343.399999999"/>
    <s v="SAUCE HUACHO SERVICIOS S.R.L MONTEROS 14"/>
    <x v="208"/>
    <n v="27631343.399999999"/>
    <x v="47"/>
    <x v="0"/>
    <s v="pagado"/>
    <s v="pagado"/>
    <x v="0"/>
  </r>
  <r>
    <n v="3000001643"/>
    <d v="2025-04-08T00:00:00"/>
    <n v="3689625.6000000001"/>
    <s v="J. SLEIMAN S.R.L SAN MIGUEL DE TUCUMAN 14"/>
    <x v="209"/>
    <n v="3689625.6000000001"/>
    <x v="46"/>
    <x v="0"/>
    <s v="pagado"/>
    <s v="pagado"/>
    <x v="0"/>
  </r>
  <r>
    <n v="3000001646"/>
    <d v="2025-04-08T00:00:00"/>
    <n v="3022076.78"/>
    <s v="Servicom Group S.A. CAPITAL FEDERAL 00"/>
    <x v="210"/>
    <n v="3022076.78"/>
    <x v="46"/>
    <x v="0"/>
    <s v="pagado"/>
    <s v="pagado"/>
    <x v="0"/>
  </r>
  <r>
    <n v="3000001647"/>
    <d v="2025-04-08T00:00:00"/>
    <n v="4375526.1900000004"/>
    <s v="PETROARSA S.A SAN MIGUEL DE TUCUMAN 14"/>
    <x v="211"/>
    <n v="4375526.1900000004"/>
    <x v="46"/>
    <x v="0"/>
    <s v="pagado"/>
    <s v="pagado"/>
    <x v="0"/>
  </r>
  <r>
    <n v="3000001648"/>
    <d v="2025-04-08T00:00:00"/>
    <n v="5222771.3"/>
    <s v="CAMPOAGRO SRL YERBA BUENA 14"/>
    <x v="212"/>
    <n v="5222771.3"/>
    <x v="46"/>
    <x v="0"/>
    <s v="pagado"/>
    <s v="pagado"/>
    <x v="0"/>
  </r>
  <r>
    <n v="3000001650"/>
    <d v="2025-04-08T00:00:00"/>
    <n v="7986987.4400000004"/>
    <s v="JACQUET NORBERTO SALVADOR SAN JOSE 05"/>
    <x v="213"/>
    <n v="7986987.4400000004"/>
    <x v="47"/>
    <x v="0"/>
    <s v="pagado"/>
    <s v="pagado"/>
    <x v="0"/>
  </r>
  <r>
    <n v="3000001651"/>
    <d v="2025-04-08T00:00:00"/>
    <n v="3700335.92"/>
    <s v="RL SOLUCIONES S. A. S. SAN MIGUEL DE TUCUMAN 14"/>
    <x v="214"/>
    <n v="3700335.92"/>
    <x v="47"/>
    <x v="0"/>
    <s v="pagado"/>
    <s v="pagado"/>
    <x v="0"/>
  </r>
  <r>
    <n v="3000001652"/>
    <d v="2025-04-08T00:00:00"/>
    <n v="18227468.949999999"/>
    <s v="CAPETTA ANTONELLA ANAHI SAN MIGUEL DE TUCUMAN 14"/>
    <x v="215"/>
    <n v="18227468.949999999"/>
    <x v="47"/>
    <x v="0"/>
    <s v="pagado"/>
    <s v="pagado"/>
    <x v="0"/>
  </r>
  <r>
    <n v="3000001653"/>
    <d v="2025-04-08T00:00:00"/>
    <n v="7235922.6500000004"/>
    <s v="CEMEVA SAS YERBA BUENA 14"/>
    <x v="216"/>
    <n v="7235922.6500000004"/>
    <x v="47"/>
    <x v="0"/>
    <s v="pagado"/>
    <s v="pagado"/>
    <x v="0"/>
  </r>
  <r>
    <n v="3000001656"/>
    <d v="2025-04-08T00:00:00"/>
    <n v="8567264.0299999993"/>
    <s v="LATCOMEX SA CAPITAL FEDERAL 00"/>
    <x v="217"/>
    <n v="8567264.0299999993"/>
    <x v="47"/>
    <x v="0"/>
    <s v="pagado"/>
    <s v="pagado"/>
    <x v="0"/>
  </r>
  <r>
    <n v="3000001687"/>
    <d v="2025-04-09T00:00:00"/>
    <n v="3888830"/>
    <s v="MG SERVICIOS AGROPECUARIOS SASTAFI VIEJO 14"/>
    <x v="218"/>
    <n v="3888830"/>
    <x v="47"/>
    <x v="1"/>
    <s v="pagado"/>
    <s v="pagado"/>
    <x v="0"/>
  </r>
  <r>
    <n v="3000001687"/>
    <d v="2025-04-09T00:00:00"/>
    <n v="3096372"/>
    <s v="MG SERVICIOS AGROPECUARIOS SASTAFI VIEJO 14"/>
    <x v="219"/>
    <n v="3096372"/>
    <x v="47"/>
    <x v="1"/>
    <s v="pagado"/>
    <s v="pagado"/>
    <x v="0"/>
  </r>
  <r>
    <n v="3000001687"/>
    <d v="2025-04-09T00:00:00"/>
    <n v="1243130"/>
    <s v="MG SERVICIOS AGROPECUARIOS SASTAFI VIEJO 14"/>
    <x v="220"/>
    <n v="1243130"/>
    <x v="47"/>
    <x v="1"/>
    <s v="pagado"/>
    <s v="pagado"/>
    <x v="0"/>
  </r>
  <r>
    <n v="3000001687"/>
    <d v="2025-04-09T00:00:00"/>
    <n v="5150000"/>
    <s v="MG SERVICIOS AGROPECUARIOS SASTAFI VIEJO 14"/>
    <x v="221"/>
    <n v="5150000"/>
    <x v="47"/>
    <x v="1"/>
    <s v="pagado"/>
    <s v="pagado"/>
    <x v="0"/>
  </r>
  <r>
    <n v="3000001687"/>
    <d v="2025-04-09T00:00:00"/>
    <n v="1365000"/>
    <s v="MG SERVICIOS AGROPECUARIOS SASTAFI VIEJO 14"/>
    <x v="222"/>
    <n v="1365000"/>
    <x v="47"/>
    <x v="1"/>
    <s v="pagado"/>
    <s v="pagado"/>
    <x v="0"/>
  </r>
  <r>
    <n v="3000001687"/>
    <d v="2025-04-09T00:00:00"/>
    <n v="3000000"/>
    <s v="MG SERVICIOS AGROPECUARIOS SASTAFI VIEJO 14"/>
    <x v="223"/>
    <n v="3000000"/>
    <x v="47"/>
    <x v="1"/>
    <s v="pagado"/>
    <s v="pagado"/>
    <x v="0"/>
  </r>
  <r>
    <n v="3000001687"/>
    <d v="2025-04-09T00:00:00"/>
    <n v="684493"/>
    <s v="MG SERVICIOS AGROPECUARIOS SASTAFI VIEJO 14"/>
    <x v="224"/>
    <n v="684493"/>
    <x v="47"/>
    <x v="1"/>
    <s v="pagado"/>
    <s v="pagado"/>
    <x v="0"/>
  </r>
  <r>
    <n v="3000001687"/>
    <d v="2025-04-09T00:00:00"/>
    <n v="116103690.52"/>
    <s v="MG SERVICIOS AGROPECUARIOS SASTAFI VIEJO 14"/>
    <x v="225"/>
    <n v="116103690.52"/>
    <x v="47"/>
    <x v="1"/>
    <s v="pagado"/>
    <s v="pagado"/>
    <x v="0"/>
  </r>
  <r>
    <n v="3000001723"/>
    <d v="2025-04-10T00:00:00"/>
    <n v="2947408.93"/>
    <s v="Fondo Fijo Administracion CitrNO TIENE"/>
    <x v="226"/>
    <n v="2947408.93"/>
    <x v="47"/>
    <x v="1"/>
    <s v="pagado"/>
    <s v="pagado"/>
    <x v="0"/>
  </r>
  <r>
    <n v="3000001786"/>
    <d v="2025-04-14T00:00:00"/>
    <n v="25000000"/>
    <s v="Trading Internacional S.A. ROSARIO 12"/>
    <x v="227"/>
    <n v="25000000"/>
    <x v="49"/>
    <x v="0"/>
    <s v="pagado"/>
    <s v="pagado"/>
    <x v="0"/>
  </r>
  <r>
    <n v="3000001786"/>
    <d v="2025-04-14T00:00:00"/>
    <n v="24282450"/>
    <s v="Trading Internacional S.A. ROSARIO 12"/>
    <x v="228"/>
    <n v="24282450"/>
    <x v="50"/>
    <x v="0"/>
    <s v="pagado"/>
    <s v="pagado"/>
    <x v="0"/>
  </r>
  <r>
    <n v="3000001788"/>
    <d v="2025-04-14T00:00:00"/>
    <n v="16000000"/>
    <s v="LA MARTINA SERV. AGRICOLAS S.RSAN PABLO 14"/>
    <x v="229"/>
    <n v="16000000"/>
    <x v="49"/>
    <x v="0"/>
    <s v="pagado"/>
    <s v="pagado"/>
    <x v="0"/>
  </r>
  <r>
    <n v="3000001788"/>
    <d v="2025-04-14T00:00:00"/>
    <n v="15007293.4"/>
    <s v="LA MARTINA SERV. AGRICOLAS S.RSAN PABLO 14"/>
    <x v="230"/>
    <n v="15007293.4"/>
    <x v="50"/>
    <x v="0"/>
    <s v="pagado"/>
    <s v="pagado"/>
    <x v="0"/>
  </r>
  <r>
    <n v="3000001789"/>
    <d v="2025-04-14T00:00:00"/>
    <n v="19000000"/>
    <s v="PAMPLONA SRL SAN MIGUEL DE TUCUMAN 14"/>
    <x v="231"/>
    <n v="19000000"/>
    <x v="49"/>
    <x v="0"/>
    <s v="pagado"/>
    <s v="pagado"/>
    <x v="0"/>
  </r>
  <r>
    <n v="3000001789"/>
    <d v="2025-04-14T00:00:00"/>
    <n v="19438843.399999999"/>
    <s v="PAMPLONA SRL SAN MIGUEL DE TUCUMAN 14"/>
    <x v="232"/>
    <n v="19438843.399999999"/>
    <x v="50"/>
    <x v="0"/>
    <s v="pagado"/>
    <s v="pagado"/>
    <x v="0"/>
  </r>
  <r>
    <n v="3000001791"/>
    <d v="2025-04-14T00:00:00"/>
    <n v="10000000"/>
    <s v="M. AMUCHASTEGUI S. R. L. YERBA BUENA 14"/>
    <x v="233"/>
    <n v="10000000"/>
    <x v="49"/>
    <x v="0"/>
    <s v="pagado"/>
    <s v="pagado"/>
    <x v="0"/>
  </r>
  <r>
    <n v="3000001791"/>
    <d v="2025-04-14T00:00:00"/>
    <n v="7384547.4400000004"/>
    <s v="M. AMUCHASTEGUI S. R. L. YERBA BUENA 14"/>
    <x v="234"/>
    <n v="7384547.4400000004"/>
    <x v="50"/>
    <x v="0"/>
    <s v="pagado"/>
    <s v="pagado"/>
    <x v="0"/>
  </r>
  <r>
    <n v="3000001792"/>
    <d v="2025-04-14T00:00:00"/>
    <n v="18000000"/>
    <s v="PAMPLONA SRL SAN MIGUEL DE TUCUMAN 14"/>
    <x v="235"/>
    <n v="18000000"/>
    <x v="49"/>
    <x v="0"/>
    <s v="pagado"/>
    <s v="pagado"/>
    <x v="0"/>
  </r>
  <r>
    <n v="3000001792"/>
    <d v="2025-04-14T00:00:00"/>
    <n v="19849823.140000001"/>
    <s v="PAMPLONA SRL SAN MIGUEL DE TUCUMAN 14"/>
    <x v="236"/>
    <n v="19849823.140000001"/>
    <x v="50"/>
    <x v="0"/>
    <s v="pagado"/>
    <s v="pagado"/>
    <x v="0"/>
  </r>
  <r>
    <n v="3000001793"/>
    <d v="2025-04-14T00:00:00"/>
    <n v="16000000"/>
    <s v="SMART SEGURIDAD SA YERBA BUENA 14"/>
    <x v="237"/>
    <n v="16000000"/>
    <x v="49"/>
    <x v="0"/>
    <s v="pagado"/>
    <s v="pagado"/>
    <x v="0"/>
  </r>
  <r>
    <n v="3000001793"/>
    <d v="2025-04-14T00:00:00"/>
    <n v="15470651.689999999"/>
    <s v="SMART SEGURIDAD SA YERBA BUENA 14"/>
    <x v="238"/>
    <n v="15470651.689999999"/>
    <x v="50"/>
    <x v="0"/>
    <s v="pagado"/>
    <s v="pagado"/>
    <x v="0"/>
  </r>
  <r>
    <n v="3000001794"/>
    <d v="2025-04-14T00:00:00"/>
    <n v="10000000"/>
    <s v="ADLER HASENCLEVER Y ASOCIADOS BUENOS AIRES 01"/>
    <x v="239"/>
    <n v="10000000"/>
    <x v="49"/>
    <x v="0"/>
    <s v="pagado"/>
    <s v="pagado"/>
    <x v="0"/>
  </r>
  <r>
    <n v="3000001794"/>
    <d v="2025-04-14T00:00:00"/>
    <n v="6295298.71"/>
    <s v="ADLER HASENCLEVER Y ASOCIADOS BUENOS AIRES 01"/>
    <x v="240"/>
    <n v="6295298.71"/>
    <x v="50"/>
    <x v="0"/>
    <s v="pagado"/>
    <s v="pagado"/>
    <x v="0"/>
  </r>
  <r>
    <n v="3000001797"/>
    <d v="2025-04-14T00:00:00"/>
    <n v="20000000"/>
    <s v="BONSUR SA CAPITAL FEDERAL 00"/>
    <x v="241"/>
    <n v="20000000"/>
    <x v="49"/>
    <x v="0"/>
    <s v="pagado"/>
    <s v="pagado"/>
    <x v="0"/>
  </r>
  <r>
    <n v="3000001797"/>
    <d v="2025-04-14T00:00:00"/>
    <n v="15075417.92"/>
    <s v="BONSUR SA CAPITAL FEDERAL 00"/>
    <x v="242"/>
    <n v="15075417.92"/>
    <x v="50"/>
    <x v="0"/>
    <s v="pagado"/>
    <s v="pagado"/>
    <x v="0"/>
  </r>
  <r>
    <n v="3000001798"/>
    <d v="2025-04-14T00:00:00"/>
    <n v="20000000"/>
    <s v="BUENOS AIRES COMEX S.R.L. BANFIELD 14"/>
    <x v="243"/>
    <n v="20000000"/>
    <x v="49"/>
    <x v="0"/>
    <s v="pagado"/>
    <s v="pagado"/>
    <x v="0"/>
  </r>
  <r>
    <n v="3000001798"/>
    <d v="2025-04-14T00:00:00"/>
    <n v="16728942.050000001"/>
    <s v="BUENOS AIRES COMEX S.R.L. BANFIELD 14"/>
    <x v="244"/>
    <n v="16728942.050000001"/>
    <x v="50"/>
    <x v="0"/>
    <s v="pagado"/>
    <s v="pagado"/>
    <x v="0"/>
  </r>
  <r>
    <n v="3000001787"/>
    <d v="2025-04-14T00:00:00"/>
    <n v="13815000"/>
    <s v="J. SLEIMAN S.R.L SAN MIGUEL DE TUCUMAN 14"/>
    <x v="245"/>
    <n v="13815000"/>
    <x v="49"/>
    <x v="0"/>
    <s v="pagado"/>
    <s v="pagado"/>
    <x v="0"/>
  </r>
  <r>
    <n v="3000001790"/>
    <d v="2025-04-14T00:00:00"/>
    <n v="11420400"/>
    <s v="SAUCE HUACHO SERVICIOS S.R.L MONTEROS 14"/>
    <x v="246"/>
    <n v="11420400"/>
    <x v="49"/>
    <x v="0"/>
    <s v="pagado"/>
    <s v="pagado"/>
    <x v="0"/>
  </r>
  <r>
    <n v="3000001795"/>
    <d v="2025-04-14T00:00:00"/>
    <n v="5097847.7699999996"/>
    <s v="PEREZ CURBELO HNOS SRL SAN MIGUEL DE TUCUMAN 14"/>
    <x v="247"/>
    <n v="5097847.7699999996"/>
    <x v="49"/>
    <x v="0"/>
    <s v="pagado"/>
    <s v="pagado"/>
    <x v="0"/>
  </r>
  <r>
    <n v="3000001796"/>
    <d v="2025-04-14T00:00:00"/>
    <n v="7403131.7400000002"/>
    <s v="RL SOLUCIONES S. A. S. SAN MIGUEL DE TUCUMAN 14"/>
    <x v="248"/>
    <n v="7403131.7400000002"/>
    <x v="49"/>
    <x v="0"/>
    <s v="pagado"/>
    <s v="pagado"/>
    <x v="0"/>
  </r>
  <r>
    <n v="3000001827"/>
    <d v="2025-04-15T00:00:00"/>
    <n v="92007690"/>
    <s v="EDET S.A. SAN MIGUEL DE TUCUMAN 14"/>
    <x v="249"/>
    <n v="92007690"/>
    <x v="49"/>
    <x v="1"/>
    <s v="pagado"/>
    <s v="pagado"/>
    <x v="0"/>
  </r>
  <r>
    <n v="3000001867"/>
    <d v="2025-04-16T00:00:00"/>
    <n v="6232980"/>
    <s v="EDET S.A. SAN MIGUEL DE TUCUMAN 14"/>
    <x v="250"/>
    <n v="6232980"/>
    <x v="50"/>
    <x v="1"/>
    <s v="pagado"/>
    <s v="pagado"/>
    <x v="0"/>
  </r>
  <r>
    <n v="3000001906"/>
    <d v="2025-04-21T00:00:00"/>
    <n v="3780852.71"/>
    <s v="AGROREDES S.R.L SAN ISIDRO 01"/>
    <x v="251"/>
    <n v="3780852.71"/>
    <x v="51"/>
    <x v="0"/>
    <s v="pagado"/>
    <s v="pagado"/>
    <x v="0"/>
  </r>
  <r>
    <n v="3000001908"/>
    <d v="2025-04-21T00:00:00"/>
    <n v="5763890.4000000004"/>
    <s v="COOPTRAR LTDA SAN MIGUEL DE TUCUMAN 14"/>
    <x v="252"/>
    <n v="5763890.4000000004"/>
    <x v="51"/>
    <x v="0"/>
    <s v="pagado"/>
    <s v="pagado"/>
    <x v="0"/>
  </r>
  <r>
    <n v="3000001907"/>
    <d v="2025-04-21T00:00:00"/>
    <n v="7855457.96"/>
    <s v="Consultoria en Tecnologia de IBUENOS AIRES 00"/>
    <x v="253"/>
    <n v="7855457.96"/>
    <x v="51"/>
    <x v="0"/>
    <s v="pagado"/>
    <s v="pagado"/>
    <x v="0"/>
  </r>
  <r>
    <n v="3000001924"/>
    <d v="2025-04-22T00:00:00"/>
    <n v="4300000"/>
    <s v="Archvil S.A. CEVIL POZO 14"/>
    <x v="254"/>
    <n v="4300000"/>
    <x v="51"/>
    <x v="1"/>
    <s v="pagado"/>
    <s v="pagado"/>
    <x v="0"/>
  </r>
  <r>
    <n v="3000001925"/>
    <d v="2025-04-22T00:00:00"/>
    <n v="106215990"/>
    <s v="EDET S.A. SAN MIGUEL DE TUCUMAN 14"/>
    <x v="255"/>
    <n v="106215990"/>
    <x v="51"/>
    <x v="1"/>
    <s v="pagado"/>
    <s v="pagado"/>
    <x v="0"/>
  </r>
  <r>
    <n v="3000001955"/>
    <d v="2025-04-23T00:00:00"/>
    <n v="14000000"/>
    <s v="CEFAS S.A CIUDAD AUTONOMA DE BUENOS AIRES 01"/>
    <x v="256"/>
    <n v="14000000"/>
    <x v="52"/>
    <x v="0"/>
    <s v="pagado"/>
    <s v="pagado"/>
    <x v="0"/>
  </r>
  <r>
    <n v="3000001955"/>
    <d v="2025-04-23T00:00:00"/>
    <n v="14516201.91"/>
    <s v="CEFAS S.A CIUDAD AUTONOMA DE BUENOS AIRES 01"/>
    <x v="257"/>
    <n v="14516201.91"/>
    <x v="53"/>
    <x v="0"/>
    <s v="pagado"/>
    <s v="pagado"/>
    <x v="0"/>
  </r>
  <r>
    <n v="3000001949"/>
    <d v="2025-04-23T00:00:00"/>
    <n v="7060640.9400000004"/>
    <s v="GOMEZ JUANA ROSA VILLA LA TRINIDAD 14"/>
    <x v="258"/>
    <n v="7060640.9400000004"/>
    <x v="52"/>
    <x v="0"/>
    <s v="pagado"/>
    <s v="pagado"/>
    <x v="0"/>
  </r>
  <r>
    <n v="3000001950"/>
    <d v="2025-04-23T00:00:00"/>
    <n v="5219613.87"/>
    <s v="PAEZ ANDRES ALEXIS MACIO 14"/>
    <x v="259"/>
    <n v="5219613.87"/>
    <x v="52"/>
    <x v="0"/>
    <s v="pagado"/>
    <s v="pagado"/>
    <x v="0"/>
  </r>
  <r>
    <n v="3000001951"/>
    <d v="2025-04-23T00:00:00"/>
    <n v="9195647.3100000005"/>
    <s v="Vaquera Francisco Alfredo Monteros 14"/>
    <x v="260"/>
    <n v="9195647.3100000005"/>
    <x v="52"/>
    <x v="0"/>
    <s v="pagado"/>
    <s v="pagado"/>
    <x v="0"/>
  </r>
  <r>
    <n v="3000001952"/>
    <d v="2025-04-23T00:00:00"/>
    <n v="12413816.960000001"/>
    <s v="D´ANDREA SERGIO FRANCISCO YERBA BUENA 14"/>
    <x v="261"/>
    <n v="12413816.960000001"/>
    <x v="52"/>
    <x v="0"/>
    <s v="pagado"/>
    <s v="pagado"/>
    <x v="0"/>
  </r>
  <r>
    <n v="3000001953"/>
    <d v="2025-04-23T00:00:00"/>
    <n v="7787644.6500000004"/>
    <s v="ACOSTA ROQUE RAMON SAN MIGUEL DE TUCUMAN 14"/>
    <x v="262"/>
    <n v="7787644.6500000004"/>
    <x v="52"/>
    <x v="0"/>
    <s v="pagado"/>
    <s v="pagado"/>
    <x v="0"/>
  </r>
  <r>
    <n v="3000001954"/>
    <d v="2025-04-23T00:00:00"/>
    <n v="9326652.8200000003"/>
    <s v="TRANSCARGO ARGENTINA SA CAPITAL FEDERAL 00"/>
    <x v="263"/>
    <n v="9326652.8200000003"/>
    <x v="52"/>
    <x v="0"/>
    <s v="pagado"/>
    <s v="pagado"/>
    <x v="0"/>
  </r>
  <r>
    <n v="3000002048"/>
    <d v="2025-04-28T00:00:00"/>
    <n v="5729492.2300000004"/>
    <s v="Anka SRL San Miguel de Tucumán 14"/>
    <x v="264"/>
    <n v="5729492.2300000004"/>
    <x v="54"/>
    <x v="2"/>
    <s v="pagado"/>
    <s v="pagado"/>
    <x v="0"/>
  </r>
  <r>
    <n v="3000002049"/>
    <d v="2025-04-28T00:00:00"/>
    <n v="5213600"/>
    <s v="Silver Freight Logistic SRL CAPITAL FEDERAL 00"/>
    <x v="265"/>
    <n v="5213600"/>
    <x v="54"/>
    <x v="2"/>
    <s v="pagado"/>
    <s v="pagado"/>
    <x v="0"/>
  </r>
  <r>
    <n v="3000002050"/>
    <d v="2025-04-28T00:00:00"/>
    <n v="4500000"/>
    <s v="LOBO BENICIO MARTIN ALDERETES 14"/>
    <x v="266"/>
    <n v="4500000"/>
    <x v="55"/>
    <x v="2"/>
    <s v="pagado"/>
    <s v="pagado"/>
    <x v="0"/>
  </r>
  <r>
    <n v="3000002050"/>
    <d v="2025-04-28T00:00:00"/>
    <n v="4198498.4000000004"/>
    <s v="LOBO BENICIO MARTIN ALDERETES 14"/>
    <x v="267"/>
    <n v="4198498.4000000004"/>
    <x v="56"/>
    <x v="2"/>
    <s v="pagado"/>
    <s v="pagado"/>
    <x v="0"/>
  </r>
  <r>
    <n v="3000002051"/>
    <d v="2025-04-28T00:00:00"/>
    <n v="5827443.4000000004"/>
    <s v="PABLO Y FERNANDO TACCHELLA S.RSAN MIGUEL DE TUCUMAN 14"/>
    <x v="268"/>
    <n v="5827443.4000000004"/>
    <x v="54"/>
    <x v="2"/>
    <s v="pagado"/>
    <s v="pagado"/>
    <x v="0"/>
  </r>
  <r>
    <n v="3000002052"/>
    <d v="2025-04-28T00:00:00"/>
    <n v="6277887.79"/>
    <s v="ROMERO SERVICIOS S. A. S. ALPACHIRI 14"/>
    <x v="269"/>
    <n v="6277887.79"/>
    <x v="54"/>
    <x v="2"/>
    <s v="pagado"/>
    <s v="pagado"/>
    <x v="0"/>
  </r>
  <r>
    <n v="3000002053"/>
    <d v="2025-04-28T00:00:00"/>
    <n v="8771216.5299999993"/>
    <s v="PAMPLONA SRL SAN MIGUEL DE TUCUMAN 14"/>
    <x v="270"/>
    <n v="8771216.5299999993"/>
    <x v="54"/>
    <x v="2"/>
    <s v="pagado"/>
    <s v="pagado"/>
    <x v="0"/>
  </r>
  <r>
    <n v="3000002054"/>
    <d v="2025-04-28T00:00:00"/>
    <n v="5825048.9199999999"/>
    <s v="RL SOLUCIONES S. A. S. SAN MIGUEL DE TUCUMAN 14"/>
    <x v="271"/>
    <n v="5825048.9199999999"/>
    <x v="54"/>
    <x v="2"/>
    <s v="pagado"/>
    <s v="pagado"/>
    <x v="0"/>
  </r>
  <r>
    <n v="3000002055"/>
    <d v="2025-04-28T00:00:00"/>
    <n v="5165591.09"/>
    <s v="VILLAGRA VELEZ ROQUE RICARDO SAN MIGUEL DE TUCUMAN 14"/>
    <x v="272"/>
    <n v="5165591.09"/>
    <x v="54"/>
    <x v="2"/>
    <s v="no pagado"/>
    <s v="fuera de fecha"/>
    <x v="0"/>
  </r>
  <r>
    <n v="3000002056"/>
    <d v="2025-04-28T00:00:00"/>
    <n v="6646805.7800000003"/>
    <s v="PERATO CRISTIAN LUIS BANDA DEL RIO SALI 14"/>
    <x v="273"/>
    <n v="6646805.7800000003"/>
    <x v="54"/>
    <x v="2"/>
    <s v="pagado"/>
    <s v="pagado"/>
    <x v="0"/>
  </r>
  <r>
    <n v="3000002057"/>
    <d v="2025-04-28T00:00:00"/>
    <n v="14607941.49"/>
    <s v="TUCUMAN PALLET SRL EL MANANTIAL 14"/>
    <x v="274"/>
    <n v="14607941.49"/>
    <x v="55"/>
    <x v="2"/>
    <s v="pagado"/>
    <s v="pagado"/>
    <x v="0"/>
  </r>
  <r>
    <n v="3000002058"/>
    <d v="2025-04-28T00:00:00"/>
    <n v="12404481.689999999"/>
    <s v="Pintureria España S.R.L SAN MIGUEL DE TUCUMAN 14"/>
    <x v="275"/>
    <n v="12404481.689999999"/>
    <x v="55"/>
    <x v="2"/>
    <s v="pagado"/>
    <s v="pagado"/>
    <x v="0"/>
  </r>
  <r>
    <n v="3000002059"/>
    <d v="2025-04-28T00:00:00"/>
    <n v="16619834.470000001"/>
    <s v="ADLER HASENCLEVER Y ASOCIADOS BUENOS AIRES 01"/>
    <x v="276"/>
    <n v="16619834.470000001"/>
    <x v="55"/>
    <x v="2"/>
    <s v="pagado"/>
    <s v="pagado"/>
    <x v="0"/>
  </r>
  <r>
    <n v="3000002060"/>
    <d v="2025-04-28T00:00:00"/>
    <n v="10551591.060000001"/>
    <s v="NOBEN SRL SAN MIGUEL DE TUCUMAN 14"/>
    <x v="277"/>
    <n v="10551591.060000001"/>
    <x v="55"/>
    <x v="2"/>
    <s v="pagado"/>
    <s v="pagado"/>
    <x v="0"/>
  </r>
  <r>
    <n v="3000002061"/>
    <d v="2025-04-28T00:00:00"/>
    <n v="10478610.35"/>
    <s v="Terminal 4 S.A. Puerto Nuevo 01"/>
    <x v="278"/>
    <n v="10478610.35"/>
    <x v="55"/>
    <x v="2"/>
    <s v="pagado"/>
    <s v="pagado"/>
    <x v="0"/>
  </r>
  <r>
    <n v="3000002062"/>
    <d v="2025-04-28T00:00:00"/>
    <n v="12186379.640000001"/>
    <s v="CAPETTA ANTONELLA ANAHI SAN MIGUEL DE TUCUMAN 14"/>
    <x v="279"/>
    <n v="12186379.640000001"/>
    <x v="55"/>
    <x v="2"/>
    <s v="pagado"/>
    <s v="pagado"/>
    <x v="0"/>
  </r>
  <r>
    <n v="3000002063"/>
    <d v="2025-04-28T00:00:00"/>
    <n v="20366767.350000001"/>
    <s v="LA MARTINA SERV. AGRICOLAS S.RSAN PABLO 14"/>
    <x v="280"/>
    <n v="20366767.350000001"/>
    <x v="55"/>
    <x v="2"/>
    <s v="pagado"/>
    <s v="pagado"/>
    <x v="0"/>
  </r>
  <r>
    <n v="3000002064"/>
    <d v="2025-04-28T00:00:00"/>
    <n v="20366767.350000001"/>
    <s v="LA MARTINA SERV. AGRICOLAS S.RSAN PABLO 14"/>
    <x v="281"/>
    <n v="20366767.350000001"/>
    <x v="55"/>
    <x v="2"/>
    <s v="pagado"/>
    <s v="pagado"/>
    <x v="0"/>
  </r>
  <r>
    <n v="3000002065"/>
    <d v="2025-04-28T00:00:00"/>
    <n v="1288083.04"/>
    <s v="SAUCE HUACHO SERVICIOS S.R.L MONTEROS 14"/>
    <x v="282"/>
    <n v="1288083.04"/>
    <x v="54"/>
    <x v="2"/>
    <s v="pagado"/>
    <s v="pagado"/>
    <x v="0"/>
  </r>
  <r>
    <n v="3000002066"/>
    <d v="2025-04-28T00:00:00"/>
    <n v="1288083.04"/>
    <s v="SAUCE HUACHO SERVICIOS S.R.L MONTEROS 14"/>
    <x v="283"/>
    <n v="1288083.04"/>
    <x v="54"/>
    <x v="2"/>
    <s v="pagado"/>
    <s v="pagado"/>
    <x v="0"/>
  </r>
  <r>
    <n v="3000002067"/>
    <d v="2025-04-28T00:00:00"/>
    <n v="2344000"/>
    <s v="MG SERVICIOS AGROPECUARIOS SASTAFI VIEJO 14"/>
    <x v="284"/>
    <n v="2344000"/>
    <x v="54"/>
    <x v="2"/>
    <s v="pagado"/>
    <s v="pagado"/>
    <x v="0"/>
  </r>
  <r>
    <n v="3000002067"/>
    <d v="2025-04-28T00:00:00"/>
    <n v="3788354"/>
    <s v="MG SERVICIOS AGROPECUARIOS SASTAFI VIEJO 14"/>
    <x v="285"/>
    <n v="3788354"/>
    <x v="54"/>
    <x v="2"/>
    <s v="pagado"/>
    <s v="pagado"/>
    <x v="0"/>
  </r>
  <r>
    <n v="3000002067"/>
    <d v="2025-04-28T00:00:00"/>
    <n v="9565507"/>
    <s v="MG SERVICIOS AGROPECUARIOS SASTAFI VIEJO 14"/>
    <x v="286"/>
    <n v="9565507"/>
    <x v="54"/>
    <x v="2"/>
    <s v="pagado"/>
    <s v="pagado"/>
    <x v="0"/>
  </r>
  <r>
    <n v="3000002067"/>
    <d v="2025-04-28T00:00:00"/>
    <n v="1000000"/>
    <s v="MG SERVICIOS AGROPECUARIOS SASTAFI VIEJO 14"/>
    <x v="287"/>
    <n v="1000000"/>
    <x v="54"/>
    <x v="2"/>
    <s v="pagado"/>
    <s v="pagado"/>
    <x v="0"/>
  </r>
  <r>
    <n v="3000002067"/>
    <d v="2025-04-28T00:00:00"/>
    <n v="2100000"/>
    <s v="MG SERVICIOS AGROPECUARIOS SASTAFI VIEJO 14"/>
    <x v="288"/>
    <n v="2100000"/>
    <x v="54"/>
    <x v="2"/>
    <s v="pagado"/>
    <s v="pagado"/>
    <x v="0"/>
  </r>
  <r>
    <n v="3000002067"/>
    <d v="2025-04-28T00:00:00"/>
    <n v="1892714"/>
    <s v="MG SERVICIOS AGROPECUARIOS SASTAFI VIEJO 14"/>
    <x v="289"/>
    <n v="1892714"/>
    <x v="54"/>
    <x v="2"/>
    <s v="pagado"/>
    <s v="pagado"/>
    <x v="0"/>
  </r>
  <r>
    <n v="3000002067"/>
    <d v="2025-04-28T00:00:00"/>
    <n v="7000000"/>
    <s v="MG SERVICIOS AGROPECUARIOS SASTAFI VIEJO 14"/>
    <x v="290"/>
    <n v="7000000"/>
    <x v="54"/>
    <x v="2"/>
    <s v="pagado"/>
    <s v="pagado"/>
    <x v="0"/>
  </r>
  <r>
    <n v="3000002067"/>
    <d v="2025-04-28T00:00:00"/>
    <n v="26590581.440000001"/>
    <s v="MG SERVICIOS AGROPECUARIOS SASTAFI VIEJO 14"/>
    <x v="291"/>
    <n v="26590581.440000001"/>
    <x v="54"/>
    <x v="2"/>
    <s v="pagado"/>
    <s v="pagado"/>
    <x v="0"/>
  </r>
  <r>
    <n v="3000002068"/>
    <d v="2025-04-28T00:00:00"/>
    <n v="2187069.77"/>
    <s v="TRANSPORTE MEDINA S.H. CRUZ ALTA 14"/>
    <x v="292"/>
    <n v="2187069.77"/>
    <x v="53"/>
    <x v="1"/>
    <s v="pagado"/>
    <s v="pagado"/>
    <x v="0"/>
  </r>
  <r>
    <n v="3000002169"/>
    <d v="2025-05-05T00:00:00"/>
    <n v="7600950"/>
    <s v="CEIVAC SAS SAN MIGUEL DE TUCUMAN 14"/>
    <x v="293"/>
    <n v="7600950"/>
    <x v="57"/>
    <x v="2"/>
    <s v="pagado"/>
    <s v="pagado"/>
    <x v="0"/>
  </r>
  <r>
    <n v="3000002170"/>
    <d v="2025-05-05T00:00:00"/>
    <n v="6838027.4000000004"/>
    <s v="TEKNOS TECHNOLOGY GROUP SA CAPITAL FEDERAL 00"/>
    <x v="294"/>
    <n v="6838027.4000000004"/>
    <x v="58"/>
    <x v="2"/>
    <s v="no pagado"/>
    <s v="fuera de fecha"/>
    <x v="0"/>
  </r>
  <r>
    <n v="3000002171"/>
    <d v="2025-05-05T00:00:00"/>
    <n v="4467346.46"/>
    <s v="VISMA ARGENTINA SA CAPITAL FEDERAL 14"/>
    <x v="295"/>
    <n v="4467346.46"/>
    <x v="57"/>
    <x v="2"/>
    <s v="pagado"/>
    <s v="pagado"/>
    <x v="0"/>
  </r>
  <r>
    <n v="3000002172"/>
    <d v="2025-05-05T00:00:00"/>
    <n v="17123544.879999999"/>
    <s v="PAMPLONA SRL SAN MIGUEL DE TUCUMAN 14"/>
    <x v="296"/>
    <n v="17123544.879999999"/>
    <x v="57"/>
    <x v="2"/>
    <s v="pagado"/>
    <s v="pagado"/>
    <x v="0"/>
  </r>
  <r>
    <n v="3000002173"/>
    <d v="2025-05-05T00:00:00"/>
    <n v="17154865.93"/>
    <s v="PAMPLONA SRL SAN MIGUEL DE TUCUMAN 14"/>
    <x v="297"/>
    <n v="17154865.93"/>
    <x v="58"/>
    <x v="2"/>
    <s v="pagado"/>
    <s v="pagado"/>
    <x v="0"/>
  </r>
  <r>
    <n v="3000002174"/>
    <d v="2025-05-05T00:00:00"/>
    <n v="12185040.48"/>
    <s v="ROMERO SERVICIOS S. A. S. ALPACHIRI 14"/>
    <x v="298"/>
    <n v="12185040.48"/>
    <x v="57"/>
    <x v="2"/>
    <s v="pagado"/>
    <s v="pagado"/>
    <x v="0"/>
  </r>
  <r>
    <n v="3000002175"/>
    <d v="2025-05-05T00:00:00"/>
    <n v="12153231.51"/>
    <s v="ROMERO SERVICIOS S. A. S. ALPACHIRI 14"/>
    <x v="299"/>
    <n v="12153231.51"/>
    <x v="58"/>
    <x v="2"/>
    <s v="pagado"/>
    <s v="pagado"/>
    <x v="0"/>
  </r>
  <r>
    <n v="3000002262"/>
    <d v="2025-05-08T00:00:00"/>
    <n v="9227933"/>
    <s v=". Tucumán"/>
    <x v="300"/>
    <n v="9227933"/>
    <x v="59"/>
    <x v="1"/>
    <s v="pagado"/>
    <s v="pagado"/>
    <x v="0"/>
  </r>
  <r>
    <n v="3000002229"/>
    <d v="2025-05-07T00:00:00"/>
    <n v="12000000"/>
    <s v="RL SOLUCIONES S. A. S. SAN MIGUEL DE TUCUMAN 14"/>
    <x v="301"/>
    <n v="12000000"/>
    <x v="59"/>
    <x v="0"/>
    <s v="pagado"/>
    <s v="pagado"/>
    <x v="0"/>
  </r>
  <r>
    <n v="3000002229"/>
    <d v="2025-05-07T00:00:00"/>
    <n v="11268737.619999999"/>
    <s v="RL SOLUCIONES S. A. S. SAN MIGUEL DE TUCUMAN 14"/>
    <x v="302"/>
    <n v="11268737.619999999"/>
    <x v="60"/>
    <x v="0"/>
    <s v="pagado"/>
    <s v="pagado"/>
    <x v="0"/>
  </r>
  <r>
    <n v="3000002231"/>
    <d v="2025-05-07T00:00:00"/>
    <n v="15000000"/>
    <s v="GAR S.A SAN MIGUEL DE TUCUMAN 14"/>
    <x v="303"/>
    <n v="15000000"/>
    <x v="59"/>
    <x v="0"/>
    <s v="pagado"/>
    <s v="pagado"/>
    <x v="0"/>
  </r>
  <r>
    <n v="3000002231"/>
    <d v="2025-05-07T00:00:00"/>
    <n v="16429407.18"/>
    <s v="GAR S.A SAN MIGUEL DE TUCUMAN 14"/>
    <x v="304"/>
    <n v="16429407.18"/>
    <x v="60"/>
    <x v="0"/>
    <s v="pagado"/>
    <s v="pagado"/>
    <x v="0"/>
  </r>
  <r>
    <n v="3000002216"/>
    <d v="2025-05-07T00:00:00"/>
    <n v="2692869.92"/>
    <s v="BESTANI LEANDRO EXEQUIEL SAN MIGUEL DE TUCUMAN 14"/>
    <x v="305"/>
    <n v="2692869.92"/>
    <x v="59"/>
    <x v="0"/>
    <s v="pagado"/>
    <s v="pagado"/>
    <x v="0"/>
  </r>
  <r>
    <n v="3000002217"/>
    <d v="2025-05-07T00:00:00"/>
    <n v="4535357.83"/>
    <s v="HERRERA RICARDO ALBERTO BANDA DEL RIO SALI 14"/>
    <x v="306"/>
    <n v="4535357.83"/>
    <x v="59"/>
    <x v="0"/>
    <s v="pagado"/>
    <s v="pagado"/>
    <x v="0"/>
  </r>
  <r>
    <n v="3000002218"/>
    <d v="2025-05-07T00:00:00"/>
    <n v="11519821.869999999"/>
    <s v="PERATO CRISTIAN LUIS BANDA DEL RIO SALI 14"/>
    <x v="307"/>
    <n v="11519821.869999999"/>
    <x v="59"/>
    <x v="0"/>
    <s v="pagado"/>
    <s v="pagado"/>
    <x v="0"/>
  </r>
  <r>
    <n v="3000002219"/>
    <d v="2025-05-07T00:00:00"/>
    <n v="5830302.0599999996"/>
    <s v="Sanchez Jose Mauricio San Miguel de Tucuman 14"/>
    <x v="308"/>
    <n v="5830302.0599999996"/>
    <x v="59"/>
    <x v="0"/>
    <s v="pagado"/>
    <s v="pagado"/>
    <x v="0"/>
  </r>
  <r>
    <n v="3000002220"/>
    <d v="2025-05-07T00:00:00"/>
    <n v="3661506.06"/>
    <s v="SUAREZ MIGUEL ANGEL ALDERETES 14"/>
    <x v="309"/>
    <n v="3661506.06"/>
    <x v="59"/>
    <x v="0"/>
    <s v="pagado"/>
    <s v="pagado"/>
    <x v="0"/>
  </r>
  <r>
    <n v="3000002221"/>
    <d v="2025-05-07T00:00:00"/>
    <n v="2735445.29"/>
    <s v="OLEA LUIS ARIEL LOS GUTIERREZ-ALDERETES 14"/>
    <x v="310"/>
    <n v="2735445.29"/>
    <x v="59"/>
    <x v="0"/>
    <s v="pagado"/>
    <s v="pagado"/>
    <x v="0"/>
  </r>
  <r>
    <n v="3000002222"/>
    <d v="2025-05-07T00:00:00"/>
    <n v="6199166.4900000002"/>
    <s v="PEDRO GABRIEL ALEJANDRO ALDERETES 14"/>
    <x v="311"/>
    <n v="6199166.4900000002"/>
    <x v="59"/>
    <x v="0"/>
    <s v="pagado"/>
    <s v="pagado"/>
    <x v="0"/>
  </r>
  <r>
    <n v="3000002223"/>
    <d v="2025-05-07T00:00:00"/>
    <n v="6149354.9299999997"/>
    <s v="Bustos Sergio Alejandro Banda Rio Sali 14"/>
    <x v="312"/>
    <n v="6149354.9299999997"/>
    <x v="59"/>
    <x v="0"/>
    <s v="pagado"/>
    <s v="pagado"/>
    <x v="0"/>
  </r>
  <r>
    <n v="3000002224"/>
    <d v="2025-05-07T00:00:00"/>
    <n v="5720794.4100000001"/>
    <s v="FERNANDEZ HECTOR JOSE SIMOCA 14"/>
    <x v="313"/>
    <n v="5720794.4100000001"/>
    <x v="59"/>
    <x v="0"/>
    <s v="pagado"/>
    <s v="pagado"/>
    <x v="0"/>
  </r>
  <r>
    <n v="3000002225"/>
    <d v="2025-05-07T00:00:00"/>
    <n v="4256646.51"/>
    <s v="PERATO LUIS ALBERTO BANDA DEL RIO SALI 14"/>
    <x v="314"/>
    <n v="4256646.51"/>
    <x v="59"/>
    <x v="0"/>
    <s v="pagado"/>
    <s v="pagado"/>
    <x v="0"/>
  </r>
  <r>
    <n v="3000002226"/>
    <d v="2025-05-07T00:00:00"/>
    <n v="4018981.05"/>
    <s v="MAC DONALD MIGUEL ALEJANDRO BANDA DEL RIO SALI 14"/>
    <x v="315"/>
    <n v="4018981.05"/>
    <x v="59"/>
    <x v="0"/>
    <s v="pagado"/>
    <s v="pagado"/>
    <x v="0"/>
  </r>
  <r>
    <n v="3000002227"/>
    <d v="2025-05-07T00:00:00"/>
    <n v="4112784.02"/>
    <s v="VILLAGRA VELEZ ROQUE RICARDO SAN MIGUEL DE TUCUMAN 14"/>
    <x v="316"/>
    <n v="4112784.02"/>
    <x v="59"/>
    <x v="0"/>
    <s v="pagado"/>
    <s v="pagado"/>
    <x v="0"/>
  </r>
  <r>
    <n v="3000002228"/>
    <d v="2025-05-07T00:00:00"/>
    <n v="3624413.92"/>
    <s v="MANGNUS TRADE LOGISTIC SA Caítal Federañ 00"/>
    <x v="317"/>
    <n v="3624413.92"/>
    <x v="59"/>
    <x v="0"/>
    <s v="pagado"/>
    <s v="pagado"/>
    <x v="0"/>
  </r>
  <r>
    <n v="3000002230"/>
    <d v="2025-05-07T00:00:00"/>
    <n v="10716513.73"/>
    <s v="GOMEZ JUANA ROSA VILLA LA TRINIDAD 14"/>
    <x v="318"/>
    <n v="10716513.73"/>
    <x v="59"/>
    <x v="0"/>
    <s v="pagado"/>
    <s v="pagado"/>
    <x v="0"/>
  </r>
  <r>
    <n v="3000002311"/>
    <d v="2025-05-12T00:00:00"/>
    <n v="33276593.399999999"/>
    <s v="Jeblab S.R.L. YERBA BUENA 14"/>
    <x v="319"/>
    <n v="33276593.399999999"/>
    <x v="61"/>
    <x v="2"/>
    <s v="pagado"/>
    <s v="pagado"/>
    <x v="0"/>
  </r>
  <r>
    <n v="3000002312"/>
    <d v="2025-05-12T00:00:00"/>
    <n v="30447393.280000001"/>
    <s v="SMART SEGURIDAD SA YERBA BUENA 14"/>
    <x v="320"/>
    <n v="30447393.280000001"/>
    <x v="61"/>
    <x v="2"/>
    <s v="pagado"/>
    <s v="pagado"/>
    <x v="0"/>
  </r>
  <r>
    <n v="3000002313"/>
    <d v="2025-05-12T00:00:00"/>
    <n v="19320905.600000001"/>
    <s v="NOBEN SRL SAN MIGUEL DE TUCUMAN 14"/>
    <x v="321"/>
    <n v="19320905.600000001"/>
    <x v="61"/>
    <x v="2"/>
    <s v="pagado"/>
    <s v="pagado"/>
    <x v="0"/>
  </r>
  <r>
    <n v="3000002314"/>
    <d v="2025-05-12T00:00:00"/>
    <n v="7084711.4400000004"/>
    <s v="CAMPOAGRO SRL YERBA BUENA 14"/>
    <x v="322"/>
    <n v="7084711.4400000004"/>
    <x v="61"/>
    <x v="2"/>
    <s v="pagado"/>
    <s v="pagado"/>
    <x v="0"/>
  </r>
  <r>
    <n v="3000002315"/>
    <d v="2025-05-12T00:00:00"/>
    <n v="36868867.93"/>
    <s v="VIRAL IMPORTS SA YERBA BUENA 14"/>
    <x v="323"/>
    <n v="36868867.93"/>
    <x v="61"/>
    <x v="2"/>
    <s v="pagado"/>
    <s v="pagado"/>
    <x v="0"/>
  </r>
  <r>
    <n v="3000002316"/>
    <d v="2025-05-12T00:00:00"/>
    <n v="5392607.0599999996"/>
    <s v="ADLER HASENCLEVER Y ASOCIADOS BUENOS AIRES 01"/>
    <x v="324"/>
    <n v="5392607.0599999996"/>
    <x v="61"/>
    <x v="2"/>
    <s v="pagado"/>
    <s v="pagado"/>
    <x v="0"/>
  </r>
  <r>
    <n v="3000002317"/>
    <d v="2025-05-12T00:00:00"/>
    <n v="6385601.3399999999"/>
    <s v="LANCHELA HECTOR ROLANDO CONCEPCION 14"/>
    <x v="325"/>
    <n v="6385601.3399999999"/>
    <x v="61"/>
    <x v="2"/>
    <s v="pagado"/>
    <s v="pagado"/>
    <x v="0"/>
  </r>
  <r>
    <n v="3000002318"/>
    <d v="2025-05-12T00:00:00"/>
    <n v="5054808.78"/>
    <s v="ALVAREZ RENE JOSE MARIA BELLA VISTA 14"/>
    <x v="326"/>
    <n v="5054808.78"/>
    <x v="61"/>
    <x v="2"/>
    <s v="pagado"/>
    <s v="pagado"/>
    <x v="0"/>
  </r>
  <r>
    <n v="3000002319"/>
    <d v="2025-05-12T00:00:00"/>
    <n v="15228403.48"/>
    <s v="D´ANDREA SERGIO FRANCISCO YERBA BUENA 14"/>
    <x v="327"/>
    <n v="15228403.48"/>
    <x v="61"/>
    <x v="2"/>
    <s v="pagado"/>
    <s v="pagado"/>
    <x v="0"/>
  </r>
  <r>
    <n v="3000002320"/>
    <d v="2025-05-12T00:00:00"/>
    <n v="14607941.49"/>
    <s v="TUCUMAN PALLET SRL EL MANANTIAL 14"/>
    <x v="328"/>
    <n v="14607941.49"/>
    <x v="62"/>
    <x v="2"/>
    <s v="pagado"/>
    <s v="pagado"/>
    <x v="0"/>
  </r>
  <r>
    <n v="3000002321"/>
    <d v="2025-05-12T00:00:00"/>
    <n v="28251232.370000001"/>
    <s v="CEFAS S.A CIUDAD AUTONOMA DE BUENOS AIRES 01"/>
    <x v="329"/>
    <n v="28251232.370000001"/>
    <x v="62"/>
    <x v="2"/>
    <s v="pagado"/>
    <s v="pagado"/>
    <x v="0"/>
  </r>
  <r>
    <n v="3000002323"/>
    <d v="2025-05-12T00:00:00"/>
    <n v="12932034.08"/>
    <s v="Vaquera Francisco Alfredo Monteros 14"/>
    <x v="330"/>
    <n v="12932034.08"/>
    <x v="61"/>
    <x v="2"/>
    <s v="pagado"/>
    <s v="pagado"/>
    <x v="0"/>
  </r>
  <r>
    <n v="3000002354"/>
    <d v="2025-05-13T00:00:00"/>
    <n v="27000000"/>
    <s v="Trading Internacional S.A. ROSARIO 12"/>
    <x v="331"/>
    <n v="27000000"/>
    <x v="61"/>
    <x v="0"/>
    <s v="pagado"/>
    <s v="pagado"/>
    <x v="0"/>
  </r>
  <r>
    <n v="3000002324"/>
    <d v="2025-05-12T00:00:00"/>
    <n v="6951570"/>
    <s v="MG SERVICIOS AGROPECUARIOS SASTAFI VIEJO 14"/>
    <x v="332"/>
    <n v="6951570"/>
    <x v="63"/>
    <x v="1"/>
    <s v="pagado"/>
    <s v="pagado"/>
    <x v="0"/>
  </r>
  <r>
    <n v="3000002324"/>
    <d v="2025-05-12T00:00:00"/>
    <n v="3900000"/>
    <s v="MG SERVICIOS AGROPECUARIOS SASTAFI VIEJO 14"/>
    <x v="333"/>
    <n v="3900000"/>
    <x v="63"/>
    <x v="1"/>
    <s v="pagado"/>
    <s v="pagado"/>
    <x v="0"/>
  </r>
  <r>
    <n v="3000002324"/>
    <d v="2025-05-12T00:00:00"/>
    <n v="3027000"/>
    <s v="MG SERVICIOS AGROPECUARIOS SASTAFI VIEJO 14"/>
    <x v="334"/>
    <n v="3027000"/>
    <x v="63"/>
    <x v="1"/>
    <s v="pagado"/>
    <s v="pagado"/>
    <x v="0"/>
  </r>
  <r>
    <n v="3000002324"/>
    <d v="2025-05-12T00:00:00"/>
    <n v="10000000"/>
    <s v="MG SERVICIOS AGROPECUARIOS SASTAFI VIEJO 14"/>
    <x v="335"/>
    <n v="10000000"/>
    <x v="63"/>
    <x v="1"/>
    <s v="pagado"/>
    <s v="pagado"/>
    <x v="0"/>
  </r>
  <r>
    <n v="3000002324"/>
    <d v="2025-05-12T00:00:00"/>
    <n v="46807100"/>
    <s v="MG SERVICIOS AGROPECUARIOS SASTAFI VIEJO 14"/>
    <x v="336"/>
    <n v="46807100"/>
    <x v="61"/>
    <x v="1"/>
    <s v="pagado"/>
    <s v="pagado"/>
    <x v="0"/>
  </r>
  <r>
    <n v="3000002324"/>
    <d v="2025-05-12T00:00:00"/>
    <n v="46807100.57"/>
    <s v="MG SERVICIOS AGROPECUARIOS SASTAFI VIEJO 14"/>
    <x v="337"/>
    <n v="46807100.57"/>
    <x v="61"/>
    <x v="1"/>
    <s v="pagado"/>
    <s v="pagado"/>
    <x v="0"/>
  </r>
  <r>
    <n v="3000002357"/>
    <d v="2025-05-13T00:00:00"/>
    <n v="585558.64"/>
    <s v="Fondo Fijo Administracion CitrNO TIENE"/>
    <x v="338"/>
    <n v="585558.64"/>
    <x v="61"/>
    <x v="1"/>
    <s v="pagado"/>
    <s v="pagado"/>
    <x v="0"/>
  </r>
  <r>
    <n v="3000002358"/>
    <d v="2025-05-13T00:00:00"/>
    <n v="839522.13"/>
    <s v="Fondo Fijo Administracion CitrNO TIENE"/>
    <x v="339"/>
    <n v="839522.13"/>
    <x v="61"/>
    <x v="1"/>
    <s v="pagado"/>
    <s v="pagado"/>
    <x v="0"/>
  </r>
  <r>
    <n v="3000002408"/>
    <d v="2025-05-14T00:00:00"/>
    <n v="2385141.9900000002"/>
    <s v="TRANSPORTE MEDINA S.H."/>
    <x v="340"/>
    <n v="2385141.9900000002"/>
    <x v="64"/>
    <x v="1"/>
    <s v="pagado"/>
    <s v="pagado"/>
    <x v="0"/>
  </r>
  <r>
    <n v="3000002391"/>
    <d v="2025-05-14T00:00:00"/>
    <n v="30000000"/>
    <s v="LA MARTINA SERV. AGRICOLAS S.RSAN PABLO 14"/>
    <x v="341"/>
    <n v="30000000"/>
    <x v="64"/>
    <x v="2"/>
    <s v="pagado"/>
    <s v="pagado"/>
    <x v="0"/>
  </r>
  <r>
    <n v="3000002391"/>
    <d v="2025-05-14T00:00:00"/>
    <n v="25433952.27"/>
    <s v="LA MARTINA SERV. AGRICOLAS S.RSAN PABLO 14"/>
    <x v="342"/>
    <n v="25433952.27"/>
    <x v="65"/>
    <x v="2"/>
    <s v="pagado"/>
    <s v="pagado"/>
    <x v="0"/>
  </r>
  <r>
    <n v="3000002392"/>
    <d v="2025-05-14T00:00:00"/>
    <n v="25000000"/>
    <s v="PAMPLONA SRL SAN MIGUEL DE TUCUMAN 14"/>
    <x v="343"/>
    <n v="25000000"/>
    <x v="64"/>
    <x v="2"/>
    <s v="pagado"/>
    <s v="pagado"/>
    <x v="0"/>
  </r>
  <r>
    <n v="3000002392"/>
    <d v="2025-05-14T00:00:00"/>
    <n v="21605498.289999999"/>
    <s v="PAMPLONA SRL SAN MIGUEL DE TUCUMAN 14"/>
    <x v="344"/>
    <n v="21605498.289999999"/>
    <x v="65"/>
    <x v="2"/>
    <s v="pagado"/>
    <s v="pagado"/>
    <x v="0"/>
  </r>
  <r>
    <n v="3000002393"/>
    <d v="2025-05-14T00:00:00"/>
    <n v="30000000"/>
    <s v="MG SERVICIOS AGROPECUARIOS SASTAFI VIEJO 14"/>
    <x v="345"/>
    <n v="30000000"/>
    <x v="64"/>
    <x v="2"/>
    <s v="pagado"/>
    <s v="pagado"/>
    <x v="0"/>
  </r>
  <r>
    <n v="3000002393"/>
    <d v="2025-05-14T00:00:00"/>
    <n v="23838706.789999999"/>
    <s v="MG SERVICIOS AGROPECUARIOS SASTAFI VIEJO 14"/>
    <x v="346"/>
    <n v="23838706.789999999"/>
    <x v="65"/>
    <x v="2"/>
    <s v="pagado"/>
    <s v="pagado"/>
    <x v="0"/>
  </r>
  <r>
    <n v="3000002394"/>
    <d v="2025-05-14T00:00:00"/>
    <n v="15000000"/>
    <s v="ROMERO SERVICIOS S. A. S. ALPACHIRI 14"/>
    <x v="347"/>
    <n v="15000000"/>
    <x v="64"/>
    <x v="2"/>
    <s v="pagado"/>
    <s v="pagado"/>
    <x v="0"/>
  </r>
  <r>
    <n v="3000002394"/>
    <d v="2025-05-14T00:00:00"/>
    <n v="16975231.34"/>
    <s v="ROMERO SERVICIOS S. A. S. ALPACHIRI 14"/>
    <x v="348"/>
    <n v="16975231.34"/>
    <x v="65"/>
    <x v="2"/>
    <s v="pagado"/>
    <s v="pagado"/>
    <x v="0"/>
  </r>
  <r>
    <n v="3000002404"/>
    <d v="2025-05-14T00:00:00"/>
    <n v="13000000"/>
    <s v="CAPETTA ANTONELLA ANAHI SAN MIGUEL DE TUCUMAN 14"/>
    <x v="349"/>
    <n v="13000000"/>
    <x v="64"/>
    <x v="2"/>
    <s v="pagado"/>
    <s v="pagado"/>
    <x v="0"/>
  </r>
  <r>
    <n v="3000002404"/>
    <d v="2025-05-14T00:00:00"/>
    <n v="10111952.289999999"/>
    <s v="CAPETTA ANTONELLA ANAHI SAN MIGUEL DE TUCUMAN 14"/>
    <x v="350"/>
    <n v="10111952.289999999"/>
    <x v="65"/>
    <x v="2"/>
    <s v="pagado"/>
    <s v="pagado"/>
    <x v="0"/>
  </r>
  <r>
    <n v="3000002406"/>
    <d v="2025-05-14T00:00:00"/>
    <n v="13000000"/>
    <s v="BUENOS AIRES COMEX S.R.L. BANFIELD 14"/>
    <x v="351"/>
    <n v="13000000"/>
    <x v="64"/>
    <x v="2"/>
    <s v="pagado"/>
    <s v="pagado"/>
    <x v="0"/>
  </r>
  <r>
    <n v="3000002406"/>
    <d v="2025-05-14T00:00:00"/>
    <n v="13767776.15"/>
    <s v="BUENOS AIRES COMEX S.R.L. BANFIELD 14"/>
    <x v="352"/>
    <n v="13767776.15"/>
    <x v="65"/>
    <x v="2"/>
    <s v="pagado"/>
    <s v="pagado"/>
    <x v="0"/>
  </r>
  <r>
    <n v="3000002395"/>
    <d v="2025-05-14T00:00:00"/>
    <n v="7444087.8899999997"/>
    <s v="SAUCE HUACHO SERVICIOS S.R.L MONTEROS 14"/>
    <x v="353"/>
    <n v="7444087.8899999997"/>
    <x v="64"/>
    <x v="2"/>
    <s v="pagado"/>
    <s v="pagado"/>
    <x v="0"/>
  </r>
  <r>
    <n v="3000002396"/>
    <d v="2025-05-14T00:00:00"/>
    <n v="6067519.3399999999"/>
    <s v="SUAREZ MANUEL RODOLFO ALDERETES 14"/>
    <x v="354"/>
    <n v="6067519.3399999999"/>
    <x v="64"/>
    <x v="2"/>
    <s v="pagado"/>
    <s v="pagado"/>
    <x v="0"/>
  </r>
  <r>
    <n v="3000002397"/>
    <d v="2025-05-14T00:00:00"/>
    <n v="3861031.53"/>
    <s v="GEREZ ALICIA ELEUTERIA SAN MIGUEL DE TUCUMAN 14"/>
    <x v="355"/>
    <n v="3861031.53"/>
    <x v="64"/>
    <x v="2"/>
    <s v="pagado"/>
    <s v="pagado"/>
    <x v="0"/>
  </r>
  <r>
    <n v="3000002398"/>
    <d v="2025-05-14T00:00:00"/>
    <n v="3077915.34"/>
    <s v="Cruz Jonas Marcos Tafi del Valle 14"/>
    <x v="356"/>
    <n v="3077915.34"/>
    <x v="64"/>
    <x v="2"/>
    <s v="pagado"/>
    <s v="pagado"/>
    <x v="0"/>
  </r>
  <r>
    <n v="3000002399"/>
    <d v="2025-05-14T00:00:00"/>
    <n v="3290202.86"/>
    <s v="Alcoba Luareano Arnaldo Concepcion 14"/>
    <x v="357"/>
    <n v="3290202.86"/>
    <x v="64"/>
    <x v="2"/>
    <s v="pagado"/>
    <s v="pagado"/>
    <x v="0"/>
  </r>
  <r>
    <n v="3000002400"/>
    <d v="2025-05-14T00:00:00"/>
    <n v="7019571.29"/>
    <s v="MOREY SERGIO GUILLERMO LOS GUTIERREZ-ALDERETES 14"/>
    <x v="358"/>
    <n v="7019571.29"/>
    <x v="64"/>
    <x v="2"/>
    <s v="pagado"/>
    <s v="pagado"/>
    <x v="0"/>
  </r>
  <r>
    <n v="3000002401"/>
    <d v="2025-05-14T00:00:00"/>
    <n v="6118915.0499999998"/>
    <s v="HERRERA RICARDO ALBERTO BANDA DEL RIO SALI 14"/>
    <x v="359"/>
    <n v="6118915.0499999998"/>
    <x v="64"/>
    <x v="2"/>
    <s v="pagado"/>
    <s v="pagado"/>
    <x v="0"/>
  </r>
  <r>
    <n v="3000002402"/>
    <d v="2025-05-14T00:00:00"/>
    <n v="11943173.76"/>
    <s v="ACOSTA ROQUE RAMON SAN MIGUEL DE TUCUMAN 14"/>
    <x v="360"/>
    <n v="11943173.76"/>
    <x v="64"/>
    <x v="2"/>
    <s v="pagado"/>
    <s v="pagado"/>
    <x v="0"/>
  </r>
  <r>
    <n v="3000002403"/>
    <d v="2025-05-14T00:00:00"/>
    <n v="6347733.6299999999"/>
    <s v="JACQUET NORBERTO SALVADOR SAN JOSE 05"/>
    <x v="361"/>
    <n v="6347733.6299999999"/>
    <x v="64"/>
    <x v="2"/>
    <s v="pagado"/>
    <s v="pagado"/>
    <x v="0"/>
  </r>
  <r>
    <n v="3000002405"/>
    <d v="2025-05-14T00:00:00"/>
    <n v="4957927.6100000003"/>
    <s v="PAEZ LEONEL EXEQUIEL MACIO 14"/>
    <x v="362"/>
    <n v="4957927.6100000003"/>
    <x v="64"/>
    <x v="2"/>
    <s v="pagado"/>
    <s v="pagado"/>
    <x v="0"/>
  </r>
  <r>
    <n v="3000002518"/>
    <d v="2025-05-20T00:00:00"/>
    <n v="23000000"/>
    <s v="CAPETTA ANTONELLA ANAHI SAN MIGUEL DE TUCUMAN 14"/>
    <x v="363"/>
    <n v="23000000"/>
    <x v="66"/>
    <x v="2"/>
    <s v="pagado"/>
    <s v="pagado"/>
    <x v="0"/>
  </r>
  <r>
    <n v="3000002518"/>
    <d v="2025-05-20T00:00:00"/>
    <n v="23674382.829999998"/>
    <s v="CAPETTA ANTONELLA ANAHI SAN MIGUEL DE TUCUMAN 14"/>
    <x v="364"/>
    <n v="23674382.829999998"/>
    <x v="67"/>
    <x v="2"/>
    <s v="pagado"/>
    <s v="pagado"/>
    <x v="0"/>
  </r>
  <r>
    <n v="3000002521"/>
    <d v="2025-05-20T00:00:00"/>
    <n v="1500000"/>
    <s v="VILLAGRA VELEZ ROQUE RICARDO SAN MIGUEL DE TUCUMAN 14"/>
    <x v="365"/>
    <n v="1500000"/>
    <x v="67"/>
    <x v="2"/>
    <s v="pagado"/>
    <s v="pagado"/>
    <x v="0"/>
  </r>
  <r>
    <n v="3000002521"/>
    <d v="2025-05-20T00:00:00"/>
    <n v="1500000"/>
    <s v="VILLAGRA VELEZ ROQUE RICARDO SAN MIGUEL DE TUCUMAN 14"/>
    <x v="366"/>
    <n v="1500000"/>
    <x v="67"/>
    <x v="2"/>
    <s v="pagado"/>
    <s v="pagado"/>
    <x v="0"/>
  </r>
  <r>
    <n v="3000002521"/>
    <d v="2025-05-20T00:00:00"/>
    <n v="1112616.1000000001"/>
    <s v="VILLAGRA VELEZ ROQUE RICARDO SAN MIGUEL DE TUCUMAN 14"/>
    <x v="367"/>
    <n v="1112616.1000000001"/>
    <x v="67"/>
    <x v="2"/>
    <s v="pagado"/>
    <s v="pagado"/>
    <x v="0"/>
  </r>
  <r>
    <n v="3000002522"/>
    <d v="2025-05-20T00:00:00"/>
    <n v="23000000"/>
    <s v="RL SOLUCIONES S. A. S. SAN MIGUEL DE TUCUMAN 14"/>
    <x v="368"/>
    <n v="23000000"/>
    <x v="66"/>
    <x v="2"/>
    <s v="pagado"/>
    <s v="pagado"/>
    <x v="0"/>
  </r>
  <r>
    <n v="3000002522"/>
    <d v="2025-05-20T00:00:00"/>
    <n v="20074788.77"/>
    <s v="RL SOLUCIONES S. A. S. SAN MIGUEL DE TUCUMAN 14"/>
    <x v="369"/>
    <n v="20074788.77"/>
    <x v="67"/>
    <x v="2"/>
    <s v="pagado"/>
    <s v="pagado"/>
    <x v="0"/>
  </r>
  <r>
    <n v="3000002510"/>
    <d v="2025-05-20T00:00:00"/>
    <n v="2997156.71"/>
    <s v="Consultoria en Tecnologia de IBUENOS AIRES 00"/>
    <x v="370"/>
    <n v="2997156.71"/>
    <x v="68"/>
    <x v="2"/>
    <s v="pagado"/>
    <s v="pagado"/>
    <x v="0"/>
  </r>
  <r>
    <n v="3000002513"/>
    <d v="2025-05-20T00:00:00"/>
    <n v="9254379.5700000003"/>
    <s v="ZYMO SA SAN MIGUEL DE TUCUMAN 00"/>
    <x v="371"/>
    <n v="9254379.5700000003"/>
    <x v="67"/>
    <x v="2"/>
    <s v="pagado"/>
    <s v="pagado"/>
    <x v="0"/>
  </r>
  <r>
    <n v="3000002514"/>
    <d v="2025-05-20T00:00:00"/>
    <n v="7650994.7699999996"/>
    <s v="Servicom Group S.A. CAPITAL FEDERAL 00"/>
    <x v="372"/>
    <n v="7650994.7699999996"/>
    <x v="67"/>
    <x v="2"/>
    <s v="pagado"/>
    <s v="pagado"/>
    <x v="0"/>
  </r>
  <r>
    <n v="3000002515"/>
    <d v="2025-05-20T00:00:00"/>
    <n v="2146156.1800000002"/>
    <s v="Air Liquide Argentina SA SAN MIGUEL DE TUCUMAN 14"/>
    <x v="373"/>
    <n v="2146156.1800000002"/>
    <x v="67"/>
    <x v="2"/>
    <s v="pagado"/>
    <s v="pagado"/>
    <x v="0"/>
  </r>
  <r>
    <n v="3000002517"/>
    <d v="2025-05-20T00:00:00"/>
    <n v="10666090.949999999"/>
    <s v="Terminal 4 S.A. Puerto Nuevo 01"/>
    <x v="374"/>
    <n v="10666090.949999999"/>
    <x v="67"/>
    <x v="2"/>
    <s v="pagado"/>
    <s v="pagado"/>
    <x v="0"/>
  </r>
  <r>
    <n v="3000002519"/>
    <d v="2025-05-20T00:00:00"/>
    <n v="5855240.5"/>
    <s v="CEMEVA SAS YERBA BUENA 14"/>
    <x v="375"/>
    <n v="5855240.5"/>
    <x v="67"/>
    <x v="2"/>
    <s v="pagado"/>
    <s v="pagado"/>
    <x v="0"/>
  </r>
  <r>
    <n v="3000002520"/>
    <d v="2025-05-20T00:00:00"/>
    <n v="4138777.78"/>
    <s v="MAC DONALD MIGUEL ALEJANDRO BANDA DEL RIO SALI 14"/>
    <x v="376"/>
    <n v="4138777.78"/>
    <x v="67"/>
    <x v="2"/>
    <s v="pagado"/>
    <s v="pagado"/>
    <x v="0"/>
  </r>
  <r>
    <n v="3000002523"/>
    <d v="2025-05-20T00:00:00"/>
    <n v="6720095.0300000003"/>
    <s v="Bustos Sergio Alejandro Banda Rio Sali 14"/>
    <x v="377"/>
    <n v="6720095.0300000003"/>
    <x v="67"/>
    <x v="2"/>
    <s v="pagado"/>
    <s v="pagado"/>
    <x v="0"/>
  </r>
  <r>
    <n v="3000002524"/>
    <d v="2025-05-20T00:00:00"/>
    <n v="5757903.9800000004"/>
    <s v="PAEZ ANDRES ALEXIS MACIO 14"/>
    <x v="378"/>
    <n v="5757903.9800000004"/>
    <x v="67"/>
    <x v="2"/>
    <s v="pagado"/>
    <s v="pagado"/>
    <x v="0"/>
  </r>
  <r>
    <n v="3000002525"/>
    <d v="2025-05-20T00:00:00"/>
    <n v="5402046.1399999997"/>
    <s v="LA MARTINA SERV. AGRICOLAS S.RSAN PABLO 14"/>
    <x v="379"/>
    <n v="5402046.1399999997"/>
    <x v="67"/>
    <x v="2"/>
    <s v="pagado"/>
    <s v="pagado"/>
    <x v="0"/>
  </r>
  <r>
    <n v="3000002526"/>
    <d v="2025-05-20T00:00:00"/>
    <n v="5589772.1699999999"/>
    <s v="PEDRO GABRIEL ALEJANDRO ALDERETES 14"/>
    <x v="380"/>
    <n v="5589772.1699999999"/>
    <x v="67"/>
    <x v="2"/>
    <s v="pagado"/>
    <s v="pagado"/>
    <x v="0"/>
  </r>
  <r>
    <n v="3000002468"/>
    <d v="2025-05-19T00:00:00"/>
    <n v="114648500"/>
    <s v="EDET S.A. SAN MIGUEL DE TUCUMAN 14"/>
    <x v="381"/>
    <n v="114648500"/>
    <x v="65"/>
    <x v="1"/>
    <s v="pagado"/>
    <s v="pagado"/>
    <x v="0"/>
  </r>
  <r>
    <n v="3000002577"/>
    <d v="2025-05-22T00:00:00"/>
    <n v="163996880"/>
    <s v="EDET S.A. SAN MIGUEL DE TUCUMAN 14"/>
    <x v="382"/>
    <n v="163996880"/>
    <x v="67"/>
    <x v="1"/>
    <s v="pagado"/>
    <s v="pagado"/>
    <x v="0"/>
  </r>
  <r>
    <n v="3000002635"/>
    <d v="2025-05-26T00:00:00"/>
    <n v="0"/>
    <s v="invalidado med.EOLIVERA -Destruido/ Sin uso"/>
    <x v="383"/>
    <n v="0"/>
    <x v="69"/>
    <x v="2"/>
    <s v="no pagado"/>
    <s v="fuera de fecha"/>
    <x v="0"/>
  </r>
  <r>
    <n v="3000002636"/>
    <d v="2025-05-26T00:00:00"/>
    <n v="0"/>
    <s v="invalidado med.EOLIVERA -Destruido/ Sin uso"/>
    <x v="384"/>
    <n v="0"/>
    <x v="69"/>
    <x v="2"/>
    <s v="no pagado"/>
    <s v="fuera de fecha"/>
    <x v="0"/>
  </r>
  <r>
    <n v="3000002637"/>
    <d v="2025-05-26T00:00:00"/>
    <n v="0"/>
    <s v="invalidado med.EOLIVERA -Destruido/ Sin uso"/>
    <x v="385"/>
    <n v="0"/>
    <x v="69"/>
    <x v="2"/>
    <s v="no pagado"/>
    <s v="fuera de fecha"/>
    <x v="0"/>
  </r>
  <r>
    <n v="3000002638"/>
    <d v="2025-05-26T00:00:00"/>
    <n v="0"/>
    <s v="invalidado med.EOLIVERA -Destruido/ Sin uso"/>
    <x v="386"/>
    <n v="0"/>
    <x v="69"/>
    <x v="2"/>
    <s v="no pagado"/>
    <s v="fuera de fecha"/>
    <x v="0"/>
  </r>
  <r>
    <n v="3000002638"/>
    <d v="2025-05-26T00:00:00"/>
    <n v="0"/>
    <s v="invalidado med.EOLIVERA -Destruido/ Sin uso"/>
    <x v="387"/>
    <n v="0"/>
    <x v="69"/>
    <x v="2"/>
    <s v="no pagado"/>
    <s v="fuera de fecha"/>
    <x v="0"/>
  </r>
  <r>
    <n v="3000002639"/>
    <d v="2025-05-26T00:00:00"/>
    <n v="0"/>
    <s v="invalidado med.EOLIVERA -Destruido/ Sin uso"/>
    <x v="388"/>
    <n v="0"/>
    <x v="69"/>
    <x v="2"/>
    <s v="no pagado"/>
    <s v="fuera de fecha"/>
    <x v="0"/>
  </r>
  <r>
    <n v="3000002639"/>
    <d v="2025-05-26T00:00:00"/>
    <n v="0"/>
    <s v="invalidado med.EOLIVERA -Destruido/ Sin uso"/>
    <x v="389"/>
    <n v="0"/>
    <x v="69"/>
    <x v="2"/>
    <s v="no pagado"/>
    <s v="fuera de fecha"/>
    <x v="0"/>
  </r>
  <r>
    <n v="3000002640"/>
    <d v="2025-05-26T00:00:00"/>
    <n v="0"/>
    <s v="invalidado med.EOLIVERA -Destruido/ Sin uso"/>
    <x v="390"/>
    <n v="0"/>
    <x v="69"/>
    <x v="2"/>
    <s v="no pagado"/>
    <s v="fuera de fecha"/>
    <x v="0"/>
  </r>
  <r>
    <n v="3000002641"/>
    <d v="2025-05-26T00:00:00"/>
    <n v="0"/>
    <s v="invalidado med.EOLIVERA -Destruido/ Sin uso"/>
    <x v="391"/>
    <n v="0"/>
    <x v="69"/>
    <x v="2"/>
    <s v="no pagado"/>
    <s v="fuera de fecha"/>
    <x v="0"/>
  </r>
  <r>
    <n v="3000002641"/>
    <d v="2025-05-26T00:00:00"/>
    <n v="0"/>
    <s v="invalidado med.EOLIVERA -Destruido/ Sin uso"/>
    <x v="392"/>
    <n v="0"/>
    <x v="69"/>
    <x v="2"/>
    <s v="no pagado"/>
    <s v="fuera de fecha"/>
    <x v="0"/>
  </r>
  <r>
    <n v="3000002642"/>
    <d v="2025-05-26T00:00:00"/>
    <n v="0"/>
    <s v="invalidado med.EOLIVERA -Destruido/ Sin uso"/>
    <x v="393"/>
    <n v="0"/>
    <x v="69"/>
    <x v="2"/>
    <s v="no pagado"/>
    <s v="fuera de fecha"/>
    <x v="0"/>
  </r>
  <r>
    <n v="3000002642"/>
    <d v="2025-05-26T00:00:00"/>
    <n v="0"/>
    <s v="invalidado med.EOLIVERA -Destruido/ Sin uso"/>
    <x v="394"/>
    <n v="0"/>
    <x v="69"/>
    <x v="2"/>
    <s v="no pagado"/>
    <s v="fuera de fecha"/>
    <x v="0"/>
  </r>
  <r>
    <n v="3000002643"/>
    <d v="2025-05-26T00:00:00"/>
    <n v="0"/>
    <s v="invalidado med.EOLIVERA -Destruido/ Sin uso"/>
    <x v="395"/>
    <n v="0"/>
    <x v="69"/>
    <x v="2"/>
    <s v="no pagado"/>
    <s v="fuera de fecha"/>
    <x v="0"/>
  </r>
  <r>
    <n v="3000002643"/>
    <d v="2025-05-26T00:00:00"/>
    <n v="0"/>
    <s v="invalidado med.EOLIVERA -Destruido/ Sin uso"/>
    <x v="396"/>
    <n v="0"/>
    <x v="69"/>
    <x v="2"/>
    <s v="no pagado"/>
    <s v="fuera de fecha"/>
    <x v="0"/>
  </r>
  <r>
    <n v="3000002644"/>
    <d v="2025-05-26T00:00:00"/>
    <n v="0"/>
    <s v="invalidado med.EOLIVERA -Destruido/ Sin uso"/>
    <x v="397"/>
    <n v="0"/>
    <x v="69"/>
    <x v="2"/>
    <s v="no pagado"/>
    <s v="fuera de fecha"/>
    <x v="0"/>
  </r>
  <r>
    <n v="3000002644"/>
    <d v="2025-05-26T00:00:00"/>
    <n v="0"/>
    <s v="invalidado med.EOLIVERA -Destruido/ Sin uso"/>
    <x v="398"/>
    <n v="0"/>
    <x v="69"/>
    <x v="2"/>
    <s v="no pagado"/>
    <s v="fuera de fecha"/>
    <x v="0"/>
  </r>
  <r>
    <n v="3000002645"/>
    <d v="2025-05-26T00:00:00"/>
    <n v="0"/>
    <s v="invalidado med.EOLIVERA -Destruido/ Sin uso"/>
    <x v="399"/>
    <n v="0"/>
    <x v="69"/>
    <x v="2"/>
    <s v="no pagado"/>
    <s v="fuera de fecha"/>
    <x v="0"/>
  </r>
  <r>
    <n v="3000002646"/>
    <d v="2025-05-26T00:00:00"/>
    <n v="0"/>
    <s v="invalidado med.EOLIVERA -Destruido/ Sin uso"/>
    <x v="400"/>
    <n v="0"/>
    <x v="69"/>
    <x v="2"/>
    <s v="no pagado"/>
    <s v="fuera de fecha"/>
    <x v="0"/>
  </r>
  <r>
    <n v="3000002647"/>
    <d v="2025-05-26T00:00:00"/>
    <n v="0"/>
    <s v="invalidado med.EOLIVERA -Destruido/ Sin uso"/>
    <x v="401"/>
    <n v="0"/>
    <x v="69"/>
    <x v="2"/>
    <s v="no pagado"/>
    <s v="fuera de fecha"/>
    <x v="0"/>
  </r>
  <r>
    <n v="3000002647"/>
    <d v="2025-05-26T00:00:00"/>
    <n v="0"/>
    <s v="invalidado med.EOLIVERA -Destruido/ Sin uso"/>
    <x v="402"/>
    <n v="0"/>
    <x v="69"/>
    <x v="2"/>
    <s v="no pagado"/>
    <s v="fuera de fecha"/>
    <x v="0"/>
  </r>
  <r>
    <n v="3000002635"/>
    <d v="2025-05-27T00:00:00"/>
    <n v="10952596.109999999"/>
    <s v="TUCUMAN PALLET SRL EL MANANTIAL 14"/>
    <x v="403"/>
    <n v="10952596.109999999"/>
    <x v="70"/>
    <x v="2"/>
    <s v="pagado"/>
    <s v="pagado"/>
    <x v="0"/>
  </r>
  <r>
    <n v="3000002636"/>
    <d v="2025-05-27T00:00:00"/>
    <n v="9575958.4900000002"/>
    <s v="EMPRESA MAYORISTA INDUSTRIAL SSAN MIGUEL DE TUCUMAN 14"/>
    <x v="404"/>
    <n v="9575958.4900000002"/>
    <x v="70"/>
    <x v="2"/>
    <s v="pagado"/>
    <s v="pagado"/>
    <x v="0"/>
  </r>
  <r>
    <n v="3000002637"/>
    <d v="2025-05-27T00:00:00"/>
    <n v="4316841.83"/>
    <s v="MG SERVICIOS AGROPECUARIOS SASTAFI VIEJO 14"/>
    <x v="405"/>
    <n v="4316841.83"/>
    <x v="70"/>
    <x v="2"/>
    <s v="pagado"/>
    <s v="pagado"/>
    <x v="0"/>
  </r>
  <r>
    <n v="3000002638"/>
    <d v="2025-05-27T00:00:00"/>
    <n v="20000000"/>
    <s v="CEFAS S.A CIUDAD AUTONOMA DE BUENOS AIRES 01"/>
    <x v="406"/>
    <n v="20000000"/>
    <x v="70"/>
    <x v="2"/>
    <s v="pagado"/>
    <s v="pagado"/>
    <x v="0"/>
  </r>
  <r>
    <n v="3000002638"/>
    <d v="2025-05-27T00:00:00"/>
    <n v="21600217.09"/>
    <s v="CEFAS S.A CIUDAD AUTONOMA DE BUENOS AIRES 01"/>
    <x v="407"/>
    <n v="21600217.09"/>
    <x v="71"/>
    <x v="2"/>
    <s v="pagado"/>
    <s v="pagado"/>
    <x v="0"/>
  </r>
  <r>
    <n v="3000002639"/>
    <d v="2025-05-27T00:00:00"/>
    <n v="15000000"/>
    <s v="SEGURIDAD OMEGA SRL SAN FERNANDO DEL VALLE DE CATAMARCA 02"/>
    <x v="408"/>
    <n v="15000000"/>
    <x v="70"/>
    <x v="2"/>
    <s v="pagado"/>
    <s v="pagado"/>
    <x v="0"/>
  </r>
  <r>
    <n v="3000002639"/>
    <d v="2025-05-27T00:00:00"/>
    <n v="16978029.890000001"/>
    <s v="SEGURIDAD OMEGA SRL SAN FERNANDO DEL VALLE DE CATAMARCA 02"/>
    <x v="409"/>
    <n v="16978029.890000001"/>
    <x v="71"/>
    <x v="2"/>
    <s v="pagado"/>
    <s v="pagado"/>
    <x v="0"/>
  </r>
  <r>
    <n v="3000002640"/>
    <d v="2025-05-27T00:00:00"/>
    <n v="8678438.1699999999"/>
    <s v="ROMERO SERVICIOS S. A. S. ALPACHIRI 14"/>
    <x v="410"/>
    <n v="8678438.1699999999"/>
    <x v="70"/>
    <x v="2"/>
    <s v="pagado"/>
    <s v="pagado"/>
    <x v="0"/>
  </r>
  <r>
    <n v="3000002641"/>
    <d v="2025-05-27T00:00:00"/>
    <n v="10000000"/>
    <s v="CORTEZ CHRISTIE ANA INES YERBA BUENA 14"/>
    <x v="411"/>
    <n v="10000000"/>
    <x v="70"/>
    <x v="2"/>
    <s v="pagado"/>
    <s v="pagado"/>
    <x v="0"/>
  </r>
  <r>
    <n v="3000002641"/>
    <d v="2025-05-27T00:00:00"/>
    <n v="11214656"/>
    <s v="CORTEZ CHRISTIE ANA INES YERBA BUENA 14"/>
    <x v="412"/>
    <n v="11214656"/>
    <x v="71"/>
    <x v="2"/>
    <s v="pagado"/>
    <s v="pagado"/>
    <x v="0"/>
  </r>
  <r>
    <n v="3000002642"/>
    <d v="2025-05-27T00:00:00"/>
    <n v="30000000"/>
    <s v="AGROPECUARIA MUNDO NUEVO SRL SAN PABLO 14"/>
    <x v="413"/>
    <n v="30000000"/>
    <x v="70"/>
    <x v="2"/>
    <s v="pagado"/>
    <s v="pagado"/>
    <x v="0"/>
  </r>
  <r>
    <n v="3000002642"/>
    <d v="2025-05-27T00:00:00"/>
    <n v="27399251.109999999"/>
    <s v="AGROPECUARIA MUNDO NUEVO SRL SAN PABLO 14"/>
    <x v="414"/>
    <n v="27399251.109999999"/>
    <x v="71"/>
    <x v="2"/>
    <s v="pagado"/>
    <s v="pagado"/>
    <x v="0"/>
  </r>
  <r>
    <n v="3000002643"/>
    <d v="2025-05-27T00:00:00"/>
    <n v="23000000"/>
    <s v="PAMPLONA SRL SAN MIGUEL DE TUCUMAN 14"/>
    <x v="415"/>
    <n v="23000000"/>
    <x v="70"/>
    <x v="2"/>
    <s v="pagado"/>
    <s v="pagado"/>
    <x v="0"/>
  </r>
  <r>
    <n v="3000002643"/>
    <d v="2025-05-27T00:00:00"/>
    <n v="23411366.57"/>
    <s v="PAMPLONA SRL SAN MIGUEL DE TUCUMAN 14"/>
    <x v="416"/>
    <n v="23411366.57"/>
    <x v="71"/>
    <x v="2"/>
    <s v="pagado"/>
    <s v="pagado"/>
    <x v="0"/>
  </r>
  <r>
    <n v="3000002644"/>
    <d v="2025-05-27T00:00:00"/>
    <n v="16000000"/>
    <s v="Excer S.R.L. Buenos Aires 01"/>
    <x v="417"/>
    <n v="16000000"/>
    <x v="70"/>
    <x v="2"/>
    <s v="pagado"/>
    <s v="pagado"/>
    <x v="0"/>
  </r>
  <r>
    <n v="3000002644"/>
    <d v="2025-05-27T00:00:00"/>
    <n v="16378667.92"/>
    <s v="Excer S.R.L. Buenos Aires 01"/>
    <x v="418"/>
    <n v="16378667.92"/>
    <x v="71"/>
    <x v="2"/>
    <s v="pagado"/>
    <s v="pagado"/>
    <x v="0"/>
  </r>
  <r>
    <n v="3000002645"/>
    <d v="2025-05-27T00:00:00"/>
    <n v="8552025.1400000006"/>
    <s v="PERATO CRISTIAN LUIS BANDA DEL RIO SALI 14"/>
    <x v="419"/>
    <n v="8552025.1400000006"/>
    <x v="70"/>
    <x v="2"/>
    <s v="pagado"/>
    <s v="pagado"/>
    <x v="0"/>
  </r>
  <r>
    <n v="3000002646"/>
    <d v="2025-05-27T00:00:00"/>
    <n v="11844434.27"/>
    <s v="BUENOS AIRES COMEX S.R.L. BANFIELD 14"/>
    <x v="420"/>
    <n v="11844434.27"/>
    <x v="70"/>
    <x v="2"/>
    <s v="pagado"/>
    <s v="pagado"/>
    <x v="0"/>
  </r>
  <r>
    <n v="3000002647"/>
    <d v="2025-05-27T00:00:00"/>
    <n v="17000000"/>
    <s v="LATCOMEX SA CAPITAL FEDERAL 00"/>
    <x v="421"/>
    <n v="17000000"/>
    <x v="70"/>
    <x v="2"/>
    <s v="pagado"/>
    <s v="pagado"/>
    <x v="0"/>
  </r>
  <r>
    <n v="3000002647"/>
    <d v="2025-05-27T00:00:00"/>
    <n v="18594664.16"/>
    <s v="LATCOMEX SA CAPITAL FEDERAL 00"/>
    <x v="422"/>
    <n v="18594664.16"/>
    <x v="71"/>
    <x v="2"/>
    <s v="pagado"/>
    <s v="pagado"/>
    <x v="0"/>
  </r>
  <r>
    <n v="3000002679"/>
    <d v="2025-05-27T00:00:00"/>
    <n v="30000000"/>
    <s v="LA MARTINA SERV. AGRICOLAS S.RSAN PABLO 14"/>
    <x v="423"/>
    <n v="30000000"/>
    <x v="70"/>
    <x v="2"/>
    <s v="pagado"/>
    <s v="pagado"/>
    <x v="0"/>
  </r>
  <r>
    <n v="3000002679"/>
    <d v="2025-05-27T00:00:00"/>
    <n v="24307046.09"/>
    <s v="LA MARTINA SERV. AGRICOLAS S.RSAN PABLO 14"/>
    <x v="424"/>
    <n v="24307046.09"/>
    <x v="70"/>
    <x v="2"/>
    <s v="pagado"/>
    <s v="pagado"/>
    <x v="0"/>
  </r>
  <r>
    <n v="3000002680"/>
    <d v="2025-05-27T00:00:00"/>
    <n v="14695554.199999999"/>
    <s v="SAUCE HUACHO SERVICIOS S.R.L MONTEROS 14"/>
    <x v="425"/>
    <n v="14695554.199999999"/>
    <x v="70"/>
    <x v="2"/>
    <s v="pagado"/>
    <s v="pagado"/>
    <x v="0"/>
  </r>
  <r>
    <n v="3000002681"/>
    <d v="2025-05-27T00:00:00"/>
    <n v="20000000"/>
    <s v="ROMERO SERVICIOS S. A. S. ALPACHIRI 14"/>
    <x v="426"/>
    <n v="20000000"/>
    <x v="70"/>
    <x v="2"/>
    <s v="pagado"/>
    <s v="pagado"/>
    <x v="0"/>
  </r>
  <r>
    <n v="3000002681"/>
    <d v="2025-05-27T00:00:00"/>
    <n v="14188889.76"/>
    <s v="ROMERO SERVICIOS S. A. S. ALPACHIRI 14"/>
    <x v="427"/>
    <n v="14188889.76"/>
    <x v="70"/>
    <x v="2"/>
    <s v="pagado"/>
    <s v="pagado"/>
    <x v="0"/>
  </r>
  <r>
    <n v="3000002682"/>
    <d v="2025-05-27T00:00:00"/>
    <n v="3000000"/>
    <s v="MG SERVICIOS AGROPECUARIOS SASTAFI VIEJO 14"/>
    <x v="428"/>
    <n v="3000000"/>
    <x v="70"/>
    <x v="1"/>
    <s v="pagado"/>
    <s v="pagado"/>
    <x v="0"/>
  </r>
  <r>
    <n v="3000002682"/>
    <d v="2025-05-27T00:00:00"/>
    <n v="4000000"/>
    <s v="MG SERVICIOS AGROPECUARIOS SASTAFI VIEJO 14"/>
    <x v="429"/>
    <n v="4000000"/>
    <x v="70"/>
    <x v="1"/>
    <s v="pagado"/>
    <s v="pagado"/>
    <x v="0"/>
  </r>
  <r>
    <n v="3000002682"/>
    <d v="2025-05-27T00:00:00"/>
    <n v="7309642.96"/>
    <s v="MG SERVICIOS AGROPECUARIOS SASTAFI VIEJO 14"/>
    <x v="430"/>
    <n v="7309642.96"/>
    <x v="70"/>
    <x v="1"/>
    <s v="pagado"/>
    <s v="pagado"/>
    <x v="0"/>
  </r>
  <r>
    <n v="3000002682"/>
    <d v="2025-05-27T00:00:00"/>
    <n v="12350000"/>
    <s v="MG SERVICIOS AGROPECUARIOS SASTAFI VIEJO 14"/>
    <x v="431"/>
    <n v="12350000"/>
    <x v="70"/>
    <x v="1"/>
    <s v="pagado"/>
    <s v="pagado"/>
    <x v="0"/>
  </r>
  <r>
    <n v="3000002682"/>
    <d v="2025-05-27T00:00:00"/>
    <n v="10000000"/>
    <s v="MG SERVICIOS AGROPECUARIOS SASTAFI VIEJO 14"/>
    <x v="432"/>
    <n v="10000000"/>
    <x v="71"/>
    <x v="1"/>
    <s v="pagado"/>
    <s v="pagado"/>
    <x v="0"/>
  </r>
  <r>
    <n v="3000002682"/>
    <d v="2025-05-27T00:00:00"/>
    <n v="10000000"/>
    <s v="MG SERVICIOS AGROPECUARIOS SASTAFI VIEJO 14"/>
    <x v="433"/>
    <n v="10000000"/>
    <x v="71"/>
    <x v="1"/>
    <s v="pagado"/>
    <s v="pagado"/>
    <x v="0"/>
  </r>
  <r>
    <n v="3000002682"/>
    <d v="2025-05-27T00:00:00"/>
    <n v="10000000"/>
    <s v="MG SERVICIOS AGROPECUARIOS SASTAFI VIEJO 14"/>
    <x v="434"/>
    <n v="10000000"/>
    <x v="71"/>
    <x v="1"/>
    <s v="pagado"/>
    <s v="pagado"/>
    <x v="0"/>
  </r>
  <r>
    <n v="3000002682"/>
    <d v="2025-05-27T00:00:00"/>
    <n v="10000000"/>
    <s v="MG SERVICIOS AGROPECUARIOS SASTAFI VIEJO 14"/>
    <x v="435"/>
    <n v="10000000"/>
    <x v="71"/>
    <x v="1"/>
    <s v="pagado"/>
    <s v="pagado"/>
    <x v="0"/>
  </r>
  <r>
    <n v="3000002726"/>
    <d v="2025-05-28T00:00:00"/>
    <n v="6077320.2599999998"/>
    <s v="FERNANDEZ HECTOR JOSE SIMOCA 14"/>
    <x v="436"/>
    <n v="6077320.2599999998"/>
    <x v="71"/>
    <x v="2"/>
    <s v="pagado"/>
    <s v="pagado"/>
    <x v="0"/>
  </r>
  <r>
    <n v="3000002727"/>
    <d v="2025-05-28T00:00:00"/>
    <n v="11194514.039999999"/>
    <s v="D´ANDREA SERGIO FRANCISCO YERBA BUENA 14"/>
    <x v="437"/>
    <n v="11194514.039999999"/>
    <x v="71"/>
    <x v="2"/>
    <s v="pagado"/>
    <s v="pagado"/>
    <x v="0"/>
  </r>
  <r>
    <n v="3000002715"/>
    <d v="2025-05-28T00:00:00"/>
    <n v="19200000"/>
    <s v="NAVATUC IND. METALURGICAS S.R.LASTENIA 14"/>
    <x v="438"/>
    <n v="19200000"/>
    <x v="70"/>
    <x v="2"/>
    <s v="pagado"/>
    <s v="pagado"/>
    <x v="0"/>
  </r>
  <r>
    <n v="3000002715"/>
    <d v="2025-05-28T00:00:00"/>
    <n v="19112616.789999999"/>
    <s v="NAVATUC IND. METALURGICAS S.R.LASTENIA 14"/>
    <x v="439"/>
    <n v="19112616.789999999"/>
    <x v="72"/>
    <x v="2"/>
    <s v="pagado"/>
    <s v="pagado"/>
    <x v="0"/>
  </r>
  <r>
    <n v="3000002719"/>
    <d v="2025-05-28T00:00:00"/>
    <n v="20000000"/>
    <s v="TRANSPORTE FRIOS DEL NORTE S.RSAN MIGUEL DE TUCUMAN 14"/>
    <x v="440"/>
    <n v="20000000"/>
    <x v="71"/>
    <x v="2"/>
    <s v="pagado"/>
    <s v="pagado"/>
    <x v="0"/>
  </r>
  <r>
    <n v="3000002719"/>
    <d v="2025-05-28T00:00:00"/>
    <n v="12750498.57"/>
    <s v="TRANSPORTE FRIOS DEL NORTE S.RSAN MIGUEL DE TUCUMAN 14"/>
    <x v="441"/>
    <n v="12750498.57"/>
    <x v="73"/>
    <x v="2"/>
    <s v="pagado"/>
    <s v="pagado"/>
    <x v="0"/>
  </r>
  <r>
    <n v="3000002722"/>
    <d v="2025-05-28T00:00:00"/>
    <n v="25000000"/>
    <s v="CAPETTA ANTONELLA ANAHI SAN MIGUEL DE TUCUMAN 14"/>
    <x v="442"/>
    <n v="25000000"/>
    <x v="71"/>
    <x v="2"/>
    <s v="pagado"/>
    <s v="pagado"/>
    <x v="0"/>
  </r>
  <r>
    <n v="3000002722"/>
    <d v="2025-05-28T00:00:00"/>
    <n v="20210584.18"/>
    <s v="CAPETTA ANTONELLA ANAHI SAN MIGUEL DE TUCUMAN 14"/>
    <x v="443"/>
    <n v="20210584.18"/>
    <x v="73"/>
    <x v="2"/>
    <s v="pagado"/>
    <s v="pagado"/>
    <x v="0"/>
  </r>
  <r>
    <n v="3000002718"/>
    <d v="2025-05-28T00:00:00"/>
    <n v="4000351.91"/>
    <s v="Transporte CDC S.A. CAPITAL FEDERAL 00"/>
    <x v="444"/>
    <n v="4000351.91"/>
    <x v="71"/>
    <x v="2"/>
    <s v="pagado"/>
    <s v="pagado"/>
    <x v="0"/>
  </r>
  <r>
    <n v="3000002720"/>
    <d v="2025-05-28T00:00:00"/>
    <n v="14064999.18"/>
    <s v="RL SOLUCIONES S. A. S. SAN MIGUEL DE TUCUMAN 14"/>
    <x v="445"/>
    <n v="14064999.18"/>
    <x v="71"/>
    <x v="2"/>
    <s v="pagado"/>
    <s v="pagado"/>
    <x v="0"/>
  </r>
  <r>
    <n v="3000002721"/>
    <d v="2025-05-28T00:00:00"/>
    <n v="10221937.060000001"/>
    <s v="JACQUET NORBERTO SALVADOR SAN JOSE 05"/>
    <x v="446"/>
    <n v="10221937.060000001"/>
    <x v="71"/>
    <x v="2"/>
    <s v="pagado"/>
    <s v="pagado"/>
    <x v="0"/>
  </r>
  <r>
    <n v="3000002723"/>
    <d v="2025-05-28T00:00:00"/>
    <n v="4930812.3499999996"/>
    <s v="PERATO LUIS ALBERTO BANDA DEL RIO SALI 14"/>
    <x v="447"/>
    <n v="4930812.3499999996"/>
    <x v="71"/>
    <x v="2"/>
    <s v="pagado"/>
    <s v="pagado"/>
    <x v="0"/>
  </r>
  <r>
    <n v="3000002724"/>
    <d v="2025-05-28T00:00:00"/>
    <n v="5945997.5300000003"/>
    <s v="MOREY SERGIO GUILLERMO LOS GUTIERREZ-ALDERETES 14"/>
    <x v="448"/>
    <n v="5945997.5300000003"/>
    <x v="71"/>
    <x v="2"/>
    <s v="pagado"/>
    <s v="pagado"/>
    <x v="0"/>
  </r>
  <r>
    <n v="3000002725"/>
    <d v="2025-05-28T00:00:00"/>
    <n v="5200719.67"/>
    <s v="HERRERA RICARDO ALBERTO BANDA DEL RIO SALI 14"/>
    <x v="449"/>
    <n v="5200719.67"/>
    <x v="71"/>
    <x v="2"/>
    <s v="pagado"/>
    <s v="pagado"/>
    <x v="0"/>
  </r>
  <r>
    <n v="3000002806"/>
    <d v="2025-06-02T00:00:00"/>
    <n v="15000000"/>
    <s v="MURATO CONSTRUCCIONES S.R.L YERBA BUENA 14"/>
    <x v="450"/>
    <n v="15000000"/>
    <x v="74"/>
    <x v="2"/>
    <s v="pagado"/>
    <s v="pagado"/>
    <x v="0"/>
  </r>
  <r>
    <n v="3000002806"/>
    <d v="2025-06-02T00:00:00"/>
    <n v="15000000"/>
    <s v="MURATO CONSTRUCCIONES S.R.L YERBA BUENA 14"/>
    <x v="451"/>
    <n v="15000000"/>
    <x v="74"/>
    <x v="2"/>
    <s v="pagado"/>
    <s v="pagado"/>
    <x v="0"/>
  </r>
  <r>
    <n v="3000002806"/>
    <d v="2025-06-02T00:00:00"/>
    <n v="11500244.5"/>
    <s v="MURATO CONSTRUCCIONES S.R.L YERBA BUENA 14"/>
    <x v="452"/>
    <n v="11500244.5"/>
    <x v="75"/>
    <x v="2"/>
    <s v="pagado"/>
    <s v="pagado"/>
    <x v="0"/>
  </r>
  <r>
    <n v="3000002811"/>
    <d v="2025-06-02T00:00:00"/>
    <n v="22000000"/>
    <s v="PAMPLONA SRL SAN MIGUEL DE TUCUMAN 14"/>
    <x v="453"/>
    <n v="22000000"/>
    <x v="76"/>
    <x v="2"/>
    <s v="pagado"/>
    <s v="pagado"/>
    <x v="0"/>
  </r>
  <r>
    <n v="3000002811"/>
    <d v="2025-06-02T00:00:00"/>
    <n v="20668509.609999999"/>
    <s v="PAMPLONA SRL SAN MIGUEL DE TUCUMAN 14"/>
    <x v="454"/>
    <n v="20668509.609999999"/>
    <x v="74"/>
    <x v="2"/>
    <s v="pagado"/>
    <s v="pagado"/>
    <x v="0"/>
  </r>
  <r>
    <n v="3000002805"/>
    <d v="2025-06-02T00:00:00"/>
    <n v="9740054.5500000007"/>
    <s v="Servicom Group S.A. CAPITAL FEDERAL 00"/>
    <x v="455"/>
    <n v="9740054.5500000007"/>
    <x v="74"/>
    <x v="2"/>
    <s v="pagado"/>
    <s v="pagado"/>
    <x v="0"/>
  </r>
  <r>
    <n v="3000002807"/>
    <d v="2025-06-02T00:00:00"/>
    <n v="8267414.4100000001"/>
    <s v="ACOSTA ROQUE RAMON SAN MIGUEL DE TUCUMAN 14"/>
    <x v="456"/>
    <n v="8267414.4100000001"/>
    <x v="74"/>
    <x v="2"/>
    <s v="pagado"/>
    <s v="pagado"/>
    <x v="0"/>
  </r>
  <r>
    <n v="3000002808"/>
    <d v="2025-06-02T00:00:00"/>
    <n v="4387794.96"/>
    <s v="SUAREZ MANUEL RODOLFO ALDERETES 14"/>
    <x v="457"/>
    <n v="4387794.96"/>
    <x v="74"/>
    <x v="2"/>
    <s v="pagado"/>
    <s v="pagado"/>
    <x v="0"/>
  </r>
  <r>
    <n v="3000002809"/>
    <d v="2025-06-02T00:00:00"/>
    <n v="4178097.48"/>
    <s v="Sanchez Jose Mauricio San Miguel de Tucuman 14"/>
    <x v="458"/>
    <n v="4178097.48"/>
    <x v="74"/>
    <x v="2"/>
    <s v="pagado"/>
    <s v="pagado"/>
    <x v="0"/>
  </r>
  <r>
    <n v="3000002810"/>
    <d v="2025-06-02T00:00:00"/>
    <n v="5700497.5999999996"/>
    <s v="CORTEZ CHRISTIE ANA INES YERBA BUENA 14"/>
    <x v="459"/>
    <n v="5700497.5999999996"/>
    <x v="74"/>
    <x v="2"/>
    <s v="pagado"/>
    <s v="pagado"/>
    <x v="0"/>
  </r>
  <r>
    <n v="3000002827"/>
    <d v="2025-06-03T00:00:00"/>
    <n v="10296886"/>
    <s v="INSITU S.R.L SAN MIGUEL DE TUCUMAN 14"/>
    <x v="460"/>
    <n v="10296886"/>
    <x v="74"/>
    <x v="2"/>
    <s v="pagado"/>
    <s v="pagado"/>
    <x v="0"/>
  </r>
  <r>
    <n v="3000002804"/>
    <d v="2025-06-02T00:00:00"/>
    <n v="3094360"/>
    <s v="EDET S.A. SAN MIGUEL DE TUCUMAN 14"/>
    <x v="461"/>
    <n v="3094360"/>
    <x v="77"/>
    <x v="1"/>
    <s v="pagado"/>
    <s v="pagado"/>
    <x v="0"/>
  </r>
  <r>
    <n v="3000002826"/>
    <d v="2025-06-03T00:00:00"/>
    <n v="2257247.9300000002"/>
    <s v="TRANSPORTE MEDINA S.H. CRUZ ALTA 14"/>
    <x v="462"/>
    <n v="2257247.9300000002"/>
    <x v="74"/>
    <x v="1"/>
    <s v="pagado"/>
    <s v="pagado"/>
    <x v="0"/>
  </r>
  <r>
    <n v="3000002855"/>
    <d v="2025-06-04T00:00:00"/>
    <n v="2958892.92"/>
    <s v="BARBARISI JUAREZ PABLO EMANUELSAN JUAN 10"/>
    <x v="463"/>
    <n v="2958892.92"/>
    <x v="75"/>
    <x v="2"/>
    <s v="pagado"/>
    <s v="pagado"/>
    <x v="0"/>
  </r>
  <r>
    <n v="3000002856"/>
    <d v="2025-06-04T00:00:00"/>
    <n v="7986987.4299999997"/>
    <s v="JACQUET NORBERTO SALVADOR SAN JOSE 05"/>
    <x v="464"/>
    <n v="7986987.4299999997"/>
    <x v="75"/>
    <x v="2"/>
    <s v="pagado"/>
    <s v="pagado"/>
    <x v="0"/>
  </r>
  <r>
    <n v="3000002857"/>
    <d v="2025-06-04T00:00:00"/>
    <n v="7018095.9199999999"/>
    <s v="TRANSPORTE FRIOS DEL NORTE S.RSAN MIGUEL DE TUCUMAN 14"/>
    <x v="465"/>
    <n v="7018095.9199999999"/>
    <x v="75"/>
    <x v="2"/>
    <s v="pagado"/>
    <s v="pagado"/>
    <x v="0"/>
  </r>
  <r>
    <n v="3000002858"/>
    <d v="2025-06-04T00:00:00"/>
    <n v="4018981.05"/>
    <s v="MAC DONALD MIGUEL ALEJANDRO BANDA DEL RIO SALI 14"/>
    <x v="466"/>
    <n v="4018981.05"/>
    <x v="75"/>
    <x v="2"/>
    <s v="pagado"/>
    <s v="pagado"/>
    <x v="0"/>
  </r>
  <r>
    <n v="3000002859"/>
    <d v="2025-06-04T00:00:00"/>
    <n v="8054729.7400000002"/>
    <s v="RL SOLUCIONES S. A. S. SAN MIGUEL DE TUCUMAN 14"/>
    <x v="467"/>
    <n v="8054729.7400000002"/>
    <x v="75"/>
    <x v="2"/>
    <s v="pagado"/>
    <s v="pagado"/>
    <x v="0"/>
  </r>
  <r>
    <n v="3000002860"/>
    <d v="2025-06-04T00:00:00"/>
    <n v="28238867.920000002"/>
    <s v="LATCOMEX SA CAPITAL FEDERAL 00"/>
    <x v="468"/>
    <n v="28238867.920000002"/>
    <x v="75"/>
    <x v="2"/>
    <s v="pagado"/>
    <s v="pagado"/>
    <x v="0"/>
  </r>
  <r>
    <n v="3000002861"/>
    <d v="2025-06-04T00:00:00"/>
    <n v="2122166.35"/>
    <s v="Southatlantic Maritime S.A. BUENOS AIRES 01"/>
    <x v="469"/>
    <n v="2122166.35"/>
    <x v="75"/>
    <x v="2"/>
    <s v="pagado"/>
    <s v="pagado"/>
    <x v="0"/>
  </r>
  <r>
    <n v="3000002862"/>
    <d v="2025-06-04T00:00:00"/>
    <n v="7230530.2599999998"/>
    <s v="ALVAREZ RENE JOSE MARIA BELLA VISTA 14"/>
    <x v="470"/>
    <n v="7230530.2599999998"/>
    <x v="75"/>
    <x v="2"/>
    <s v="pagado"/>
    <s v="pagado"/>
    <x v="0"/>
  </r>
  <r>
    <n v="3000002863"/>
    <d v="2025-06-04T00:00:00"/>
    <n v="2500204.92"/>
    <s v="BESTANI LEANDRO EXEQUIEL SAN MIGUEL DE TUCUMAN 14"/>
    <x v="471"/>
    <n v="2500204.92"/>
    <x v="75"/>
    <x v="2"/>
    <s v="pagado"/>
    <s v="pagado"/>
    <x v="0"/>
  </r>
  <r>
    <n v="3000002864"/>
    <d v="2025-06-04T00:00:00"/>
    <n v="2402209.67"/>
    <s v="Alcoba Luareano Arnaldo Concepcion 14"/>
    <x v="472"/>
    <n v="2402209.67"/>
    <x v="75"/>
    <x v="2"/>
    <s v="pagado"/>
    <s v="pagado"/>
    <x v="0"/>
  </r>
  <r>
    <n v="3000002865"/>
    <d v="2025-06-04T00:00:00"/>
    <n v="6105815.0300000003"/>
    <s v="TRANSPORTE MARIANITA S.R.L SAN MIGUEL DE TUCUMAN 14"/>
    <x v="473"/>
    <n v="6105815.0300000003"/>
    <x v="75"/>
    <x v="2"/>
    <s v="pagado"/>
    <s v="pagado"/>
    <x v="0"/>
  </r>
  <r>
    <n v="3000002866"/>
    <d v="2025-06-04T00:00:00"/>
    <n v="2437827.3199999998"/>
    <s v="GEREZ ALICIA ELEUTERIA SAN MIGUEL DE TUCUMAN 14"/>
    <x v="474"/>
    <n v="2437827.3199999998"/>
    <x v="75"/>
    <x v="2"/>
    <s v="pagado"/>
    <s v="pagado"/>
    <x v="0"/>
  </r>
  <r>
    <n v="3000002867"/>
    <d v="2025-06-04T00:00:00"/>
    <n v="3003338.5"/>
    <s v="Pedro Angel Michael Alderetes 14"/>
    <x v="475"/>
    <n v="3003338.5"/>
    <x v="75"/>
    <x v="2"/>
    <s v="pagado"/>
    <s v="pagado"/>
    <x v="0"/>
  </r>
  <r>
    <n v="3000002868"/>
    <d v="2025-06-04T00:00:00"/>
    <n v="3258808.3"/>
    <s v="PAEZ ANDRES ALEXIS MACIO 14"/>
    <x v="476"/>
    <n v="3258808.3"/>
    <x v="75"/>
    <x v="2"/>
    <s v="pagado"/>
    <s v="pagado"/>
    <x v="0"/>
  </r>
  <r>
    <n v="3000002869"/>
    <d v="2025-06-04T00:00:00"/>
    <n v="3158687.5"/>
    <s v="TORRES JUAN RAMON ALDERETES 14"/>
    <x v="477"/>
    <n v="3158687.5"/>
    <x v="75"/>
    <x v="2"/>
    <s v="pagado"/>
    <s v="pagado"/>
    <x v="0"/>
  </r>
  <r>
    <n v="3000002870"/>
    <d v="2025-06-04T00:00:00"/>
    <n v="5640600.9299999997"/>
    <s v="VIDES GUSTAVO ENRIQUE LA TRINIDAD 14"/>
    <x v="478"/>
    <n v="5640600.9299999997"/>
    <x v="75"/>
    <x v="2"/>
    <s v="pagado"/>
    <s v="pagado"/>
    <x v="0"/>
  </r>
  <r>
    <n v="3000002968"/>
    <d v="2025-06-09T00:00:00"/>
    <n v="1911957"/>
    <s v="MG SERVICIOS AGROPECUARIOS SASTAFI VIEJO 14"/>
    <x v="479"/>
    <n v="1911957"/>
    <x v="78"/>
    <x v="2"/>
    <s v="pagado"/>
    <s v="pagado"/>
    <x v="0"/>
  </r>
  <r>
    <n v="3000002968"/>
    <d v="2025-06-09T00:00:00"/>
    <n v="1111712"/>
    <s v="MG SERVICIOS AGROPECUARIOS SASTAFI VIEJO 14"/>
    <x v="480"/>
    <n v="1111712"/>
    <x v="78"/>
    <x v="2"/>
    <s v="pagado"/>
    <s v="pagado"/>
    <x v="0"/>
  </r>
  <r>
    <n v="3000002968"/>
    <d v="2025-06-09T00:00:00"/>
    <n v="1805529"/>
    <s v="MG SERVICIOS AGROPECUARIOS SASTAFI VIEJO 14"/>
    <x v="481"/>
    <n v="1805529"/>
    <x v="78"/>
    <x v="2"/>
    <s v="pagado"/>
    <s v="pagado"/>
    <x v="0"/>
  </r>
  <r>
    <n v="3000002968"/>
    <d v="2025-06-09T00:00:00"/>
    <n v="1856299"/>
    <s v="MG SERVICIOS AGROPECUARIOS SASTAFI VIEJO 14"/>
    <x v="482"/>
    <n v="1856299"/>
    <x v="78"/>
    <x v="2"/>
    <s v="pagado"/>
    <s v="pagado"/>
    <x v="0"/>
  </r>
  <r>
    <n v="3000002968"/>
    <d v="2025-06-09T00:00:00"/>
    <n v="8377145"/>
    <s v="MG SERVICIOS AGROPECUARIOS SASTAFI VIEJO 14"/>
    <x v="483"/>
    <n v="8377145"/>
    <x v="78"/>
    <x v="2"/>
    <s v="pagado"/>
    <s v="pagado"/>
    <x v="0"/>
  </r>
  <r>
    <n v="3000002968"/>
    <d v="2025-06-09T00:00:00"/>
    <n v="4329071"/>
    <s v="MG SERVICIOS AGROPECUARIOS SASTAFI VIEJO 14"/>
    <x v="484"/>
    <n v="4329071"/>
    <x v="78"/>
    <x v="2"/>
    <s v="pagado"/>
    <s v="pagado"/>
    <x v="0"/>
  </r>
  <r>
    <n v="3000002968"/>
    <d v="2025-06-09T00:00:00"/>
    <n v="6150000"/>
    <s v="MG SERVICIOS AGROPECUARIOS SASTAFI VIEJO 14"/>
    <x v="485"/>
    <n v="6150000"/>
    <x v="78"/>
    <x v="2"/>
    <s v="pagado"/>
    <s v="pagado"/>
    <x v="0"/>
  </r>
  <r>
    <n v="3000002968"/>
    <d v="2025-06-09T00:00:00"/>
    <n v="1530610"/>
    <s v="MG SERVICIOS AGROPECUARIOS SASTAFI VIEJO 14"/>
    <x v="486"/>
    <n v="1530610"/>
    <x v="78"/>
    <x v="2"/>
    <s v="pagado"/>
    <s v="pagado"/>
    <x v="0"/>
  </r>
  <r>
    <n v="3000002968"/>
    <d v="2025-06-09T00:00:00"/>
    <n v="2555000"/>
    <s v="MG SERVICIOS AGROPECUARIOS SASTAFI VIEJO 14"/>
    <x v="487"/>
    <n v="2555000"/>
    <x v="78"/>
    <x v="2"/>
    <s v="pagado"/>
    <s v="pagado"/>
    <x v="0"/>
  </r>
  <r>
    <n v="3000002968"/>
    <d v="2025-06-09T00:00:00"/>
    <n v="3354900"/>
    <s v="MG SERVICIOS AGROPECUARIOS SASTAFI VIEJO 14"/>
    <x v="488"/>
    <n v="3354900"/>
    <x v="78"/>
    <x v="2"/>
    <s v="pagado"/>
    <s v="pagado"/>
    <x v="0"/>
  </r>
  <r>
    <n v="3000002968"/>
    <d v="2025-06-09T00:00:00"/>
    <n v="7000000"/>
    <s v="MG SERVICIOS AGROPECUARIOS SASTAFI VIEJO 14"/>
    <x v="489"/>
    <n v="7000000"/>
    <x v="78"/>
    <x v="2"/>
    <s v="pagado"/>
    <s v="pagado"/>
    <x v="0"/>
  </r>
  <r>
    <n v="3000002968"/>
    <d v="2025-06-09T00:00:00"/>
    <n v="4832639"/>
    <s v="MG SERVICIOS AGROPECUARIOS SASTAFI VIEJO 14"/>
    <x v="490"/>
    <n v="4832639"/>
    <x v="78"/>
    <x v="2"/>
    <s v="pagado"/>
    <s v="pagado"/>
    <x v="0"/>
  </r>
  <r>
    <n v="3000002969"/>
    <d v="2025-06-09T00:00:00"/>
    <n v="10000000"/>
    <s v="Verde y Sol S.R.L. SAN MIGUEL DE TUCUMAN 14"/>
    <x v="491"/>
    <n v="10000000"/>
    <x v="78"/>
    <x v="2"/>
    <s v="pagado"/>
    <s v="pagado"/>
    <x v="0"/>
  </r>
  <r>
    <n v="3000002969"/>
    <d v="2025-06-09T00:00:00"/>
    <n v="11377284.92"/>
    <s v="Verde y Sol S.R.L. SAN MIGUEL DE TUCUMAN 14"/>
    <x v="492"/>
    <n v="11377284.92"/>
    <x v="79"/>
    <x v="2"/>
    <s v="pagado"/>
    <s v="pagado"/>
    <x v="0"/>
  </r>
  <r>
    <n v="3000002970"/>
    <d v="2025-06-09T00:00:00"/>
    <n v="15000000"/>
    <s v="NOBEN SRL SAN MIGUEL DE TUCUMAN 14"/>
    <x v="493"/>
    <n v="15000000"/>
    <x v="78"/>
    <x v="2"/>
    <s v="pagado"/>
    <s v="pagado"/>
    <x v="0"/>
  </r>
  <r>
    <n v="3000002970"/>
    <d v="2025-06-09T00:00:00"/>
    <n v="14192776.15"/>
    <s v="NOBEN SRL SAN MIGUEL DE TUCUMAN 14"/>
    <x v="494"/>
    <n v="14192776.15"/>
    <x v="79"/>
    <x v="2"/>
    <s v="pagado"/>
    <s v="pagado"/>
    <x v="0"/>
  </r>
  <r>
    <n v="3000002971"/>
    <d v="2025-06-09T00:00:00"/>
    <n v="17000000"/>
    <s v="TRUSARELLI CARLOS ALBERTO BANDA DEL RIO SALI 14"/>
    <x v="495"/>
    <n v="17000000"/>
    <x v="78"/>
    <x v="2"/>
    <s v="pagado"/>
    <s v="pagado"/>
    <x v="0"/>
  </r>
  <r>
    <n v="3000002971"/>
    <d v="2025-06-09T00:00:00"/>
    <n v="17845578.190000001"/>
    <s v="TRUSARELLI CARLOS ALBERTO BANDA DEL RIO SALI 14"/>
    <x v="496"/>
    <n v="17845578.190000001"/>
    <x v="79"/>
    <x v="2"/>
    <s v="pagado"/>
    <s v="pagado"/>
    <x v="0"/>
  </r>
  <r>
    <n v="3000002972"/>
    <d v="2025-06-09T00:00:00"/>
    <n v="11000000"/>
    <s v="PAMPLONA SRL SAN MIGUEL DE TUCUMAN 14"/>
    <x v="497"/>
    <n v="11000000"/>
    <x v="78"/>
    <x v="2"/>
    <s v="pagado"/>
    <s v="pagado"/>
    <x v="0"/>
  </r>
  <r>
    <n v="3000002972"/>
    <d v="2025-06-09T00:00:00"/>
    <n v="11086105.07"/>
    <s v="PAMPLONA SRL SAN MIGUEL DE TUCUMAN 14"/>
    <x v="498"/>
    <n v="11086105.07"/>
    <x v="79"/>
    <x v="2"/>
    <s v="pagado"/>
    <s v="pagado"/>
    <x v="0"/>
  </r>
  <r>
    <n v="3000002967"/>
    <d v="2025-06-09T00:00:00"/>
    <n v="5730784.9699999997"/>
    <s v="Servicom Group S.A. CAPITAL FEDERAL 00"/>
    <x v="499"/>
    <n v="5730784.9699999997"/>
    <x v="78"/>
    <x v="2"/>
    <s v="pagado"/>
    <s v="pagado"/>
    <x v="0"/>
  </r>
  <r>
    <n v="3000002973"/>
    <d v="2025-06-09T00:00:00"/>
    <n v="4316064.2"/>
    <s v="INSITU S.R.L SAN MIGUEL DE TUCUMAN 14"/>
    <x v="500"/>
    <n v="4316064.2"/>
    <x v="78"/>
    <x v="2"/>
    <s v="pagado"/>
    <s v="pagado"/>
    <x v="0"/>
  </r>
  <r>
    <n v="3000002974"/>
    <d v="2025-06-09T00:00:00"/>
    <n v="12294522.08"/>
    <s v="CAMPOAGRO SRL YERBA BUENA 14"/>
    <x v="501"/>
    <n v="12294522.08"/>
    <x v="78"/>
    <x v="2"/>
    <s v="pagado"/>
    <s v="pagado"/>
    <x v="0"/>
  </r>
  <r>
    <n v="3000002975"/>
    <d v="2025-06-09T00:00:00"/>
    <n v="7947151"/>
    <s v="SANTEX S. A. LOS NOGALES 14"/>
    <x v="502"/>
    <n v="7947151"/>
    <x v="79"/>
    <x v="2"/>
    <s v="pagado"/>
    <s v="pagado"/>
    <x v="0"/>
  </r>
  <r>
    <n v="3000002976"/>
    <d v="2025-06-09T00:00:00"/>
    <n v="4434292.0999999996"/>
    <s v="ADLER HASENCLEVER Y ASOCIADOS BUENOS AIRES 01"/>
    <x v="503"/>
    <n v="4434292.0999999996"/>
    <x v="79"/>
    <x v="2"/>
    <s v="pagado"/>
    <s v="pagado"/>
    <x v="0"/>
  </r>
  <r>
    <n v="3000003019"/>
    <d v="2025-06-10T00:00:00"/>
    <n v="22000000"/>
    <s v="PAMPLONA SRL SAN MIGUEL DE TUCUMAN 14"/>
    <x v="504"/>
    <n v="22000000"/>
    <x v="79"/>
    <x v="2"/>
    <s v="pagado"/>
    <s v="pagado"/>
    <x v="0"/>
  </r>
  <r>
    <n v="3000003019"/>
    <d v="2025-06-10T00:00:00"/>
    <n v="20941125.5"/>
    <s v="PAMPLONA SRL SAN MIGUEL DE TUCUMAN 14"/>
    <x v="505"/>
    <n v="20941125.5"/>
    <x v="80"/>
    <x v="2"/>
    <s v="pagado"/>
    <s v="pagado"/>
    <x v="0"/>
  </r>
  <r>
    <n v="3000003020"/>
    <d v="2025-06-10T00:00:00"/>
    <n v="20000000"/>
    <s v="ROMERO SERVICIOS S. A. S. ALPACHIRI 14"/>
    <x v="506"/>
    <n v="20000000"/>
    <x v="79"/>
    <x v="2"/>
    <s v="pagado"/>
    <s v="pagado"/>
    <x v="0"/>
  </r>
  <r>
    <n v="3000003020"/>
    <d v="2025-06-10T00:00:00"/>
    <n v="18021035.59"/>
    <s v="ROMERO SERVICIOS S. A. S. ALPACHIRI 14"/>
    <x v="507"/>
    <n v="18021035.59"/>
    <x v="80"/>
    <x v="2"/>
    <s v="pagado"/>
    <s v="pagado"/>
    <x v="0"/>
  </r>
  <r>
    <n v="3000003021"/>
    <d v="2025-06-10T00:00:00"/>
    <n v="19774783.579999998"/>
    <s v="SAUCE HUACHO SERVICIOS S.R.L MONTEROS 14"/>
    <x v="508"/>
    <n v="19774783.579999998"/>
    <x v="79"/>
    <x v="2"/>
    <s v="pagado"/>
    <s v="pagado"/>
    <x v="0"/>
  </r>
  <r>
    <n v="3000003045"/>
    <d v="2025-06-11T00:00:00"/>
    <n v="7391148.2000000002"/>
    <s v="FERNANDEZ HECTOR JOSE SIMOCA 14"/>
    <x v="509"/>
    <n v="7391148.2000000002"/>
    <x v="81"/>
    <x v="2"/>
    <s v="pagado"/>
    <s v="pagado"/>
    <x v="0"/>
  </r>
  <r>
    <n v="3000003046"/>
    <d v="2025-06-11T00:00:00"/>
    <n v="4232024.63"/>
    <s v="JACQUET NORBERTO SALVADOR SAN JOSE 05"/>
    <x v="510"/>
    <n v="4232024.63"/>
    <x v="81"/>
    <x v="2"/>
    <s v="pagado"/>
    <s v="pagado"/>
    <x v="0"/>
  </r>
  <r>
    <n v="3000003047"/>
    <d v="2025-06-11T00:00:00"/>
    <n v="4018813.13"/>
    <s v="MAC DONALD MIGUEL ALEJANDRO BANDA DEL RIO SALI 14"/>
    <x v="511"/>
    <n v="4018813.13"/>
    <x v="81"/>
    <x v="2"/>
    <s v="pagado"/>
    <s v="pagado"/>
    <x v="0"/>
  </r>
  <r>
    <n v="3000003048"/>
    <d v="2025-06-11T00:00:00"/>
    <n v="36245528.310000002"/>
    <s v="CAPETTA ANTONELLA ANAHI SAN MIGUEL DE TUCUMAN 14"/>
    <x v="512"/>
    <n v="36245528.310000002"/>
    <x v="81"/>
    <x v="2"/>
    <s v="pagado"/>
    <s v="pagado"/>
    <x v="0"/>
  </r>
  <r>
    <n v="3000003049"/>
    <d v="2025-06-11T00:00:00"/>
    <n v="3990443.34"/>
    <s v="VILLAGRA VELEZ ROQUE RICARDO SAN MIGUEL DE TUCUMAN 14"/>
    <x v="513"/>
    <n v="3990443.34"/>
    <x v="81"/>
    <x v="2"/>
    <s v="pagado"/>
    <s v="pagado"/>
    <x v="0"/>
  </r>
  <r>
    <n v="3000003050"/>
    <d v="2025-06-11T00:00:00"/>
    <n v="20256723.109999999"/>
    <s v="RL SOLUCIONES S. A. S. SAN MIGUEL DE TUCUMAN 14"/>
    <x v="514"/>
    <n v="20256723.109999999"/>
    <x v="81"/>
    <x v="2"/>
    <s v="pagado"/>
    <s v="pagado"/>
    <x v="0"/>
  </r>
  <r>
    <n v="3000003051"/>
    <d v="2025-06-11T00:00:00"/>
    <n v="11371273.550000001"/>
    <s v="Terminal 4 S.A. Puerto Nuevo 01"/>
    <x v="515"/>
    <n v="11371273.550000001"/>
    <x v="81"/>
    <x v="2"/>
    <s v="pagado"/>
    <s v="pagado"/>
    <x v="0"/>
  </r>
  <r>
    <n v="3000003052"/>
    <d v="2025-06-11T00:00:00"/>
    <n v="24563659.02"/>
    <s v="Vaquera Francisco Alfredo Monteros 14"/>
    <x v="516"/>
    <n v="24563659.02"/>
    <x v="81"/>
    <x v="2"/>
    <s v="pagado"/>
    <s v="pagado"/>
    <x v="0"/>
  </r>
  <r>
    <n v="3000003053"/>
    <d v="2025-06-11T00:00:00"/>
    <n v="11023782"/>
    <s v="PERATO CRISTIAN LUIS BANDA DEL RIO SALI 14"/>
    <x v="517"/>
    <n v="11023782"/>
    <x v="81"/>
    <x v="2"/>
    <s v="pagado"/>
    <s v="pagado"/>
    <x v="0"/>
  </r>
  <r>
    <n v="3000003054"/>
    <d v="2025-06-11T00:00:00"/>
    <n v="9357237.3200000003"/>
    <s v="TRANSPORTE FRIOS DEL NORTE S.RSAN MIGUEL DE TUCUMAN 14"/>
    <x v="518"/>
    <n v="9357237.3200000003"/>
    <x v="81"/>
    <x v="2"/>
    <s v="pagado"/>
    <s v="pagado"/>
    <x v="0"/>
  </r>
  <r>
    <n v="3000003096"/>
    <d v="2025-06-12T00:00:00"/>
    <n v="1600000"/>
    <s v=". Tucumán"/>
    <x v="519"/>
    <n v="1600000"/>
    <x v="80"/>
    <x v="1"/>
    <s v="pagado"/>
    <s v="pagado"/>
    <x v="0"/>
  </r>
  <r>
    <n v="3000003144"/>
    <d v="2025-06-13T00:00:00"/>
    <n v="3409708.93"/>
    <s v="GEREZ ALICIA ELEUTERIA SAN MIGUEL DE TUCUMAN 14"/>
    <x v="520"/>
    <n v="3409708.93"/>
    <x v="82"/>
    <x v="2"/>
    <s v="pagado"/>
    <s v="pagado"/>
    <x v="0"/>
  </r>
  <r>
    <n v="3000003145"/>
    <d v="2025-06-13T00:00:00"/>
    <n v="3533592.22"/>
    <s v="SANTILLI CARLOS MIGUEL SAN MIGUEL DE TUCUMAN 14"/>
    <x v="521"/>
    <n v="3533592.22"/>
    <x v="82"/>
    <x v="2"/>
    <s v="pagado"/>
    <s v="pagado"/>
    <x v="0"/>
  </r>
  <r>
    <n v="3000003146"/>
    <d v="2025-06-13T00:00:00"/>
    <n v="31798200"/>
    <s v="LATCOMEX SA CAPITAL FEDERAL 00"/>
    <x v="522"/>
    <n v="31798200"/>
    <x v="82"/>
    <x v="2"/>
    <s v="pagado"/>
    <s v="pagado"/>
    <x v="0"/>
  </r>
  <r>
    <n v="3000003148"/>
    <d v="2025-06-13T00:00:00"/>
    <n v="4851099.5999999996"/>
    <s v="VIDES HECTOR FERNANDO VILLA LA TRINIDAD 14"/>
    <x v="523"/>
    <n v="4851099.5999999996"/>
    <x v="82"/>
    <x v="2"/>
    <s v="pagado"/>
    <s v="pagado"/>
    <x v="0"/>
  </r>
  <r>
    <n v="3000003149"/>
    <d v="2025-06-13T00:00:00"/>
    <n v="4967307.03"/>
    <s v="Sanchez Jose Mauricio San Miguel de Tucuman 14"/>
    <x v="524"/>
    <n v="4967307.03"/>
    <x v="82"/>
    <x v="2"/>
    <s v="pagado"/>
    <s v="pagado"/>
    <x v="0"/>
  </r>
  <r>
    <n v="3000003150"/>
    <d v="2025-06-13T00:00:00"/>
    <n v="3713118.49"/>
    <s v="MOYANO JUAN VICTOR TUCUMAN 14"/>
    <x v="525"/>
    <n v="3713118.49"/>
    <x v="82"/>
    <x v="2"/>
    <s v="pagado"/>
    <s v="pagado"/>
    <x v="0"/>
  </r>
  <r>
    <n v="3000003151"/>
    <d v="2025-06-13T00:00:00"/>
    <n v="3410663.1"/>
    <s v="Racedo Martin MONTEROS 14"/>
    <x v="526"/>
    <n v="3410663.1"/>
    <x v="82"/>
    <x v="2"/>
    <s v="pagado"/>
    <s v="pagado"/>
    <x v="0"/>
  </r>
  <r>
    <n v="3000003152"/>
    <d v="2025-06-13T00:00:00"/>
    <n v="5675483.3499999996"/>
    <s v="PERATO LUIS ALBERTO BANDA DEL RIO SALI 14"/>
    <x v="527"/>
    <n v="5675483.3499999996"/>
    <x v="82"/>
    <x v="2"/>
    <s v="pagado"/>
    <s v="pagado"/>
    <x v="0"/>
  </r>
  <r>
    <n v="3000003153"/>
    <d v="2025-06-13T00:00:00"/>
    <n v="5813690.2999999998"/>
    <s v="GOMEZ JUANA ROSA VILLA LA TRINIDAD 14"/>
    <x v="528"/>
    <n v="5813690.2999999998"/>
    <x v="82"/>
    <x v="2"/>
    <s v="pagado"/>
    <s v="pagado"/>
    <x v="0"/>
  </r>
  <r>
    <n v="3000003154"/>
    <d v="2025-06-13T00:00:00"/>
    <n v="9314352.7899999991"/>
    <s v="ALVAREZ RENE JOSE MARIA BELLA VISTA 14"/>
    <x v="529"/>
    <n v="9314352.7899999991"/>
    <x v="82"/>
    <x v="2"/>
    <s v="pagado"/>
    <s v="pagado"/>
    <x v="0"/>
  </r>
  <r>
    <n v="3000003155"/>
    <d v="2025-06-13T00:00:00"/>
    <n v="7000000"/>
    <s v="MG SERVICIOS AGROPECUARIOS SASTAFI VIEJO 14"/>
    <x v="530"/>
    <n v="7000000"/>
    <x v="82"/>
    <x v="2"/>
    <s v="pagado"/>
    <s v="pagado"/>
    <x v="0"/>
  </r>
  <r>
    <n v="3000003155"/>
    <d v="2025-06-13T00:00:00"/>
    <n v="5000000"/>
    <s v="MG SERVICIOS AGROPECUARIOS SASTAFI VIEJO 14"/>
    <x v="531"/>
    <n v="5000000"/>
    <x v="82"/>
    <x v="2"/>
    <s v="pagado"/>
    <s v="pagado"/>
    <x v="0"/>
  </r>
  <r>
    <n v="3000003155"/>
    <d v="2025-06-13T00:00:00"/>
    <n v="10000000"/>
    <s v="MG SERVICIOS AGROPECUARIOS SASTAFI VIEJO 14"/>
    <x v="532"/>
    <n v="10000000"/>
    <x v="82"/>
    <x v="2"/>
    <s v="pagado"/>
    <s v="pagado"/>
    <x v="0"/>
  </r>
  <r>
    <n v="3000003155"/>
    <d v="2025-06-13T00:00:00"/>
    <n v="30000000"/>
    <s v="MG SERVICIOS AGROPECUARIOS SASTAFI VIEJO 14"/>
    <x v="533"/>
    <n v="30000000"/>
    <x v="82"/>
    <x v="2"/>
    <s v="pagado"/>
    <s v="pagado"/>
    <x v="0"/>
  </r>
  <r>
    <n v="3000003155"/>
    <d v="2025-06-13T00:00:00"/>
    <n v="35678329.469999999"/>
    <s v="MG SERVICIOS AGROPECUARIOS SASTAFI VIEJO 14"/>
    <x v="534"/>
    <n v="35678329.469999999"/>
    <x v="82"/>
    <x v="2"/>
    <s v="pagado"/>
    <s v="pagado"/>
    <x v="0"/>
  </r>
  <r>
    <n v="3000003192"/>
    <d v="2025-06-17T00:00:00"/>
    <n v="4630820.46"/>
    <s v="BESTANI LEANDRO EXEQUIEL SAN MIGUEL DE TUCUMAN 14"/>
    <x v="535"/>
    <n v="4630820.46"/>
    <x v="82"/>
    <x v="0"/>
    <s v="pagado"/>
    <s v="pagado"/>
    <x v="0"/>
  </r>
  <r>
    <n v="3000003193"/>
    <d v="2025-06-17T00:00:00"/>
    <n v="10000000"/>
    <s v="RL SOLUCIONES S. A. S. SAN MIGUEL DE TUCUMAN 14"/>
    <x v="536"/>
    <n v="10000000"/>
    <x v="82"/>
    <x v="0"/>
    <s v="pagado"/>
    <s v="pagado"/>
    <x v="0"/>
  </r>
  <r>
    <n v="3000003193"/>
    <d v="2025-06-17T00:00:00"/>
    <n v="10083327.779999999"/>
    <s v="RL SOLUCIONES S. A. S. SAN MIGUEL DE TUCUMAN 14"/>
    <x v="537"/>
    <n v="10083327.779999999"/>
    <x v="83"/>
    <x v="0"/>
    <s v="pagado"/>
    <s v="pagado"/>
    <x v="0"/>
  </r>
  <r>
    <n v="3000003194"/>
    <d v="2025-06-17T00:00:00"/>
    <n v="16000000"/>
    <s v="CAPETTA ANTONELLA ANAHI SAN MIGUEL DE TUCUMAN 14"/>
    <x v="538"/>
    <n v="16000000"/>
    <x v="82"/>
    <x v="0"/>
    <s v="pagado"/>
    <s v="pagado"/>
    <x v="0"/>
  </r>
  <r>
    <n v="3000003194"/>
    <d v="2025-06-17T00:00:00"/>
    <n v="16218247.369999999"/>
    <s v="CAPETTA ANTONELLA ANAHI SAN MIGUEL DE TUCUMAN 14"/>
    <x v="539"/>
    <n v="16218247.369999999"/>
    <x v="83"/>
    <x v="0"/>
    <s v="pagado"/>
    <s v="pagado"/>
    <x v="0"/>
  </r>
  <r>
    <n v="3000003195"/>
    <d v="2025-06-17T00:00:00"/>
    <n v="11000000"/>
    <s v="TRANSPORTE FRIOS DEL NORTE S.RSAN MIGUEL DE TUCUMAN 14"/>
    <x v="540"/>
    <n v="11000000"/>
    <x v="82"/>
    <x v="0"/>
    <s v="pagado"/>
    <s v="pagado"/>
    <x v="0"/>
  </r>
  <r>
    <n v="3000003195"/>
    <d v="2025-06-17T00:00:00"/>
    <n v="10053783.98"/>
    <s v="TRANSPORTE FRIOS DEL NORTE S.RSAN MIGUEL DE TUCUMAN 14"/>
    <x v="541"/>
    <n v="10053783.98"/>
    <x v="83"/>
    <x v="0"/>
    <s v="pagado"/>
    <s v="pagado"/>
    <x v="0"/>
  </r>
  <r>
    <n v="3000003196"/>
    <d v="2025-06-17T00:00:00"/>
    <n v="10000000"/>
    <s v="Silver Freight Logistic SRL CAPITAL FEDERAL 00"/>
    <x v="542"/>
    <n v="10000000"/>
    <x v="82"/>
    <x v="0"/>
    <s v="pagado"/>
    <s v="pagado"/>
    <x v="0"/>
  </r>
  <r>
    <n v="3000003196"/>
    <d v="2025-06-17T00:00:00"/>
    <n v="10887200"/>
    <s v="Silver Freight Logistic SRL CAPITAL FEDERAL 00"/>
    <x v="543"/>
    <n v="10887200"/>
    <x v="83"/>
    <x v="0"/>
    <s v="pagado"/>
    <s v="pagado"/>
    <x v="0"/>
  </r>
  <r>
    <n v="3000003197"/>
    <d v="2025-06-17T00:00:00"/>
    <n v="12330887.6"/>
    <s v="BUENOS AIRES COMEX S.R.L. BANFIELD 14"/>
    <x v="544"/>
    <n v="12330887.6"/>
    <x v="82"/>
    <x v="0"/>
    <s v="pagado"/>
    <s v="pagado"/>
    <x v="0"/>
  </r>
  <r>
    <n v="3000003198"/>
    <d v="2025-06-17T00:00:00"/>
    <n v="5966191.7400000002"/>
    <s v="MOREY SERGIO GUILLERMO LOS GUTIERREZ-ALDERETES 14"/>
    <x v="545"/>
    <n v="5966191.7400000002"/>
    <x v="82"/>
    <x v="0"/>
    <s v="pagado"/>
    <s v="pagado"/>
    <x v="0"/>
  </r>
  <r>
    <n v="3000003199"/>
    <d v="2025-06-17T00:00:00"/>
    <n v="6980091.1399999997"/>
    <s v="Bustos Sergio Alejandro Banda Rio Sali 14"/>
    <x v="546"/>
    <n v="6980091.1399999997"/>
    <x v="82"/>
    <x v="0"/>
    <s v="pagado"/>
    <s v="pagado"/>
    <x v="0"/>
  </r>
  <r>
    <n v="3000003200"/>
    <d v="2025-06-17T00:00:00"/>
    <n v="9602807.5899999999"/>
    <s v="Ag Naum SA SAN MIGUEL DE TUCUMAN 14"/>
    <x v="547"/>
    <n v="9602807.5899999999"/>
    <x v="82"/>
    <x v="0"/>
    <s v="pagado"/>
    <s v="pagado"/>
    <x v="0"/>
  </r>
  <r>
    <n v="3000003201"/>
    <d v="2025-06-17T00:00:00"/>
    <n v="6749707.1799999997"/>
    <s v="JLA ARGENTINA S A GENERAL CABRERA 03"/>
    <x v="548"/>
    <n v="6749707.1799999997"/>
    <x v="82"/>
    <x v="0"/>
    <s v="pagado"/>
    <s v="pagado"/>
    <x v="0"/>
  </r>
  <r>
    <n v="3000003202"/>
    <d v="2025-06-17T00:00:00"/>
    <n v="20000000"/>
    <s v="Jeblab S.R.L. YERBA BUENA 14"/>
    <x v="549"/>
    <n v="20000000"/>
    <x v="82"/>
    <x v="0"/>
    <s v="pagado"/>
    <s v="pagado"/>
    <x v="0"/>
  </r>
  <r>
    <n v="3000003202"/>
    <d v="2025-06-17T00:00:00"/>
    <n v="15205593.4"/>
    <s v="Jeblab S.R.L. YERBA BUENA 14"/>
    <x v="550"/>
    <n v="15205593.4"/>
    <x v="83"/>
    <x v="0"/>
    <s v="pagado"/>
    <s v="pagado"/>
    <x v="0"/>
  </r>
  <r>
    <n v="3000003203"/>
    <d v="2025-06-17T00:00:00"/>
    <n v="8000000"/>
    <s v="MG SERVICIOS AGROPECUARIOS SASTAFI VIEJO 14"/>
    <x v="551"/>
    <n v="8000000"/>
    <x v="82"/>
    <x v="0"/>
    <s v="pagado"/>
    <s v="pagado"/>
    <x v="0"/>
  </r>
  <r>
    <n v="3000003203"/>
    <d v="2025-06-17T00:00:00"/>
    <n v="7251223.9299999997"/>
    <s v="MG SERVICIOS AGROPECUARIOS SASTAFI VIEJO 14"/>
    <x v="552"/>
    <n v="7251223.9299999997"/>
    <x v="83"/>
    <x v="0"/>
    <s v="pagado"/>
    <s v="pagado"/>
    <x v="0"/>
  </r>
  <r>
    <n v="3000003204"/>
    <d v="2025-06-17T00:00:00"/>
    <n v="20000000"/>
    <s v="SMART SEGURIDAD SA YERBA BUENA 14"/>
    <x v="553"/>
    <n v="20000000"/>
    <x v="82"/>
    <x v="0"/>
    <s v="pagado"/>
    <s v="pagado"/>
    <x v="0"/>
  </r>
  <r>
    <n v="3000003204"/>
    <d v="2025-06-17T00:00:00"/>
    <n v="14349218.08"/>
    <s v="SMART SEGURIDAD SA YERBA BUENA 14"/>
    <x v="554"/>
    <n v="14349218.08"/>
    <x v="83"/>
    <x v="0"/>
    <s v="pagado"/>
    <s v="pagado"/>
    <x v="0"/>
  </r>
  <r>
    <n v="3000003205"/>
    <d v="2025-06-17T00:00:00"/>
    <n v="2835506.02"/>
    <s v="HERECITRUS SRL SAN MIGUEL DE TUCUMAN 14"/>
    <x v="555"/>
    <n v="2835506.02"/>
    <x v="82"/>
    <x v="0"/>
    <s v="pagado"/>
    <s v="pagado"/>
    <x v="0"/>
  </r>
  <r>
    <n v="3000003206"/>
    <d v="2025-06-17T00:00:00"/>
    <n v="3429507.82"/>
    <s v="JOSE DUMIT SA SAN MIGUEL DE TUCUMAN 14"/>
    <x v="556"/>
    <n v="3429507.82"/>
    <x v="82"/>
    <x v="0"/>
    <s v="pagado"/>
    <s v="pagado"/>
    <x v="0"/>
  </r>
  <r>
    <n v="3000003207"/>
    <d v="2025-06-17T00:00:00"/>
    <n v="14179847.67"/>
    <s v="CITRAR SRL SAN MIGUEL DE TUCUMAN 14"/>
    <x v="557"/>
    <n v="14179847.67"/>
    <x v="82"/>
    <x v="0"/>
    <s v="pagado"/>
    <s v="pagado"/>
    <x v="0"/>
  </r>
  <r>
    <n v="3000003191"/>
    <d v="2025-06-17T00:00:00"/>
    <n v="42588420"/>
    <s v="EDET S.A. SAN MIGUEL DE TUCUMAN 14"/>
    <x v="558"/>
    <n v="42588420"/>
    <x v="84"/>
    <x v="1"/>
    <s v="pagado"/>
    <s v="pagado"/>
    <x v="0"/>
  </r>
  <r>
    <n v="3000003292"/>
    <d v="2025-06-23T00:00:00"/>
    <n v="27787142"/>
    <s v="TUCUMAN PALLET SRL EL MANANTIAL 14"/>
    <x v="559"/>
    <n v="27787142"/>
    <x v="85"/>
    <x v="2"/>
    <s v="pagado"/>
    <s v="pagado"/>
    <x v="0"/>
  </r>
  <r>
    <n v="3000003294"/>
    <d v="2025-06-23T00:00:00"/>
    <n v="3579105"/>
    <s v="TRUSARELLI CARLOS ALBERTO BANDA DEL RIO SALI 14"/>
    <x v="560"/>
    <n v="3579105"/>
    <x v="85"/>
    <x v="2"/>
    <s v="pagado"/>
    <s v="pagado"/>
    <x v="0"/>
  </r>
  <r>
    <n v="3000003295"/>
    <d v="2025-06-23T00:00:00"/>
    <n v="8194737.7000000002"/>
    <s v="ROMERO SERVICIOS S. A. S. ALPACHIRI 14"/>
    <x v="561"/>
    <n v="8194737.7000000002"/>
    <x v="85"/>
    <x v="2"/>
    <s v="pagado"/>
    <s v="pagado"/>
    <x v="0"/>
  </r>
  <r>
    <n v="3000003296"/>
    <d v="2025-06-23T00:00:00"/>
    <n v="10038095.4"/>
    <s v="SEGURIDAD OMEGA SRL SAN FERNANDO DEL VALLE DE CATAMARCA 02"/>
    <x v="562"/>
    <n v="10038095.4"/>
    <x v="86"/>
    <x v="2"/>
    <s v="pagado"/>
    <s v="pagado"/>
    <x v="0"/>
  </r>
  <r>
    <n v="3000003304"/>
    <d v="2025-06-23T00:00:00"/>
    <n v="7548120.8099999996"/>
    <s v="PAMPLONA SRL SAN MIGUEL DE TUCUMAN 14"/>
    <x v="563"/>
    <n v="7548120.8099999996"/>
    <x v="85"/>
    <x v="2"/>
    <s v="pagado"/>
    <s v="pagado"/>
    <x v="0"/>
  </r>
  <r>
    <n v="3000003306"/>
    <d v="2025-06-23T00:00:00"/>
    <n v="18435105.66"/>
    <s v="VIRAL IMPORTS SA YERBA BUENA 14"/>
    <x v="564"/>
    <n v="18435105.66"/>
    <x v="86"/>
    <x v="2"/>
    <s v="pagado"/>
    <s v="pagado"/>
    <x v="0"/>
  </r>
  <r>
    <n v="3000003307"/>
    <d v="2025-06-23T00:00:00"/>
    <n v="5325235.5"/>
    <s v="ANJOR SA CORDOBA 03"/>
    <x v="565"/>
    <n v="5325235.5"/>
    <x v="85"/>
    <x v="2"/>
    <s v="pagado"/>
    <s v="pagado"/>
    <x v="0"/>
  </r>
  <r>
    <n v="3000003309"/>
    <d v="2025-06-23T00:00:00"/>
    <n v="0"/>
    <s v="invalidado med.EOLIVERA -Vencimiento BCRA"/>
    <x v="566"/>
    <n v="0"/>
    <x v="85"/>
    <x v="2"/>
    <s v="no pagado"/>
    <s v="fuera de fecha"/>
    <x v="0"/>
  </r>
  <r>
    <n v="3000003310"/>
    <d v="2025-06-23T00:00:00"/>
    <n v="4711555.01"/>
    <s v="Arias Gonzalo Alejandro San Miguel de Tucumán 14"/>
    <x v="567"/>
    <n v="4711555.01"/>
    <x v="85"/>
    <x v="2"/>
    <s v="pagado"/>
    <s v="pagado"/>
    <x v="0"/>
  </r>
  <r>
    <n v="3000003312"/>
    <d v="2025-06-23T00:00:00"/>
    <n v="3023142.36"/>
    <s v="SLEIMAN JOSE RODOLFO ALDERETES 14"/>
    <x v="568"/>
    <n v="3023142.36"/>
    <x v="85"/>
    <x v="2"/>
    <s v="pagado"/>
    <s v="pagado"/>
    <x v="0"/>
  </r>
  <r>
    <n v="3000003313"/>
    <d v="2025-06-23T00:00:00"/>
    <n v="13996405.65"/>
    <s v="ACOSTA ROQUE RAMON SAN MIGUEL DE TUCUMAN 14"/>
    <x v="569"/>
    <n v="13996405.65"/>
    <x v="85"/>
    <x v="2"/>
    <s v="pagado"/>
    <s v="pagado"/>
    <x v="0"/>
  </r>
  <r>
    <n v="3000003314"/>
    <d v="2025-06-23T00:00:00"/>
    <n v="2198231.7799999998"/>
    <s v="GONZALEZ SANTIAGO ROQUE TAFI VIEJO 14"/>
    <x v="570"/>
    <n v="2198231.7799999998"/>
    <x v="85"/>
    <x v="2"/>
    <s v="no pagado"/>
    <s v="fuera de fecha"/>
    <x v="0"/>
  </r>
  <r>
    <n v="3000003315"/>
    <d v="2025-06-23T00:00:00"/>
    <n v="6957670.3899999997"/>
    <s v="SUAREZ MANUEL RODOLFO ALDERETES 14"/>
    <x v="571"/>
    <n v="6957670.3899999997"/>
    <x v="85"/>
    <x v="2"/>
    <s v="pagado"/>
    <s v="pagado"/>
    <x v="0"/>
  </r>
  <r>
    <n v="3000003317"/>
    <d v="2025-06-23T00:00:00"/>
    <n v="5723915.6299999999"/>
    <s v="HERRERA RICARDO ALBERTO BANDA DEL RIO SALI 14"/>
    <x v="572"/>
    <n v="5723915.6299999999"/>
    <x v="85"/>
    <x v="2"/>
    <s v="pagado"/>
    <s v="pagado"/>
    <x v="0"/>
  </r>
  <r>
    <n v="3000003318"/>
    <d v="2025-06-23T00:00:00"/>
    <n v="4592469.97"/>
    <s v="LOBO BENICIO MARTIN ALDERETES 14"/>
    <x v="573"/>
    <n v="4592469.97"/>
    <x v="85"/>
    <x v="2"/>
    <s v="pagado"/>
    <s v="pagado"/>
    <x v="0"/>
  </r>
  <r>
    <n v="3000003319"/>
    <d v="2025-06-23T00:00:00"/>
    <n v="21294050.120000001"/>
    <s v="CEFAS S.A CIUDAD AUTONOMA DE BUENOS AIRES 01"/>
    <x v="574"/>
    <n v="21294050.120000001"/>
    <x v="87"/>
    <x v="2"/>
    <s v="pagado"/>
    <s v="pagado"/>
    <x v="0"/>
  </r>
  <r>
    <n v="3000003290"/>
    <d v="2025-06-23T00:00:00"/>
    <n v="219588080"/>
    <s v="EDET S.A. SAN MIGUEL DE TUCUMAN 14"/>
    <x v="575"/>
    <n v="219588080"/>
    <x v="83"/>
    <x v="0"/>
    <s v="pagado"/>
    <s v="pagado"/>
    <x v="0"/>
  </r>
  <r>
    <n v="3000003356"/>
    <d v="2025-06-24T00:00:00"/>
    <n v="2263590"/>
    <s v="EDET S.A. SAN MIGUEL DE TUCUMAN 14"/>
    <x v="576"/>
    <n v="2263590"/>
    <x v="85"/>
    <x v="0"/>
    <s v="pagado"/>
    <s v="pagado"/>
    <x v="0"/>
  </r>
  <r>
    <n v="3000003393"/>
    <d v="2025-06-25T00:00:00"/>
    <n v="3203580.11"/>
    <s v="TRANSPORTE MEDINA S.H. CRUZ ALTA 14"/>
    <x v="577"/>
    <n v="3203580.11"/>
    <x v="86"/>
    <x v="0"/>
    <s v="pagado"/>
    <s v="pagado"/>
    <x v="0"/>
  </r>
  <r>
    <n v="3000003394"/>
    <d v="2025-06-25T00:00:00"/>
    <n v="20874644.699999999"/>
    <s v="AGRO ALIANZA SA TAFI VIEJO 14"/>
    <x v="578"/>
    <n v="20874644.699999999"/>
    <x v="87"/>
    <x v="2"/>
    <s v="pagado"/>
    <s v="pagado"/>
    <x v="0"/>
  </r>
  <r>
    <n v="3000003395"/>
    <d v="2025-06-25T00:00:00"/>
    <n v="3350566.66"/>
    <s v="MENDEZ, MARTIN ALBERTO SAN MIGUEL DE TUCUMAN 14"/>
    <x v="579"/>
    <n v="3350566.66"/>
    <x v="87"/>
    <x v="2"/>
    <s v="pagado"/>
    <s v="pagado"/>
    <x v="0"/>
  </r>
  <r>
    <n v="3000003396"/>
    <d v="2025-06-25T00:00:00"/>
    <n v="21074118.09"/>
    <s v="ROMERO SERVICIOS S. A. S. ALPACHIRI 14"/>
    <x v="580"/>
    <n v="21074118.09"/>
    <x v="87"/>
    <x v="2"/>
    <s v="pagado"/>
    <s v="pagado"/>
    <x v="0"/>
  </r>
  <r>
    <n v="3000003397"/>
    <d v="2025-06-25T00:00:00"/>
    <n v="39978715.689999998"/>
    <s v="PAMPLONA SRL SAN MIGUEL DE TUCUMAN 14"/>
    <x v="581"/>
    <n v="39978715.689999998"/>
    <x v="87"/>
    <x v="2"/>
    <s v="pagado"/>
    <s v="pagado"/>
    <x v="0"/>
  </r>
  <r>
    <n v="3000003398"/>
    <d v="2025-06-25T00:00:00"/>
    <n v="12536088.23"/>
    <s v="SAUCE HUACHO SERVICIOS S.R.L MONTEROS 14"/>
    <x v="582"/>
    <n v="12536088.23"/>
    <x v="87"/>
    <x v="2"/>
    <s v="pagado"/>
    <s v="pagado"/>
    <x v="0"/>
  </r>
  <r>
    <n v="3000003399"/>
    <d v="2025-06-25T00:00:00"/>
    <n v="11883729.300000001"/>
    <s v="INSITU S.R.L SAN MIGUEL DE TUCUMAN 14"/>
    <x v="583"/>
    <n v="11883729.300000001"/>
    <x v="87"/>
    <x v="2"/>
    <s v="pagado"/>
    <s v="pagado"/>
    <x v="0"/>
  </r>
  <r>
    <n v="3000003400"/>
    <d v="2025-06-25T00:00:00"/>
    <n v="4557000"/>
    <s v="MARIN TOMAS LAZARO CAFAYATE - SALTA 09"/>
    <x v="584"/>
    <n v="4557000"/>
    <x v="87"/>
    <x v="2"/>
    <s v="pagado"/>
    <s v="pagado"/>
    <x v="0"/>
  </r>
  <r>
    <n v="3000003401"/>
    <d v="2025-06-25T00:00:00"/>
    <n v="7694216.2000000002"/>
    <s v="Gonzalez Jose Luis Lastenia 14"/>
    <x v="585"/>
    <n v="7694216.2000000002"/>
    <x v="88"/>
    <x v="2"/>
    <s v="pagado"/>
    <s v="pagado"/>
    <x v="0"/>
  </r>
  <r>
    <n v="3000003402"/>
    <d v="2025-06-25T00:00:00"/>
    <n v="15309349.109999999"/>
    <s v="D´ANDREA SERGIO FRANCISCO YERBA BUENA 14"/>
    <x v="586"/>
    <n v="15309349.109999999"/>
    <x v="88"/>
    <x v="2"/>
    <s v="pagado"/>
    <s v="pagado"/>
    <x v="0"/>
  </r>
  <r>
    <n v="3000003403"/>
    <d v="2025-06-25T00:00:00"/>
    <n v="4113417.9"/>
    <s v="PERATO LUIS ALBERTO BANDA DEL RIO SALI 14"/>
    <x v="587"/>
    <n v="4113417.9"/>
    <x v="88"/>
    <x v="2"/>
    <s v="pagado"/>
    <s v="pagado"/>
    <x v="0"/>
  </r>
  <r>
    <n v="3000003404"/>
    <d v="2025-06-25T00:00:00"/>
    <n v="3764402.17"/>
    <s v="PEDRO GABRIEL ALEJANDRO ALDERETES 14"/>
    <x v="588"/>
    <n v="3764402.17"/>
    <x v="88"/>
    <x v="2"/>
    <s v="pagado"/>
    <s v="pagado"/>
    <x v="0"/>
  </r>
  <r>
    <n v="3000003405"/>
    <d v="2025-06-25T00:00:00"/>
    <n v="11395701.310000001"/>
    <s v="Vaquera Francisco Alfredo Monteros 14"/>
    <x v="589"/>
    <n v="11395701.310000001"/>
    <x v="88"/>
    <x v="2"/>
    <s v="pagado"/>
    <s v="pagado"/>
    <x v="0"/>
  </r>
  <r>
    <n v="3000003406"/>
    <d v="2025-06-25T00:00:00"/>
    <n v="9357237.3200000003"/>
    <s v="TRANSPORTE FRIOS DEL NORTE S.RSAN MIGUEL DE TUCUMAN 14"/>
    <x v="590"/>
    <n v="9357237.3200000003"/>
    <x v="88"/>
    <x v="2"/>
    <s v="pagado"/>
    <s v="pagado"/>
    <x v="0"/>
  </r>
  <r>
    <n v="3000003407"/>
    <d v="2025-06-25T00:00:00"/>
    <n v="14382842.76"/>
    <s v="RL SOLUCIONES S. A. S. SAN MIGUEL DE TUCUMAN 14"/>
    <x v="591"/>
    <n v="14382842.76"/>
    <x v="88"/>
    <x v="2"/>
    <s v="pagado"/>
    <s v="pagado"/>
    <x v="0"/>
  </r>
  <r>
    <n v="3000003408"/>
    <d v="2025-06-25T00:00:00"/>
    <n v="8292873.4000000004"/>
    <s v="CAPETTA ANTONELLA ANAHI SAN MIGUEL DE TUCUMAN 14"/>
    <x v="592"/>
    <n v="8292873.4000000004"/>
    <x v="88"/>
    <x v="2"/>
    <s v="pagado"/>
    <s v="pagado"/>
    <x v="0"/>
  </r>
  <r>
    <n v="3000003409"/>
    <d v="2025-06-25T00:00:00"/>
    <n v="4138777.77"/>
    <s v="MAC DONALD MIGUEL ALEJANDRO BANDA DEL RIO SALI 14"/>
    <x v="593"/>
    <n v="4138777.77"/>
    <x v="88"/>
    <x v="2"/>
    <s v="pagado"/>
    <s v="pagado"/>
    <x v="0"/>
  </r>
  <r>
    <n v="3000003410"/>
    <d v="2025-06-25T00:00:00"/>
    <n v="4231992.71"/>
    <s v="LOGISTICA Y DISTRIBUCION FEDE CAPITAL FEDERAL 00"/>
    <x v="594"/>
    <n v="4231992.71"/>
    <x v="88"/>
    <x v="2"/>
    <s v="pagado"/>
    <s v="pagado"/>
    <x v="0"/>
  </r>
  <r>
    <n v="3000003411"/>
    <d v="2025-06-25T00:00:00"/>
    <n v="4353550.68"/>
    <s v="FERNANDEZ HECTOR JOSE SIMOCA 14"/>
    <x v="595"/>
    <n v="4353550.68"/>
    <x v="88"/>
    <x v="2"/>
    <s v="pagado"/>
    <s v="pagado"/>
    <x v="0"/>
  </r>
  <r>
    <n v="3000003412"/>
    <d v="2025-06-25T00:00:00"/>
    <n v="3488147.05"/>
    <s v="Arias Gonzalo Alejandro San Miguel de Tucumán 14"/>
    <x v="596"/>
    <n v="3488147.05"/>
    <x v="88"/>
    <x v="2"/>
    <s v="pagado"/>
    <s v="pagado"/>
    <x v="0"/>
  </r>
  <r>
    <n v="3000003413"/>
    <d v="2025-06-25T00:00:00"/>
    <n v="6078687.3300000001"/>
    <s v="Bustos Sergio Alejandro Banda Rio Sali 14"/>
    <x v="597"/>
    <n v="6078687.3300000001"/>
    <x v="88"/>
    <x v="2"/>
    <s v="pagado"/>
    <s v="pagado"/>
    <x v="0"/>
  </r>
  <r>
    <n v="3000003414"/>
    <d v="2025-06-25T00:00:00"/>
    <n v="4253920.29"/>
    <s v="TORRES JUAN RAMON ALDERETES 14"/>
    <x v="598"/>
    <n v="4253920.29"/>
    <x v="88"/>
    <x v="2"/>
    <s v="pagado"/>
    <s v="pagado"/>
    <x v="0"/>
  </r>
  <r>
    <n v="3000003415"/>
    <d v="2025-06-25T00:00:00"/>
    <n v="8428990.5999999996"/>
    <s v="PERATO CRISTIAN LUIS BANDA DEL RIO SALI 14"/>
    <x v="599"/>
    <n v="8428990.5999999996"/>
    <x v="88"/>
    <x v="2"/>
    <s v="pagado"/>
    <s v="pagado"/>
    <x v="0"/>
  </r>
  <r>
    <n v="3000003416"/>
    <d v="2025-06-25T00:00:00"/>
    <n v="7865678"/>
    <s v="CEMEVA SAS YERBA BUENA 14"/>
    <x v="600"/>
    <n v="7865678"/>
    <x v="88"/>
    <x v="2"/>
    <s v="pagado"/>
    <s v="pagado"/>
    <x v="0"/>
  </r>
  <r>
    <n v="3000003417"/>
    <d v="2025-06-25T00:00:00"/>
    <n v="5990114.6299999999"/>
    <s v="VILLAGRA VELEZ ROQUE RICARDO SAN MIGUEL DE TUCUMAN 14"/>
    <x v="601"/>
    <n v="5990114.6299999999"/>
    <x v="88"/>
    <x v="2"/>
    <s v="pagado"/>
    <s v="pagado"/>
    <x v="0"/>
  </r>
  <r>
    <n v="3000003418"/>
    <d v="2025-06-25T00:00:00"/>
    <n v="19970612.600000001"/>
    <s v="LANCHELA HECTOR ROLANDO CONCEPCION 14"/>
    <x v="602"/>
    <n v="19970612.600000001"/>
    <x v="88"/>
    <x v="2"/>
    <s v="pagado"/>
    <s v="pagado"/>
    <x v="0"/>
  </r>
  <r>
    <n v="3000003493"/>
    <d v="2025-06-30T00:00:00"/>
    <n v="54814678.590000004"/>
    <s v="COVIL S.A. CEVIL POZO 14"/>
    <x v="603"/>
    <n v="54814678.590000004"/>
    <x v="89"/>
    <x v="2"/>
    <s v="pagado"/>
    <s v="pagado"/>
    <x v="0"/>
  </r>
  <r>
    <n v="3000003493"/>
    <d v="2025-06-30T00:00:00"/>
    <n v="1133271.3999999999"/>
    <s v="COVIL S.A. CEVIL POZO 14"/>
    <x v="604"/>
    <n v="1133271.3999999999"/>
    <x v="89"/>
    <x v="2"/>
    <s v="pagado"/>
    <s v="pagado"/>
    <x v="0"/>
  </r>
  <r>
    <n v="3000003493"/>
    <d v="2025-06-30T00:00:00"/>
    <n v="2732562.03"/>
    <s v="COVIL S.A. CEVIL POZO 14"/>
    <x v="605"/>
    <n v="2732562.03"/>
    <x v="89"/>
    <x v="2"/>
    <s v="pagado"/>
    <s v="pagado"/>
    <x v="0"/>
  </r>
  <r>
    <n v="3000003493"/>
    <d v="2025-06-30T00:00:00"/>
    <n v="7070542.9000000004"/>
    <s v="COVIL S.A. CEVIL POZO 14"/>
    <x v="606"/>
    <n v="7070542.9000000004"/>
    <x v="89"/>
    <x v="2"/>
    <s v="pagado"/>
    <s v="pagado"/>
    <x v="0"/>
  </r>
  <r>
    <n v="3000003493"/>
    <d v="2025-06-30T00:00:00"/>
    <n v="2343060.31"/>
    <s v="COVIL S.A. CEVIL POZO 14"/>
    <x v="607"/>
    <n v="2343060.31"/>
    <x v="89"/>
    <x v="2"/>
    <s v="pagado"/>
    <s v="pagado"/>
    <x v="0"/>
  </r>
  <r>
    <n v="3000003493"/>
    <d v="2025-06-30T00:00:00"/>
    <n v="872386.75"/>
    <s v="COVIL S.A. CEVIL POZO 14"/>
    <x v="608"/>
    <n v="872386.75"/>
    <x v="89"/>
    <x v="2"/>
    <s v="pagado"/>
    <s v="pagado"/>
    <x v="0"/>
  </r>
  <r>
    <n v="3000003493"/>
    <d v="2025-06-30T00:00:00"/>
    <n v="444050.81"/>
    <s v="COVIL S.A. CEVIL POZO 14"/>
    <x v="609"/>
    <n v="444050.81"/>
    <x v="90"/>
    <x v="2"/>
    <s v="pagado"/>
    <s v="pagado"/>
    <x v="0"/>
  </r>
  <r>
    <n v="3000003493"/>
    <d v="2025-06-30T00:00:00"/>
    <n v="1859238.66"/>
    <s v="COVIL S.A. CEVIL POZO 14"/>
    <x v="610"/>
    <n v="1859238.66"/>
    <x v="90"/>
    <x v="2"/>
    <s v="pagado"/>
    <s v="pagado"/>
    <x v="0"/>
  </r>
  <r>
    <n v="3000003493"/>
    <d v="2025-06-30T00:00:00"/>
    <n v="401930.27"/>
    <s v="COVIL S.A. CEVIL POZO 14"/>
    <x v="611"/>
    <n v="401930.27"/>
    <x v="90"/>
    <x v="2"/>
    <s v="pagado"/>
    <s v="pagado"/>
    <x v="0"/>
  </r>
  <r>
    <n v="3000003493"/>
    <d v="2025-06-30T00:00:00"/>
    <n v="1548233.05"/>
    <s v="COVIL S.A. CEVIL POZO 14"/>
    <x v="612"/>
    <n v="1548233.05"/>
    <x v="90"/>
    <x v="2"/>
    <s v="pagado"/>
    <s v="pagado"/>
    <x v="0"/>
  </r>
  <r>
    <n v="3000003493"/>
    <d v="2025-06-30T00:00:00"/>
    <n v="268429.75"/>
    <s v="COVIL S.A. CEVIL POZO 14"/>
    <x v="613"/>
    <n v="268429.75"/>
    <x v="90"/>
    <x v="2"/>
    <s v="pagado"/>
    <s v="pagado"/>
    <x v="0"/>
  </r>
  <r>
    <n v="3000003493"/>
    <d v="2025-06-30T00:00:00"/>
    <n v="4941397.2"/>
    <s v="COVIL S.A. CEVIL POZO 14"/>
    <x v="614"/>
    <n v="4941397.2"/>
    <x v="90"/>
    <x v="2"/>
    <s v="pagado"/>
    <s v="pagado"/>
    <x v="0"/>
  </r>
  <r>
    <n v="3000003493"/>
    <d v="2025-06-30T00:00:00"/>
    <n v="833793.9"/>
    <s v="COVIL S.A. CEVIL POZO 14"/>
    <x v="615"/>
    <n v="833793.9"/>
    <x v="90"/>
    <x v="2"/>
    <s v="no pagado"/>
    <s v="fuera de fecha"/>
    <x v="0"/>
  </r>
  <r>
    <n v="3000003493"/>
    <d v="2025-06-30T00:00:00"/>
    <n v="61573593.240000002"/>
    <s v="COVIL S.A. CEVIL POZO 14"/>
    <x v="616"/>
    <n v="61573593.240000002"/>
    <x v="90"/>
    <x v="2"/>
    <s v="pagado"/>
    <s v="pagado"/>
    <x v="0"/>
  </r>
  <r>
    <n v="3000003493"/>
    <d v="2025-06-30T00:00:00"/>
    <n v="5746954.3200000003"/>
    <s v="COVIL S.A. CEVIL POZO 14"/>
    <x v="617"/>
    <n v="5746954.3200000003"/>
    <x v="90"/>
    <x v="2"/>
    <s v="pagado"/>
    <s v="pagado"/>
    <x v="0"/>
  </r>
  <r>
    <n v="3000003493"/>
    <d v="2025-06-30T00:00:00"/>
    <n v="365483.4"/>
    <s v="COVIL S.A. CEVIL POZO 14"/>
    <x v="618"/>
    <n v="365483.4"/>
    <x v="90"/>
    <x v="2"/>
    <s v="pagado"/>
    <s v="pagado"/>
    <x v="0"/>
  </r>
  <r>
    <n v="3000003493"/>
    <d v="2025-06-30T00:00:00"/>
    <n v="3974983.52"/>
    <s v="COVIL S.A. CEVIL POZO 14"/>
    <x v="619"/>
    <n v="3974983.52"/>
    <x v="90"/>
    <x v="2"/>
    <s v="pagado"/>
    <s v="pagado"/>
    <x v="0"/>
  </r>
  <r>
    <n v="3000003493"/>
    <d v="2025-06-30T00:00:00"/>
    <n v="38083000.799999997"/>
    <s v="COVIL S.A. CEVIL POZO 14"/>
    <x v="620"/>
    <n v="38083000.799999997"/>
    <x v="90"/>
    <x v="2"/>
    <s v="pagado"/>
    <s v="pagado"/>
    <x v="0"/>
  </r>
  <r>
    <n v="3000003493"/>
    <d v="2025-06-30T00:00:00"/>
    <n v="18662149.899999999"/>
    <s v="COVIL S.A. CEVIL POZO 14"/>
    <x v="621"/>
    <n v="18662149.899999999"/>
    <x v="90"/>
    <x v="2"/>
    <s v="pagado"/>
    <s v="pagado"/>
    <x v="0"/>
  </r>
  <r>
    <n v="3000003493"/>
    <d v="2025-06-30T00:00:00"/>
    <n v="8662942.3599999994"/>
    <s v="COVIL S.A. CEVIL POZO 14"/>
    <x v="622"/>
    <n v="8662942.3599999994"/>
    <x v="90"/>
    <x v="2"/>
    <s v="pagado"/>
    <s v="pagado"/>
    <x v="0"/>
  </r>
  <r>
    <n v="3000003493"/>
    <d v="2025-06-30T00:00:00"/>
    <n v="1117822.3400000001"/>
    <s v="COVIL S.A. CEVIL POZO 14"/>
    <x v="623"/>
    <n v="1117822.3400000001"/>
    <x v="90"/>
    <x v="2"/>
    <s v="pagado"/>
    <s v="pagado"/>
    <x v="0"/>
  </r>
  <r>
    <n v="3000003493"/>
    <d v="2025-06-30T00:00:00"/>
    <n v="1517147.52"/>
    <s v="COVIL S.A. CEVIL POZO 14"/>
    <x v="624"/>
    <n v="1517147.52"/>
    <x v="90"/>
    <x v="2"/>
    <s v="pagado"/>
    <s v="pagado"/>
    <x v="0"/>
  </r>
  <r>
    <n v="3000003493"/>
    <d v="2025-06-30T00:00:00"/>
    <n v="3993372.93"/>
    <s v="COVIL S.A. CEVIL POZO 14"/>
    <x v="625"/>
    <n v="3993372.93"/>
    <x v="90"/>
    <x v="2"/>
    <s v="pagado"/>
    <s v="pagado"/>
    <x v="0"/>
  </r>
  <r>
    <n v="3000003493"/>
    <d v="2025-06-30T00:00:00"/>
    <n v="1912648.4"/>
    <s v="COVIL S.A. CEVIL POZO 14"/>
    <x v="626"/>
    <n v="1912648.4"/>
    <x v="90"/>
    <x v="2"/>
    <s v="pagado"/>
    <s v="pagado"/>
    <x v="0"/>
  </r>
  <r>
    <n v="3000003493"/>
    <d v="2025-06-30T00:00:00"/>
    <n v="122000000"/>
    <s v="COVIL S.A. CEVIL POZO 14"/>
    <x v="627"/>
    <n v="122000000"/>
    <x v="90"/>
    <x v="2"/>
    <s v="pagado"/>
    <s v="pagado"/>
    <x v="0"/>
  </r>
  <r>
    <n v="3000003493"/>
    <d v="2025-06-30T00:00:00"/>
    <n v="300000000"/>
    <s v="COVIL S.A. CEVIL POZO 14"/>
    <x v="628"/>
    <n v="300000000"/>
    <x v="90"/>
    <x v="2"/>
    <s v="pagado"/>
    <s v="pagado"/>
    <x v="0"/>
  </r>
  <r>
    <n v="3000003493"/>
    <d v="2025-06-30T00:00:00"/>
    <n v="50000000"/>
    <s v="COVIL S.A. CEVIL POZO 14"/>
    <x v="629"/>
    <n v="50000000"/>
    <x v="90"/>
    <x v="2"/>
    <s v="pagado"/>
    <s v="pagado"/>
    <x v="0"/>
  </r>
  <r>
    <n v="3000003493"/>
    <d v="2025-06-30T00:00:00"/>
    <n v="50000000"/>
    <s v="COVIL S.A. CEVIL POZO 14"/>
    <x v="630"/>
    <n v="50000000"/>
    <x v="90"/>
    <x v="2"/>
    <s v="pagado"/>
    <s v="pagado"/>
    <x v="0"/>
  </r>
  <r>
    <n v="3000003493"/>
    <d v="2025-06-30T00:00:00"/>
    <n v="50000000"/>
    <s v="COVIL S.A. CEVIL POZO 14"/>
    <x v="631"/>
    <n v="50000000"/>
    <x v="90"/>
    <x v="2"/>
    <s v="pagado"/>
    <s v="pagado"/>
    <x v="0"/>
  </r>
  <r>
    <n v="3000003493"/>
    <d v="2025-06-30T00:00:00"/>
    <n v="50000000"/>
    <s v="COVIL S.A. CEVIL POZO 14"/>
    <x v="632"/>
    <n v="50000000"/>
    <x v="90"/>
    <x v="2"/>
    <s v="pagado"/>
    <s v="pagado"/>
    <x v="0"/>
  </r>
  <r>
    <n v="3000003493"/>
    <d v="2025-06-30T00:00:00"/>
    <n v="50000000"/>
    <s v="COVIL S.A. CEVIL POZO 14"/>
    <x v="633"/>
    <n v="50000000"/>
    <x v="90"/>
    <x v="2"/>
    <s v="pagado"/>
    <s v="pagado"/>
    <x v="0"/>
  </r>
  <r>
    <n v="3000003493"/>
    <d v="2025-06-30T00:00:00"/>
    <n v="32467453.350000001"/>
    <s v="COVIL S.A. CEVIL POZO 14"/>
    <x v="634"/>
    <n v="32467453.350000001"/>
    <x v="90"/>
    <x v="2"/>
    <s v="pagado"/>
    <s v="pagado"/>
    <x v="0"/>
  </r>
  <r>
    <n v="3000003498"/>
    <d v="2025-06-30T00:00:00"/>
    <n v="6158806.5300000003"/>
    <s v="MG SERVICIOS AGROPECUARIOS SASTAFI VIEJO 14"/>
    <x v="635"/>
    <n v="6158806.5300000003"/>
    <x v="90"/>
    <x v="2"/>
    <s v="pagado"/>
    <s v="pagado"/>
    <x v="0"/>
  </r>
  <r>
    <n v="3000003499"/>
    <d v="2025-06-30T00:00:00"/>
    <n v="4354537.47"/>
    <s v="GYE S.A ROSARIO SUD 12"/>
    <x v="636"/>
    <n v="4354537.47"/>
    <x v="91"/>
    <x v="2"/>
    <s v="pagado"/>
    <s v="pagado"/>
    <x v="0"/>
  </r>
  <r>
    <n v="3000003500"/>
    <d v="2025-06-30T00:00:00"/>
    <n v="7305998.1799999997"/>
    <s v="TUCUMAN PALLET SRL EL MANANTIAL 14"/>
    <x v="637"/>
    <n v="7305998.1799999997"/>
    <x v="90"/>
    <x v="2"/>
    <s v="pagado"/>
    <s v="pagado"/>
    <x v="0"/>
  </r>
  <r>
    <n v="3000003501"/>
    <d v="2025-06-30T00:00:00"/>
    <n v="15000000"/>
    <s v="MARTINEZ ZUCCARDI JORGE AGUSTISANTA LUCIA 14"/>
    <x v="638"/>
    <n v="15000000"/>
    <x v="90"/>
    <x v="2"/>
    <s v="pagado"/>
    <s v="pagado"/>
    <x v="0"/>
  </r>
  <r>
    <n v="3000003501"/>
    <d v="2025-06-30T00:00:00"/>
    <n v="15870968.109999999"/>
    <s v="MARTINEZ ZUCCARDI JORGE AGUSTISANTA LUCIA 14"/>
    <x v="639"/>
    <n v="15870968.109999999"/>
    <x v="91"/>
    <x v="2"/>
    <s v="pagado"/>
    <s v="pagado"/>
    <x v="0"/>
  </r>
  <r>
    <n v="3000003502"/>
    <d v="2025-06-30T00:00:00"/>
    <n v="9957268.25"/>
    <s v="AGRICOLA MARES S.A FAMAILLA 14"/>
    <x v="640"/>
    <n v="9957268.25"/>
    <x v="90"/>
    <x v="2"/>
    <s v="pagado"/>
    <s v="pagado"/>
    <x v="0"/>
  </r>
  <r>
    <n v="3000003503"/>
    <d v="2025-06-30T00:00:00"/>
    <n v="6263730.8300000001"/>
    <s v="fyl trans srl SAN MIGUEL DE TUCUMAN 14"/>
    <x v="641"/>
    <n v="6263730.8300000001"/>
    <x v="90"/>
    <x v="2"/>
    <s v="pagado"/>
    <s v="pagado"/>
    <x v="0"/>
  </r>
  <r>
    <n v="3000003504"/>
    <d v="2025-06-30T00:00:00"/>
    <n v="6586616.4699999997"/>
    <s v="M.A.D Serv y mant eléctri SAN MIGUEL DE TUCUMAN 14"/>
    <x v="642"/>
    <n v="6586616.4699999997"/>
    <x v="90"/>
    <x v="2"/>
    <s v="pagado"/>
    <s v="pagado"/>
    <x v="0"/>
  </r>
  <r>
    <n v="3000003505"/>
    <d v="2025-06-30T00:00:00"/>
    <n v="10967169.91"/>
    <s v="CAD SOLUTIONS S.A. CAPITAL FEDERAL 00"/>
    <x v="643"/>
    <n v="10967169.91"/>
    <x v="90"/>
    <x v="2"/>
    <s v="pagado"/>
    <s v="pagado"/>
    <x v="0"/>
  </r>
  <r>
    <n v="3000003506"/>
    <d v="2025-06-30T00:00:00"/>
    <n v="8381553.0800000001"/>
    <s v="Martinez Zuccardi Emma CeciliaSAN MIGUEL DE TUCUMAN 14"/>
    <x v="644"/>
    <n v="8381553.0800000001"/>
    <x v="90"/>
    <x v="2"/>
    <s v="pagado"/>
    <s v="pagado"/>
    <x v="0"/>
  </r>
  <r>
    <n v="3000003507"/>
    <d v="2025-06-30T00:00:00"/>
    <n v="45000000"/>
    <s v="MG SERVICIOS AGROPECUARIOS SASTAFI VIEJO 14"/>
    <x v="645"/>
    <n v="45000000"/>
    <x v="90"/>
    <x v="2"/>
    <s v="pagado"/>
    <s v="pagado"/>
    <x v="0"/>
  </r>
  <r>
    <n v="3000003507"/>
    <d v="2025-06-30T00:00:00"/>
    <n v="23000000"/>
    <s v="MG SERVICIOS AGROPECUARIOS SASTAFI VIEJO 14"/>
    <x v="646"/>
    <n v="23000000"/>
    <x v="91"/>
    <x v="2"/>
    <s v="pagado"/>
    <s v="pagado"/>
    <x v="0"/>
  </r>
  <r>
    <n v="3000003507"/>
    <d v="2025-06-30T00:00:00"/>
    <n v="7000000"/>
    <s v="MG SERVICIOS AGROPECUARIOS SASTAFI VIEJO 14"/>
    <x v="647"/>
    <n v="7000000"/>
    <x v="91"/>
    <x v="2"/>
    <s v="pagado"/>
    <s v="pagado"/>
    <x v="0"/>
  </r>
  <r>
    <n v="3000003507"/>
    <d v="2025-06-30T00:00:00"/>
    <n v="3415405.07"/>
    <s v="MG SERVICIOS AGROPECUARIOS SASTAFI VIEJO 14"/>
    <x v="648"/>
    <n v="3415405.07"/>
    <x v="91"/>
    <x v="2"/>
    <s v="pagado"/>
    <s v="pagado"/>
    <x v="0"/>
  </r>
  <r>
    <n v="3000003517"/>
    <d v="2025-07-01T00:00:00"/>
    <n v="4856074.25"/>
    <s v="PERATO CRISTIAN LUIS BANDA DEL RIO SALI 14"/>
    <x v="649"/>
    <n v="4856074.25"/>
    <x v="91"/>
    <x v="2"/>
    <s v="pagado"/>
    <s v="pagado"/>
    <x v="0"/>
  </r>
  <r>
    <n v="3000003518"/>
    <d v="2025-07-01T00:00:00"/>
    <n v="3233798.57"/>
    <s v="Sereno Carlos Luis Los Gutierrez 14"/>
    <x v="650"/>
    <n v="3233798.57"/>
    <x v="91"/>
    <x v="2"/>
    <s v="pagado"/>
    <s v="pagado"/>
    <x v="0"/>
  </r>
  <r>
    <n v="3000003519"/>
    <d v="2025-07-01T00:00:00"/>
    <n v="6098541.5499999998"/>
    <s v="Sanchez Jose Mauricio San Miguel de Tucuman 14"/>
    <x v="651"/>
    <n v="6098541.5499999998"/>
    <x v="91"/>
    <x v="2"/>
    <s v="pagado"/>
    <s v="pagado"/>
    <x v="0"/>
  </r>
  <r>
    <n v="3000003520"/>
    <d v="2025-07-01T00:00:00"/>
    <n v="6866727.3300000001"/>
    <s v="MOREY SERGIO GUILLERMO LOS GUTIERREZ-ALDERETES 14"/>
    <x v="652"/>
    <n v="6866727.3300000001"/>
    <x v="91"/>
    <x v="2"/>
    <s v="pagado"/>
    <s v="pagado"/>
    <x v="0"/>
  </r>
  <r>
    <n v="3000003521"/>
    <d v="2025-07-01T00:00:00"/>
    <n v="4122092.11"/>
    <s v="Arias Carlos Alberto SAN MIGUEL DE TUCUMAN 14"/>
    <x v="653"/>
    <n v="4122092.11"/>
    <x v="91"/>
    <x v="2"/>
    <s v="pagado"/>
    <s v="pagado"/>
    <x v="0"/>
  </r>
  <r>
    <n v="3000003522"/>
    <d v="2025-07-01T00:00:00"/>
    <n v="14947995.310000001"/>
    <s v="CAPETTA ANTONELLA ANAHI SAN MIGUEL DE TUCUMAN 14"/>
    <x v="654"/>
    <n v="14947995.310000001"/>
    <x v="91"/>
    <x v="2"/>
    <s v="pagado"/>
    <s v="pagado"/>
    <x v="0"/>
  </r>
  <r>
    <n v="3000003523"/>
    <d v="2025-07-01T00:00:00"/>
    <n v="8000000"/>
    <s v="RL SOLUCIONES S. A. S. SAN MIGUEL DE TUCUMAN 14"/>
    <x v="655"/>
    <n v="8000000"/>
    <x v="91"/>
    <x v="2"/>
    <s v="pagado"/>
    <s v="pagado"/>
    <x v="0"/>
  </r>
  <r>
    <n v="3000003523"/>
    <d v="2025-07-01T00:00:00"/>
    <n v="8875156.7300000004"/>
    <s v="RL SOLUCIONES S. A. S. SAN MIGUEL DE TUCUMAN 14"/>
    <x v="656"/>
    <n v="8875156.7300000004"/>
    <x v="92"/>
    <x v="2"/>
    <s v="pagado"/>
    <s v="pagado"/>
    <x v="0"/>
  </r>
  <r>
    <n v="3000003524"/>
    <d v="2025-07-01T00:00:00"/>
    <n v="20000000"/>
    <s v="TRANSPORTE FRIOS DEL NORTE S.RSAN MIGUEL DE TUCUMAN 14"/>
    <x v="657"/>
    <n v="20000000"/>
    <x v="91"/>
    <x v="2"/>
    <s v="pagado"/>
    <s v="pagado"/>
    <x v="0"/>
  </r>
  <r>
    <n v="3000003524"/>
    <d v="2025-07-01T00:00:00"/>
    <n v="14715513.439999999"/>
    <s v="TRANSPORTE FRIOS DEL NORTE S.RSAN MIGUEL DE TUCUMAN 14"/>
    <x v="658"/>
    <n v="14715513.439999999"/>
    <x v="92"/>
    <x v="2"/>
    <s v="pagado"/>
    <s v="pagado"/>
    <x v="0"/>
  </r>
  <r>
    <n v="3000003525"/>
    <d v="2025-07-01T00:00:00"/>
    <n v="8070083.9699999997"/>
    <s v="Terminal 4 S.A. Puerto Nuevo 01"/>
    <x v="659"/>
    <n v="8070083.9699999997"/>
    <x v="91"/>
    <x v="2"/>
    <s v="pagado"/>
    <s v="pagado"/>
    <x v="0"/>
  </r>
  <r>
    <n v="3000003526"/>
    <d v="2025-07-01T00:00:00"/>
    <n v="12874847.92"/>
    <s v="BONSUR SA CAPITAL FEDERAL 00"/>
    <x v="660"/>
    <n v="12874847.92"/>
    <x v="91"/>
    <x v="2"/>
    <s v="pagado"/>
    <s v="pagado"/>
    <x v="0"/>
  </r>
  <r>
    <n v="3000003527"/>
    <d v="2025-07-01T00:00:00"/>
    <n v="10000000"/>
    <s v="LATCOMEX SA CAPITAL FEDERAL 00"/>
    <x v="661"/>
    <n v="10000000"/>
    <x v="91"/>
    <x v="2"/>
    <s v="pagado"/>
    <s v="pagado"/>
    <x v="0"/>
  </r>
  <r>
    <n v="3000003527"/>
    <d v="2025-07-01T00:00:00"/>
    <n v="10170667.92"/>
    <s v="LATCOMEX SA CAPITAL FEDERAL 00"/>
    <x v="662"/>
    <n v="10170667.92"/>
    <x v="92"/>
    <x v="2"/>
    <s v="pagado"/>
    <s v="pagado"/>
    <x v="0"/>
  </r>
  <r>
    <n v="3000003528"/>
    <d v="2025-07-01T00:00:00"/>
    <n v="10000000"/>
    <s v="D´ANDREA SERGIO FRANCISCO YERBA BUENA 14"/>
    <x v="663"/>
    <n v="10000000"/>
    <x v="91"/>
    <x v="2"/>
    <s v="pagado"/>
    <s v="pagado"/>
    <x v="0"/>
  </r>
  <r>
    <n v="3000003528"/>
    <d v="2025-07-01T00:00:00"/>
    <n v="8430989.8900000006"/>
    <s v="D´ANDREA SERGIO FRANCISCO YERBA BUENA 14"/>
    <x v="664"/>
    <n v="8430989.8900000006"/>
    <x v="92"/>
    <x v="2"/>
    <s v="pagado"/>
    <s v="pagado"/>
    <x v="0"/>
  </r>
  <r>
    <n v="3000003529"/>
    <d v="2025-07-01T00:00:00"/>
    <n v="6622806.2800000003"/>
    <s v="GEREZ ALICIA ELEUTERIA SAN MIGUEL DE TUCUMAN 14"/>
    <x v="665"/>
    <n v="6622806.2800000003"/>
    <x v="91"/>
    <x v="2"/>
    <s v="pagado"/>
    <s v="pagado"/>
    <x v="0"/>
  </r>
  <r>
    <n v="3000003530"/>
    <d v="2025-07-02T00:00:00"/>
    <n v="9020002.0299999993"/>
    <s v="AUAD ANDREA ALEJANDRA SAN MIGUEL DE TUCUMAN 14"/>
    <x v="666"/>
    <n v="9020002.0299999993"/>
    <x v="92"/>
    <x v="2"/>
    <s v="pagado"/>
    <s v="pagado"/>
    <x v="0"/>
  </r>
  <r>
    <n v="3000003531"/>
    <d v="2025-07-02T00:00:00"/>
    <n v="25615103.690000001"/>
    <s v="EXPORTADORA DEL LITORAL SA SAN PEDRO 01"/>
    <x v="667"/>
    <n v="25615103.690000001"/>
    <x v="92"/>
    <x v="2"/>
    <s v="pagado"/>
    <s v="pagado"/>
    <x v="0"/>
  </r>
  <r>
    <n v="3000003634"/>
    <d v="2025-07-03T00:00:00"/>
    <n v="5196842.9800000004"/>
    <s v="FICOVIL TUCUMAN"/>
    <x v="668"/>
    <n v="5196842.9800000004"/>
    <x v="93"/>
    <x v="2"/>
    <s v="pagado"/>
    <s v="pagado"/>
    <x v="0"/>
  </r>
  <r>
    <n v="3000003634"/>
    <d v="2025-07-03T00:00:00"/>
    <n v="46811.51"/>
    <s v="FICOVIL TUCUMAN"/>
    <x v="669"/>
    <n v="46811.51"/>
    <x v="93"/>
    <x v="2"/>
    <s v="pagado"/>
    <s v="pagado"/>
    <x v="0"/>
  </r>
  <r>
    <n v="3000003634"/>
    <d v="2025-07-03T00:00:00"/>
    <n v="2758609.5"/>
    <s v="FICOVIL TUCUMAN"/>
    <x v="670"/>
    <n v="2758609.5"/>
    <x v="93"/>
    <x v="2"/>
    <s v="pagado"/>
    <s v="pagado"/>
    <x v="0"/>
  </r>
  <r>
    <n v="3000003634"/>
    <d v="2025-07-03T00:00:00"/>
    <n v="2758609.5"/>
    <s v="FICOVIL TUCUMAN"/>
    <x v="671"/>
    <n v="2758609.5"/>
    <x v="93"/>
    <x v="2"/>
    <s v="pagado"/>
    <s v="pagado"/>
    <x v="0"/>
  </r>
  <r>
    <n v="3000003634"/>
    <d v="2025-07-03T00:00:00"/>
    <n v="38049786.170000002"/>
    <s v="FICOVIL TUCUMAN"/>
    <x v="672"/>
    <n v="38049786.170000002"/>
    <x v="93"/>
    <x v="2"/>
    <s v="pagado"/>
    <s v="pagado"/>
    <x v="0"/>
  </r>
  <r>
    <n v="3000003635"/>
    <d v="2025-07-03T00:00:00"/>
    <n v="6829004.1900000004"/>
    <s v="FICODAL TUCUMAN"/>
    <x v="673"/>
    <n v="6829004.1900000004"/>
    <x v="93"/>
    <x v="2"/>
    <s v="pagado"/>
    <s v="pagado"/>
    <x v="0"/>
  </r>
  <r>
    <n v="3000003635"/>
    <d v="2025-07-03T00:00:00"/>
    <n v="61513.5"/>
    <s v="FICODAL TUCUMAN"/>
    <x v="674"/>
    <n v="61513.5"/>
    <x v="93"/>
    <x v="2"/>
    <s v="pagado"/>
    <s v="pagado"/>
    <x v="0"/>
  </r>
  <r>
    <n v="3000003635"/>
    <d v="2025-07-03T00:00:00"/>
    <n v="3625000"/>
    <s v="FICODAL TUCUMAN"/>
    <x v="675"/>
    <n v="3625000"/>
    <x v="93"/>
    <x v="2"/>
    <s v="pagado"/>
    <s v="pagado"/>
    <x v="0"/>
  </r>
  <r>
    <n v="3000003635"/>
    <d v="2025-07-03T00:00:00"/>
    <n v="3625000"/>
    <s v="FICODAL TUCUMAN"/>
    <x v="676"/>
    <n v="3625000"/>
    <x v="93"/>
    <x v="2"/>
    <s v="pagado"/>
    <s v="pagado"/>
    <x v="0"/>
  </r>
  <r>
    <n v="3000003635"/>
    <d v="2025-07-03T00:00:00"/>
    <n v="50000000"/>
    <s v="FICODAL TUCUMAN"/>
    <x v="677"/>
    <n v="50000000"/>
    <x v="93"/>
    <x v="2"/>
    <s v="pagado"/>
    <s v="pagado"/>
    <x v="0"/>
  </r>
  <r>
    <n v="3000003636"/>
    <d v="2025-07-03T00:00:00"/>
    <n v="1632161.21"/>
    <s v="FICOPEL TUCUMAN"/>
    <x v="678"/>
    <n v="1632161.21"/>
    <x v="93"/>
    <x v="2"/>
    <s v="pagado"/>
    <s v="pagado"/>
    <x v="0"/>
  </r>
  <r>
    <n v="3000003636"/>
    <d v="2025-07-03T00:00:00"/>
    <n v="14701.99"/>
    <s v="FICOPEL TUCUMAN"/>
    <x v="679"/>
    <n v="14701.99"/>
    <x v="93"/>
    <x v="2"/>
    <s v="pagado"/>
    <s v="pagado"/>
    <x v="0"/>
  </r>
  <r>
    <n v="3000003636"/>
    <d v="2025-07-03T00:00:00"/>
    <n v="866390.5"/>
    <s v="FICOPEL TUCUMAN"/>
    <x v="680"/>
    <n v="866390.5"/>
    <x v="93"/>
    <x v="2"/>
    <s v="pagado"/>
    <s v="pagado"/>
    <x v="0"/>
  </r>
  <r>
    <n v="3000003636"/>
    <d v="2025-07-03T00:00:00"/>
    <n v="866390.5"/>
    <s v="FICOPEL TUCUMAN"/>
    <x v="681"/>
    <n v="866390.5"/>
    <x v="93"/>
    <x v="2"/>
    <s v="pagado"/>
    <s v="pagado"/>
    <x v="0"/>
  </r>
  <r>
    <n v="3000003636"/>
    <d v="2025-07-03T00:00:00"/>
    <n v="11950213.83"/>
    <s v="FICOPEL TUCUMAN"/>
    <x v="682"/>
    <n v="11950213.83"/>
    <x v="93"/>
    <x v="2"/>
    <s v="pagado"/>
    <s v="pagado"/>
    <x v="0"/>
  </r>
  <r>
    <n v="3000003637"/>
    <d v="2025-07-03T00:00:00"/>
    <n v="45802777.619999997"/>
    <s v="FICOVIL TUCUMAN"/>
    <x v="683"/>
    <n v="45802777.619999997"/>
    <x v="93"/>
    <x v="2"/>
    <s v="pagado"/>
    <s v="pagado"/>
    <x v="0"/>
  </r>
  <r>
    <n v="3000003637"/>
    <d v="2025-07-03T00:00:00"/>
    <n v="518336.5"/>
    <s v="FICOVIL TUCUMAN"/>
    <x v="684"/>
    <n v="518336.5"/>
    <x v="93"/>
    <x v="2"/>
    <s v="pagado"/>
    <s v="pagado"/>
    <x v="0"/>
  </r>
  <r>
    <n v="3000003637"/>
    <d v="2025-07-03T00:00:00"/>
    <n v="32627008.489999998"/>
    <s v="FICOVIL TUCUMAN"/>
    <x v="685"/>
    <n v="32627008.489999998"/>
    <x v="93"/>
    <x v="2"/>
    <s v="pagado"/>
    <s v="pagado"/>
    <x v="0"/>
  </r>
  <r>
    <n v="3000003637"/>
    <d v="2025-07-03T00:00:00"/>
    <n v="29915816.530000001"/>
    <s v="FICOVIL TUCUMAN"/>
    <x v="686"/>
    <n v="29915816.530000001"/>
    <x v="93"/>
    <x v="2"/>
    <s v="pagado"/>
    <s v="pagado"/>
    <x v="0"/>
  </r>
  <r>
    <n v="3000003637"/>
    <d v="2025-07-03T00:00:00"/>
    <n v="29915816.52"/>
    <s v="FICOVIL TUCUMAN"/>
    <x v="687"/>
    <n v="29915816.52"/>
    <x v="93"/>
    <x v="2"/>
    <s v="pagado"/>
    <s v="pagado"/>
    <x v="0"/>
  </r>
  <r>
    <n v="3000003638"/>
    <d v="2025-07-03T00:00:00"/>
    <n v="681129.32"/>
    <s v="FICODAL TUCUMAN"/>
    <x v="688"/>
    <n v="681129.32"/>
    <x v="93"/>
    <x v="2"/>
    <s v="pagado"/>
    <s v="pagado"/>
    <x v="0"/>
  </r>
  <r>
    <n v="3000003638"/>
    <d v="2025-07-03T00:00:00"/>
    <n v="42874102.289999999"/>
    <s v="FICODAL TUCUMAN"/>
    <x v="689"/>
    <n v="42874102.289999999"/>
    <x v="93"/>
    <x v="2"/>
    <s v="pagado"/>
    <s v="pagado"/>
    <x v="0"/>
  </r>
  <r>
    <n v="3000003638"/>
    <d v="2025-07-03T00:00:00"/>
    <n v="39311412.149999999"/>
    <s v="FICODAL TUCUMAN"/>
    <x v="690"/>
    <n v="39311412.149999999"/>
    <x v="93"/>
    <x v="2"/>
    <s v="pagado"/>
    <s v="pagado"/>
    <x v="0"/>
  </r>
  <r>
    <n v="3000003638"/>
    <d v="2025-07-03T00:00:00"/>
    <n v="39311412.149999999"/>
    <s v="FICODAL TUCUMAN"/>
    <x v="691"/>
    <n v="39311412.149999999"/>
    <x v="93"/>
    <x v="2"/>
    <s v="pagado"/>
    <s v="pagado"/>
    <x v="0"/>
  </r>
  <r>
    <n v="3000003639"/>
    <d v="2025-07-03T00:00:00"/>
    <n v="14385179.029999999"/>
    <s v="FICOPEL TUCUMAN"/>
    <x v="692"/>
    <n v="14385179.029999999"/>
    <x v="93"/>
    <x v="2"/>
    <s v="pagado"/>
    <s v="pagado"/>
    <x v="0"/>
  </r>
  <r>
    <n v="3000003639"/>
    <d v="2025-07-03T00:00:00"/>
    <n v="162792.82"/>
    <s v="FICOPEL TUCUMAN"/>
    <x v="693"/>
    <n v="162792.82"/>
    <x v="93"/>
    <x v="2"/>
    <s v="pagado"/>
    <s v="pagado"/>
    <x v="0"/>
  </r>
  <r>
    <n v="3000003639"/>
    <d v="2025-07-03T00:00:00"/>
    <n v="10247093.800000001"/>
    <s v="FICOPEL TUCUMAN"/>
    <x v="694"/>
    <n v="10247093.800000001"/>
    <x v="93"/>
    <x v="2"/>
    <s v="pagado"/>
    <s v="pagado"/>
    <x v="0"/>
  </r>
  <r>
    <n v="3000003639"/>
    <d v="2025-07-03T00:00:00"/>
    <n v="26913913.91"/>
    <s v="FICOPEL TUCUMAN"/>
    <x v="695"/>
    <n v="26913913.91"/>
    <x v="93"/>
    <x v="2"/>
    <s v="pagado"/>
    <s v="pagado"/>
    <x v="0"/>
  </r>
  <r>
    <n v="3000003639"/>
    <d v="2025-07-03T00:00:00"/>
    <n v="9395595.6199999992"/>
    <s v="FICOPEL TUCUMAN"/>
    <x v="696"/>
    <n v="9395595.6199999992"/>
    <x v="93"/>
    <x v="2"/>
    <s v="pagado"/>
    <s v="pagado"/>
    <x v="0"/>
  </r>
  <r>
    <n v="3000003639"/>
    <d v="2025-07-03T00:00:00"/>
    <n v="9395595.6199999992"/>
    <s v="FICOPEL TUCUMAN"/>
    <x v="697"/>
    <n v="9395595.6199999992"/>
    <x v="93"/>
    <x v="2"/>
    <s v="pagado"/>
    <s v="pagado"/>
    <x v="0"/>
  </r>
  <r>
    <n v="3000003640"/>
    <d v="2025-07-03T00:00:00"/>
    <n v="19613283.219999999"/>
    <s v="FICOPEL TUCUMAN"/>
    <x v="698"/>
    <n v="19613283.219999999"/>
    <x v="93"/>
    <x v="2"/>
    <s v="pagado"/>
    <s v="pagado"/>
    <x v="0"/>
  </r>
  <r>
    <n v="3000003625"/>
    <d v="2025-07-03T00:00:00"/>
    <n v="0"/>
    <s v="FICOVIL TUCUMAN"/>
    <x v="699"/>
    <n v="0"/>
    <x v="90"/>
    <x v="0"/>
    <s v="no pagado"/>
    <s v="fuera de fecha"/>
    <x v="0"/>
  </r>
  <r>
    <n v="3000003626"/>
    <d v="2025-07-03T00:00:00"/>
    <n v="0"/>
    <s v="FICODAL TUCUMAN"/>
    <x v="700"/>
    <n v="0"/>
    <x v="90"/>
    <x v="0"/>
    <s v="no pagado"/>
    <s v="fuera de fecha"/>
    <x v="0"/>
  </r>
  <r>
    <n v="3000003627"/>
    <d v="2025-07-03T00:00:00"/>
    <n v="0"/>
    <s v="FICOPEL TUCUMAN"/>
    <x v="701"/>
    <n v="0"/>
    <x v="90"/>
    <x v="0"/>
    <s v="no pagado"/>
    <s v="fuera de fecha"/>
    <x v="0"/>
  </r>
  <r>
    <n v="3000003628"/>
    <d v="2025-07-03T00:00:00"/>
    <n v="0"/>
    <s v="FICOVIL TUCUMAN"/>
    <x v="702"/>
    <n v="0"/>
    <x v="90"/>
    <x v="0"/>
    <s v="no pagado"/>
    <s v="fuera de fecha"/>
    <x v="0"/>
  </r>
  <r>
    <n v="3000003629"/>
    <d v="2025-07-03T00:00:00"/>
    <n v="0"/>
    <s v="FICODAL TUCUMAN"/>
    <x v="703"/>
    <n v="0"/>
    <x v="90"/>
    <x v="0"/>
    <s v="no pagado"/>
    <s v="fuera de fecha"/>
    <x v="0"/>
  </r>
  <r>
    <n v="3000003630"/>
    <d v="2025-07-03T00:00:00"/>
    <n v="0"/>
    <s v="FICOPEL TUCUMAN"/>
    <x v="704"/>
    <n v="0"/>
    <x v="90"/>
    <x v="0"/>
    <s v="no pagado"/>
    <s v="fuera de fecha"/>
    <x v="0"/>
  </r>
  <r>
    <n v="3000003631"/>
    <d v="2025-07-03T00:00:00"/>
    <n v="0"/>
    <s v="FICOVIL TUCUMAN"/>
    <x v="705"/>
    <n v="0"/>
    <x v="90"/>
    <x v="0"/>
    <s v="no pagado"/>
    <s v="fuera de fecha"/>
    <x v="0"/>
  </r>
  <r>
    <n v="3000003632"/>
    <d v="2025-07-03T00:00:00"/>
    <n v="0"/>
    <s v="FICODAL TUCUMAN"/>
    <x v="706"/>
    <n v="0"/>
    <x v="90"/>
    <x v="0"/>
    <s v="no pagado"/>
    <s v="fuera de fecha"/>
    <x v="0"/>
  </r>
  <r>
    <n v="3000003633"/>
    <d v="2025-07-03T00:00:00"/>
    <n v="0"/>
    <s v="FICOPEL TUCUMAN"/>
    <x v="707"/>
    <n v="0"/>
    <x v="90"/>
    <x v="0"/>
    <s v="no pagado"/>
    <s v="fuera de fecha"/>
    <x v="0"/>
  </r>
  <r>
    <n v="3000003583"/>
    <d v="2025-07-02T00:00:00"/>
    <n v="1626930.2"/>
    <s v="TRANSPORTE MEDINA S.H."/>
    <x v="708"/>
    <n v="1626930.2"/>
    <x v="92"/>
    <x v="0"/>
    <s v="no pagado"/>
    <s v="fuera de fecha"/>
    <x v="0"/>
  </r>
  <r>
    <n v="3000003730"/>
    <d v="2025-07-08T00:00:00"/>
    <n v="20000000"/>
    <s v="Jeblab S.R.L. YERBA BUENA 14"/>
    <x v="709"/>
    <n v="20000000"/>
    <x v="94"/>
    <x v="2"/>
    <s v="pagado"/>
    <s v="pagado"/>
    <x v="0"/>
  </r>
  <r>
    <n v="3000003730"/>
    <d v="2025-07-08T00:00:00"/>
    <n v="14723343.4"/>
    <s v="Jeblab S.R.L. YERBA BUENA 14"/>
    <x v="710"/>
    <n v="14723343.4"/>
    <x v="95"/>
    <x v="2"/>
    <s v="pagado"/>
    <s v="pagado"/>
    <x v="0"/>
  </r>
  <r>
    <n v="3000003731"/>
    <d v="2025-07-08T00:00:00"/>
    <n v="7354746.9699999997"/>
    <s v="Marchese Grandi Meson y Asoc SAN MIGUEL DE TUCUMAN 14"/>
    <x v="711"/>
    <n v="7354746.9699999997"/>
    <x v="94"/>
    <x v="2"/>
    <s v="pagado"/>
    <s v="pagado"/>
    <x v="0"/>
  </r>
  <r>
    <n v="3000003732"/>
    <d v="2025-07-08T00:00:00"/>
    <n v="5758114.7300000004"/>
    <s v="NORTE DISTRIBUCIONES S.R.L SAN MIGUEL DE TUCUMAN 14"/>
    <x v="712"/>
    <n v="5758114.7300000004"/>
    <x v="94"/>
    <x v="2"/>
    <s v="pagado"/>
    <s v="pagado"/>
    <x v="0"/>
  </r>
  <r>
    <n v="3000003733"/>
    <d v="2025-07-08T00:00:00"/>
    <n v="7476575.6299999999"/>
    <s v="CAFELI S.R.L. SAN MIGUEL DE TUCUMAN 14"/>
    <x v="713"/>
    <n v="7476575.6299999999"/>
    <x v="94"/>
    <x v="2"/>
    <s v="pagado"/>
    <s v="pagado"/>
    <x v="0"/>
  </r>
  <r>
    <n v="3000003734"/>
    <d v="2025-07-08T00:00:00"/>
    <n v="5020319.4000000004"/>
    <s v="SEGURIDAD OMEGA SRL SAN FERNANDO DEL VALLE DE CATAMARCA 02"/>
    <x v="714"/>
    <n v="5020319.4000000004"/>
    <x v="94"/>
    <x v="2"/>
    <s v="pagado"/>
    <s v="pagado"/>
    <x v="0"/>
  </r>
  <r>
    <n v="3000003735"/>
    <d v="2025-07-08T00:00:00"/>
    <n v="20000000"/>
    <s v="SMART SEGURIDAD SA YERBA BUENA 14"/>
    <x v="715"/>
    <n v="20000000"/>
    <x v="94"/>
    <x v="2"/>
    <s v="pagado"/>
    <s v="pagado"/>
    <x v="0"/>
  </r>
  <r>
    <n v="3000003735"/>
    <d v="2025-07-08T00:00:00"/>
    <n v="13230697.699999999"/>
    <s v="SMART SEGURIDAD SA YERBA BUENA 14"/>
    <x v="716"/>
    <n v="13230697.699999999"/>
    <x v="95"/>
    <x v="2"/>
    <s v="pagado"/>
    <s v="pagado"/>
    <x v="0"/>
  </r>
  <r>
    <n v="3000003736"/>
    <d v="2025-07-08T00:00:00"/>
    <n v="24000000"/>
    <s v="M. AMUCHASTEGUI S. R. L. YERBA BUENA 14"/>
    <x v="717"/>
    <n v="24000000"/>
    <x v="94"/>
    <x v="2"/>
    <s v="pagado"/>
    <s v="pagado"/>
    <x v="0"/>
  </r>
  <r>
    <n v="3000003736"/>
    <d v="2025-07-08T00:00:00"/>
    <n v="24201797.289999999"/>
    <s v="M. AMUCHASTEGUI S. R. L. YERBA BUENA 14"/>
    <x v="718"/>
    <n v="24201797.289999999"/>
    <x v="95"/>
    <x v="2"/>
    <s v="pagado"/>
    <s v="pagado"/>
    <x v="0"/>
  </r>
  <r>
    <n v="3000003737"/>
    <d v="2025-07-08T00:00:00"/>
    <n v="24000000"/>
    <s v="TRUSARELLI CARLOS ALBERTO BANDA DEL RIO SALI 14"/>
    <x v="719"/>
    <n v="24000000"/>
    <x v="94"/>
    <x v="2"/>
    <s v="pagado"/>
    <s v="pagado"/>
    <x v="0"/>
  </r>
  <r>
    <n v="3000003737"/>
    <d v="2025-07-08T00:00:00"/>
    <n v="23499662.199999999"/>
    <s v="TRUSARELLI CARLOS ALBERTO BANDA DEL RIO SALI 14"/>
    <x v="720"/>
    <n v="23499662.199999999"/>
    <x v="95"/>
    <x v="2"/>
    <s v="pagado"/>
    <s v="pagado"/>
    <x v="0"/>
  </r>
  <r>
    <n v="3000003738"/>
    <d v="2025-07-08T00:00:00"/>
    <n v="10000000"/>
    <s v="CAMPOAGRO SRL YERBA BUENA 14"/>
    <x v="721"/>
    <n v="10000000"/>
    <x v="94"/>
    <x v="2"/>
    <s v="pagado"/>
    <s v="pagado"/>
    <x v="0"/>
  </r>
  <r>
    <n v="3000003738"/>
    <d v="2025-07-08T00:00:00"/>
    <n v="7766457.1500000004"/>
    <s v="CAMPOAGRO SRL YERBA BUENA 14"/>
    <x v="722"/>
    <n v="7766457.1500000004"/>
    <x v="95"/>
    <x v="2"/>
    <s v="pagado"/>
    <s v="pagado"/>
    <x v="0"/>
  </r>
  <r>
    <n v="3000003739"/>
    <d v="2025-07-08T00:00:00"/>
    <n v="10000000"/>
    <s v="Verde y Sol S.R.L. SAN MIGUEL DE TUCUMAN 14"/>
    <x v="723"/>
    <n v="10000000"/>
    <x v="94"/>
    <x v="2"/>
    <s v="pagado"/>
    <s v="pagado"/>
    <x v="0"/>
  </r>
  <r>
    <n v="3000003739"/>
    <d v="2025-07-08T00:00:00"/>
    <n v="6764504.54"/>
    <s v="Verde y Sol S.R.L. SAN MIGUEL DE TUCUMAN 14"/>
    <x v="724"/>
    <n v="6764504.54"/>
    <x v="95"/>
    <x v="2"/>
    <s v="pagado"/>
    <s v="pagado"/>
    <x v="0"/>
  </r>
  <r>
    <n v="3000003740"/>
    <d v="2025-07-08T00:00:00"/>
    <n v="6208715.3499999996"/>
    <s v="fyl trans srl SAN MIGUEL DE TUCUMAN 14"/>
    <x v="725"/>
    <n v="6208715.3499999996"/>
    <x v="94"/>
    <x v="2"/>
    <s v="pagado"/>
    <s v="pagado"/>
    <x v="0"/>
  </r>
  <r>
    <n v="3000003741"/>
    <d v="2025-07-08T00:00:00"/>
    <n v="20000000"/>
    <s v="MARTINEZ ZUCCARDI JORGE AGUSTISANTA LUCIA 14"/>
    <x v="726"/>
    <n v="20000000"/>
    <x v="94"/>
    <x v="2"/>
    <s v="pagado"/>
    <s v="pagado"/>
    <x v="0"/>
  </r>
  <r>
    <n v="3000003741"/>
    <d v="2025-07-08T00:00:00"/>
    <n v="15614443.08"/>
    <s v="MARTINEZ ZUCCARDI JORGE AGUSTISANTA LUCIA 14"/>
    <x v="727"/>
    <n v="15614443.08"/>
    <x v="95"/>
    <x v="2"/>
    <s v="pagado"/>
    <s v="pagado"/>
    <x v="0"/>
  </r>
  <r>
    <n v="3000003742"/>
    <d v="2025-07-08T00:00:00"/>
    <n v="25000000"/>
    <s v="Mudad Francisco Esteban Los Nogales 14"/>
    <x v="728"/>
    <n v="25000000"/>
    <x v="94"/>
    <x v="2"/>
    <s v="pagado"/>
    <s v="pagado"/>
    <x v="0"/>
  </r>
  <r>
    <n v="3000003742"/>
    <d v="2025-07-08T00:00:00"/>
    <n v="24680603.440000001"/>
    <s v="Mudad Francisco Esteban Los Nogales 14"/>
    <x v="729"/>
    <n v="24680603.440000001"/>
    <x v="95"/>
    <x v="2"/>
    <s v="pagado"/>
    <s v="pagado"/>
    <x v="0"/>
  </r>
  <r>
    <n v="3000003743"/>
    <d v="2025-07-08T00:00:00"/>
    <n v="15000000"/>
    <s v="MG SERVICIOS AGROPECUARIOS SASTAFI VIEJO 14"/>
    <x v="730"/>
    <n v="15000000"/>
    <x v="94"/>
    <x v="2"/>
    <s v="pagado"/>
    <s v="pagado"/>
    <x v="0"/>
  </r>
  <r>
    <n v="3000003743"/>
    <d v="2025-07-08T00:00:00"/>
    <n v="15000000"/>
    <s v="MG SERVICIOS AGROPECUARIOS SASTAFI VIEJO 14"/>
    <x v="731"/>
    <n v="15000000"/>
    <x v="94"/>
    <x v="2"/>
    <s v="pagado"/>
    <s v="pagado"/>
    <x v="0"/>
  </r>
  <r>
    <n v="3000003743"/>
    <d v="2025-07-08T00:00:00"/>
    <n v="15000000"/>
    <s v="MG SERVICIOS AGROPECUARIOS SASTAFI VIEJO 14"/>
    <x v="732"/>
    <n v="15000000"/>
    <x v="95"/>
    <x v="2"/>
    <s v="pagado"/>
    <s v="pagado"/>
    <x v="0"/>
  </r>
  <r>
    <n v="3000003743"/>
    <d v="2025-07-08T00:00:00"/>
    <n v="15326630.699999999"/>
    <s v="MG SERVICIOS AGROPECUARIOS SASTAFI VIEJO 14"/>
    <x v="733"/>
    <n v="15326630.699999999"/>
    <x v="95"/>
    <x v="2"/>
    <s v="pagado"/>
    <s v="pagado"/>
    <x v="0"/>
  </r>
  <r>
    <n v="3000003744"/>
    <d v="2025-07-08T00:00:00"/>
    <n v="5633692.1699999999"/>
    <s v="DUN Y BRADSTREET S.A CIUDAD AUTONOMA DE BUENOS AIRES 01"/>
    <x v="734"/>
    <n v="5633692.1699999999"/>
    <x v="94"/>
    <x v="2"/>
    <s v="pagado"/>
    <s v="pagado"/>
    <x v="0"/>
  </r>
  <r>
    <n v="3000003745"/>
    <d v="2025-07-08T00:00:00"/>
    <n v="7658980"/>
    <s v="Atenor Hnos. S.R.L SAN MIGUEL DE TUCUMAN 14"/>
    <x v="735"/>
    <n v="7658980"/>
    <x v="94"/>
    <x v="2"/>
    <s v="pagado"/>
    <s v="pagado"/>
    <x v="0"/>
  </r>
  <r>
    <n v="3000003746"/>
    <d v="2025-07-08T00:00:00"/>
    <n v="6217335.1100000003"/>
    <s v="TUCUMAN PALLET SRL EL MANANTIAL 14"/>
    <x v="736"/>
    <n v="6217335.1100000003"/>
    <x v="94"/>
    <x v="2"/>
    <s v="pagado"/>
    <s v="pagado"/>
    <x v="0"/>
  </r>
  <r>
    <n v="3000003747"/>
    <d v="2025-07-08T00:00:00"/>
    <n v="10000000"/>
    <s v="Asoc. Coop.Fac.Cie.Exac.y Tec.SAN MIGUEL DE TUCUMAN 14"/>
    <x v="737"/>
    <n v="10000000"/>
    <x v="94"/>
    <x v="2"/>
    <s v="pagado"/>
    <s v="pagado"/>
    <x v="0"/>
  </r>
  <r>
    <n v="3000003747"/>
    <d v="2025-07-08T00:00:00"/>
    <n v="9331743"/>
    <s v="Asoc. Coop.Fac.Cie.Exac.y Tec.SAN MIGUEL DE TUCUMAN 14"/>
    <x v="738"/>
    <n v="9331743"/>
    <x v="95"/>
    <x v="2"/>
    <s v="pagado"/>
    <s v="pagado"/>
    <x v="0"/>
  </r>
  <r>
    <n v="3000003748"/>
    <d v="2025-07-08T00:00:00"/>
    <n v="22000000"/>
    <s v="CEFAS S.A CIUDAD AUTONOMA DE BUENOS AIRES 01"/>
    <x v="739"/>
    <n v="22000000"/>
    <x v="94"/>
    <x v="2"/>
    <s v="pagado"/>
    <s v="pagado"/>
    <x v="0"/>
  </r>
  <r>
    <n v="3000003748"/>
    <d v="2025-07-08T00:00:00"/>
    <n v="20944742.699999999"/>
    <s v="CEFAS S.A CIUDAD AUTONOMA DE BUENOS AIRES 01"/>
    <x v="740"/>
    <n v="20944742.699999999"/>
    <x v="95"/>
    <x v="2"/>
    <s v="pagado"/>
    <s v="pagado"/>
    <x v="0"/>
  </r>
  <r>
    <n v="3000003749"/>
    <d v="2025-07-08T00:00:00"/>
    <n v="13000000"/>
    <s v="CORTEZ CHRISTIE ANA INES YERBA BUENA 14"/>
    <x v="741"/>
    <n v="13000000"/>
    <x v="94"/>
    <x v="2"/>
    <s v="pagado"/>
    <s v="pagado"/>
    <x v="0"/>
  </r>
  <r>
    <n v="3000003749"/>
    <d v="2025-07-08T00:00:00"/>
    <n v="10211664"/>
    <s v="CORTEZ CHRISTIE ANA INES YERBA BUENA 14"/>
    <x v="742"/>
    <n v="10211664"/>
    <x v="95"/>
    <x v="2"/>
    <s v="pagado"/>
    <s v="pagado"/>
    <x v="0"/>
  </r>
  <r>
    <n v="3000003750"/>
    <d v="2025-07-08T00:00:00"/>
    <n v="36000000"/>
    <s v="LA MARTINA SERV. AGRICOLAS S.RSAN PABLO 14"/>
    <x v="743"/>
    <n v="36000000"/>
    <x v="94"/>
    <x v="2"/>
    <s v="pagado"/>
    <s v="pagado"/>
    <x v="0"/>
  </r>
  <r>
    <n v="3000003750"/>
    <d v="2025-07-08T00:00:00"/>
    <n v="30093588.199999999"/>
    <s v="LA MARTINA SERV. AGRICOLAS S.RSAN PABLO 14"/>
    <x v="744"/>
    <n v="30093588.199999999"/>
    <x v="95"/>
    <x v="2"/>
    <s v="pagado"/>
    <s v="pagado"/>
    <x v="0"/>
  </r>
  <r>
    <n v="3000003751"/>
    <d v="2025-07-08T00:00:00"/>
    <n v="20000000"/>
    <s v="PAMPLONA SRL SAN MIGUEL DE TUCUMAN 14"/>
    <x v="745"/>
    <n v="20000000"/>
    <x v="94"/>
    <x v="2"/>
    <s v="pagado"/>
    <s v="pagado"/>
    <x v="0"/>
  </r>
  <r>
    <n v="3000003751"/>
    <d v="2025-07-08T00:00:00"/>
    <n v="18158856.329999998"/>
    <s v="PAMPLONA SRL SAN MIGUEL DE TUCUMAN 14"/>
    <x v="746"/>
    <n v="18158856.329999998"/>
    <x v="95"/>
    <x v="2"/>
    <s v="pagado"/>
    <s v="pagado"/>
    <x v="0"/>
  </r>
  <r>
    <n v="3000003752"/>
    <d v="2025-07-08T00:00:00"/>
    <n v="15000000"/>
    <s v="ROMERO SERVICIOS S. A. S. ALPACHIRI 14"/>
    <x v="747"/>
    <n v="15000000"/>
    <x v="94"/>
    <x v="2"/>
    <s v="pagado"/>
    <s v="pagado"/>
    <x v="0"/>
  </r>
  <r>
    <n v="3000003752"/>
    <d v="2025-07-08T00:00:00"/>
    <n v="12332042.08"/>
    <s v="ROMERO SERVICIOS S. A. S. ALPACHIRI 14"/>
    <x v="748"/>
    <n v="12332042.08"/>
    <x v="95"/>
    <x v="2"/>
    <s v="pagado"/>
    <s v="pagado"/>
    <x v="0"/>
  </r>
  <r>
    <n v="3000003753"/>
    <d v="2025-07-08T00:00:00"/>
    <n v="12752756.26"/>
    <s v="SAUCE HUACHO SERVICIOS S.R.L MONTEROS 14"/>
    <x v="749"/>
    <n v="12752756.26"/>
    <x v="94"/>
    <x v="2"/>
    <s v="pagado"/>
    <s v="pagado"/>
    <x v="0"/>
  </r>
  <r>
    <n v="3000003754"/>
    <d v="2025-07-08T00:00:00"/>
    <n v="10000000"/>
    <s v="MG SERVICIOS AGROPECUARIOS SASTAFI VIEJO 14"/>
    <x v="750"/>
    <n v="10000000"/>
    <x v="94"/>
    <x v="2"/>
    <s v="pagado"/>
    <s v="pagado"/>
    <x v="0"/>
  </r>
  <r>
    <n v="3000003754"/>
    <d v="2025-07-08T00:00:00"/>
    <n v="10000000"/>
    <s v="MG SERVICIOS AGROPECUARIOS SASTAFI VIEJO 14"/>
    <x v="751"/>
    <n v="10000000"/>
    <x v="94"/>
    <x v="2"/>
    <s v="pagado"/>
    <s v="pagado"/>
    <x v="0"/>
  </r>
  <r>
    <n v="3000003754"/>
    <d v="2025-07-08T00:00:00"/>
    <n v="10000000"/>
    <s v="MG SERVICIOS AGROPECUARIOS SASTAFI VIEJO 14"/>
    <x v="752"/>
    <n v="10000000"/>
    <x v="94"/>
    <x v="2"/>
    <s v="pagado"/>
    <s v="pagado"/>
    <x v="0"/>
  </r>
  <r>
    <n v="3000003754"/>
    <d v="2025-07-08T00:00:00"/>
    <n v="10000000"/>
    <s v="MG SERVICIOS AGROPECUARIOS SASTAFI VIEJO 14"/>
    <x v="753"/>
    <n v="10000000"/>
    <x v="94"/>
    <x v="2"/>
    <s v="pagado"/>
    <s v="pagado"/>
    <x v="0"/>
  </r>
  <r>
    <n v="3000003754"/>
    <d v="2025-07-08T00:00:00"/>
    <n v="20000000"/>
    <s v="MG SERVICIOS AGROPECUARIOS SASTAFI VIEJO 14"/>
    <x v="754"/>
    <n v="20000000"/>
    <x v="95"/>
    <x v="2"/>
    <s v="pagado"/>
    <s v="pagado"/>
    <x v="0"/>
  </r>
  <r>
    <n v="3000003754"/>
    <d v="2025-07-08T00:00:00"/>
    <n v="23236134.239999998"/>
    <s v="MG SERVICIOS AGROPECUARIOS SASTAFI VIEJO 14"/>
    <x v="755"/>
    <n v="23236134.239999998"/>
    <x v="95"/>
    <x v="2"/>
    <s v="pagado"/>
    <s v="pagado"/>
    <x v="0"/>
  </r>
  <r>
    <n v="3000003755"/>
    <d v="2025-07-08T00:00:00"/>
    <n v="15939620.75"/>
    <s v="EXPORTADORA DEL LITORAL SA SAN PEDRO 01"/>
    <x v="756"/>
    <n v="15939620.75"/>
    <x v="94"/>
    <x v="2"/>
    <s v="pagado"/>
    <s v="pagado"/>
    <x v="0"/>
  </r>
  <r>
    <n v="3000003811"/>
    <d v="2025-07-10T00:00:00"/>
    <n v="6710848.5599999996"/>
    <s v="PAEZ LEONEL EXEQUIEL MACIO 14"/>
    <x v="757"/>
    <n v="6710848.5599999996"/>
    <x v="96"/>
    <x v="2"/>
    <s v="pagado"/>
    <s v="pagado"/>
    <x v="0"/>
  </r>
  <r>
    <n v="3000003812"/>
    <d v="2025-07-10T00:00:00"/>
    <n v="6753755.9000000004"/>
    <s v="HERRERA RICARDO ALBERTO BANDA DEL RIO SALI 14"/>
    <x v="758"/>
    <n v="6753755.9000000004"/>
    <x v="96"/>
    <x v="2"/>
    <s v="pagado"/>
    <s v="pagado"/>
    <x v="0"/>
  </r>
  <r>
    <n v="3000003813"/>
    <d v="2025-07-10T00:00:00"/>
    <n v="4831229.0199999996"/>
    <s v="VIDES HECTOR FERNANDO VILLA LA TRINIDAD 14"/>
    <x v="759"/>
    <n v="4831229.0199999996"/>
    <x v="96"/>
    <x v="2"/>
    <s v="pagado"/>
    <s v="pagado"/>
    <x v="0"/>
  </r>
  <r>
    <n v="3000003814"/>
    <d v="2025-07-10T00:00:00"/>
    <n v="17357672.760000002"/>
    <s v="TRANSPORTE FRIOS DEL NORTE S.RSAN MIGUEL DE TUCUMAN 14"/>
    <x v="760"/>
    <n v="17357672.760000002"/>
    <x v="96"/>
    <x v="2"/>
    <s v="pagado"/>
    <s v="pagado"/>
    <x v="0"/>
  </r>
  <r>
    <n v="3000003815"/>
    <d v="2025-07-10T00:00:00"/>
    <n v="20000000"/>
    <s v="CAPETTA ANTONELLA ANAHI SAN MIGUEL DE TUCUMAN 14"/>
    <x v="761"/>
    <n v="20000000"/>
    <x v="96"/>
    <x v="2"/>
    <s v="pagado"/>
    <s v="pagado"/>
    <x v="0"/>
  </r>
  <r>
    <n v="3000003815"/>
    <d v="2025-07-10T00:00:00"/>
    <n v="14533641.789999999"/>
    <s v="CAPETTA ANTONELLA ANAHI SAN MIGUEL DE TUCUMAN 14"/>
    <x v="762"/>
    <n v="14533641.789999999"/>
    <x v="96"/>
    <x v="2"/>
    <s v="pagado"/>
    <s v="pagado"/>
    <x v="0"/>
  </r>
  <r>
    <n v="3000003816"/>
    <d v="2025-07-10T00:00:00"/>
    <n v="0"/>
    <s v="invalidado med.EOLIVERA -Destruido/ Sin uso"/>
    <x v="763"/>
    <n v="0"/>
    <x v="96"/>
    <x v="2"/>
    <s v="no pagado"/>
    <s v="fuera de fecha"/>
    <x v="0"/>
  </r>
  <r>
    <n v="3000003816"/>
    <d v="2025-07-10T00:00:00"/>
    <n v="10914260.119999999"/>
    <s v="RL SOLUCIONES S. A. S. SAN MIGUEL DE TUCUMAN 14"/>
    <x v="764"/>
    <n v="10914260.119999999"/>
    <x v="96"/>
    <x v="2"/>
    <s v="pagado"/>
    <s v="pagado"/>
    <x v="0"/>
  </r>
  <r>
    <n v="3000003817"/>
    <d v="2025-07-10T00:00:00"/>
    <n v="4260111.08"/>
    <s v="MAC DONALD MIGUEL ALEJANDRO BANDA DEL RIO SALI 14"/>
    <x v="765"/>
    <n v="4260111.08"/>
    <x v="96"/>
    <x v="2"/>
    <s v="pagado"/>
    <s v="pagado"/>
    <x v="0"/>
  </r>
  <r>
    <n v="3000003818"/>
    <d v="2025-07-10T00:00:00"/>
    <n v="8466031.1600000001"/>
    <s v="JACQUET NORBERTO SALVADOR SAN JOSE 05"/>
    <x v="766"/>
    <n v="8466031.1600000001"/>
    <x v="96"/>
    <x v="2"/>
    <s v="pagado"/>
    <s v="pagado"/>
    <x v="0"/>
  </r>
  <r>
    <n v="3000003819"/>
    <d v="2025-07-10T00:00:00"/>
    <n v="0"/>
    <s v="invalidado med.EOLIVERA -Destruido/ Sin uso"/>
    <x v="767"/>
    <n v="0"/>
    <x v="96"/>
    <x v="2"/>
    <s v="no pagado"/>
    <s v="fuera de fecha"/>
    <x v="0"/>
  </r>
  <r>
    <n v="3000003820"/>
    <d v="2025-07-10T00:00:00"/>
    <n v="7000000"/>
    <s v="D´ANDREA SERGIO FRANCISCO YERBA BUENA 14"/>
    <x v="768"/>
    <n v="7000000"/>
    <x v="96"/>
    <x v="2"/>
    <s v="pagado"/>
    <s v="pagado"/>
    <x v="0"/>
  </r>
  <r>
    <n v="3000003820"/>
    <d v="2025-07-10T00:00:00"/>
    <n v="8136224.2400000002"/>
    <s v="D´ANDREA SERGIO FRANCISCO YERBA BUENA 14"/>
    <x v="769"/>
    <n v="8136224.2400000002"/>
    <x v="96"/>
    <x v="2"/>
    <s v="pagado"/>
    <s v="pagado"/>
    <x v="0"/>
  </r>
  <r>
    <n v="3000003900"/>
    <d v="2025-07-14T00:00:00"/>
    <n v="10261641.91"/>
    <s v="VISMA ARGENTINA SA CAPITAL FEDERAL 14"/>
    <x v="770"/>
    <n v="10261641.91"/>
    <x v="97"/>
    <x v="2"/>
    <s v="pagado"/>
    <s v="pagado"/>
    <x v="0"/>
  </r>
  <r>
    <n v="3000003901"/>
    <d v="2025-07-14T00:00:00"/>
    <n v="30000000"/>
    <s v="GALINDO CONSTRUCCIONES SRL SAN MIGUEL DE TUCUMAN 14"/>
    <x v="771"/>
    <n v="30000000"/>
    <x v="97"/>
    <x v="2"/>
    <s v="pagado"/>
    <s v="pagado"/>
    <x v="0"/>
  </r>
  <r>
    <n v="3000003901"/>
    <d v="2025-07-14T00:00:00"/>
    <n v="22220964.949999999"/>
    <s v="GALINDO CONSTRUCCIONES SRL SAN MIGUEL DE TUCUMAN 14"/>
    <x v="772"/>
    <n v="22220964.949999999"/>
    <x v="98"/>
    <x v="2"/>
    <s v="pagado"/>
    <s v="pagado"/>
    <x v="0"/>
  </r>
  <r>
    <n v="3000003902"/>
    <d v="2025-07-14T00:00:00"/>
    <n v="13699381.84"/>
    <s v="PAMPLONA SRL SAN MIGUEL DE TUCUMAN 14"/>
    <x v="773"/>
    <n v="13699381.84"/>
    <x v="97"/>
    <x v="2"/>
    <s v="pagado"/>
    <s v="pagado"/>
    <x v="0"/>
  </r>
  <r>
    <n v="3000003903"/>
    <d v="2025-07-14T00:00:00"/>
    <n v="7800000"/>
    <s v="MELIAN MASSERA MARIA DE LAS MESAN MIGUEL DE TUCUMAN 14"/>
    <x v="774"/>
    <n v="7800000"/>
    <x v="97"/>
    <x v="2"/>
    <s v="pagado"/>
    <s v="pagado"/>
    <x v="0"/>
  </r>
  <r>
    <n v="3000003904"/>
    <d v="2025-07-14T00:00:00"/>
    <n v="4353141.97"/>
    <s v="CARAM ERNESTO JOSE SAN MIGUEL DE TUCUMAN 14"/>
    <x v="775"/>
    <n v="4353141.97"/>
    <x v="97"/>
    <x v="2"/>
    <s v="pagado"/>
    <s v="pagado"/>
    <x v="0"/>
  </r>
  <r>
    <n v="3000003905"/>
    <d v="2025-07-14T00:00:00"/>
    <n v="13488459.039999999"/>
    <s v="CITRAR SRL SAN MIGUEL DE TUCUMAN 14"/>
    <x v="776"/>
    <n v="13488459.039999999"/>
    <x v="97"/>
    <x v="2"/>
    <s v="pagado"/>
    <s v="pagado"/>
    <x v="0"/>
  </r>
  <r>
    <n v="3000003907"/>
    <d v="2025-07-14T00:00:00"/>
    <n v="6569181.9100000001"/>
    <s v="MANCERA JOSEFINA REMIGIA SAN MIGUEL DE TUCUMAN 14"/>
    <x v="777"/>
    <n v="6569181.9100000001"/>
    <x v="97"/>
    <x v="2"/>
    <s v="pagado"/>
    <s v="pagado"/>
    <x v="0"/>
  </r>
  <r>
    <n v="3000003908"/>
    <d v="2025-07-14T00:00:00"/>
    <n v="0"/>
    <s v="Anulado"/>
    <x v="778"/>
    <n v="0"/>
    <x v="97"/>
    <x v="2"/>
    <s v="no pagado"/>
    <s v="fuera de fecha"/>
    <x v="0"/>
  </r>
  <r>
    <n v="3000003908"/>
    <d v="2025-07-14T00:00:00"/>
    <n v="0"/>
    <s v="Anulado"/>
    <x v="779"/>
    <n v="0"/>
    <x v="98"/>
    <x v="2"/>
    <s v="no pagado"/>
    <s v="fuera de fecha"/>
    <x v="0"/>
  </r>
  <r>
    <n v="3000003909"/>
    <d v="2025-07-14T00:00:00"/>
    <n v="12489750"/>
    <s v="TUCUMAN PALLET SRL EL MANANTIAL 14"/>
    <x v="780"/>
    <n v="12489750"/>
    <x v="97"/>
    <x v="2"/>
    <s v="pagado"/>
    <s v="pagado"/>
    <x v="0"/>
  </r>
  <r>
    <n v="3000003910"/>
    <d v="2025-07-14T00:00:00"/>
    <n v="6983753.46"/>
    <s v="M.A.D Serv y mant eléctri SAN MIGUEL DE TUCUMAN 14"/>
    <x v="781"/>
    <n v="6983753.46"/>
    <x v="97"/>
    <x v="2"/>
    <s v="pagado"/>
    <s v="pagado"/>
    <x v="0"/>
  </r>
  <r>
    <n v="3000003965"/>
    <d v="2025-07-16T00:00:00"/>
    <n v="10000000"/>
    <s v="MOLINA JUAN F. Y MOLINA ROQUE Lastenia 14"/>
    <x v="782"/>
    <n v="10000000"/>
    <x v="98"/>
    <x v="2"/>
    <s v="pagado"/>
    <s v="pagado"/>
    <x v="0"/>
  </r>
  <r>
    <n v="3000003965"/>
    <d v="2025-07-16T00:00:00"/>
    <n v="10713128.49"/>
    <s v="MOLINA JUAN F. Y MOLINA ROQUE Lastenia 14"/>
    <x v="783"/>
    <n v="10713128.49"/>
    <x v="99"/>
    <x v="2"/>
    <s v="pagado"/>
    <s v="pagado"/>
    <x v="0"/>
  </r>
  <r>
    <n v="3000003966"/>
    <d v="2025-07-16T00:00:00"/>
    <n v="10000000"/>
    <s v="BONSUR SA CAPITAL FEDERAL 00"/>
    <x v="784"/>
    <n v="10000000"/>
    <x v="98"/>
    <x v="2"/>
    <s v="pagado"/>
    <s v="pagado"/>
    <x v="0"/>
  </r>
  <r>
    <n v="3000003966"/>
    <d v="2025-07-16T00:00:00"/>
    <n v="8034755"/>
    <s v="BONSUR SA CAPITAL FEDERAL 00"/>
    <x v="785"/>
    <n v="8034755"/>
    <x v="99"/>
    <x v="2"/>
    <s v="pagado"/>
    <s v="pagado"/>
    <x v="0"/>
  </r>
  <r>
    <n v="3000003967"/>
    <d v="2025-07-16T00:00:00"/>
    <n v="12492016.390000001"/>
    <s v="CEMEVA SAS YERBA BUENA 14"/>
    <x v="786"/>
    <n v="12492016.390000001"/>
    <x v="98"/>
    <x v="2"/>
    <s v="pagado"/>
    <s v="pagado"/>
    <x v="0"/>
  </r>
  <r>
    <n v="3000003968"/>
    <d v="2025-07-16T00:00:00"/>
    <n v="4233015.58"/>
    <s v="JACQUET NORBERTO SALVADOR SAN JOSE 05"/>
    <x v="787"/>
    <n v="4233015.58"/>
    <x v="98"/>
    <x v="2"/>
    <s v="pagado"/>
    <s v="pagado"/>
    <x v="0"/>
  </r>
  <r>
    <n v="3000003969"/>
    <d v="2025-07-16T00:00:00"/>
    <n v="0"/>
    <s v="invalidado med.EOLIVERA -Destruido/ Sin uso"/>
    <x v="788"/>
    <n v="0"/>
    <x v="98"/>
    <x v="2"/>
    <s v="no pagado"/>
    <s v="fuera de fecha"/>
    <x v="0"/>
  </r>
  <r>
    <n v="3000003970"/>
    <d v="2025-07-16T00:00:00"/>
    <n v="25000000"/>
    <s v="CAPETTA ANTONELLA ANAHI SAN MIGUEL DE TUCUMAN 14"/>
    <x v="789"/>
    <n v="25000000"/>
    <x v="98"/>
    <x v="2"/>
    <s v="pagado"/>
    <s v="pagado"/>
    <x v="0"/>
  </r>
  <r>
    <n v="3000003970"/>
    <d v="2025-07-16T00:00:00"/>
    <n v="21218891.469999999"/>
    <s v="CAPETTA ANTONELLA ANAHI SAN MIGUEL DE TUCUMAN 14"/>
    <x v="790"/>
    <n v="21218891.469999999"/>
    <x v="99"/>
    <x v="2"/>
    <s v="pagado"/>
    <s v="pagado"/>
    <x v="0"/>
  </r>
  <r>
    <n v="3000003971"/>
    <d v="2025-07-16T00:00:00"/>
    <n v="5801867.54"/>
    <s v="TRANSPORTE FRIOS DEL NORTE S.RSAN MIGUEL DE TUCUMAN 14"/>
    <x v="791"/>
    <n v="5801867.54"/>
    <x v="98"/>
    <x v="2"/>
    <s v="pagado"/>
    <s v="pagado"/>
    <x v="0"/>
  </r>
  <r>
    <n v="3000003972"/>
    <d v="2025-07-16T00:00:00"/>
    <n v="4491060.1900000004"/>
    <s v="Bustos Sergio Alejandro Banda Rio Sali 14"/>
    <x v="792"/>
    <n v="4491060.1900000004"/>
    <x v="98"/>
    <x v="2"/>
    <s v="pagado"/>
    <s v="pagado"/>
    <x v="0"/>
  </r>
  <r>
    <n v="3000003973"/>
    <d v="2025-07-16T00:00:00"/>
    <n v="5061103.07"/>
    <s v="PERATO LUIS ALBERTO BANDA DEL RIO SALI 14"/>
    <x v="793"/>
    <n v="5061103.07"/>
    <x v="98"/>
    <x v="2"/>
    <s v="pagado"/>
    <s v="pagado"/>
    <x v="0"/>
  </r>
  <r>
    <n v="3000003974"/>
    <d v="2025-07-16T00:00:00"/>
    <n v="10000000"/>
    <s v="SUAREZ MANUEL RODOLFO ALDERETES 14"/>
    <x v="794"/>
    <n v="10000000"/>
    <x v="98"/>
    <x v="2"/>
    <s v="pagado"/>
    <s v="pagado"/>
    <x v="0"/>
  </r>
  <r>
    <n v="3000003974"/>
    <d v="2025-07-16T00:00:00"/>
    <n v="9550707.5500000007"/>
    <s v="SUAREZ MANUEL RODOLFO ALDERETES 14"/>
    <x v="795"/>
    <n v="9550707.5500000007"/>
    <x v="99"/>
    <x v="2"/>
    <s v="pagado"/>
    <s v="pagado"/>
    <x v="0"/>
  </r>
  <r>
    <n v="3000003975"/>
    <d v="2025-07-16T00:00:00"/>
    <n v="13413612.02"/>
    <s v="Terminal 4 S.A. Puerto Nuevo 01"/>
    <x v="796"/>
    <n v="13413612.02"/>
    <x v="98"/>
    <x v="2"/>
    <s v="pagado"/>
    <s v="pagado"/>
    <x v="0"/>
  </r>
  <r>
    <n v="3000003976"/>
    <d v="2025-07-16T00:00:00"/>
    <n v="10621473.99"/>
    <s v="FERNANDEZ HECTOR JOSE SIMOCA 14"/>
    <x v="797"/>
    <n v="10621473.99"/>
    <x v="98"/>
    <x v="2"/>
    <s v="pagado"/>
    <s v="pagado"/>
    <x v="0"/>
  </r>
  <r>
    <n v="3000003977"/>
    <d v="2025-07-16T00:00:00"/>
    <n v="10000000"/>
    <s v="PERATO CRISTIAN LUIS BANDA DEL RIO SALI 14"/>
    <x v="798"/>
    <n v="10000000"/>
    <x v="98"/>
    <x v="2"/>
    <s v="pagado"/>
    <s v="pagado"/>
    <x v="0"/>
  </r>
  <r>
    <n v="3000003977"/>
    <d v="2025-07-16T00:00:00"/>
    <n v="6641609.0599999996"/>
    <s v="PERATO CRISTIAN LUIS BANDA DEL RIO SALI 14"/>
    <x v="799"/>
    <n v="6641609.0599999996"/>
    <x v="99"/>
    <x v="2"/>
    <s v="pagado"/>
    <s v="pagado"/>
    <x v="0"/>
  </r>
  <r>
    <n v="3000003978"/>
    <d v="2025-07-16T00:00:00"/>
    <n v="4521811.55"/>
    <s v="PEDRO GABRIEL ALEJANDRO ALDERETES 14"/>
    <x v="800"/>
    <n v="4521811.55"/>
    <x v="98"/>
    <x v="2"/>
    <s v="pagado"/>
    <s v="pagado"/>
    <x v="0"/>
  </r>
  <r>
    <n v="3000003979"/>
    <d v="2025-07-16T00:00:00"/>
    <n v="7632102.7000000002"/>
    <s v="ALVAREZ RENE JOSE MARIA BELLA VISTA 14"/>
    <x v="801"/>
    <n v="7632102.7000000002"/>
    <x v="98"/>
    <x v="2"/>
    <s v="pagado"/>
    <s v="pagado"/>
    <x v="0"/>
  </r>
  <r>
    <n v="3000003980"/>
    <d v="2025-07-16T00:00:00"/>
    <n v="3955942.8"/>
    <s v="Transportes La Sevillanita S.RALDERETES 14"/>
    <x v="802"/>
    <n v="3955942.8"/>
    <x v="98"/>
    <x v="2"/>
    <s v="pagado"/>
    <s v="pagado"/>
    <x v="0"/>
  </r>
  <r>
    <n v="3000003981"/>
    <d v="2025-07-16T00:00:00"/>
    <n v="5113517.75"/>
    <s v="TRANSPORTE MEDINA S.H. CRUZ ALTA 14"/>
    <x v="803"/>
    <n v="5113517.75"/>
    <x v="98"/>
    <x v="0"/>
    <s v="pagado"/>
    <s v="pagado"/>
    <x v="0"/>
  </r>
  <r>
    <n v="3000004017"/>
    <d v="2025-07-17T00:00:00"/>
    <n v="44511430"/>
    <s v="EDET S.A. SAN MIGUEL DE TUCUMAN 14"/>
    <x v="804"/>
    <n v="44511430"/>
    <x v="98"/>
    <x v="0"/>
    <s v="pagado"/>
    <s v="pagado"/>
    <x v="0"/>
  </r>
  <r>
    <n v="3000004035"/>
    <d v="2025-07-18T00:00:00"/>
    <n v="48913640"/>
    <s v="EDET S.A. SAN MIGUEL DE TUCUMAN 14"/>
    <x v="805"/>
    <n v="48913640"/>
    <x v="99"/>
    <x v="0"/>
    <s v="pagado"/>
    <s v="pagado"/>
    <x v="0"/>
  </r>
  <r>
    <n v="3000004127"/>
    <d v="2025-07-22T00:00:00"/>
    <n v="189261030"/>
    <s v="EDET S.A. SAN MIGUEL DE TUCUMAN 14"/>
    <x v="806"/>
    <n v="189261030"/>
    <x v="100"/>
    <x v="0"/>
    <s v="pagado"/>
    <s v="pagado"/>
    <x v="0"/>
  </r>
  <r>
    <n v="3000004145"/>
    <d v="2025-07-22T00:00:00"/>
    <n v="11607857.279999999"/>
    <s v="BUSTOS GUILLERMO DARIO ALDERETES 14"/>
    <x v="807"/>
    <n v="11607857.279999999"/>
    <x v="101"/>
    <x v="0"/>
    <s v="pagado"/>
    <s v="pagado"/>
    <x v="0"/>
  </r>
  <r>
    <n v="3000004146"/>
    <d v="2025-07-22T00:00:00"/>
    <n v="2916734.73"/>
    <s v="TRANSPORTE MEDINA S.H. CRUZ ALTA 14"/>
    <x v="808"/>
    <n v="2916734.73"/>
    <x v="101"/>
    <x v="0"/>
    <s v="pagado"/>
    <s v="pagado"/>
    <x v="0"/>
  </r>
  <r>
    <n v="3000004075"/>
    <d v="2025-07-22T00:00:00"/>
    <n v="15115990.58"/>
    <s v="Vaquera Francisco Alfredo Monteros 14"/>
    <x v="809"/>
    <n v="15115990.58"/>
    <x v="100"/>
    <x v="0"/>
    <s v="pagado"/>
    <s v="pagado"/>
    <x v="0"/>
  </r>
  <r>
    <n v="3000004076"/>
    <d v="2025-07-22T00:00:00"/>
    <n v="5122469.21"/>
    <s v="Arias Carlos Alberto SAN MIGUEL DE TUCUMAN 14"/>
    <x v="810"/>
    <n v="5122469.21"/>
    <x v="100"/>
    <x v="0"/>
    <s v="pagado"/>
    <s v="pagado"/>
    <x v="0"/>
  </r>
  <r>
    <n v="3000004077"/>
    <d v="2025-07-22T00:00:00"/>
    <n v="5121589.4400000004"/>
    <s v="NARANJO GONZALO JOSE TARUCA PAMPA 14"/>
    <x v="811"/>
    <n v="5121589.4400000004"/>
    <x v="100"/>
    <x v="0"/>
    <s v="pagado"/>
    <s v="pagado"/>
    <x v="0"/>
  </r>
  <r>
    <n v="3000004078"/>
    <d v="2025-07-22T00:00:00"/>
    <n v="13226597.09"/>
    <s v="SERV.AGROP VILLA PAPADAKIS S.RSALTA 09"/>
    <x v="812"/>
    <n v="13226597.09"/>
    <x v="100"/>
    <x v="0"/>
    <s v="pagado"/>
    <s v="pagado"/>
    <x v="0"/>
  </r>
  <r>
    <n v="3000004079"/>
    <d v="2025-07-22T00:00:00"/>
    <n v="38157945.75"/>
    <s v="COMPAÑIA INVERSORA DE ENERGIA CIUDAD AUTONOMA BUENOS AIRES 00"/>
    <x v="813"/>
    <n v="38157945.75"/>
    <x v="102"/>
    <x v="0"/>
    <s v="pagado"/>
    <s v="pagado"/>
    <x v="0"/>
  </r>
  <r>
    <n v="3000004080"/>
    <d v="2025-07-22T00:00:00"/>
    <n v="7637657.4900000002"/>
    <s v="INSITU S.R.L SAN MIGUEL DE TUCUMAN 14"/>
    <x v="814"/>
    <n v="7637657.4900000002"/>
    <x v="100"/>
    <x v="0"/>
    <s v="pagado"/>
    <s v="pagado"/>
    <x v="0"/>
  </r>
  <r>
    <n v="3000004081"/>
    <d v="2025-07-22T00:00:00"/>
    <n v="5362448.92"/>
    <s v="LABAC S.A. COLON 01"/>
    <x v="815"/>
    <n v="5362448.92"/>
    <x v="103"/>
    <x v="0"/>
    <s v="pagado"/>
    <s v="pagado"/>
    <x v="0"/>
  </r>
  <r>
    <n v="3000004082"/>
    <d v="2025-07-22T00:00:00"/>
    <n v="18435105.66"/>
    <s v="VIRAL IMPORTS SA YERBA BUENA 14"/>
    <x v="816"/>
    <n v="18435105.66"/>
    <x v="100"/>
    <x v="0"/>
    <s v="pagado"/>
    <s v="pagado"/>
    <x v="0"/>
  </r>
  <r>
    <n v="3000004083"/>
    <d v="2025-07-22T00:00:00"/>
    <n v="6240742.1100000003"/>
    <s v="PAMPLONA SRL SAN MIGUEL DE TUCUMAN 14"/>
    <x v="817"/>
    <n v="6240742.1100000003"/>
    <x v="100"/>
    <x v="0"/>
    <s v="pagado"/>
    <s v="pagado"/>
    <x v="0"/>
  </r>
  <r>
    <n v="3000004084"/>
    <d v="2025-07-22T00:00:00"/>
    <n v="2189670.7400000002"/>
    <s v="MG SERVICIOS AGROPECUARIOS SASTAFI VIEJO 14"/>
    <x v="818"/>
    <n v="2189670.7400000002"/>
    <x v="100"/>
    <x v="0"/>
    <s v="pagado"/>
    <s v="pagado"/>
    <x v="0"/>
  </r>
  <r>
    <n v="3000004085"/>
    <d v="2025-07-22T00:00:00"/>
    <n v="7196152.6200000001"/>
    <s v="ROMERO SERVICIOS S. A. S. ALPACHIRI 14"/>
    <x v="819"/>
    <n v="7196152.6200000001"/>
    <x v="100"/>
    <x v="0"/>
    <s v="pagado"/>
    <s v="pagado"/>
    <x v="0"/>
  </r>
  <r>
    <n v="3000004086"/>
    <d v="2025-07-22T00:00:00"/>
    <n v="25000000"/>
    <s v="AGROPECUARIA MUNDO NUEVO SRL SAN PABLO 14"/>
    <x v="820"/>
    <n v="25000000"/>
    <x v="100"/>
    <x v="0"/>
    <s v="pagado"/>
    <s v="pagado"/>
    <x v="0"/>
  </r>
  <r>
    <n v="3000004086"/>
    <d v="2025-07-22T00:00:00"/>
    <n v="26192022.579999998"/>
    <s v="AGROPECUARIA MUNDO NUEVO SRL SAN PABLO 14"/>
    <x v="821"/>
    <n v="26192022.579999998"/>
    <x v="101"/>
    <x v="0"/>
    <s v="pagado"/>
    <s v="pagado"/>
    <x v="0"/>
  </r>
  <r>
    <n v="3000004128"/>
    <d v="2025-07-22T00:00:00"/>
    <n v="7506500.5099999998"/>
    <s v="MOREY SERGIO GUILLERMO LOS GUTIERREZ-ALDERETES 14"/>
    <x v="822"/>
    <n v="7506500.5099999998"/>
    <x v="101"/>
    <x v="2"/>
    <s v="pagado"/>
    <s v="pagado"/>
    <x v="0"/>
  </r>
  <r>
    <n v="3000004129"/>
    <d v="2025-07-22T00:00:00"/>
    <n v="7012480.2999999998"/>
    <s v="ABALOS ENZO FEDERICO Villa Mariano Moreno 14"/>
    <x v="823"/>
    <n v="7012480.2999999998"/>
    <x v="101"/>
    <x v="2"/>
    <s v="pagado"/>
    <s v="pagado"/>
    <x v="0"/>
  </r>
  <r>
    <n v="3000004130"/>
    <d v="2025-07-22T00:00:00"/>
    <n v="11858051.880000001"/>
    <s v="Gonzalez Jose Luis Lastenia 14"/>
    <x v="824"/>
    <n v="11858051.880000001"/>
    <x v="101"/>
    <x v="2"/>
    <s v="pagado"/>
    <s v="pagado"/>
    <x v="0"/>
  </r>
  <r>
    <n v="3000004131"/>
    <d v="2025-07-22T00:00:00"/>
    <n v="13101023.1"/>
    <s v="LA MARTINA SERV. AGRICOLAS S.RSAN PABLO 14"/>
    <x v="825"/>
    <n v="13101023.1"/>
    <x v="101"/>
    <x v="2"/>
    <s v="pagado"/>
    <s v="pagado"/>
    <x v="0"/>
  </r>
  <r>
    <n v="3000004132"/>
    <d v="2025-07-22T00:00:00"/>
    <n v="6259914.4400000004"/>
    <s v="ALBERTUS JUAN CARLOS SAN MIGUEL DE TUCUMAN 14"/>
    <x v="826"/>
    <n v="6259914.4400000004"/>
    <x v="101"/>
    <x v="2"/>
    <s v="pagado"/>
    <s v="pagado"/>
    <x v="0"/>
  </r>
  <r>
    <n v="3000004133"/>
    <d v="2025-07-22T00:00:00"/>
    <n v="5690038.3399999999"/>
    <s v="Arias Gonzalo Alejandro San Miguel de Tucumán 14"/>
    <x v="827"/>
    <n v="5690038.3399999999"/>
    <x v="101"/>
    <x v="2"/>
    <s v="pagado"/>
    <s v="pagado"/>
    <x v="0"/>
  </r>
  <r>
    <n v="3000004134"/>
    <d v="2025-07-22T00:00:00"/>
    <n v="5814069.0499999998"/>
    <s v="GEREZ ALICIA ELEUTERIA SAN MIGUEL DE TUCUMAN 14"/>
    <x v="828"/>
    <n v="5814069.0499999998"/>
    <x v="101"/>
    <x v="2"/>
    <s v="pagado"/>
    <s v="pagado"/>
    <x v="0"/>
  </r>
  <r>
    <n v="3000004135"/>
    <d v="2025-07-22T00:00:00"/>
    <n v="9394026.8300000001"/>
    <s v="PERATO CRISTIAN LUIS BANDA DEL RIO SALI 14"/>
    <x v="829"/>
    <n v="9394026.8300000001"/>
    <x v="101"/>
    <x v="2"/>
    <s v="pagado"/>
    <s v="pagado"/>
    <x v="0"/>
  </r>
  <r>
    <n v="3000004136"/>
    <d v="2025-07-22T00:00:00"/>
    <n v="7618149.7800000003"/>
    <s v="BESTANI LEANDRO EXEQUIEL SAN MIGUEL DE TUCUMAN 14"/>
    <x v="830"/>
    <n v="7618149.7800000003"/>
    <x v="101"/>
    <x v="2"/>
    <s v="pagado"/>
    <s v="pagado"/>
    <x v="0"/>
  </r>
  <r>
    <n v="3000004137"/>
    <d v="2025-07-22T00:00:00"/>
    <n v="6489570"/>
    <s v="Cia. Azucarera Los Balcanes S.Ingenio La Florida 14"/>
    <x v="831"/>
    <n v="6489570"/>
    <x v="101"/>
    <x v="2"/>
    <s v="pagado"/>
    <s v="pagado"/>
    <x v="0"/>
  </r>
  <r>
    <n v="3000004138"/>
    <d v="2025-07-22T00:00:00"/>
    <n v="10581942.369999999"/>
    <s v="JACQUET NORBERTO SALVADOR SAN JOSE 05"/>
    <x v="832"/>
    <n v="10581942.369999999"/>
    <x v="101"/>
    <x v="2"/>
    <s v="pagado"/>
    <s v="pagado"/>
    <x v="0"/>
  </r>
  <r>
    <n v="3000004139"/>
    <d v="2025-07-22T00:00:00"/>
    <n v="7439002.6100000003"/>
    <s v="TRANSPORTE FRIOS DEL NORTE S.RSAN MIGUEL DE TUCUMAN 14"/>
    <x v="833"/>
    <n v="7439002.6100000003"/>
    <x v="101"/>
    <x v="2"/>
    <s v="pagado"/>
    <s v="pagado"/>
    <x v="0"/>
  </r>
  <r>
    <n v="3000004140"/>
    <d v="2025-07-22T00:00:00"/>
    <n v="16760640.93"/>
    <s v="RL SOLUCIONES S. A. S. SAN MIGUEL DE TUCUMAN 14"/>
    <x v="834"/>
    <n v="16760640.93"/>
    <x v="101"/>
    <x v="2"/>
    <s v="pagado"/>
    <s v="pagado"/>
    <x v="0"/>
  </r>
  <r>
    <n v="3000004141"/>
    <d v="2025-07-22T00:00:00"/>
    <n v="20883015.079999998"/>
    <s v="CEMEVA SAS YERBA BUENA 14"/>
    <x v="835"/>
    <n v="20883015.079999998"/>
    <x v="101"/>
    <x v="2"/>
    <s v="pagado"/>
    <s v="pagado"/>
    <x v="0"/>
  </r>
  <r>
    <n v="3000004142"/>
    <d v="2025-07-22T00:00:00"/>
    <n v="25000000"/>
    <s v="CAPETTA ANTONELLA ANAHI SAN MIGUEL DE TUCUMAN 14"/>
    <x v="836"/>
    <n v="25000000"/>
    <x v="101"/>
    <x v="2"/>
    <s v="pagado"/>
    <s v="pagado"/>
    <x v="0"/>
  </r>
  <r>
    <n v="3000004142"/>
    <d v="2025-07-22T00:00:00"/>
    <n v="24729825.289999999"/>
    <s v="CAPETTA ANTONELLA ANAHI SAN MIGUEL DE TUCUMAN 14"/>
    <x v="837"/>
    <n v="24729825.289999999"/>
    <x v="103"/>
    <x v="2"/>
    <s v="pagado"/>
    <s v="pagado"/>
    <x v="0"/>
  </r>
  <r>
    <n v="3000004143"/>
    <d v="2025-07-22T00:00:00"/>
    <n v="9099778.7200000007"/>
    <s v="Terminal 4 S.A. Puerto Nuevo 01"/>
    <x v="838"/>
    <n v="9099778.7200000007"/>
    <x v="101"/>
    <x v="2"/>
    <s v="pagado"/>
    <s v="pagado"/>
    <x v="0"/>
  </r>
  <r>
    <n v="3000004144"/>
    <d v="2025-07-22T00:00:00"/>
    <n v="16015964.869999999"/>
    <s v="Hierronort Salta S.R.L. SAN MIGUEL DE TUCUMAN 14"/>
    <x v="839"/>
    <n v="16015964.869999999"/>
    <x v="101"/>
    <x v="2"/>
    <s v="pagado"/>
    <s v="pagado"/>
    <x v="0"/>
  </r>
  <r>
    <n v="3000004185"/>
    <d v="2025-07-24T00:00:00"/>
    <n v="50000000"/>
    <s v="MG SERVICIOS AGROPECUARIOS SASTAFI VIEJO 14"/>
    <x v="840"/>
    <n v="50000000"/>
    <x v="103"/>
    <x v="2"/>
    <s v="pagado"/>
    <s v="pagado"/>
    <x v="0"/>
  </r>
  <r>
    <n v="3000004185"/>
    <d v="2025-07-24T00:00:00"/>
    <n v="12000000"/>
    <s v="MG SERVICIOS AGROPECUARIOS SASTAFI VIEJO 14"/>
    <x v="841"/>
    <n v="12000000"/>
    <x v="104"/>
    <x v="2"/>
    <s v="pagado"/>
    <s v="pagado"/>
    <x v="0"/>
  </r>
  <r>
    <n v="3000004185"/>
    <d v="2025-07-24T00:00:00"/>
    <n v="4000000"/>
    <s v="MG SERVICIOS AGROPECUARIOS SASTAFI VIEJO 14"/>
    <x v="842"/>
    <n v="4000000"/>
    <x v="104"/>
    <x v="2"/>
    <s v="pagado"/>
    <s v="pagado"/>
    <x v="0"/>
  </r>
  <r>
    <n v="3000004185"/>
    <d v="2025-07-24T00:00:00"/>
    <n v="20324226.940000001"/>
    <s v="MG SERVICIOS AGROPECUARIOS SASTAFI VIEJO 14"/>
    <x v="843"/>
    <n v="20324226.940000001"/>
    <x v="104"/>
    <x v="2"/>
    <s v="pagado"/>
    <s v="pagado"/>
    <x v="0"/>
  </r>
  <r>
    <n v="3000004183"/>
    <d v="2025-07-24T00:00:00"/>
    <n v="11000000"/>
    <s v="SAUCE HUACHO SERVICIOS S.R.L MONTEROS 14"/>
    <x v="844"/>
    <n v="11000000"/>
    <x v="103"/>
    <x v="2"/>
    <s v="pagado"/>
    <s v="pagado"/>
    <x v="0"/>
  </r>
  <r>
    <n v="3000004183"/>
    <d v="2025-07-24T00:00:00"/>
    <n v="10561784.689999999"/>
    <s v="SAUCE HUACHO SERVICIOS S.R.L MONTEROS 14"/>
    <x v="845"/>
    <n v="10561784.689999999"/>
    <x v="104"/>
    <x v="2"/>
    <s v="pagado"/>
    <s v="pagado"/>
    <x v="0"/>
  </r>
  <r>
    <n v="3000004184"/>
    <d v="2025-07-24T00:00:00"/>
    <n v="20000000"/>
    <s v="ROMERO SERVICIOS S. A. S. ALPACHIRI 14"/>
    <x v="846"/>
    <n v="20000000"/>
    <x v="103"/>
    <x v="2"/>
    <s v="pagado"/>
    <s v="pagado"/>
    <x v="0"/>
  </r>
  <r>
    <n v="3000004184"/>
    <d v="2025-07-24T00:00:00"/>
    <n v="18589587.239999998"/>
    <s v="ROMERO SERVICIOS S. A. S. ALPACHIRI 14"/>
    <x v="847"/>
    <n v="18589587.239999998"/>
    <x v="104"/>
    <x v="2"/>
    <s v="pagado"/>
    <s v="pagado"/>
    <x v="0"/>
  </r>
  <r>
    <n v="3000004247"/>
    <d v="2025-07-28T00:00:00"/>
    <n v="15035698.949999999"/>
    <s v="EMPRESA MAYORISTA INDUSTRIAL SSAN MIGUEL DE TUCUMAN 14"/>
    <x v="848"/>
    <n v="15035698.949999999"/>
    <x v="105"/>
    <x v="2"/>
    <s v="pagado"/>
    <s v="pagado"/>
    <x v="0"/>
  </r>
  <r>
    <n v="3000004248"/>
    <d v="2025-07-28T00:00:00"/>
    <n v="5293576.8"/>
    <s v="ARMERIA ARMAR SAS SAN MIGUEL DE TUCUMAN 14"/>
    <x v="849"/>
    <n v="5293576.8"/>
    <x v="105"/>
    <x v="2"/>
    <s v="pagado"/>
    <s v="pagado"/>
    <x v="0"/>
  </r>
  <r>
    <n v="3000004249"/>
    <d v="2025-07-28T00:00:00"/>
    <n v="6965375.6699999999"/>
    <s v="Bureau Veritas Arg.S.A. CIUDAD AUTONOMA DE BUENOS AIRES 01"/>
    <x v="850"/>
    <n v="6965375.6699999999"/>
    <x v="105"/>
    <x v="2"/>
    <s v="pagado"/>
    <s v="pagado"/>
    <x v="0"/>
  </r>
  <r>
    <n v="3000004250"/>
    <d v="2025-07-28T00:00:00"/>
    <n v="27924624"/>
    <s v="CORTEZ CHRISTIE ANA INES YERBA BUENA 14"/>
    <x v="851"/>
    <n v="27924624"/>
    <x v="106"/>
    <x v="2"/>
    <s v="pagado"/>
    <s v="pagado"/>
    <x v="0"/>
  </r>
  <r>
    <n v="3000004251"/>
    <d v="2025-07-28T00:00:00"/>
    <n v="25346948.370000001"/>
    <s v="Poda Verde SRL SAN MIGUEL DE TUCUMAN 14"/>
    <x v="852"/>
    <n v="25346948.370000001"/>
    <x v="106"/>
    <x v="2"/>
    <s v="pagado"/>
    <s v="pagado"/>
    <x v="0"/>
  </r>
  <r>
    <n v="3000004252"/>
    <d v="2025-07-28T00:00:00"/>
    <n v="7719986.5199999996"/>
    <s v="PEDRO GABRIEL ALEJANDRO ALDERETES 14"/>
    <x v="853"/>
    <n v="7719986.5199999996"/>
    <x v="106"/>
    <x v="2"/>
    <s v="pagado"/>
    <s v="pagado"/>
    <x v="0"/>
  </r>
  <r>
    <n v="3000004253"/>
    <d v="2025-07-28T00:00:00"/>
    <n v="5717634.7599999998"/>
    <s v="Arias Carlos Alberto SAN MIGUEL DE TUCUMAN 14"/>
    <x v="854"/>
    <n v="5717634.7599999998"/>
    <x v="106"/>
    <x v="2"/>
    <s v="pagado"/>
    <s v="pagado"/>
    <x v="0"/>
  </r>
  <r>
    <n v="3000004254"/>
    <d v="2025-07-28T00:00:00"/>
    <n v="6121182.0199999996"/>
    <s v="HERRERA RICARDO ALBERTO BANDA DEL RIO SALI 14"/>
    <x v="855"/>
    <n v="6121182.0199999996"/>
    <x v="106"/>
    <x v="2"/>
    <s v="pagado"/>
    <s v="pagado"/>
    <x v="0"/>
  </r>
  <r>
    <n v="3000004255"/>
    <d v="2025-07-28T00:00:00"/>
    <n v="8687860.3599999994"/>
    <s v="TRANSPORTE MARIANITA S.R.L SAN MIGUEL DE TUCUMAN 14"/>
    <x v="856"/>
    <n v="8687860.3599999994"/>
    <x v="106"/>
    <x v="2"/>
    <s v="pagado"/>
    <s v="pagado"/>
    <x v="0"/>
  </r>
  <r>
    <n v="3000004256"/>
    <d v="2025-07-28T00:00:00"/>
    <n v="4404313.99"/>
    <s v="OLEA LUIS ARIEL LOS GUTIERREZ-ALDERETES 14"/>
    <x v="857"/>
    <n v="4404313.99"/>
    <x v="106"/>
    <x v="2"/>
    <s v="pagado"/>
    <s v="pagado"/>
    <x v="0"/>
  </r>
  <r>
    <n v="3000004257"/>
    <d v="2025-07-28T00:00:00"/>
    <n v="13201996.35"/>
    <s v="ACOSTA ROQUE RAMON SAN MIGUEL DE TUCUMAN 14"/>
    <x v="858"/>
    <n v="13201996.35"/>
    <x v="106"/>
    <x v="2"/>
    <s v="pagado"/>
    <s v="pagado"/>
    <x v="0"/>
  </r>
  <r>
    <n v="3000004258"/>
    <d v="2025-07-28T00:00:00"/>
    <n v="4566260"/>
    <s v="LOBO BENICIO MARTIN ALDERETES 14"/>
    <x v="859"/>
    <n v="4566260"/>
    <x v="106"/>
    <x v="2"/>
    <s v="pagado"/>
    <s v="pagado"/>
    <x v="0"/>
  </r>
  <r>
    <n v="3000004259"/>
    <d v="2025-07-28T00:00:00"/>
    <n v="20046117.960000001"/>
    <s v="VIRAL IMPORTS SA YERBA BUENA 14"/>
    <x v="860"/>
    <n v="20046117.960000001"/>
    <x v="107"/>
    <x v="2"/>
    <s v="pagado"/>
    <s v="pagado"/>
    <x v="0"/>
  </r>
  <r>
    <n v="3000004260"/>
    <d v="2025-07-28T00:00:00"/>
    <n v="14250175.550000001"/>
    <s v="CEFAS S.A CIUDAD AUTONOMA DE BUENOS AIRES 01"/>
    <x v="861"/>
    <n v="14250175.550000001"/>
    <x v="107"/>
    <x v="2"/>
    <s v="pagado"/>
    <s v="pagado"/>
    <x v="0"/>
  </r>
  <r>
    <n v="3000004288"/>
    <d v="2025-07-29T00:00:00"/>
    <n v="7737056.5999999996"/>
    <s v="ALVAREZ RENE JOSE MARIA BELLA VISTA 14"/>
    <x v="862"/>
    <n v="7737056.5999999996"/>
    <x v="107"/>
    <x v="2"/>
    <s v="pagado"/>
    <s v="pagado"/>
    <x v="0"/>
  </r>
  <r>
    <n v="3000004289"/>
    <d v="2025-07-29T00:00:00"/>
    <n v="3829588.61"/>
    <s v="GEREZ ALICIA ELEUTERIA SAN MIGUEL DE TUCUMAN 14"/>
    <x v="863"/>
    <n v="3829588.61"/>
    <x v="107"/>
    <x v="2"/>
    <s v="pagado"/>
    <s v="pagado"/>
    <x v="0"/>
  </r>
  <r>
    <n v="3000004290"/>
    <d v="2025-07-29T00:00:00"/>
    <n v="4027360.32"/>
    <s v="SANTILLI CARLOS MIGUEL SAN MIGUEL DE TUCUMAN 14"/>
    <x v="864"/>
    <n v="4027360.32"/>
    <x v="107"/>
    <x v="2"/>
    <s v="pagado"/>
    <s v="pagado"/>
    <x v="0"/>
  </r>
  <r>
    <n v="3000004291"/>
    <d v="2025-07-29T00:00:00"/>
    <n v="10522290.970000001"/>
    <s v="FERNANDEZ HECTOR JOSE SIMOCA 14"/>
    <x v="865"/>
    <n v="10522290.970000001"/>
    <x v="107"/>
    <x v="2"/>
    <s v="pagado"/>
    <s v="pagado"/>
    <x v="0"/>
  </r>
  <r>
    <n v="3000004292"/>
    <d v="2025-07-29T00:00:00"/>
    <n v="6055353.7800000003"/>
    <s v="HERRERA RICARDO ALBERTO BANDA DEL RIO SALI 14"/>
    <x v="866"/>
    <n v="6055353.7800000003"/>
    <x v="107"/>
    <x v="2"/>
    <s v="pagado"/>
    <s v="pagado"/>
    <x v="0"/>
  </r>
  <r>
    <n v="3000004293"/>
    <d v="2025-07-29T00:00:00"/>
    <n v="5302077.43"/>
    <s v="PAEZ LEONEL EXEQUIEL MACIO 14"/>
    <x v="867"/>
    <n v="5302077.43"/>
    <x v="107"/>
    <x v="2"/>
    <s v="pagado"/>
    <s v="pagado"/>
    <x v="0"/>
  </r>
  <r>
    <n v="3000004294"/>
    <d v="2025-07-29T00:00:00"/>
    <n v="5468317.8399999999"/>
    <s v="Arias Gonzalo Alejandro San Miguel de Tucumán 14"/>
    <x v="868"/>
    <n v="5468317.8399999999"/>
    <x v="107"/>
    <x v="2"/>
    <s v="pagado"/>
    <s v="pagado"/>
    <x v="0"/>
  </r>
  <r>
    <n v="3000004295"/>
    <d v="2025-07-29T00:00:00"/>
    <n v="3075986.31"/>
    <s v="CARABAJAL FABIO OMAR ALDERETES 14"/>
    <x v="869"/>
    <n v="3075986.31"/>
    <x v="107"/>
    <x v="2"/>
    <s v="pagado"/>
    <s v="pagado"/>
    <x v="0"/>
  </r>
  <r>
    <n v="3000004296"/>
    <d v="2025-07-29T00:00:00"/>
    <n v="5269400.38"/>
    <s v="ABALOS ENZO FEDERICO Villa Mariano Moreno 14"/>
    <x v="870"/>
    <n v="5269400.38"/>
    <x v="107"/>
    <x v="2"/>
    <s v="pagado"/>
    <s v="pagado"/>
    <x v="0"/>
  </r>
  <r>
    <n v="3000004297"/>
    <d v="2025-07-29T00:00:00"/>
    <n v="8928263.0500000007"/>
    <s v="D´ANDREA SERGIO FRANCISCO YERBA BUENA 14"/>
    <x v="871"/>
    <n v="8928263.0500000007"/>
    <x v="107"/>
    <x v="2"/>
    <s v="pagado"/>
    <s v="pagado"/>
    <x v="0"/>
  </r>
  <r>
    <n v="3000004298"/>
    <d v="2025-07-29T00:00:00"/>
    <n v="9064926.8800000008"/>
    <s v="MOREY SERGIO GUILLERMO LOS GUTIERREZ-ALDERETES 14"/>
    <x v="872"/>
    <n v="9064926.8800000008"/>
    <x v="107"/>
    <x v="2"/>
    <s v="pagado"/>
    <s v="pagado"/>
    <x v="0"/>
  </r>
  <r>
    <n v="3000004299"/>
    <d v="2025-07-29T00:00:00"/>
    <n v="3113090.53"/>
    <s v="Alcoba Luareano Arnaldo Concepcion 14"/>
    <x v="873"/>
    <n v="3113090.53"/>
    <x v="107"/>
    <x v="2"/>
    <s v="pagado"/>
    <s v="pagado"/>
    <x v="0"/>
  </r>
  <r>
    <n v="3000004300"/>
    <d v="2025-07-29T00:00:00"/>
    <n v="25000000"/>
    <s v="CAPETTA ANTONELLA ANAHI SAN MIGUEL DE TUCUMAN 14"/>
    <x v="874"/>
    <n v="25000000"/>
    <x v="107"/>
    <x v="2"/>
    <s v="pagado"/>
    <s v="pagado"/>
    <x v="0"/>
  </r>
  <r>
    <n v="3000004300"/>
    <d v="2025-07-29T00:00:00"/>
    <n v="22086717.969999999"/>
    <s v="CAPETTA ANTONELLA ANAHI SAN MIGUEL DE TUCUMAN 14"/>
    <x v="875"/>
    <n v="22086717.969999999"/>
    <x v="108"/>
    <x v="2"/>
    <s v="pagado"/>
    <s v="pagado"/>
    <x v="0"/>
  </r>
  <r>
    <n v="3000004301"/>
    <d v="2025-07-29T00:00:00"/>
    <n v="8496549.0700000003"/>
    <s v="CEMEVA SAS YERBA BUENA 14"/>
    <x v="876"/>
    <n v="8496549.0700000003"/>
    <x v="107"/>
    <x v="2"/>
    <s v="pagado"/>
    <s v="pagado"/>
    <x v="0"/>
  </r>
  <r>
    <n v="3000004302"/>
    <d v="2025-07-29T00:00:00"/>
    <n v="8466031.1500000004"/>
    <s v="RL SOLUCIONES S. A. S. SAN MIGUEL DE TUCUMAN 14"/>
    <x v="877"/>
    <n v="8466031.1500000004"/>
    <x v="107"/>
    <x v="2"/>
    <s v="pagado"/>
    <s v="pagado"/>
    <x v="0"/>
  </r>
  <r>
    <n v="3000004303"/>
    <d v="2025-07-29T00:00:00"/>
    <n v="4259943.16"/>
    <s v="MAC DONALD MIGUEL ALEJANDRO BANDA DEL RIO SALI 14"/>
    <x v="878"/>
    <n v="4259943.16"/>
    <x v="107"/>
    <x v="2"/>
    <s v="pagado"/>
    <s v="pagado"/>
    <x v="0"/>
  </r>
  <r>
    <n v="3000004304"/>
    <d v="2025-07-29T00:00:00"/>
    <n v="6349523.3700000001"/>
    <s v="LOGISTICA Y DISTRIBUCION FEDE CAPITAL FEDERAL 00"/>
    <x v="879"/>
    <n v="6349523.3700000001"/>
    <x v="107"/>
    <x v="2"/>
    <s v="pagado"/>
    <s v="pagado"/>
    <x v="0"/>
  </r>
  <r>
    <n v="3000004305"/>
    <d v="2025-07-29T00:00:00"/>
    <n v="14878005.23"/>
    <s v="TRANSPORTE FRIOS DEL NORTE S.RSAN MIGUEL DE TUCUMAN 14"/>
    <x v="880"/>
    <n v="14878005.23"/>
    <x v="107"/>
    <x v="2"/>
    <s v="pagado"/>
    <s v="pagado"/>
    <x v="0"/>
  </r>
  <r>
    <n v="3000004306"/>
    <d v="2025-07-29T00:00:00"/>
    <n v="24204600"/>
    <s v="LATCOMEX SA CAPITAL FEDERAL 00"/>
    <x v="881"/>
    <n v="24204600"/>
    <x v="107"/>
    <x v="2"/>
    <s v="pagado"/>
    <s v="pagado"/>
    <x v="0"/>
  </r>
  <r>
    <n v="3000004307"/>
    <d v="2025-07-29T00:00:00"/>
    <n v="28589441.109999999"/>
    <s v="LANCHELA HECTOR ROLANDO CONCEPCION 14"/>
    <x v="882"/>
    <n v="28589441.109999999"/>
    <x v="107"/>
    <x v="2"/>
    <s v="pagado"/>
    <s v="pagado"/>
    <x v="0"/>
  </r>
  <r>
    <n v="3000004308"/>
    <d v="2025-07-29T00:00:00"/>
    <n v="10637000"/>
    <s v="Silver Freight Logistic SRL CAPITAL FEDERAL 00"/>
    <x v="883"/>
    <n v="10637000"/>
    <x v="107"/>
    <x v="2"/>
    <s v="pagado"/>
    <s v="pagado"/>
    <x v="0"/>
  </r>
  <r>
    <n v="3000004416"/>
    <d v="2025-08-04T00:00:00"/>
    <n v="2000000"/>
    <s v="ZYLBERMINC CARLOS MANUEL CAPITAL FEDERAL 00"/>
    <x v="884"/>
    <n v="2000000"/>
    <x v="109"/>
    <x v="2"/>
    <s v="pagado"/>
    <s v="pagado"/>
    <x v="0"/>
  </r>
  <r>
    <n v="3000004416"/>
    <d v="2025-08-04T00:00:00"/>
    <n v="1500000"/>
    <s v="ZYLBERMINC CARLOS MANUEL CAPITAL FEDERAL 00"/>
    <x v="885"/>
    <n v="1500000"/>
    <x v="110"/>
    <x v="2"/>
    <s v="pagado"/>
    <s v="pagado"/>
    <x v="0"/>
  </r>
  <r>
    <n v="3000004416"/>
    <d v="2025-08-04T00:00:00"/>
    <n v="1633105"/>
    <s v="ZYLBERMINC CARLOS MANUEL CAPITAL FEDERAL 00"/>
    <x v="886"/>
    <n v="1633105"/>
    <x v="111"/>
    <x v="2"/>
    <s v="pagado"/>
    <s v="pagado"/>
    <x v="0"/>
  </r>
  <r>
    <n v="3000004417"/>
    <d v="2025-08-04T00:00:00"/>
    <n v="11024516.85"/>
    <s v="FERRO JOSE NICOLAS FAMAILLA 14"/>
    <x v="887"/>
    <n v="11024516.85"/>
    <x v="109"/>
    <x v="2"/>
    <s v="pagado"/>
    <s v="pagado"/>
    <x v="0"/>
  </r>
  <r>
    <n v="3000004418"/>
    <d v="2025-08-04T00:00:00"/>
    <n v="3940857.2"/>
    <s v="Sergio Scopel SAN MIGUEL DE TUCUMAN 14"/>
    <x v="888"/>
    <n v="3940857.2"/>
    <x v="109"/>
    <x v="2"/>
    <s v="pagado"/>
    <s v="pagado"/>
    <x v="0"/>
  </r>
  <r>
    <n v="3000004419"/>
    <d v="2025-08-04T00:00:00"/>
    <n v="5743027.8600000003"/>
    <s v="VISMA ARGENTINA SA CAPITAL FEDERAL 14"/>
    <x v="889"/>
    <n v="5743027.8600000003"/>
    <x v="109"/>
    <x v="2"/>
    <s v="pagado"/>
    <s v="pagado"/>
    <x v="0"/>
  </r>
  <r>
    <n v="3000004420"/>
    <d v="2025-08-04T00:00:00"/>
    <n v="4713247.1900000004"/>
    <s v="POLITUC S.R.L. SAN MIGUEL DE TUCUMAN 14"/>
    <x v="890"/>
    <n v="4713247.1900000004"/>
    <x v="112"/>
    <x v="2"/>
    <s v="pagado"/>
    <s v="pagado"/>
    <x v="0"/>
  </r>
  <r>
    <n v="3000004421"/>
    <d v="2025-08-04T00:00:00"/>
    <n v="14084891.720000001"/>
    <s v="CEFAS S.A CIUDAD AUTONOMA DE BUENOS AIRES 01"/>
    <x v="891"/>
    <n v="14084891.720000001"/>
    <x v="112"/>
    <x v="2"/>
    <s v="pagado"/>
    <s v="pagado"/>
    <x v="0"/>
  </r>
  <r>
    <n v="3000004422"/>
    <d v="2025-08-04T00:00:00"/>
    <n v="16044280"/>
    <s v="HELUANE PABLO DARIO SAN MIGUEL DE TUCUMAN 14"/>
    <x v="892"/>
    <n v="16044280"/>
    <x v="113"/>
    <x v="2"/>
    <s v="pagado"/>
    <s v="pagado"/>
    <x v="0"/>
  </r>
  <r>
    <n v="3000004423"/>
    <d v="2025-08-04T00:00:00"/>
    <n v="8035282.5"/>
    <s v="TUCUMAN PALLET SRL EL MANANTIAL 14"/>
    <x v="893"/>
    <n v="8035282.5"/>
    <x v="113"/>
    <x v="2"/>
    <s v="pagado"/>
    <s v="pagado"/>
    <x v="0"/>
  </r>
  <r>
    <n v="3000004461"/>
    <d v="2025-08-05T00:00:00"/>
    <n v="16993152.620000001"/>
    <s v="CEMEVA SAS YERBA BUENA 14"/>
    <x v="894"/>
    <n v="16993152.620000001"/>
    <x v="113"/>
    <x v="2"/>
    <s v="pagado"/>
    <s v="pagado"/>
    <x v="0"/>
  </r>
  <r>
    <n v="3000004462"/>
    <d v="2025-08-05T00:00:00"/>
    <n v="20000000"/>
    <s v="CAPETTA ANTONELLA ANAHI SAN MIGUEL DE TUCUMAN 14"/>
    <x v="895"/>
    <n v="20000000"/>
    <x v="113"/>
    <x v="2"/>
    <s v="pagado"/>
    <s v="pagado"/>
    <x v="0"/>
  </r>
  <r>
    <n v="3000004462"/>
    <d v="2025-08-05T00:00:00"/>
    <n v="19009118.850000001"/>
    <s v="CAPETTA ANTONELLA ANAHI SAN MIGUEL DE TUCUMAN 14"/>
    <x v="896"/>
    <n v="19009118.850000001"/>
    <x v="114"/>
    <x v="2"/>
    <s v="pagado"/>
    <s v="pagado"/>
    <x v="0"/>
  </r>
  <r>
    <n v="3000004463"/>
    <d v="2025-08-05T00:00:00"/>
    <n v="4359541.6399999997"/>
    <s v="VILLAGRA VELEZ ROQUE RICARDO SAN MIGUEL DE TUCUMAN 14"/>
    <x v="897"/>
    <n v="4359541.6399999997"/>
    <x v="113"/>
    <x v="2"/>
    <s v="pagado"/>
    <s v="pagado"/>
    <x v="0"/>
  </r>
  <r>
    <n v="3000004464"/>
    <d v="2025-08-05T00:00:00"/>
    <n v="4269086.9400000004"/>
    <s v="CARTER INTERNACIONAL S. A. S. SAN MIGUEL DE TUCUMAN 14"/>
    <x v="898"/>
    <n v="4269086.9400000004"/>
    <x v="113"/>
    <x v="2"/>
    <s v="pagado"/>
    <s v="pagado"/>
    <x v="0"/>
  </r>
  <r>
    <n v="3000004465"/>
    <d v="2025-08-05T00:00:00"/>
    <n v="14878173.140000001"/>
    <s v="TRANSPORTE FRIOS DEL NORTE S.RSAN MIGUEL DE TUCUMAN 14"/>
    <x v="899"/>
    <n v="14878173.140000001"/>
    <x v="113"/>
    <x v="2"/>
    <s v="pagado"/>
    <s v="pagado"/>
    <x v="0"/>
  </r>
  <r>
    <n v="3000004466"/>
    <d v="2025-08-05T00:00:00"/>
    <n v="6390082.6600000001"/>
    <s v="MAC DONALD MIGUEL ALEJANDRO BANDA DEL RIO SALI 14"/>
    <x v="900"/>
    <n v="6390082.6600000001"/>
    <x v="113"/>
    <x v="2"/>
    <s v="pagado"/>
    <s v="pagado"/>
    <x v="0"/>
  </r>
  <r>
    <n v="3000004467"/>
    <d v="2025-08-05T00:00:00"/>
    <n v="14163345.369999999"/>
    <s v="TRANSPORTE MARIANITA S.R.L SAN MIGUEL DE TUCUMAN 14"/>
    <x v="901"/>
    <n v="14163345.369999999"/>
    <x v="113"/>
    <x v="2"/>
    <s v="pagado"/>
    <s v="pagado"/>
    <x v="0"/>
  </r>
  <r>
    <n v="3000004468"/>
    <d v="2025-08-05T00:00:00"/>
    <n v="15161549.550000001"/>
    <s v="Vaquera Francisco Alfredo Monteros 14"/>
    <x v="902"/>
    <n v="15161549.550000001"/>
    <x v="113"/>
    <x v="2"/>
    <s v="pagado"/>
    <s v="pagado"/>
    <x v="0"/>
  </r>
  <r>
    <n v="3000004469"/>
    <d v="2025-08-05T00:00:00"/>
    <n v="4416003.25"/>
    <s v="TORRES JUAN RAMON ALDERETES 14"/>
    <x v="903"/>
    <n v="4416003.25"/>
    <x v="113"/>
    <x v="2"/>
    <s v="pagado"/>
    <s v="pagado"/>
    <x v="0"/>
  </r>
  <r>
    <n v="3000004470"/>
    <d v="2025-08-05T00:00:00"/>
    <n v="9357744.5800000001"/>
    <s v="SUAREZ MANUEL RODOLFO ALDERETES 14"/>
    <x v="904"/>
    <n v="9357744.5800000001"/>
    <x v="113"/>
    <x v="2"/>
    <s v="pagado"/>
    <s v="pagado"/>
    <x v="0"/>
  </r>
  <r>
    <n v="3000004471"/>
    <d v="2025-08-05T00:00:00"/>
    <n v="17000000"/>
    <s v="ACOSTA ROQUE RAMON SAN MIGUEL DE TUCUMAN 14"/>
    <x v="905"/>
    <n v="17000000"/>
    <x v="113"/>
    <x v="2"/>
    <s v="pagado"/>
    <s v="pagado"/>
    <x v="0"/>
  </r>
  <r>
    <n v="3000004471"/>
    <d v="2025-08-05T00:00:00"/>
    <n v="16714517.289999999"/>
    <s v="ACOSTA ROQUE RAMON SAN MIGUEL DE TUCUMAN 14"/>
    <x v="906"/>
    <n v="16714517.289999999"/>
    <x v="114"/>
    <x v="2"/>
    <s v="pagado"/>
    <s v="pagado"/>
    <x v="0"/>
  </r>
  <r>
    <n v="3000004472"/>
    <d v="2025-08-05T00:00:00"/>
    <n v="11721110.939999999"/>
    <s v="MOYANO JUAN VICTOR TUCUMAN 14"/>
    <x v="907"/>
    <n v="11721110.939999999"/>
    <x v="113"/>
    <x v="2"/>
    <s v="pagado"/>
    <s v="pagado"/>
    <x v="0"/>
  </r>
  <r>
    <n v="3000004473"/>
    <d v="2025-08-05T00:00:00"/>
    <n v="5802448.8200000003"/>
    <s v="GONZALEZ SANTIAGO ROQUE TAFI VIEJO 14"/>
    <x v="908"/>
    <n v="5802448.8200000003"/>
    <x v="113"/>
    <x v="2"/>
    <s v="pagado"/>
    <s v="pagado"/>
    <x v="0"/>
  </r>
  <r>
    <n v="3000004474"/>
    <d v="2025-08-05T00:00:00"/>
    <n v="18834275.710000001"/>
    <s v="MOLINA JUAN F. Y MOLINA ROQUE Lastenia 14"/>
    <x v="909"/>
    <n v="18834275.710000001"/>
    <x v="113"/>
    <x v="2"/>
    <s v="pagado"/>
    <s v="pagado"/>
    <x v="0"/>
  </r>
  <r>
    <n v="3000004475"/>
    <d v="2025-08-05T00:00:00"/>
    <n v="494932.56"/>
    <s v="Barrera Juan Jose San Miguel De Tucuman 14"/>
    <x v="910"/>
    <n v="494932.56"/>
    <x v="113"/>
    <x v="2"/>
    <s v="pagado"/>
    <s v="pagado"/>
    <x v="0"/>
  </r>
  <r>
    <n v="3000004621"/>
    <d v="2025-08-12T00:00:00"/>
    <n v="25000000"/>
    <s v="ROMERO SERVICIOS S. A. S. ALPACHIRI 14"/>
    <x v="911"/>
    <n v="25000000"/>
    <x v="115"/>
    <x v="2"/>
    <s v="pagado"/>
    <s v="pagado"/>
    <x v="0"/>
  </r>
  <r>
    <n v="3000004621"/>
    <d v="2025-08-12T00:00:00"/>
    <n v="23343278.77"/>
    <s v="ROMERO SERVICIOS S. A. S. ALPACHIRI 14"/>
    <x v="912"/>
    <n v="23343278.77"/>
    <x v="110"/>
    <x v="2"/>
    <s v="pagado"/>
    <s v="pagado"/>
    <x v="0"/>
  </r>
  <r>
    <n v="3000004622"/>
    <d v="2025-08-12T00:00:00"/>
    <n v="11000000"/>
    <s v="Verde y Sol S.R.L. SAN MIGUEL DE TUCUMAN 14"/>
    <x v="913"/>
    <n v="11000000"/>
    <x v="115"/>
    <x v="2"/>
    <s v="pagado"/>
    <s v="pagado"/>
    <x v="0"/>
  </r>
  <r>
    <n v="3000004622"/>
    <d v="2025-08-12T00:00:00"/>
    <n v="10034812.949999999"/>
    <s v="Verde y Sol S.R.L. SAN MIGUEL DE TUCUMAN 14"/>
    <x v="914"/>
    <n v="10034812.949999999"/>
    <x v="110"/>
    <x v="2"/>
    <s v="pagado"/>
    <s v="pagado"/>
    <x v="0"/>
  </r>
  <r>
    <n v="3000004623"/>
    <d v="2025-08-12T00:00:00"/>
    <n v="20000000"/>
    <s v="Poda Verde SRL SAN MIGUEL DE TUCUMAN 14"/>
    <x v="915"/>
    <n v="20000000"/>
    <x v="115"/>
    <x v="2"/>
    <s v="pagado"/>
    <s v="pagado"/>
    <x v="0"/>
  </r>
  <r>
    <n v="3000004623"/>
    <d v="2025-08-12T00:00:00"/>
    <n v="17423293.870000001"/>
    <s v="Poda Verde SRL SAN MIGUEL DE TUCUMAN 14"/>
    <x v="916"/>
    <n v="17423293.870000001"/>
    <x v="110"/>
    <x v="2"/>
    <s v="pagado"/>
    <s v="pagado"/>
    <x v="0"/>
  </r>
  <r>
    <n v="3000004624"/>
    <d v="2025-08-12T00:00:00"/>
    <n v="10000000"/>
    <s v="CAMPOAGRO SRL YERBA BUENA 14"/>
    <x v="917"/>
    <n v="10000000"/>
    <x v="115"/>
    <x v="2"/>
    <s v="pagado"/>
    <s v="pagado"/>
    <x v="0"/>
  </r>
  <r>
    <n v="3000004624"/>
    <d v="2025-08-12T00:00:00"/>
    <n v="7123598.3499999996"/>
    <s v="CAMPOAGRO SRL YERBA BUENA 14"/>
    <x v="918"/>
    <n v="7123598.3499999996"/>
    <x v="110"/>
    <x v="2"/>
    <s v="pagado"/>
    <s v="pagado"/>
    <x v="0"/>
  </r>
  <r>
    <n v="3000004625"/>
    <d v="2025-08-12T00:00:00"/>
    <n v="10000000"/>
    <s v="PAMPLONA SRL SAN MIGUEL DE TUCUMAN 14"/>
    <x v="919"/>
    <n v="10000000"/>
    <x v="115"/>
    <x v="2"/>
    <s v="pagado"/>
    <s v="pagado"/>
    <x v="0"/>
  </r>
  <r>
    <n v="3000004625"/>
    <d v="2025-08-12T00:00:00"/>
    <n v="11482137.98"/>
    <s v="PAMPLONA SRL SAN MIGUEL DE TUCUMAN 14"/>
    <x v="920"/>
    <n v="11482137.98"/>
    <x v="110"/>
    <x v="2"/>
    <s v="pagado"/>
    <s v="pagado"/>
    <x v="0"/>
  </r>
  <r>
    <n v="3000004633"/>
    <d v="2025-08-12T00:00:00"/>
    <n v="5000000"/>
    <s v="MG SERVICIOS AGROPECUARIOS SASTAFI VIEJO 14"/>
    <x v="921"/>
    <n v="5000000"/>
    <x v="115"/>
    <x v="2"/>
    <s v="pagado"/>
    <s v="pagado"/>
    <x v="0"/>
  </r>
  <r>
    <n v="3000004633"/>
    <d v="2025-08-12T00:00:00"/>
    <n v="3000000"/>
    <s v="MG SERVICIOS AGROPECUARIOS SASTAFI VIEJO 14"/>
    <x v="922"/>
    <n v="3000000"/>
    <x v="115"/>
    <x v="2"/>
    <s v="pagado"/>
    <s v="pagado"/>
    <x v="0"/>
  </r>
  <r>
    <n v="3000004633"/>
    <d v="2025-08-12T00:00:00"/>
    <n v="40000000"/>
    <s v="MG SERVICIOS AGROPECUARIOS SASTAFI VIEJO 14"/>
    <x v="923"/>
    <n v="40000000"/>
    <x v="110"/>
    <x v="2"/>
    <s v="pagado"/>
    <s v="pagado"/>
    <x v="0"/>
  </r>
  <r>
    <n v="3000004633"/>
    <d v="2025-08-12T00:00:00"/>
    <n v="38130377.240000002"/>
    <s v="MG SERVICIOS AGROPECUARIOS SASTAFI VIEJO 14"/>
    <x v="924"/>
    <n v="38130377.240000002"/>
    <x v="116"/>
    <x v="2"/>
    <s v="pagado"/>
    <s v="pagado"/>
    <x v="0"/>
  </r>
  <r>
    <n v="3000004635"/>
    <d v="2025-08-12T00:00:00"/>
    <n v="10000000"/>
    <s v="ROMERO SERVICIOS S. A. S. ALPACHIRI 14"/>
    <x v="925"/>
    <n v="10000000"/>
    <x v="115"/>
    <x v="2"/>
    <s v="pagado"/>
    <s v="pagado"/>
    <x v="0"/>
  </r>
  <r>
    <n v="3000004635"/>
    <d v="2025-08-12T00:00:00"/>
    <n v="9804474.1300000008"/>
    <s v="ROMERO SERVICIOS S. A. S. ALPACHIRI 14"/>
    <x v="926"/>
    <n v="9804474.1300000008"/>
    <x v="110"/>
    <x v="2"/>
    <s v="pagado"/>
    <s v="pagado"/>
    <x v="0"/>
  </r>
  <r>
    <n v="3000004640"/>
    <d v="2025-08-12T00:00:00"/>
    <n v="17000000"/>
    <s v="MG SERVICIOS AGROPECUARIOS SASTAFI VIEJO 14"/>
    <x v="927"/>
    <n v="17000000"/>
    <x v="115"/>
    <x v="2"/>
    <s v="pagado"/>
    <s v="pagado"/>
    <x v="0"/>
  </r>
  <r>
    <n v="3000004640"/>
    <d v="2025-08-12T00:00:00"/>
    <n v="12000000"/>
    <s v="MG SERVICIOS AGROPECUARIOS SASTAFI VIEJO 14"/>
    <x v="928"/>
    <n v="12000000"/>
    <x v="110"/>
    <x v="2"/>
    <s v="pagado"/>
    <s v="pagado"/>
    <x v="0"/>
  </r>
  <r>
    <n v="3000004640"/>
    <d v="2025-08-12T00:00:00"/>
    <n v="40000000"/>
    <s v="MG SERVICIOS AGROPECUARIOS SASTAFI VIEJO 14"/>
    <x v="929"/>
    <n v="40000000"/>
    <x v="116"/>
    <x v="2"/>
    <s v="pagado"/>
    <s v="pagado"/>
    <x v="0"/>
  </r>
  <r>
    <n v="3000004640"/>
    <d v="2025-08-12T00:00:00"/>
    <n v="32950998.350000001"/>
    <s v="MG SERVICIOS AGROPECUARIOS SASTAFI VIEJO 14"/>
    <x v="930"/>
    <n v="32950998.350000001"/>
    <x v="117"/>
    <x v="2"/>
    <s v="pagado"/>
    <s v="pagado"/>
    <x v="0"/>
  </r>
  <r>
    <n v="3000004620"/>
    <d v="2025-08-12T00:00:00"/>
    <n v="56179595.159999996"/>
    <s v="DECU3 S.R.L. YERBA BUENA 14"/>
    <x v="931"/>
    <n v="56179595.159999996"/>
    <x v="115"/>
    <x v="2"/>
    <s v="pagado"/>
    <s v="pagado"/>
    <x v="0"/>
  </r>
  <r>
    <n v="3000004626"/>
    <d v="2025-08-12T00:00:00"/>
    <n v="8203044.7800000003"/>
    <s v="MOYANO JUAN MANUEL ORAN 09"/>
    <x v="932"/>
    <n v="8203044.7800000003"/>
    <x v="115"/>
    <x v="2"/>
    <s v="pagado"/>
    <s v="pagado"/>
    <x v="0"/>
  </r>
  <r>
    <n v="3000004627"/>
    <d v="2025-08-12T00:00:00"/>
    <n v="7764115.8499999996"/>
    <s v="MONTEROS LEMON SAS TAFI VIEJO 14"/>
    <x v="933"/>
    <n v="7764115.8499999996"/>
    <x v="115"/>
    <x v="2"/>
    <s v="pagado"/>
    <s v="pagado"/>
    <x v="0"/>
  </r>
  <r>
    <n v="3000004628"/>
    <d v="2025-08-12T00:00:00"/>
    <n v="12494485.41"/>
    <s v="TS OASIS SRL BANDA DEL RIO SALI 14"/>
    <x v="934"/>
    <n v="12494485.41"/>
    <x v="115"/>
    <x v="2"/>
    <s v="pagado"/>
    <s v="pagado"/>
    <x v="0"/>
  </r>
  <r>
    <n v="3000004629"/>
    <d v="2025-08-12T00:00:00"/>
    <n v="9873360.3100000005"/>
    <s v="SMART SEGURIDAD SA YERBA BUENA 14"/>
    <x v="935"/>
    <n v="9873360.3100000005"/>
    <x v="115"/>
    <x v="2"/>
    <s v="pagado"/>
    <s v="pagado"/>
    <x v="0"/>
  </r>
  <r>
    <n v="3000004630"/>
    <d v="2025-08-12T00:00:00"/>
    <n v="7049695.46"/>
    <s v="Agricola Garcia S.A. SAN MIGUEL DE TUCUMAN 14"/>
    <x v="936"/>
    <n v="7049695.46"/>
    <x v="115"/>
    <x v="2"/>
    <s v="pagado"/>
    <s v="pagado"/>
    <x v="0"/>
  </r>
  <r>
    <n v="3000004631"/>
    <d v="2025-08-12T00:00:00"/>
    <n v="3946929"/>
    <s v="Transportes Gelvez SA LUJAN DEL CUYO 07"/>
    <x v="937"/>
    <n v="3946929"/>
    <x v="115"/>
    <x v="2"/>
    <s v="pagado"/>
    <s v="pagado"/>
    <x v="0"/>
  </r>
  <r>
    <n v="3000004632"/>
    <d v="2025-08-12T00:00:00"/>
    <n v="4104639.91"/>
    <s v="CENTRO HIDRAULICO S.A VENADO TUERTO 12"/>
    <x v="938"/>
    <n v="4104639.91"/>
    <x v="115"/>
    <x v="2"/>
    <s v="pagado"/>
    <s v="pagado"/>
    <x v="0"/>
  </r>
  <r>
    <n v="3000004634"/>
    <d v="2025-08-12T00:00:00"/>
    <n v="6624227"/>
    <s v="Marchese Grandi Meson y Asoc SAN MIGUEL DE TUCUMAN 14"/>
    <x v="939"/>
    <n v="6624227"/>
    <x v="115"/>
    <x v="2"/>
    <s v="pagado"/>
    <s v="pagado"/>
    <x v="0"/>
  </r>
  <r>
    <n v="3000004636"/>
    <d v="2025-08-12T00:00:00"/>
    <n v="14426000.24"/>
    <s v="SAUCE HUACHO SERVICIOS S.R.L MONTEROS 14"/>
    <x v="940"/>
    <n v="14426000.24"/>
    <x v="115"/>
    <x v="2"/>
    <s v="pagado"/>
    <s v="pagado"/>
    <x v="0"/>
  </r>
  <r>
    <n v="3000004637"/>
    <d v="2025-08-12T00:00:00"/>
    <n v="5662656.8099999996"/>
    <s v="TORRES JUAN RAMON ALDERETES 14"/>
    <x v="941"/>
    <n v="5662656.8099999996"/>
    <x v="115"/>
    <x v="2"/>
    <s v="pagado"/>
    <s v="pagado"/>
    <x v="0"/>
  </r>
  <r>
    <n v="3000004638"/>
    <d v="2025-08-12T00:00:00"/>
    <n v="8426925.8499999996"/>
    <s v="FERNANDEZ HECTOR JOSE SIMOCA 14"/>
    <x v="942"/>
    <n v="8426925.8499999996"/>
    <x v="115"/>
    <x v="2"/>
    <s v="pagado"/>
    <s v="pagado"/>
    <x v="0"/>
  </r>
  <r>
    <n v="3000004639"/>
    <d v="2025-08-12T00:00:00"/>
    <n v="5062829.5"/>
    <s v="PERATO LUIS ALBERTO BANDA DEL RIO SALI 14"/>
    <x v="943"/>
    <n v="5062829.5"/>
    <x v="115"/>
    <x v="2"/>
    <s v="pagado"/>
    <s v="pagado"/>
    <x v="0"/>
  </r>
  <r>
    <n v="3000004701"/>
    <d v="2025-08-13T00:00:00"/>
    <n v="46240760"/>
    <s v="EDET S.A. SAN MIGUEL DE TUCUMAN 14"/>
    <x v="944"/>
    <n v="46240760"/>
    <x v="110"/>
    <x v="0"/>
    <s v="pagado"/>
    <s v="pagado"/>
    <x v="0"/>
  </r>
  <r>
    <n v="3000004702"/>
    <d v="2025-08-13T00:00:00"/>
    <n v="8344187.6699999999"/>
    <s v="Mudad Francisco Esteban Los Nogales 14"/>
    <x v="945"/>
    <n v="8344187.6699999999"/>
    <x v="116"/>
    <x v="0"/>
    <s v="pagado"/>
    <s v="pagado"/>
    <x v="0"/>
  </r>
  <r>
    <n v="3000004703"/>
    <d v="2025-08-13T00:00:00"/>
    <n v="3573850.16"/>
    <s v="MANCERA JOSEFINA REMIGIA SAN MIGUEL DE TUCUMAN 14"/>
    <x v="946"/>
    <n v="3573850.16"/>
    <x v="116"/>
    <x v="0"/>
    <s v="pagado"/>
    <s v="pagado"/>
    <x v="0"/>
  </r>
  <r>
    <n v="3000004704"/>
    <d v="2025-08-13T00:00:00"/>
    <n v="11077878.75"/>
    <s v="Terminal 4 S.A. Puerto Nuevo 01"/>
    <x v="947"/>
    <n v="11077878.75"/>
    <x v="116"/>
    <x v="0"/>
    <s v="pagado"/>
    <s v="pagado"/>
    <x v="0"/>
  </r>
  <r>
    <n v="3000004705"/>
    <d v="2025-08-13T00:00:00"/>
    <n v="6389914.7400000002"/>
    <s v="MAC DONALD MIGUEL ALEJANDRO BANDA DEL RIO SALI 14"/>
    <x v="948"/>
    <n v="6389914.7400000002"/>
    <x v="116"/>
    <x v="0"/>
    <s v="pagado"/>
    <s v="pagado"/>
    <x v="0"/>
  </r>
  <r>
    <n v="3000004706"/>
    <d v="2025-08-13T00:00:00"/>
    <n v="14863126.57"/>
    <s v="CEMEVA SAS YERBA BUENA 14"/>
    <x v="949"/>
    <n v="14863126.57"/>
    <x v="116"/>
    <x v="0"/>
    <s v="pagado"/>
    <s v="pagado"/>
    <x v="0"/>
  </r>
  <r>
    <n v="3000004707"/>
    <d v="2025-08-13T00:00:00"/>
    <n v="14783241.43"/>
    <s v="RL SOLUCIONES S. A. S. SAN MIGUEL DE TUCUMAN 14"/>
    <x v="950"/>
    <n v="14783241.43"/>
    <x v="116"/>
    <x v="0"/>
    <s v="pagado"/>
    <s v="pagado"/>
    <x v="0"/>
  </r>
  <r>
    <n v="3000004708"/>
    <d v="2025-08-13T00:00:00"/>
    <n v="24000000"/>
    <s v="CAPETTA ANTONELLA ANAHI SAN MIGUEL DE TUCUMAN 14"/>
    <x v="951"/>
    <n v="24000000"/>
    <x v="116"/>
    <x v="0"/>
    <s v="pagado"/>
    <s v="pagado"/>
    <x v="0"/>
  </r>
  <r>
    <n v="3000004708"/>
    <d v="2025-08-13T00:00:00"/>
    <n v="20791336.559999999"/>
    <s v="CAPETTA ANTONELLA ANAHI SAN MIGUEL DE TUCUMAN 14"/>
    <x v="952"/>
    <n v="20791336.559999999"/>
    <x v="117"/>
    <x v="0"/>
    <s v="pagado"/>
    <s v="pagado"/>
    <x v="0"/>
  </r>
  <r>
    <n v="3000004709"/>
    <d v="2025-08-13T00:00:00"/>
    <n v="6716918.2800000003"/>
    <s v="PEDRO GABRIEL ALEJANDRO ALDERETES 14"/>
    <x v="953"/>
    <n v="6716918.2800000003"/>
    <x v="116"/>
    <x v="0"/>
    <s v="pagado"/>
    <s v="pagado"/>
    <x v="0"/>
  </r>
  <r>
    <n v="3000004710"/>
    <d v="2025-08-13T00:00:00"/>
    <n v="13791313.82"/>
    <s v="Vaquera Francisco Alfredo Monteros 14"/>
    <x v="954"/>
    <n v="13791313.82"/>
    <x v="116"/>
    <x v="0"/>
    <s v="pagado"/>
    <s v="pagado"/>
    <x v="0"/>
  </r>
  <r>
    <n v="3000004711"/>
    <d v="2025-08-13T00:00:00"/>
    <n v="6672488.6699999999"/>
    <s v="Arias Carlos Alberto SAN MIGUEL DE TUCUMAN 14"/>
    <x v="955"/>
    <n v="6672488.6699999999"/>
    <x v="116"/>
    <x v="0"/>
    <s v="pagado"/>
    <s v="pagado"/>
    <x v="0"/>
  </r>
  <r>
    <n v="3000004712"/>
    <d v="2025-08-13T00:00:00"/>
    <n v="6805702.7400000002"/>
    <s v="BESTANI LEANDRO EXEQUIEL SAN MIGUEL DE TUCUMAN 14"/>
    <x v="956"/>
    <n v="6805702.7400000002"/>
    <x v="116"/>
    <x v="0"/>
    <s v="pagado"/>
    <s v="pagado"/>
    <x v="0"/>
  </r>
  <r>
    <n v="3000004835"/>
    <d v="2025-08-20T00:00:00"/>
    <n v="0"/>
    <s v="invalidado med.EOLIVERA -Destruido/ Sin uso"/>
    <x v="957"/>
    <n v="0"/>
    <x v="99"/>
    <x v="2"/>
    <s v="no pagado"/>
    <s v="fuera de fecha"/>
    <x v="0"/>
  </r>
  <r>
    <n v="3000004834"/>
    <d v="2025-08-20T00:00:00"/>
    <n v="0"/>
    <s v="invalidado med.EOLIVERA -Destruido/ Sin uso"/>
    <x v="958"/>
    <n v="0"/>
    <x v="99"/>
    <x v="2"/>
    <s v="no pagado"/>
    <s v="fuera de fecha"/>
    <x v="0"/>
  </r>
  <r>
    <n v="3000004836"/>
    <d v="2025-08-20T00:00:00"/>
    <n v="0"/>
    <s v="invalidado med.EOLIVERA -Destruido/ Sin uso"/>
    <x v="959"/>
    <n v="0"/>
    <x v="99"/>
    <x v="2"/>
    <s v="no pagado"/>
    <s v="fuera de fecha"/>
    <x v="0"/>
  </r>
  <r>
    <n v="3000004837"/>
    <d v="2025-08-20T00:00:00"/>
    <n v="0"/>
    <s v="invalidado med.EOLIVERA -Destruido/ Sin uso"/>
    <x v="960"/>
    <n v="0"/>
    <x v="99"/>
    <x v="2"/>
    <s v="no pagado"/>
    <s v="fuera de fecha"/>
    <x v="0"/>
  </r>
  <r>
    <n v="3000004838"/>
    <d v="2025-08-20T00:00:00"/>
    <n v="0"/>
    <s v="invalidado med.EOLIVERA -Destruido/ Sin uso"/>
    <x v="961"/>
    <n v="0"/>
    <x v="99"/>
    <x v="2"/>
    <s v="no pagado"/>
    <s v="fuera de fecha"/>
    <x v="0"/>
  </r>
  <r>
    <n v="3000004839"/>
    <d v="2025-08-20T00:00:00"/>
    <n v="0"/>
    <s v="invalidado med.EOLIVERA -Destruido/ Sin uso"/>
    <x v="962"/>
    <n v="0"/>
    <x v="99"/>
    <x v="2"/>
    <s v="no pagado"/>
    <s v="fuera de fecha"/>
    <x v="0"/>
  </r>
  <r>
    <n v="3000004840"/>
    <d v="2025-08-20T00:00:00"/>
    <n v="0"/>
    <s v="invalidado med.EOLIVERA -Destruido/ Sin uso"/>
    <x v="963"/>
    <n v="0"/>
    <x v="99"/>
    <x v="2"/>
    <s v="no pagado"/>
    <s v="fuera de fecha"/>
    <x v="0"/>
  </r>
  <r>
    <n v="3000004840"/>
    <d v="2025-08-20T00:00:00"/>
    <n v="0"/>
    <s v="invalidado med.EOLIVERA -Destruido/ Sin uso"/>
    <x v="964"/>
    <n v="0"/>
    <x v="99"/>
    <x v="2"/>
    <s v="no pagado"/>
    <s v="fuera de fecha"/>
    <x v="0"/>
  </r>
  <r>
    <n v="3000004841"/>
    <d v="2025-08-20T00:00:00"/>
    <n v="0"/>
    <s v="invalidado med.EOLIVERA -Destruido/ Sin uso"/>
    <x v="965"/>
    <n v="0"/>
    <x v="99"/>
    <x v="2"/>
    <s v="no pagado"/>
    <s v="fuera de fecha"/>
    <x v="0"/>
  </r>
  <r>
    <n v="3000004842"/>
    <d v="2025-08-20T00:00:00"/>
    <n v="0"/>
    <s v="invalidado med.EOLIVERA -Destruido/ Sin uso"/>
    <x v="966"/>
    <n v="0"/>
    <x v="99"/>
    <x v="2"/>
    <s v="no pagado"/>
    <s v="fuera de fecha"/>
    <x v="0"/>
  </r>
  <r>
    <n v="3000004843"/>
    <d v="2025-08-20T00:00:00"/>
    <n v="0"/>
    <s v="invalidado med.EOLIVERA -Destruido/ Sin uso"/>
    <x v="967"/>
    <n v="0"/>
    <x v="99"/>
    <x v="2"/>
    <s v="no pagado"/>
    <s v="fuera de fecha"/>
    <x v="0"/>
  </r>
  <r>
    <n v="3000004843"/>
    <d v="2025-08-20T00:00:00"/>
    <n v="0"/>
    <s v="invalidado med.EOLIVERA -Destruido/ Sin uso"/>
    <x v="968"/>
    <n v="0"/>
    <x v="99"/>
    <x v="2"/>
    <s v="no pagado"/>
    <s v="fuera de fecha"/>
    <x v="0"/>
  </r>
  <r>
    <n v="3000004844"/>
    <d v="2025-08-20T00:00:00"/>
    <n v="0"/>
    <s v="invalidado med.EOLIVERA -Destruido/ Sin uso"/>
    <x v="969"/>
    <n v="0"/>
    <x v="99"/>
    <x v="2"/>
    <s v="no pagado"/>
    <s v="fuera de fecha"/>
    <x v="0"/>
  </r>
  <r>
    <n v="3000004845"/>
    <d v="2025-08-20T00:00:00"/>
    <n v="0"/>
    <s v="invalidado med.EOLIVERA -Destruido/ Sin uso"/>
    <x v="970"/>
    <n v="0"/>
    <x v="99"/>
    <x v="2"/>
    <s v="no pagado"/>
    <s v="fuera de fecha"/>
    <x v="0"/>
  </r>
  <r>
    <n v="3000004846"/>
    <d v="2025-08-20T00:00:00"/>
    <n v="0"/>
    <s v="invalidado med.EOLIVERA -Destruido/ Sin uso"/>
    <x v="971"/>
    <n v="0"/>
    <x v="99"/>
    <x v="2"/>
    <s v="no pagado"/>
    <s v="fuera de fecha"/>
    <x v="0"/>
  </r>
  <r>
    <n v="3000004847"/>
    <d v="2025-08-20T00:00:00"/>
    <n v="0"/>
    <s v="invalidado med.EOLIVERA -Destruido/ Sin uso"/>
    <x v="972"/>
    <n v="0"/>
    <x v="99"/>
    <x v="2"/>
    <s v="no pagado"/>
    <s v="fuera de fecha"/>
    <x v="0"/>
  </r>
  <r>
    <n v="3000004848"/>
    <d v="2025-08-20T00:00:00"/>
    <n v="0"/>
    <s v="invalidado med.EOLIVERA -Destruido/ Sin uso"/>
    <x v="973"/>
    <n v="0"/>
    <x v="99"/>
    <x v="2"/>
    <s v="no pagado"/>
    <s v="fuera de fecha"/>
    <x v="0"/>
  </r>
  <r>
    <n v="3000004849"/>
    <d v="2025-08-20T00:00:00"/>
    <n v="0"/>
    <s v="invalidado med.EOLIVERA -Destruido/ Sin uso"/>
    <x v="974"/>
    <n v="0"/>
    <x v="99"/>
    <x v="2"/>
    <s v="no pagado"/>
    <s v="fuera de fecha"/>
    <x v="0"/>
  </r>
  <r>
    <n v="3000004850"/>
    <d v="2025-08-20T00:00:00"/>
    <n v="0"/>
    <s v="invalidado med.EOLIVERA -Destruido/ Sin uso"/>
    <x v="975"/>
    <n v="0"/>
    <x v="99"/>
    <x v="2"/>
    <s v="no pagado"/>
    <s v="fuera de fecha"/>
    <x v="0"/>
  </r>
  <r>
    <n v="3000004851"/>
    <d v="2025-08-20T00:00:00"/>
    <n v="0"/>
    <s v="invalidado med.EOLIVERA -Destruido/ Sin uso"/>
    <x v="976"/>
    <n v="0"/>
    <x v="99"/>
    <x v="2"/>
    <s v="no pagado"/>
    <s v="fuera de fecha"/>
    <x v="0"/>
  </r>
  <r>
    <n v="3000004852"/>
    <d v="2025-08-20T00:00:00"/>
    <n v="0"/>
    <s v="invalidado med.EOLIVERA -Destruido/ Sin uso"/>
    <x v="977"/>
    <n v="0"/>
    <x v="99"/>
    <x v="2"/>
    <s v="no pagado"/>
    <s v="fuera de fecha"/>
    <x v="0"/>
  </r>
  <r>
    <n v="3000004853"/>
    <d v="2025-08-20T00:00:00"/>
    <n v="0"/>
    <s v="invalidado med.EOLIVERA -Destruido/ Sin uso"/>
    <x v="978"/>
    <n v="0"/>
    <x v="99"/>
    <x v="2"/>
    <s v="no pagado"/>
    <s v="fuera de fecha"/>
    <x v="0"/>
  </r>
  <r>
    <n v="3000004854"/>
    <d v="2025-08-20T00:00:00"/>
    <n v="0"/>
    <s v="invalidado med.EOLIVERA -Destruido/ Sin uso"/>
    <x v="979"/>
    <n v="0"/>
    <x v="99"/>
    <x v="2"/>
    <s v="no pagado"/>
    <s v="fuera de fecha"/>
    <x v="0"/>
  </r>
  <r>
    <n v="3000004855"/>
    <d v="2025-08-20T00:00:00"/>
    <n v="0"/>
    <s v="invalidado med.EOLIVERA -Destruido/ Sin uso"/>
    <x v="980"/>
    <n v="0"/>
    <x v="99"/>
    <x v="2"/>
    <s v="no pagado"/>
    <s v="fuera de fecha"/>
    <x v="0"/>
  </r>
  <r>
    <n v="3000004856"/>
    <d v="2025-08-20T00:00:00"/>
    <n v="0"/>
    <s v="invalidado med.EOLIVERA -Destruido/ Sin uso"/>
    <x v="981"/>
    <n v="0"/>
    <x v="99"/>
    <x v="2"/>
    <s v="no pagado"/>
    <s v="fuera de fecha"/>
    <x v="0"/>
  </r>
  <r>
    <n v="3000004857"/>
    <d v="2025-08-20T00:00:00"/>
    <n v="0"/>
    <s v="invalidado med.EOLIVERA -Destruido/ Sin uso"/>
    <x v="982"/>
    <n v="0"/>
    <x v="99"/>
    <x v="2"/>
    <s v="no pagado"/>
    <s v="fuera de fecha"/>
    <x v="0"/>
  </r>
  <r>
    <n v="3000004858"/>
    <d v="2025-08-20T00:00:00"/>
    <n v="0"/>
    <s v="invalidado med.EOLIVERA -Destruido/ Sin uso"/>
    <x v="983"/>
    <n v="0"/>
    <x v="99"/>
    <x v="2"/>
    <s v="no pagado"/>
    <s v="fuera de fecha"/>
    <x v="0"/>
  </r>
  <r>
    <n v="3000004859"/>
    <d v="2025-08-20T00:00:00"/>
    <n v="0"/>
    <s v="invalidado med.EOLIVERA -Destruido/ Sin uso"/>
    <x v="984"/>
    <n v="0"/>
    <x v="99"/>
    <x v="2"/>
    <s v="no pagado"/>
    <s v="fuera de fecha"/>
    <x v="0"/>
  </r>
  <r>
    <n v="3000004860"/>
    <d v="2025-08-20T00:00:00"/>
    <n v="0"/>
    <s v="invalidado med.EOLIVERA -Destruido/ Sin uso"/>
    <x v="985"/>
    <n v="0"/>
    <x v="99"/>
    <x v="2"/>
    <s v="no pagado"/>
    <s v="fuera de fecha"/>
    <x v="0"/>
  </r>
  <r>
    <n v="3000004861"/>
    <d v="2025-08-20T00:00:00"/>
    <n v="0"/>
    <s v="invalidado med.EOLIVERA -Destruido/ Sin uso"/>
    <x v="986"/>
    <n v="0"/>
    <x v="99"/>
    <x v="2"/>
    <s v="no pagado"/>
    <s v="fuera de fecha"/>
    <x v="0"/>
  </r>
  <r>
    <n v="3000004862"/>
    <d v="2025-08-20T00:00:00"/>
    <n v="0"/>
    <s v="invalidado med.EOLIVERA -Destruido/ Sin uso"/>
    <x v="987"/>
    <n v="0"/>
    <x v="99"/>
    <x v="2"/>
    <s v="no pagado"/>
    <s v="fuera de fecha"/>
    <x v="0"/>
  </r>
  <r>
    <n v="3000004834"/>
    <d v="2025-08-21T00:00:00"/>
    <n v="16325371.470000001"/>
    <s v="CONSTRUNOA S.A.S. ORAN 09"/>
    <x v="988"/>
    <n v="16325371.470000001"/>
    <x v="118"/>
    <x v="2"/>
    <s v="pagado"/>
    <s v="pagado"/>
    <x v="0"/>
  </r>
  <r>
    <n v="3000004836"/>
    <d v="2025-08-21T00:00:00"/>
    <n v="5716762.7199999997"/>
    <s v="ADLER HASENCLEVER Y ASOCIADOS BUENOS AIRES 01"/>
    <x v="989"/>
    <n v="5716762.7199999997"/>
    <x v="118"/>
    <x v="2"/>
    <s v="pagado"/>
    <s v="pagado"/>
    <x v="0"/>
  </r>
  <r>
    <n v="3000004837"/>
    <d v="2025-08-21T00:00:00"/>
    <n v="4991502.8499999996"/>
    <s v="MELISAM S A BOULOGNE 01"/>
    <x v="990"/>
    <n v="4991502.8499999996"/>
    <x v="118"/>
    <x v="2"/>
    <s v="pagado"/>
    <s v="pagado"/>
    <x v="0"/>
  </r>
  <r>
    <n v="3000004838"/>
    <d v="2025-08-21T00:00:00"/>
    <n v="12029850"/>
    <s v="HELUANE PABLO DARIO SAN MIGUEL DE TUCUMAN 14"/>
    <x v="991"/>
    <n v="12029850"/>
    <x v="118"/>
    <x v="2"/>
    <s v="pagado"/>
    <s v="pagado"/>
    <x v="0"/>
  </r>
  <r>
    <n v="3000004839"/>
    <d v="2025-08-21T00:00:00"/>
    <n v="10803100"/>
    <s v="TUCUMAN PALLET SRL EL MANANTIAL 14"/>
    <x v="992"/>
    <n v="10803100"/>
    <x v="118"/>
    <x v="2"/>
    <s v="pagado"/>
    <s v="pagado"/>
    <x v="0"/>
  </r>
  <r>
    <n v="3000004840"/>
    <d v="2025-08-21T00:00:00"/>
    <n v="13000000"/>
    <s v="Consultoria en Tecnologia de IBUENOS AIRES 00"/>
    <x v="993"/>
    <n v="13000000"/>
    <x v="118"/>
    <x v="2"/>
    <s v="pagado"/>
    <s v="pagado"/>
    <x v="0"/>
  </r>
  <r>
    <n v="3000004840"/>
    <d v="2025-08-21T00:00:00"/>
    <n v="13497240.32"/>
    <s v="Consultoria en Tecnologia de IBUENOS AIRES 00"/>
    <x v="994"/>
    <n v="13497240.32"/>
    <x v="119"/>
    <x v="2"/>
    <s v="pagado"/>
    <s v="pagado"/>
    <x v="0"/>
  </r>
  <r>
    <n v="3000004841"/>
    <d v="2025-08-21T00:00:00"/>
    <n v="9867424"/>
    <s v="CORTEZ CHRISTIE ANA INES YERBA BUENA 14"/>
    <x v="995"/>
    <n v="9867424"/>
    <x v="118"/>
    <x v="2"/>
    <s v="pagado"/>
    <s v="pagado"/>
    <x v="0"/>
  </r>
  <r>
    <n v="3000004842"/>
    <d v="2025-08-21T00:00:00"/>
    <n v="14280133.869999999"/>
    <s v="CEFAS S.A CIUDAD AUTONOMA DE BUENOS AIRES 01"/>
    <x v="996"/>
    <n v="14280133.869999999"/>
    <x v="118"/>
    <x v="2"/>
    <s v="pagado"/>
    <s v="pagado"/>
    <x v="0"/>
  </r>
  <r>
    <n v="3000004843"/>
    <d v="2025-08-21T00:00:00"/>
    <n v="12000000"/>
    <s v="SMART SEGURIDAD SA YERBA BUENA 14"/>
    <x v="997"/>
    <n v="12000000"/>
    <x v="118"/>
    <x v="2"/>
    <s v="pagado"/>
    <s v="pagado"/>
    <x v="0"/>
  </r>
  <r>
    <n v="3000004843"/>
    <d v="2025-08-21T00:00:00"/>
    <n v="12475857.77"/>
    <s v="SMART SEGURIDAD SA YERBA BUENA 14"/>
    <x v="998"/>
    <n v="12475857.77"/>
    <x v="119"/>
    <x v="2"/>
    <s v="pagado"/>
    <s v="pagado"/>
    <x v="0"/>
  </r>
  <r>
    <n v="3000004844"/>
    <d v="2025-08-21T00:00:00"/>
    <n v="15694378.41"/>
    <s v="CITRAR SRL SAN MIGUEL DE TUCUMAN 14"/>
    <x v="999"/>
    <n v="15694378.41"/>
    <x v="118"/>
    <x v="2"/>
    <s v="pagado"/>
    <s v="pagado"/>
    <x v="0"/>
  </r>
  <r>
    <n v="3000004845"/>
    <d v="2025-08-21T00:00:00"/>
    <n v="8305667.9199999999"/>
    <s v="LATCOMEX SA CAPITAL FEDERAL 00"/>
    <x v="1000"/>
    <n v="8305667.9199999999"/>
    <x v="118"/>
    <x v="2"/>
    <s v="pagado"/>
    <s v="pagado"/>
    <x v="0"/>
  </r>
  <r>
    <n v="3000004846"/>
    <d v="2025-08-21T00:00:00"/>
    <n v="2139990.64"/>
    <s v="Exolgan S.A. Dock Sud 01"/>
    <x v="1001"/>
    <n v="2139990.64"/>
    <x v="118"/>
    <x v="2"/>
    <s v="pagado"/>
    <s v="pagado"/>
    <x v="0"/>
  </r>
  <r>
    <n v="3000004847"/>
    <d v="2025-08-21T00:00:00"/>
    <n v="14941216.560000001"/>
    <s v="CAPETTA ANTONELLA ANAHI SAN MIGUEL DE TUCUMAN 14"/>
    <x v="1002"/>
    <n v="14941216.560000001"/>
    <x v="118"/>
    <x v="2"/>
    <s v="pagado"/>
    <s v="pagado"/>
    <x v="0"/>
  </r>
  <r>
    <n v="3000004848"/>
    <d v="2025-08-21T00:00:00"/>
    <n v="2129971.58"/>
    <s v="MAC DONALD MIGUEL ALEJANDRO BANDA DEL RIO SALI 14"/>
    <x v="1003"/>
    <n v="2129971.58"/>
    <x v="118"/>
    <x v="2"/>
    <s v="pagado"/>
    <s v="pagado"/>
    <x v="0"/>
  </r>
  <r>
    <n v="3000004849"/>
    <d v="2025-08-21T00:00:00"/>
    <n v="12699046.73"/>
    <s v="RL SOLUCIONES S. A. S. SAN MIGUEL DE TUCUMAN 14"/>
    <x v="1004"/>
    <n v="12699046.73"/>
    <x v="118"/>
    <x v="2"/>
    <s v="pagado"/>
    <s v="pagado"/>
    <x v="0"/>
  </r>
  <r>
    <n v="3000004850"/>
    <d v="2025-08-21T00:00:00"/>
    <n v="6389914.7400000002"/>
    <s v="CEMEVA SAS YERBA BUENA 14"/>
    <x v="1005"/>
    <n v="6389914.7400000002"/>
    <x v="118"/>
    <x v="2"/>
    <s v="pagado"/>
    <s v="pagado"/>
    <x v="0"/>
  </r>
  <r>
    <n v="3000004851"/>
    <d v="2025-08-21T00:00:00"/>
    <n v="2161718.38"/>
    <s v="ABALOS ENZO FEDERICO Villa Mariano Moreno 14"/>
    <x v="1006"/>
    <n v="2161718.38"/>
    <x v="118"/>
    <x v="2"/>
    <s v="no pagado"/>
    <s v="fuera de fecha"/>
    <x v="0"/>
  </r>
  <r>
    <n v="3000004852"/>
    <d v="2025-08-21T00:00:00"/>
    <n v="7155216.3899999997"/>
    <s v="HERRERA RICARDO ALBERTO BANDA DEL RIO SALI 14"/>
    <x v="1007"/>
    <n v="7155216.3899999997"/>
    <x v="118"/>
    <x v="2"/>
    <s v="pagado"/>
    <s v="pagado"/>
    <x v="0"/>
  </r>
  <r>
    <n v="3000004853"/>
    <d v="2025-08-21T00:00:00"/>
    <n v="3981049.7"/>
    <s v="Sereno Carlos Luis Los Gutierrez 14"/>
    <x v="1008"/>
    <n v="3981049.7"/>
    <x v="118"/>
    <x v="2"/>
    <s v="pagado"/>
    <s v="pagado"/>
    <x v="0"/>
  </r>
  <r>
    <n v="3000004854"/>
    <d v="2025-08-21T00:00:00"/>
    <n v="8848360.9199999999"/>
    <s v="SUAREZ MANUEL RODOLFO ALDERETES 14"/>
    <x v="1009"/>
    <n v="8848360.9199999999"/>
    <x v="118"/>
    <x v="2"/>
    <s v="pagado"/>
    <s v="pagado"/>
    <x v="0"/>
  </r>
  <r>
    <n v="3000004855"/>
    <d v="2025-08-21T00:00:00"/>
    <n v="7216832.25"/>
    <s v="Gonzalez Jose Luis Lastenia 14"/>
    <x v="1010"/>
    <n v="7216832.25"/>
    <x v="118"/>
    <x v="2"/>
    <s v="pagado"/>
    <s v="pagado"/>
    <x v="0"/>
  </r>
  <r>
    <n v="3000004856"/>
    <d v="2025-08-21T00:00:00"/>
    <n v="11157973.68"/>
    <s v="PERATO CRISTIAN LUIS BANDA DEL RIO SALI 14"/>
    <x v="1011"/>
    <n v="11157973.68"/>
    <x v="118"/>
    <x v="2"/>
    <s v="pagado"/>
    <s v="pagado"/>
    <x v="0"/>
  </r>
  <r>
    <n v="3000004857"/>
    <d v="2025-08-21T00:00:00"/>
    <n v="5170276.4800000004"/>
    <s v="GEREZ ALICIA ELEUTERIA SAN MIGUEL DE TUCUMAN 14"/>
    <x v="1012"/>
    <n v="5170276.4800000004"/>
    <x v="118"/>
    <x v="2"/>
    <s v="pagado"/>
    <s v="pagado"/>
    <x v="0"/>
  </r>
  <r>
    <n v="3000004858"/>
    <d v="2025-08-21T00:00:00"/>
    <n v="1968921.02"/>
    <s v="SANTILLI CARLOS MIGUEL SAN MIGUEL DE TUCUMAN 14"/>
    <x v="1013"/>
    <n v="1968921.02"/>
    <x v="118"/>
    <x v="2"/>
    <s v="pagado"/>
    <s v="pagado"/>
    <x v="0"/>
  </r>
  <r>
    <n v="3000004859"/>
    <d v="2025-08-21T00:00:00"/>
    <n v="3767936.24"/>
    <s v="ALVAREZ RENE JOSE MARIA BELLA VISTA 14"/>
    <x v="1014"/>
    <n v="3767936.24"/>
    <x v="118"/>
    <x v="2"/>
    <s v="pagado"/>
    <s v="pagado"/>
    <x v="0"/>
  </r>
  <r>
    <n v="3000004860"/>
    <d v="2025-08-21T00:00:00"/>
    <n v="2400997.89"/>
    <s v="Alcoba Luareano Arnaldo Concepcion 14"/>
    <x v="1015"/>
    <n v="2400997.89"/>
    <x v="118"/>
    <x v="2"/>
    <s v="pagado"/>
    <s v="pagado"/>
    <x v="0"/>
  </r>
  <r>
    <n v="3000004861"/>
    <d v="2025-08-21T00:00:00"/>
    <n v="2776610.24"/>
    <s v="Arias Gonzalo Alejandro San Miguel de Tucumán 14"/>
    <x v="1016"/>
    <n v="2776610.24"/>
    <x v="118"/>
    <x v="2"/>
    <s v="pagado"/>
    <s v="pagado"/>
    <x v="0"/>
  </r>
  <r>
    <n v="3000004862"/>
    <d v="2025-08-21T00:00:00"/>
    <n v="11721546.68"/>
    <s v="ACOSTA ROQUE RAMON SAN MIGUEL DE TUCUMAN 14"/>
    <x v="1017"/>
    <n v="11721546.68"/>
    <x v="118"/>
    <x v="2"/>
    <s v="pagado"/>
    <s v="pagado"/>
    <x v="0"/>
  </r>
  <r>
    <n v="3000003969"/>
    <d v="2025-08-21T00:00:00"/>
    <n v="12774443.960000001"/>
    <s v="RL SOLUCIONES S. A. S. SAN MIGUEL DE TUCUMAN 14"/>
    <x v="1018"/>
    <n v="12774443.960000001"/>
    <x v="119"/>
    <x v="2"/>
    <s v="pagado"/>
    <s v="pagado"/>
    <x v="0"/>
  </r>
  <r>
    <n v="3000003819"/>
    <d v="2025-08-21T00:00:00"/>
    <n v="8343246.1399999997"/>
    <s v="VILLAGRA VELEZ ROQUE RICARDO SAN MIGUEL DE TUCUMAN 14"/>
    <x v="1019"/>
    <n v="8343246.1399999997"/>
    <x v="119"/>
    <x v="2"/>
    <s v="pagado"/>
    <s v="pagado"/>
    <x v="0"/>
  </r>
  <r>
    <n v="3000003816"/>
    <d v="2025-08-21T00:00:00"/>
    <n v="10000000"/>
    <s v="RL SOLUCIONES S. A. S. SAN MIGUEL DE TUCUMAN 14"/>
    <x v="1020"/>
    <n v="10000000"/>
    <x v="119"/>
    <x v="2"/>
    <s v="pagado"/>
    <s v="pagado"/>
    <x v="0"/>
  </r>
  <r>
    <n v="3000003309"/>
    <d v="2025-08-21T00:00:00"/>
    <n v="3895201.33"/>
    <s v="Sereno Carlos Luis Los Gutierrez 14"/>
    <x v="1021"/>
    <n v="3895201.33"/>
    <x v="119"/>
    <x v="2"/>
    <s v="pagado"/>
    <s v="pagado"/>
    <x v="0"/>
  </r>
  <r>
    <n v="3000004896"/>
    <d v="2025-08-21T00:00:00"/>
    <n v="1362379.94"/>
    <s v="TRANSPORTE MEDINA S.H. CRUZ ALTA 14"/>
    <x v="1022"/>
    <n v="1362379.94"/>
    <x v="119"/>
    <x v="0"/>
    <s v="pagado"/>
    <s v="pagado"/>
    <x v="0"/>
  </r>
  <r>
    <n v="3000004897"/>
    <d v="2025-08-22T00:00:00"/>
    <n v="15620310.99"/>
    <s v="ECOGREEN SRL SAN MIGUEL DE TUCUMAN 14"/>
    <x v="1023"/>
    <n v="15620310.99"/>
    <x v="119"/>
    <x v="0"/>
    <s v="pagado"/>
    <s v="pagado"/>
    <x v="0"/>
  </r>
  <r>
    <n v="3000004946"/>
    <d v="2025-08-25T00:00:00"/>
    <n v="2500000"/>
    <s v=". Tucumán"/>
    <x v="1024"/>
    <n v="2500000"/>
    <x v="120"/>
    <x v="0"/>
    <s v="pagado"/>
    <s v="pagado"/>
    <x v="0"/>
  </r>
  <r>
    <n v="3000004946"/>
    <d v="2025-08-25T00:00:00"/>
    <n v="2500000"/>
    <s v=". Tucumán"/>
    <x v="1025"/>
    <n v="2500000"/>
    <x v="120"/>
    <x v="0"/>
    <s v="pagado"/>
    <s v="pagado"/>
    <x v="0"/>
  </r>
  <r>
    <n v="3000004946"/>
    <d v="2025-08-25T00:00:00"/>
    <n v="2500000"/>
    <s v=". Tucumán"/>
    <x v="1026"/>
    <n v="2500000"/>
    <x v="120"/>
    <x v="0"/>
    <s v="pagado"/>
    <s v="pagado"/>
    <x v="0"/>
  </r>
  <r>
    <n v="3000004946"/>
    <d v="2025-08-25T00:00:00"/>
    <n v="2500000"/>
    <s v=". Tucumán"/>
    <x v="1027"/>
    <n v="2500000"/>
    <x v="120"/>
    <x v="0"/>
    <s v="pagado"/>
    <s v="pagado"/>
    <x v="0"/>
  </r>
  <r>
    <n v="3000004946"/>
    <d v="2025-08-25T00:00:00"/>
    <n v="2500000"/>
    <s v=". Tucumán"/>
    <x v="1028"/>
    <n v="2500000"/>
    <x v="121"/>
    <x v="0"/>
    <s v="pagado"/>
    <s v="pagado"/>
    <x v="0"/>
  </r>
  <r>
    <n v="3000004946"/>
    <d v="2025-08-25T00:00:00"/>
    <n v="2500000"/>
    <s v=". Tucumán"/>
    <x v="1029"/>
    <n v="2500000"/>
    <x v="121"/>
    <x v="0"/>
    <s v="pagado"/>
    <s v="pagado"/>
    <x v="0"/>
  </r>
  <r>
    <n v="3000004946"/>
    <d v="2025-08-25T00:00:00"/>
    <n v="1500000"/>
    <s v=". Tucumán"/>
    <x v="1030"/>
    <n v="1500000"/>
    <x v="121"/>
    <x v="0"/>
    <s v="pagado"/>
    <s v="pagado"/>
    <x v="0"/>
  </r>
  <r>
    <n v="3000004947"/>
    <d v="2025-08-25T00:00:00"/>
    <n v="10000000"/>
    <s v="INTERIORES S.R.L. SAN MIGUEL DE TUCUMAN 14"/>
    <x v="1031"/>
    <n v="10000000"/>
    <x v="120"/>
    <x v="0"/>
    <s v="pagado"/>
    <s v="pagado"/>
    <x v="0"/>
  </r>
  <r>
    <n v="3000004947"/>
    <d v="2025-08-25T00:00:00"/>
    <n v="4000000"/>
    <s v="INTERIORES S.R.L. SAN MIGUEL DE TUCUMAN 14"/>
    <x v="1032"/>
    <n v="4000000"/>
    <x v="122"/>
    <x v="0"/>
    <s v="pagado"/>
    <s v="pagado"/>
    <x v="0"/>
  </r>
  <r>
    <n v="3000004947"/>
    <d v="2025-08-25T00:00:00"/>
    <n v="3571963.49"/>
    <s v="INTERIORES S.R.L. SAN MIGUEL DE TUCUMAN 14"/>
    <x v="1033"/>
    <n v="3571963.49"/>
    <x v="123"/>
    <x v="0"/>
    <s v="pagado"/>
    <s v="pagado"/>
    <x v="0"/>
  </r>
  <r>
    <n v="3000004949"/>
    <d v="2025-08-25T00:00:00"/>
    <n v="11000000"/>
    <s v="fyl trans srl SAN MIGUEL DE TUCUMAN 14"/>
    <x v="1034"/>
    <n v="11000000"/>
    <x v="120"/>
    <x v="0"/>
    <s v="pagado"/>
    <s v="pagado"/>
    <x v="0"/>
  </r>
  <r>
    <n v="3000004949"/>
    <d v="2025-08-25T00:00:00"/>
    <n v="10705170.15"/>
    <s v="fyl trans srl SAN MIGUEL DE TUCUMAN 14"/>
    <x v="1035"/>
    <n v="10705170.15"/>
    <x v="124"/>
    <x v="0"/>
    <s v="pagado"/>
    <s v="pagado"/>
    <x v="0"/>
  </r>
  <r>
    <n v="3000004950"/>
    <d v="2025-08-25T00:00:00"/>
    <n v="24000000"/>
    <s v="MANCERA JOSEFINA REMIGIA SAN MIGUEL DE TUCUMAN 14"/>
    <x v="1036"/>
    <n v="24000000"/>
    <x v="120"/>
    <x v="0"/>
    <s v="pagado"/>
    <s v="pagado"/>
    <x v="0"/>
  </r>
  <r>
    <n v="3000004950"/>
    <d v="2025-08-25T00:00:00"/>
    <n v="23526178.670000002"/>
    <s v="MANCERA JOSEFINA REMIGIA SAN MIGUEL DE TUCUMAN 14"/>
    <x v="1037"/>
    <n v="23526178.670000002"/>
    <x v="124"/>
    <x v="0"/>
    <s v="pagado"/>
    <s v="pagado"/>
    <x v="0"/>
  </r>
  <r>
    <n v="3000004951"/>
    <d v="2025-08-25T00:00:00"/>
    <n v="23000000"/>
    <s v="MENDEZ, MARTIN ALBERTO SAN MIGUEL DE TUCUMAN 14"/>
    <x v="1038"/>
    <n v="23000000"/>
    <x v="120"/>
    <x v="0"/>
    <s v="pagado"/>
    <s v="pagado"/>
    <x v="0"/>
  </r>
  <r>
    <n v="3000004951"/>
    <d v="2025-08-25T00:00:00"/>
    <n v="23637958.870000001"/>
    <s v="MENDEZ, MARTIN ALBERTO SAN MIGUEL DE TUCUMAN 14"/>
    <x v="1039"/>
    <n v="23637958.870000001"/>
    <x v="124"/>
    <x v="0"/>
    <s v="pagado"/>
    <s v="pagado"/>
    <x v="0"/>
  </r>
  <r>
    <n v="3000004960"/>
    <d v="2025-08-25T00:00:00"/>
    <n v="16000000"/>
    <s v="CEFAS S.A CIUDAD AUTONOMA DE BUENOS AIRES 01"/>
    <x v="1040"/>
    <n v="16000000"/>
    <x v="120"/>
    <x v="0"/>
    <s v="pagado"/>
    <s v="pagado"/>
    <x v="0"/>
  </r>
  <r>
    <n v="3000004960"/>
    <d v="2025-08-25T00:00:00"/>
    <n v="15608527.07"/>
    <s v="CEFAS S.A CIUDAD AUTONOMA DE BUENOS AIRES 01"/>
    <x v="1041"/>
    <n v="15608527.07"/>
    <x v="124"/>
    <x v="0"/>
    <s v="pagado"/>
    <s v="pagado"/>
    <x v="0"/>
  </r>
  <r>
    <n v="3000004961"/>
    <d v="2025-08-25T00:00:00"/>
    <n v="15000000"/>
    <s v="EXCELENCIA OPERACIONAL SRL CIUDAD AUTONOMA DE BUENOS AIRES 00"/>
    <x v="1042"/>
    <n v="15000000"/>
    <x v="120"/>
    <x v="0"/>
    <s v="pagado"/>
    <s v="pagado"/>
    <x v="0"/>
  </r>
  <r>
    <n v="3000004961"/>
    <d v="2025-08-25T00:00:00"/>
    <n v="14838594.6"/>
    <s v="EXCELENCIA OPERACIONAL SRL CIUDAD AUTONOMA DE BUENOS AIRES 00"/>
    <x v="1043"/>
    <n v="14838594.6"/>
    <x v="124"/>
    <x v="0"/>
    <s v="pagado"/>
    <s v="pagado"/>
    <x v="0"/>
  </r>
  <r>
    <n v="3000004963"/>
    <d v="2025-08-25T00:00:00"/>
    <n v="25000000"/>
    <s v="LATCOMEX SA CAPITAL FEDERAL 00"/>
    <x v="1044"/>
    <n v="25000000"/>
    <x v="120"/>
    <x v="0"/>
    <s v="pagado"/>
    <s v="pagado"/>
    <x v="0"/>
  </r>
  <r>
    <n v="3000004963"/>
    <d v="2025-08-25T00:00:00"/>
    <n v="24833000"/>
    <s v="LATCOMEX SA CAPITAL FEDERAL 00"/>
    <x v="1045"/>
    <n v="24833000"/>
    <x v="124"/>
    <x v="0"/>
    <s v="pagado"/>
    <s v="pagado"/>
    <x v="0"/>
  </r>
  <r>
    <n v="3000004948"/>
    <d v="2025-08-25T00:00:00"/>
    <n v="5156858.4000000004"/>
    <s v="ARMERIA ARMAR SAS SAN MIGUEL DE TUCUMAN 14"/>
    <x v="1046"/>
    <n v="5156858.4000000004"/>
    <x v="120"/>
    <x v="0"/>
    <s v="pagado"/>
    <s v="pagado"/>
    <x v="0"/>
  </r>
  <r>
    <n v="3000004952"/>
    <d v="2025-08-25T00:00:00"/>
    <n v="15136442.539999999"/>
    <s v="HERECITRUS SRL SAN MIGUEL DE TUCUMAN 14"/>
    <x v="1047"/>
    <n v="15136442.539999999"/>
    <x v="120"/>
    <x v="0"/>
    <s v="pagado"/>
    <s v="pagado"/>
    <x v="0"/>
  </r>
  <r>
    <n v="3000004953"/>
    <d v="2025-08-25T00:00:00"/>
    <n v="9008164.7100000009"/>
    <s v="JABULISSA S.R.L YERBA BUENA 14"/>
    <x v="1048"/>
    <n v="9008164.7100000009"/>
    <x v="120"/>
    <x v="0"/>
    <s v="pagado"/>
    <s v="pagado"/>
    <x v="0"/>
  </r>
  <r>
    <n v="3000004954"/>
    <d v="2025-08-25T00:00:00"/>
    <n v="15844400.58"/>
    <s v="NOBEN SRL SAN MIGUEL DE TUCUMAN 14"/>
    <x v="1049"/>
    <n v="15844400.58"/>
    <x v="120"/>
    <x v="0"/>
    <s v="pagado"/>
    <s v="pagado"/>
    <x v="0"/>
  </r>
  <r>
    <n v="3000004955"/>
    <d v="2025-08-25T00:00:00"/>
    <n v="3497234.05"/>
    <s v="MG SERVICIOS AGROPECUARIOS SASTAFI VIEJO 14"/>
    <x v="1050"/>
    <n v="3497234.05"/>
    <x v="120"/>
    <x v="0"/>
    <s v="pagado"/>
    <s v="pagado"/>
    <x v="0"/>
  </r>
  <r>
    <n v="3000004956"/>
    <d v="2025-08-25T00:00:00"/>
    <n v="7460417.5599999996"/>
    <s v="ROMERO SERVICIOS S. A. S. ALPACHIRI 14"/>
    <x v="1051"/>
    <n v="7460417.5599999996"/>
    <x v="120"/>
    <x v="0"/>
    <s v="pagado"/>
    <s v="pagado"/>
    <x v="0"/>
  </r>
  <r>
    <n v="3000004957"/>
    <d v="2025-08-25T00:00:00"/>
    <n v="13789931.4"/>
    <s v="TEKNOS TECHNOLOGY GROUP SA CAPITAL FEDERAL 00"/>
    <x v="1052"/>
    <n v="13789931.4"/>
    <x v="120"/>
    <x v="0"/>
    <s v="pagado"/>
    <s v="pagado"/>
    <x v="0"/>
  </r>
  <r>
    <n v="3000004958"/>
    <d v="2025-08-25T00:00:00"/>
    <n v="6127680"/>
    <s v="Consultoria en Tecnologia de IBUENOS AIRES 00"/>
    <x v="1053"/>
    <n v="6127680"/>
    <x v="120"/>
    <x v="0"/>
    <s v="pagado"/>
    <s v="pagado"/>
    <x v="0"/>
  </r>
  <r>
    <n v="3000004959"/>
    <d v="2025-08-25T00:00:00"/>
    <n v="9870000"/>
    <s v="INSITU S.R.L SAN MIGUEL DE TUCUMAN 14"/>
    <x v="1054"/>
    <n v="9870000"/>
    <x v="120"/>
    <x v="0"/>
    <s v="pagado"/>
    <s v="pagado"/>
    <x v="0"/>
  </r>
  <r>
    <n v="3000004962"/>
    <d v="2025-08-25T00:00:00"/>
    <n v="8266467.2000000002"/>
    <s v="Rotta Domingo Eduardo Cruz Alta 14"/>
    <x v="1055"/>
    <n v="8266467.2000000002"/>
    <x v="120"/>
    <x v="0"/>
    <s v="pagado"/>
    <s v="pagado"/>
    <x v="0"/>
  </r>
  <r>
    <n v="3000004995"/>
    <d v="2025-08-26T00:00:00"/>
    <n v="9950499.9800000004"/>
    <s v="NARANJO GONZALO JOSE TARUCA PAMPA 14"/>
    <x v="1056"/>
    <n v="9950499.9800000004"/>
    <x v="120"/>
    <x v="0"/>
    <s v="pagado"/>
    <s v="pagado"/>
    <x v="0"/>
  </r>
  <r>
    <n v="3000004996"/>
    <d v="2025-08-26T00:00:00"/>
    <n v="6286667.6699999999"/>
    <s v="ALVAREZ RENE JOSE MARIA BELLA VISTA 14"/>
    <x v="1057"/>
    <n v="6286667.6699999999"/>
    <x v="120"/>
    <x v="0"/>
    <s v="pagado"/>
    <s v="pagado"/>
    <x v="0"/>
  </r>
  <r>
    <n v="3000004997"/>
    <d v="2025-08-26T00:00:00"/>
    <n v="3463468.43"/>
    <s v="SUAREZ MIGUEL ANGEL ALDERETES 14"/>
    <x v="1058"/>
    <n v="3463468.43"/>
    <x v="120"/>
    <x v="0"/>
    <s v="pagado"/>
    <s v="pagado"/>
    <x v="0"/>
  </r>
  <r>
    <n v="3000004998"/>
    <d v="2025-08-26T00:00:00"/>
    <n v="0"/>
    <s v="invalidado med.EOLIVERA -Rechazado"/>
    <x v="1059"/>
    <n v="0"/>
    <x v="120"/>
    <x v="0"/>
    <s v="no pagado"/>
    <s v="fuera de fecha"/>
    <x v="0"/>
  </r>
  <r>
    <n v="3000004999"/>
    <d v="2025-08-26T00:00:00"/>
    <n v="2404308.73"/>
    <s v="DIOSQUEZ RODOLFO ALFREDO ALDERETES 14"/>
    <x v="1060"/>
    <n v="2404308.73"/>
    <x v="120"/>
    <x v="0"/>
    <s v="pagado"/>
    <s v="pagado"/>
    <x v="0"/>
  </r>
  <r>
    <n v="3000005000"/>
    <d v="2025-08-26T00:00:00"/>
    <n v="4641089.26"/>
    <s v="Sanchez Jose Mauricio San Miguel de Tucuman 14"/>
    <x v="1061"/>
    <n v="4641089.26"/>
    <x v="120"/>
    <x v="0"/>
    <s v="pagado"/>
    <s v="pagado"/>
    <x v="0"/>
  </r>
  <r>
    <n v="3000005001"/>
    <d v="2025-08-26T00:00:00"/>
    <n v="15000000"/>
    <s v="LANCHELA HECTOR ROLANDO CONCEPCION 14"/>
    <x v="1062"/>
    <n v="15000000"/>
    <x v="120"/>
    <x v="0"/>
    <s v="pagado"/>
    <s v="pagado"/>
    <x v="0"/>
  </r>
  <r>
    <n v="3000005001"/>
    <d v="2025-08-26T00:00:00"/>
    <n v="14895880.23"/>
    <s v="LANCHELA HECTOR ROLANDO CONCEPCION 14"/>
    <x v="1063"/>
    <n v="14895880.23"/>
    <x v="124"/>
    <x v="0"/>
    <s v="pagado"/>
    <s v="pagado"/>
    <x v="0"/>
  </r>
  <r>
    <n v="3000005002"/>
    <d v="2025-08-26T00:00:00"/>
    <n v="8519886.3100000005"/>
    <s v="CEMEVA SAS YERBA BUENA 14"/>
    <x v="1064"/>
    <n v="8519886.3100000005"/>
    <x v="120"/>
    <x v="0"/>
    <s v="pagado"/>
    <s v="pagado"/>
    <x v="0"/>
  </r>
  <r>
    <n v="3000005003"/>
    <d v="2025-08-26T00:00:00"/>
    <n v="4259943.16"/>
    <s v="MAC DONALD MIGUEL ALEJANDRO BANDA DEL RIO SALI 14"/>
    <x v="1065"/>
    <n v="4259943.16"/>
    <x v="120"/>
    <x v="0"/>
    <s v="pagado"/>
    <s v="pagado"/>
    <x v="0"/>
  </r>
  <r>
    <n v="3000005004"/>
    <d v="2025-08-26T00:00:00"/>
    <n v="6349523.3700000001"/>
    <s v="VILLAGRA VELEZ ROQUE RICARDO SAN MIGUEL DE TUCUMAN 14"/>
    <x v="1066"/>
    <n v="6349523.3700000001"/>
    <x v="120"/>
    <x v="0"/>
    <s v="pagado"/>
    <s v="pagado"/>
    <x v="0"/>
  </r>
  <r>
    <n v="3000005005"/>
    <d v="2025-08-26T00:00:00"/>
    <n v="6000000"/>
    <s v="RL SOLUCIONES S. A. S. SAN MIGUEL DE TUCUMAN 14"/>
    <x v="1067"/>
    <n v="6000000"/>
    <x v="120"/>
    <x v="0"/>
    <s v="pagado"/>
    <s v="pagado"/>
    <x v="0"/>
  </r>
  <r>
    <n v="3000005005"/>
    <d v="2025-08-26T00:00:00"/>
    <n v="6650577.0800000001"/>
    <s v="RL SOLUCIONES S. A. S. SAN MIGUEL DE TUCUMAN 14"/>
    <x v="1068"/>
    <n v="6650577.0800000001"/>
    <x v="124"/>
    <x v="0"/>
    <s v="pagado"/>
    <s v="pagado"/>
    <x v="0"/>
  </r>
  <r>
    <n v="3000005006"/>
    <d v="2025-08-26T00:00:00"/>
    <n v="3491157.76"/>
    <s v="BRAVO JUAN DOMINGO LAS TALITAS 14"/>
    <x v="1069"/>
    <n v="3491157.76"/>
    <x v="120"/>
    <x v="0"/>
    <s v="pagado"/>
    <s v="pagado"/>
    <x v="0"/>
  </r>
  <r>
    <n v="3000005007"/>
    <d v="2025-08-26T00:00:00"/>
    <n v="20000000"/>
    <s v="CAPETTA ANTONELLA ANAHI SAN MIGUEL DE TUCUMAN 14"/>
    <x v="1070"/>
    <n v="20000000"/>
    <x v="120"/>
    <x v="0"/>
    <s v="pagado"/>
    <s v="pagado"/>
    <x v="0"/>
  </r>
  <r>
    <n v="3000005007"/>
    <d v="2025-08-26T00:00:00"/>
    <n v="18339488.41"/>
    <s v="CAPETTA ANTONELLA ANAHI SAN MIGUEL DE TUCUMAN 14"/>
    <x v="1071"/>
    <n v="18339488.41"/>
    <x v="125"/>
    <x v="0"/>
    <s v="pagado"/>
    <s v="pagado"/>
    <x v="0"/>
  </r>
  <r>
    <n v="3000005008"/>
    <d v="2025-08-26T00:00:00"/>
    <n v="12000000"/>
    <s v="LATCOMEX SA CAPITAL FEDERAL 00"/>
    <x v="1072"/>
    <n v="12000000"/>
    <x v="120"/>
    <x v="0"/>
    <s v="pagado"/>
    <s v="pagado"/>
    <x v="0"/>
  </r>
  <r>
    <n v="3000005008"/>
    <d v="2025-08-26T00:00:00"/>
    <n v="12916500"/>
    <s v="LATCOMEX SA CAPITAL FEDERAL 00"/>
    <x v="1073"/>
    <n v="12916500"/>
    <x v="124"/>
    <x v="0"/>
    <s v="pagado"/>
    <s v="pagado"/>
    <x v="0"/>
  </r>
  <r>
    <n v="3000005009"/>
    <d v="2025-08-26T00:00:00"/>
    <n v="11000000"/>
    <s v="Rutas Servicios Integrales SRLCapital Federal 00"/>
    <x v="1074"/>
    <n v="11000000"/>
    <x v="120"/>
    <x v="0"/>
    <s v="pagado"/>
    <s v="pagado"/>
    <x v="0"/>
  </r>
  <r>
    <n v="3000005009"/>
    <d v="2025-08-26T00:00:00"/>
    <n v="11644543.4"/>
    <s v="Rutas Servicios Integrales SRLCapital Federal 00"/>
    <x v="1075"/>
    <n v="11644543.4"/>
    <x v="124"/>
    <x v="0"/>
    <s v="pagado"/>
    <s v="pagado"/>
    <x v="0"/>
  </r>
  <r>
    <n v="3000005010"/>
    <d v="2025-08-26T00:00:00"/>
    <n v="10000000"/>
    <s v="FERNANDEZ HECTOR JOSE SIMOCA 14"/>
    <x v="1076"/>
    <n v="10000000"/>
    <x v="120"/>
    <x v="0"/>
    <s v="pagado"/>
    <s v="pagado"/>
    <x v="0"/>
  </r>
  <r>
    <n v="3000005010"/>
    <d v="2025-08-26T00:00:00"/>
    <n v="5186559.84"/>
    <s v="FERNANDEZ HECTOR JOSE SIMOCA 14"/>
    <x v="1077"/>
    <n v="5186559.84"/>
    <x v="124"/>
    <x v="0"/>
    <s v="pagado"/>
    <s v="pagado"/>
    <x v="0"/>
  </r>
  <r>
    <n v="3000005011"/>
    <d v="2025-08-26T00:00:00"/>
    <n v="10000000"/>
    <s v="PERATO CRISTIAN LUIS BANDA DEL RIO SALI 14"/>
    <x v="1078"/>
    <n v="10000000"/>
    <x v="120"/>
    <x v="0"/>
    <s v="pagado"/>
    <s v="pagado"/>
    <x v="0"/>
  </r>
  <r>
    <n v="3000005011"/>
    <d v="2025-08-26T00:00:00"/>
    <n v="5446984.3099999996"/>
    <s v="PERATO CRISTIAN LUIS BANDA DEL RIO SALI 14"/>
    <x v="1079"/>
    <n v="5446984.3099999996"/>
    <x v="124"/>
    <x v="0"/>
    <s v="pagado"/>
    <s v="pagado"/>
    <x v="0"/>
  </r>
  <r>
    <n v="3000004912"/>
    <d v="2025-08-26T00:00:00"/>
    <n v="225840410"/>
    <s v="EDET S.A. SAN MIGUEL DE TUCUMAN 14"/>
    <x v="1080"/>
    <n v="225840410"/>
    <x v="125"/>
    <x v="2"/>
    <s v="pagado"/>
    <s v="pagado"/>
    <x v="0"/>
  </r>
  <r>
    <n v="3000005046"/>
    <d v="2025-08-27T00:00:00"/>
    <n v="15784765.289999999"/>
    <s v="PAMPLONA SRL SAN MIGUEL DE TUCUMAN 14"/>
    <x v="1081"/>
    <n v="15784765.289999999"/>
    <x v="120"/>
    <x v="2"/>
    <s v="pagado"/>
    <s v="pagado"/>
    <x v="0"/>
  </r>
  <r>
    <n v="3000005047"/>
    <d v="2025-08-27T00:00:00"/>
    <n v="12449144.41"/>
    <s v="SAUCE HUACHO SERVICIOS S.R.L MONTEROS 14"/>
    <x v="1082"/>
    <n v="12449144.41"/>
    <x v="120"/>
    <x v="2"/>
    <s v="pagado"/>
    <s v="pagado"/>
    <x v="0"/>
  </r>
  <r>
    <n v="3000005048"/>
    <d v="2025-08-27T00:00:00"/>
    <n v="17008921.050000001"/>
    <s v="ROMERO SERVICIOS S. A. S. ALPACHIRI 14"/>
    <x v="1083"/>
    <n v="17008921.050000001"/>
    <x v="120"/>
    <x v="2"/>
    <s v="pagado"/>
    <s v="pagado"/>
    <x v="0"/>
  </r>
  <r>
    <n v="3000005049"/>
    <d v="2025-08-28T00:00:00"/>
    <n v="15000000"/>
    <s v="MG SERVICIOS AGROPECUARIOS SASTAFI VIEJO 14"/>
    <x v="1084"/>
    <n v="15000000"/>
    <x v="124"/>
    <x v="2"/>
    <s v="pagado"/>
    <s v="pagado"/>
    <x v="0"/>
  </r>
  <r>
    <n v="3000005049"/>
    <d v="2025-08-28T00:00:00"/>
    <n v="13635360"/>
    <s v="MG SERVICIOS AGROPECUARIOS SASTAFI VIEJO 14"/>
    <x v="1085"/>
    <n v="13635360"/>
    <x v="124"/>
    <x v="2"/>
    <s v="pagado"/>
    <s v="pagado"/>
    <x v="0"/>
  </r>
  <r>
    <n v="3000005049"/>
    <d v="2025-08-28T00:00:00"/>
    <n v="0"/>
    <s v="invalidado med.HJIMENEZ -Vencimiento BCRA"/>
    <x v="1086"/>
    <n v="0"/>
    <x v="126"/>
    <x v="2"/>
    <s v="no pagado"/>
    <s v="fuera de fecha"/>
    <x v="0"/>
  </r>
  <r>
    <n v="3000005049"/>
    <d v="2025-08-28T00:00:00"/>
    <n v="25000000"/>
    <s v="MG SERVICIOS AGROPECUARIOS SASTAFI VIEJO 14"/>
    <x v="1087"/>
    <n v="25000000"/>
    <x v="126"/>
    <x v="2"/>
    <s v="pagado"/>
    <s v="pagado"/>
    <x v="0"/>
  </r>
  <r>
    <n v="3000005049"/>
    <d v="2025-08-28T00:00:00"/>
    <n v="31829454.129999999"/>
    <s v="MG SERVICIOS AGROPECUARIOS SASTAFI VIEJO 14"/>
    <x v="1088"/>
    <n v="31829454.129999999"/>
    <x v="126"/>
    <x v="2"/>
    <s v="pagado"/>
    <s v="pagado"/>
    <x v="0"/>
  </r>
  <r>
    <n v="3000005050"/>
    <d v="2025-08-28T00:00:00"/>
    <n v="290000000"/>
    <s v="NUTRITERRA S.A CHIMBAS 10"/>
    <x v="1089"/>
    <n v="290000000"/>
    <x v="122"/>
    <x v="2"/>
    <s v="pagado"/>
    <s v="pagado"/>
    <x v="0"/>
  </r>
  <r>
    <n v="3000005050"/>
    <d v="2025-08-28T00:00:00"/>
    <n v="290000000"/>
    <s v="NUTRITERRA S.A CHIMBAS 10"/>
    <x v="1090"/>
    <n v="290000000"/>
    <x v="122"/>
    <x v="2"/>
    <s v="pagado"/>
    <s v="pagado"/>
    <x v="0"/>
  </r>
  <r>
    <n v="3000005050"/>
    <d v="2025-08-28T00:00:00"/>
    <n v="290000000"/>
    <s v="NUTRITERRA S.A CHIMBAS 10"/>
    <x v="1091"/>
    <n v="290000000"/>
    <x v="122"/>
    <x v="2"/>
    <s v="pagado"/>
    <s v="pagado"/>
    <x v="0"/>
  </r>
  <r>
    <n v="3000005050"/>
    <d v="2025-08-28T00:00:00"/>
    <n v="290000000"/>
    <s v="NUTRITERRA S.A CHIMBAS 10"/>
    <x v="1092"/>
    <n v="290000000"/>
    <x v="127"/>
    <x v="2"/>
    <s v="pagado"/>
    <s v="pagado"/>
    <x v="0"/>
  </r>
  <r>
    <n v="3000005050"/>
    <d v="2025-08-28T00:00:00"/>
    <n v="290000000"/>
    <s v="NUTRITERRA S.A CHIMBAS 10"/>
    <x v="1093"/>
    <n v="290000000"/>
    <x v="127"/>
    <x v="2"/>
    <s v="pagado"/>
    <s v="pagado"/>
    <x v="0"/>
  </r>
  <r>
    <n v="3000005050"/>
    <d v="2025-08-28T00:00:00"/>
    <n v="290000000"/>
    <s v="NUTRITERRA S.A CHIMBAS 10"/>
    <x v="1094"/>
    <n v="290000000"/>
    <x v="127"/>
    <x v="2"/>
    <s v="pagado"/>
    <s v="pagado"/>
    <x v="0"/>
  </r>
  <r>
    <n v="3000005050"/>
    <d v="2025-08-28T00:00:00"/>
    <n v="290000000"/>
    <s v="NUTRITERRA S.A CHIMBAS 10"/>
    <x v="1095"/>
    <n v="290000000"/>
    <x v="128"/>
    <x v="2"/>
    <s v="pagado"/>
    <s v="pagado"/>
    <x v="0"/>
  </r>
  <r>
    <n v="3000005050"/>
    <d v="2025-08-28T00:00:00"/>
    <n v="290000000"/>
    <s v="NUTRITERRA S.A CHIMBAS 10"/>
    <x v="1096"/>
    <n v="290000000"/>
    <x v="128"/>
    <x v="2"/>
    <s v="pagado"/>
    <s v="pagado"/>
    <x v="0"/>
  </r>
  <r>
    <n v="3000005050"/>
    <d v="2025-08-28T00:00:00"/>
    <n v="290000000"/>
    <s v="NUTRITERRA S.A CHIMBAS 10"/>
    <x v="1097"/>
    <n v="290000000"/>
    <x v="128"/>
    <x v="2"/>
    <s v="pagado"/>
    <s v="pagado"/>
    <x v="0"/>
  </r>
  <r>
    <n v="3000005050"/>
    <d v="2025-08-28T00:00:00"/>
    <n v="290000000"/>
    <s v="NUTRITERRA S.A CHIMBAS 10"/>
    <x v="1098"/>
    <n v="290000000"/>
    <x v="129"/>
    <x v="2"/>
    <s v="pagado"/>
    <s v="pagado"/>
    <x v="0"/>
  </r>
  <r>
    <n v="3000005050"/>
    <d v="2025-08-28T00:00:00"/>
    <n v="290000000"/>
    <s v="NUTRITERRA S.A CHIMBAS 10"/>
    <x v="1099"/>
    <n v="290000000"/>
    <x v="129"/>
    <x v="2"/>
    <s v="pagado"/>
    <s v="pagado"/>
    <x v="0"/>
  </r>
  <r>
    <n v="3000005050"/>
    <d v="2025-08-28T00:00:00"/>
    <n v="278717907.69999999"/>
    <s v="NUTRITERRA S.A CHIMBAS 10"/>
    <x v="1100"/>
    <n v="278717907.69999999"/>
    <x v="129"/>
    <x v="2"/>
    <s v="pagado"/>
    <s v="pagado"/>
    <x v="0"/>
  </r>
  <r>
    <n v="3000005074"/>
    <d v="2025-08-28T00:00:00"/>
    <n v="0"/>
    <s v="invalidado med.HJIMENEZ -Destruido/ Sin uso"/>
    <x v="1101"/>
    <n v="0"/>
    <x v="130"/>
    <x v="2"/>
    <s v="no pagado"/>
    <s v="fuera de fecha"/>
    <x v="0"/>
  </r>
  <r>
    <n v="3000005133"/>
    <d v="2025-09-01T00:00:00"/>
    <n v="4187334.65"/>
    <s v="SILVA SRL SAN MIGUEL DE TUCUMAN 14"/>
    <x v="1102"/>
    <n v="4187334.65"/>
    <x v="126"/>
    <x v="2"/>
    <s v="pagado"/>
    <s v="pagado"/>
    <x v="0"/>
  </r>
  <r>
    <n v="3000005134"/>
    <d v="2025-09-01T00:00:00"/>
    <n v="13679155"/>
    <s v="TUCUMAN PALLET SRL EL MANANTIAL 14"/>
    <x v="1103"/>
    <n v="13679155"/>
    <x v="126"/>
    <x v="2"/>
    <s v="pagado"/>
    <s v="pagado"/>
    <x v="0"/>
  </r>
  <r>
    <n v="3000005135"/>
    <d v="2025-09-01T00:00:00"/>
    <n v="6141982.2999999998"/>
    <s v="SERV.AGROP VILLA PAPADAKIS S.RSALTA 09"/>
    <x v="1104"/>
    <n v="6141982.2999999998"/>
    <x v="126"/>
    <x v="2"/>
    <s v="pagado"/>
    <s v="pagado"/>
    <x v="0"/>
  </r>
  <r>
    <n v="3000005136"/>
    <d v="2025-09-01T00:00:00"/>
    <n v="7278248.4199999999"/>
    <s v="PAMPLONA SRL SAN MIGUEL DE TUCUMAN 14"/>
    <x v="1105"/>
    <n v="7278248.4199999999"/>
    <x v="126"/>
    <x v="2"/>
    <s v="pagado"/>
    <s v="pagado"/>
    <x v="0"/>
  </r>
  <r>
    <n v="3000005137"/>
    <d v="2025-09-02T00:00:00"/>
    <n v="27496492.34"/>
    <s v="CONSTRUNOA S.A.S. ORAN 09"/>
    <x v="1106"/>
    <n v="27496492.34"/>
    <x v="121"/>
    <x v="2"/>
    <s v="pagado"/>
    <s v="pagado"/>
    <x v="0"/>
  </r>
  <r>
    <n v="3000005130"/>
    <d v="2025-09-01T00:00:00"/>
    <n v="6710000"/>
    <s v=". Tucumán"/>
    <x v="1107"/>
    <n v="6710000"/>
    <x v="130"/>
    <x v="0"/>
    <s v="pagado"/>
    <s v="pagado"/>
    <x v="0"/>
  </r>
  <r>
    <n v="3000005131"/>
    <d v="2025-09-01T00:00:00"/>
    <n v="2090000.1"/>
    <s v=". Tucumán"/>
    <x v="1108"/>
    <n v="2090000.1"/>
    <x v="130"/>
    <x v="0"/>
    <s v="pagado"/>
    <s v="pagado"/>
    <x v="0"/>
  </r>
  <r>
    <n v="3000005211"/>
    <d v="2025-09-03T00:00:00"/>
    <n v="3802164.91"/>
    <s v="TRANSPORTE MEDINA S.H. CRUZ ALTA 14"/>
    <x v="1109"/>
    <n v="3802164.91"/>
    <x v="121"/>
    <x v="0"/>
    <s v="pagado"/>
    <s v="pagado"/>
    <x v="0"/>
  </r>
  <r>
    <n v="3000005212"/>
    <d v="2025-09-03T00:00:00"/>
    <n v="21440381.739999998"/>
    <s v="J. SLEIMAN S.R.L SAN MIGUEL DE TUCUMAN 14"/>
    <x v="1110"/>
    <n v="21440381.739999998"/>
    <x v="131"/>
    <x v="0"/>
    <s v="pagado"/>
    <s v="pagado"/>
    <x v="0"/>
  </r>
  <r>
    <n v="3000005213"/>
    <d v="2025-09-03T00:00:00"/>
    <n v="9928694.3200000003"/>
    <s v="AGROPECUARIA MUNDO NUEVO SRL SAN PABLO 14"/>
    <x v="1111"/>
    <n v="9928694.3200000003"/>
    <x v="131"/>
    <x v="0"/>
    <s v="pagado"/>
    <s v="pagado"/>
    <x v="0"/>
  </r>
  <r>
    <n v="3000005214"/>
    <d v="2025-09-03T00:00:00"/>
    <n v="21311510.899999999"/>
    <s v="Terminal 4 S.A. Puerto Nuevo 01"/>
    <x v="1112"/>
    <n v="21311510.899999999"/>
    <x v="131"/>
    <x v="0"/>
    <s v="pagado"/>
    <s v="pagado"/>
    <x v="0"/>
  </r>
  <r>
    <n v="3000005215"/>
    <d v="2025-09-03T00:00:00"/>
    <n v="6333274.7800000003"/>
    <s v="MOREY SERGIO GUILLERMO LOS GUTIERREZ-ALDERETES 14"/>
    <x v="1113"/>
    <n v="6333274.7800000003"/>
    <x v="131"/>
    <x v="0"/>
    <s v="pagado"/>
    <s v="pagado"/>
    <x v="0"/>
  </r>
  <r>
    <n v="3000005216"/>
    <d v="2025-09-03T00:00:00"/>
    <n v="8183368.6900000004"/>
    <s v="SUAREZ MANUEL RODOLFO ALDERETES 14"/>
    <x v="1114"/>
    <n v="8183368.6900000004"/>
    <x v="131"/>
    <x v="0"/>
    <s v="pagado"/>
    <s v="pagado"/>
    <x v="0"/>
  </r>
  <r>
    <n v="3000005217"/>
    <d v="2025-09-03T00:00:00"/>
    <n v="5891793.7699999996"/>
    <s v="PAEZ LEONEL EXEQUIEL MACIO 14"/>
    <x v="1115"/>
    <n v="5891793.7699999996"/>
    <x v="131"/>
    <x v="0"/>
    <s v="pagado"/>
    <s v="pagado"/>
    <x v="0"/>
  </r>
  <r>
    <n v="3000005218"/>
    <d v="2025-09-03T00:00:00"/>
    <n v="9806709.6999999993"/>
    <s v="TRANSPORTE MARIANITA S.R.L SAN MIGUEL DE TUCUMAN 14"/>
    <x v="1116"/>
    <n v="9806709.6999999993"/>
    <x v="131"/>
    <x v="0"/>
    <s v="pagado"/>
    <s v="pagado"/>
    <x v="0"/>
  </r>
  <r>
    <n v="3000005219"/>
    <d v="2025-09-03T00:00:00"/>
    <n v="7439170.54"/>
    <s v="TRANSPORTE FRIOS DEL NORTE S.RSAN MIGUEL DE TUCUMAN 14"/>
    <x v="1117"/>
    <n v="7439170.54"/>
    <x v="131"/>
    <x v="0"/>
    <s v="pagado"/>
    <s v="pagado"/>
    <x v="0"/>
  </r>
  <r>
    <n v="3000005220"/>
    <d v="2025-09-03T00:00:00"/>
    <n v="27731984.98"/>
    <s v="CAPETTA ANTONELLA ANAHI SAN MIGUEL DE TUCUMAN 14"/>
    <x v="1118"/>
    <n v="27731984.98"/>
    <x v="131"/>
    <x v="0"/>
    <s v="pagado"/>
    <s v="pagado"/>
    <x v="0"/>
  </r>
  <r>
    <n v="3000005221"/>
    <d v="2025-09-03T00:00:00"/>
    <n v="6045685.4299999997"/>
    <s v="HERRERA RICARDO ALBERTO BANDA DEL RIO SALI 14"/>
    <x v="1119"/>
    <n v="6045685.4299999997"/>
    <x v="131"/>
    <x v="0"/>
    <s v="pagado"/>
    <s v="pagado"/>
    <x v="0"/>
  </r>
  <r>
    <n v="3000005222"/>
    <d v="2025-09-03T00:00:00"/>
    <n v="7723981.6500000004"/>
    <s v="Arias Carlos Alberto SAN MIGUEL DE TUCUMAN 14"/>
    <x v="1120"/>
    <n v="7723981.6500000004"/>
    <x v="131"/>
    <x v="0"/>
    <s v="pagado"/>
    <s v="pagado"/>
    <x v="0"/>
  </r>
  <r>
    <n v="3000005223"/>
    <d v="2025-09-03T00:00:00"/>
    <n v="5624994.2000000002"/>
    <s v="Sanchez Jose Mauricio San Miguel de Tucuman 14"/>
    <x v="1121"/>
    <n v="5624994.2000000002"/>
    <x v="131"/>
    <x v="0"/>
    <s v="pagado"/>
    <s v="pagado"/>
    <x v="0"/>
  </r>
  <r>
    <n v="3000005224"/>
    <d v="2025-09-03T00:00:00"/>
    <n v="9099752.5800000001"/>
    <s v="PEDRO GABRIEL ALEJANDRO ALDERETES 14"/>
    <x v="1122"/>
    <n v="9099752.5800000001"/>
    <x v="131"/>
    <x v="0"/>
    <s v="pagado"/>
    <s v="pagado"/>
    <x v="0"/>
  </r>
  <r>
    <n v="3000005225"/>
    <d v="2025-09-03T00:00:00"/>
    <n v="5032785.34"/>
    <s v="PERATO LUIS ALBERTO BANDA DEL RIO SALI 14"/>
    <x v="1123"/>
    <n v="5032785.34"/>
    <x v="131"/>
    <x v="0"/>
    <s v="pagado"/>
    <s v="pagado"/>
    <x v="0"/>
  </r>
  <r>
    <n v="3000005226"/>
    <d v="2025-09-03T00:00:00"/>
    <n v="7074694.2000000002"/>
    <s v="GEREZ ALICIA ELEUTERIA SAN MIGUEL DE TUCUMAN 14"/>
    <x v="1124"/>
    <n v="7074694.2000000002"/>
    <x v="131"/>
    <x v="0"/>
    <s v="pagado"/>
    <s v="pagado"/>
    <x v="0"/>
  </r>
  <r>
    <n v="3000005227"/>
    <d v="2025-09-03T00:00:00"/>
    <n v="24916667.920000002"/>
    <s v="LATCOMEX SA CAPITAL FEDERAL 00"/>
    <x v="1125"/>
    <n v="24916667.920000002"/>
    <x v="131"/>
    <x v="0"/>
    <s v="pagado"/>
    <s v="pagado"/>
    <x v="0"/>
  </r>
  <r>
    <n v="3000005228"/>
    <d v="2025-09-03T00:00:00"/>
    <n v="15214656.74"/>
    <s v="Vaquera Francisco Alfredo Monteros 14"/>
    <x v="1126"/>
    <n v="15214656.74"/>
    <x v="131"/>
    <x v="0"/>
    <s v="pagado"/>
    <s v="pagado"/>
    <x v="0"/>
  </r>
  <r>
    <n v="3000005229"/>
    <d v="2025-09-03T00:00:00"/>
    <n v="17312014.640000001"/>
    <s v="LA MARTINA SERV. AGRICOLAS S.RSAN PABLO 14"/>
    <x v="1127"/>
    <n v="17312014.640000001"/>
    <x v="131"/>
    <x v="0"/>
    <s v="pagado"/>
    <s v="pagado"/>
    <x v="0"/>
  </r>
  <r>
    <n v="3000005230"/>
    <d v="2025-09-03T00:00:00"/>
    <n v="6498336.6500000004"/>
    <s v="Cia. Azucarera Los Balcanes S.Ingenio La Florida 14"/>
    <x v="1128"/>
    <n v="6498336.6500000004"/>
    <x v="131"/>
    <x v="0"/>
    <s v="pagado"/>
    <s v="pagado"/>
    <x v="0"/>
  </r>
  <r>
    <n v="3000005232"/>
    <d v="2025-09-03T00:00:00"/>
    <n v="5065682.33"/>
    <s v="BUSTOS GUILLERMO DARIO ALDERETES 14"/>
    <x v="1129"/>
    <n v="5065682.33"/>
    <x v="131"/>
    <x v="0"/>
    <s v="pagado"/>
    <s v="pagado"/>
    <x v="0"/>
  </r>
  <r>
    <n v="3000005361"/>
    <d v="2025-09-09T00:00:00"/>
    <n v="18773007.870000001"/>
    <s v="ECOGREEN SRL SAN MIGUEL DE TUCUMAN 14"/>
    <x v="1130"/>
    <n v="18773007.870000001"/>
    <x v="132"/>
    <x v="0"/>
    <s v="pagado"/>
    <s v="pagado"/>
    <x v="0"/>
  </r>
  <r>
    <n v="3000005363"/>
    <d v="2025-09-09T00:00:00"/>
    <n v="13203161.15"/>
    <s v="BUSTOS GUILLERMO DARIO ALDERETES 14"/>
    <x v="1131"/>
    <n v="13203161.15"/>
    <x v="132"/>
    <x v="0"/>
    <s v="pagado"/>
    <s v="pagado"/>
    <x v="0"/>
  </r>
  <r>
    <n v="3000005301"/>
    <d v="2025-09-08T00:00:00"/>
    <n v="11573870.220000001"/>
    <s v="SAUCE HUACHO SERVICIOS S.R.L MONTEROS 14"/>
    <x v="1132"/>
    <n v="11573870.220000001"/>
    <x v="133"/>
    <x v="0"/>
    <s v="pagado"/>
    <s v="pagado"/>
    <x v="0"/>
  </r>
  <r>
    <n v="3000005302"/>
    <d v="2025-09-08T00:00:00"/>
    <n v="21000000"/>
    <s v="PAMPLONA SRL SAN MIGUEL DE TUCUMAN 14"/>
    <x v="1133"/>
    <n v="21000000"/>
    <x v="133"/>
    <x v="0"/>
    <s v="pagado"/>
    <s v="pagado"/>
    <x v="0"/>
  </r>
  <r>
    <n v="3000005302"/>
    <d v="2025-09-08T00:00:00"/>
    <n v="20057852.82"/>
    <s v="PAMPLONA SRL SAN MIGUEL DE TUCUMAN 14"/>
    <x v="1134"/>
    <n v="20057852.82"/>
    <x v="132"/>
    <x v="0"/>
    <s v="pagado"/>
    <s v="pagado"/>
    <x v="0"/>
  </r>
  <r>
    <n v="3000005303"/>
    <d v="2025-09-08T00:00:00"/>
    <n v="10000000"/>
    <s v="ROMERO SERVICIOS S. A. S. ALPACHIRI 14"/>
    <x v="1135"/>
    <n v="10000000"/>
    <x v="133"/>
    <x v="0"/>
    <s v="pagado"/>
    <s v="pagado"/>
    <x v="0"/>
  </r>
  <r>
    <n v="3000005303"/>
    <d v="2025-09-08T00:00:00"/>
    <n v="8559089.25"/>
    <s v="ROMERO SERVICIOS S. A. S. ALPACHIRI 14"/>
    <x v="1136"/>
    <n v="8559089.25"/>
    <x v="132"/>
    <x v="0"/>
    <s v="pagado"/>
    <s v="pagado"/>
    <x v="0"/>
  </r>
  <r>
    <n v="3000005304"/>
    <d v="2025-09-08T00:00:00"/>
    <n v="10000000"/>
    <s v="CAMPOAGRO SRL YERBA BUENA 14"/>
    <x v="1137"/>
    <n v="10000000"/>
    <x v="133"/>
    <x v="0"/>
    <s v="pagado"/>
    <s v="pagado"/>
    <x v="0"/>
  </r>
  <r>
    <n v="3000005304"/>
    <d v="2025-09-08T00:00:00"/>
    <n v="8363150.1799999997"/>
    <s v="CAMPOAGRO SRL YERBA BUENA 14"/>
    <x v="1138"/>
    <n v="8363150.1799999997"/>
    <x v="132"/>
    <x v="0"/>
    <s v="pagado"/>
    <s v="pagado"/>
    <x v="0"/>
  </r>
  <r>
    <n v="3000005305"/>
    <d v="2025-09-08T00:00:00"/>
    <n v="20000000"/>
    <s v="Jeblab S.R.L. YERBA BUENA 14"/>
    <x v="1139"/>
    <n v="20000000"/>
    <x v="133"/>
    <x v="0"/>
    <s v="pagado"/>
    <s v="pagado"/>
    <x v="0"/>
  </r>
  <r>
    <n v="3000005305"/>
    <d v="2025-09-08T00:00:00"/>
    <n v="19545843.399999999"/>
    <s v="Jeblab S.R.L. YERBA BUENA 14"/>
    <x v="1140"/>
    <n v="19545843.399999999"/>
    <x v="132"/>
    <x v="0"/>
    <s v="pagado"/>
    <s v="pagado"/>
    <x v="0"/>
  </r>
  <r>
    <n v="3000005306"/>
    <d v="2025-09-08T00:00:00"/>
    <n v="11503132"/>
    <s v="CANEVARO JOSE MARIA CONCEPCION 14"/>
    <x v="1141"/>
    <n v="11503132"/>
    <x v="133"/>
    <x v="0"/>
    <s v="pagado"/>
    <s v="pagado"/>
    <x v="0"/>
  </r>
  <r>
    <n v="3000005307"/>
    <d v="2025-09-08T00:00:00"/>
    <n v="20000000"/>
    <s v="MENDEZ, MARTIN ALBERTO SAN MIGUEL DE TUCUMAN 14"/>
    <x v="1142"/>
    <n v="20000000"/>
    <x v="133"/>
    <x v="0"/>
    <s v="pagado"/>
    <s v="pagado"/>
    <x v="0"/>
  </r>
  <r>
    <n v="3000005307"/>
    <d v="2025-09-08T00:00:00"/>
    <n v="18077652.120000001"/>
    <s v="MENDEZ, MARTIN ALBERTO SAN MIGUEL DE TUCUMAN 14"/>
    <x v="1143"/>
    <n v="18077652.120000001"/>
    <x v="132"/>
    <x v="0"/>
    <s v="pagado"/>
    <s v="pagado"/>
    <x v="0"/>
  </r>
  <r>
    <n v="3000005308"/>
    <d v="2025-09-08T00:00:00"/>
    <n v="20000000"/>
    <s v="Mudad Francisco Esteban Los Nogales 14"/>
    <x v="1144"/>
    <n v="20000000"/>
    <x v="133"/>
    <x v="0"/>
    <s v="pagado"/>
    <s v="pagado"/>
    <x v="0"/>
  </r>
  <r>
    <n v="3000005308"/>
    <d v="2025-09-08T00:00:00"/>
    <n v="17275610.27"/>
    <s v="Mudad Francisco Esteban Los Nogales 14"/>
    <x v="1145"/>
    <n v="17275610.27"/>
    <x v="132"/>
    <x v="0"/>
    <s v="pagado"/>
    <s v="pagado"/>
    <x v="0"/>
  </r>
  <r>
    <n v="3000005309"/>
    <d v="2025-09-08T00:00:00"/>
    <n v="7983579.1900000004"/>
    <s v="CITRAR SRL SAN MIGUEL DE TUCUMAN 14"/>
    <x v="1146"/>
    <n v="7983579.1900000004"/>
    <x v="133"/>
    <x v="0"/>
    <s v="pagado"/>
    <s v="pagado"/>
    <x v="0"/>
  </r>
  <r>
    <n v="3000005310"/>
    <d v="2025-09-08T00:00:00"/>
    <n v="16000000"/>
    <s v="HELUANE PABLO DARIO SAN MIGUEL DE TUCUMAN 14"/>
    <x v="1147"/>
    <n v="16000000"/>
    <x v="133"/>
    <x v="0"/>
    <s v="pagado"/>
    <s v="pagado"/>
    <x v="0"/>
  </r>
  <r>
    <n v="3000005310"/>
    <d v="2025-09-08T00:00:00"/>
    <n v="16174974.5"/>
    <s v="HELUANE PABLO DARIO SAN MIGUEL DE TUCUMAN 14"/>
    <x v="1148"/>
    <n v="16174974.5"/>
    <x v="132"/>
    <x v="0"/>
    <s v="pagado"/>
    <s v="pagado"/>
    <x v="0"/>
  </r>
  <r>
    <n v="3000005311"/>
    <d v="2025-09-08T00:00:00"/>
    <n v="15975394.789999999"/>
    <s v="CAFELI S.R.L. SAN MIGUEL DE TUCUMAN 14"/>
    <x v="1149"/>
    <n v="15975394.789999999"/>
    <x v="133"/>
    <x v="0"/>
    <s v="pagado"/>
    <s v="pagado"/>
    <x v="0"/>
  </r>
  <r>
    <n v="3000005312"/>
    <d v="2025-09-08T00:00:00"/>
    <n v="9984661.5600000005"/>
    <s v="Verde y Sol S.R.L. SAN MIGUEL DE TUCUMAN 14"/>
    <x v="1150"/>
    <n v="9984661.5600000005"/>
    <x v="133"/>
    <x v="0"/>
    <s v="pagado"/>
    <s v="pagado"/>
    <x v="0"/>
  </r>
  <r>
    <n v="3000005313"/>
    <d v="2025-09-08T00:00:00"/>
    <n v="5944942.2699999996"/>
    <s v="Astori Estructuras S.A. Bº Palmar 03"/>
    <x v="1151"/>
    <n v="5944942.2699999996"/>
    <x v="133"/>
    <x v="0"/>
    <s v="pagado"/>
    <s v="pagado"/>
    <x v="0"/>
  </r>
  <r>
    <n v="3000005314"/>
    <d v="2025-09-08T00:00:00"/>
    <n v="16000000"/>
    <s v="FERNANDEZ LILIA CRISTINA CONCEPCION 14"/>
    <x v="1152"/>
    <n v="16000000"/>
    <x v="133"/>
    <x v="0"/>
    <s v="pagado"/>
    <s v="pagado"/>
    <x v="0"/>
  </r>
  <r>
    <n v="3000005314"/>
    <d v="2025-09-08T00:00:00"/>
    <n v="16506264"/>
    <s v="FERNANDEZ LILIA CRISTINA CONCEPCION 14"/>
    <x v="1153"/>
    <n v="16506264"/>
    <x v="132"/>
    <x v="0"/>
    <s v="pagado"/>
    <s v="pagado"/>
    <x v="0"/>
  </r>
  <r>
    <n v="3000005315"/>
    <d v="2025-09-08T00:00:00"/>
    <n v="10000000"/>
    <s v="CANEVARO GISELLE LILIAN San Miguel De Tucuman 14"/>
    <x v="1154"/>
    <n v="10000000"/>
    <x v="133"/>
    <x v="0"/>
    <s v="pagado"/>
    <s v="pagado"/>
    <x v="0"/>
  </r>
  <r>
    <n v="3000005315"/>
    <d v="2025-09-08T00:00:00"/>
    <n v="6253132"/>
    <s v="CANEVARO GISELLE LILIAN San Miguel De Tucuman 14"/>
    <x v="1155"/>
    <n v="6253132"/>
    <x v="132"/>
    <x v="0"/>
    <s v="pagado"/>
    <s v="pagado"/>
    <x v="0"/>
  </r>
  <r>
    <n v="3000005316"/>
    <d v="2025-09-08T00:00:00"/>
    <n v="15910960.800000001"/>
    <s v="CANEVARO PRISCILA JANET SAN MIGUEL DE TUCUMAN 14"/>
    <x v="1156"/>
    <n v="15910960.800000001"/>
    <x v="133"/>
    <x v="0"/>
    <s v="pagado"/>
    <s v="pagado"/>
    <x v="0"/>
  </r>
  <r>
    <n v="3000005317"/>
    <d v="2025-09-08T00:00:00"/>
    <n v="1084986.3999999999"/>
    <s v="SERVICOM S.R.L SAN MIGUEL DE TUCUMAN 14"/>
    <x v="1157"/>
    <n v="1084986.3999999999"/>
    <x v="133"/>
    <x v="0"/>
    <s v="pagado"/>
    <s v="pagado"/>
    <x v="0"/>
  </r>
  <r>
    <n v="3000005318"/>
    <d v="2025-09-08T00:00:00"/>
    <n v="11000000"/>
    <s v="RL SOLUCIONES S. A. S. SAN MIGUEL DE TUCUMAN 14"/>
    <x v="1158"/>
    <n v="11000000"/>
    <x v="133"/>
    <x v="0"/>
    <s v="pagado"/>
    <s v="pagado"/>
    <x v="0"/>
  </r>
  <r>
    <n v="3000005318"/>
    <d v="2025-09-08T00:00:00"/>
    <n v="10053777.210000001"/>
    <s v="RL SOLUCIONES S. A. S. SAN MIGUEL DE TUCUMAN 14"/>
    <x v="1159"/>
    <n v="10053777.210000001"/>
    <x v="132"/>
    <x v="0"/>
    <s v="pagado"/>
    <s v="pagado"/>
    <x v="0"/>
  </r>
  <r>
    <n v="3000005319"/>
    <d v="2025-09-08T00:00:00"/>
    <n v="4233183.5"/>
    <s v="VILLAGRA VELEZ ROQUE RICARDO SAN MIGUEL DE TUCUMAN 14"/>
    <x v="1160"/>
    <n v="4233183.5"/>
    <x v="133"/>
    <x v="0"/>
    <s v="pagado"/>
    <s v="pagado"/>
    <x v="0"/>
  </r>
  <r>
    <n v="3000005320"/>
    <d v="2025-09-08T00:00:00"/>
    <n v="7859452.5499999998"/>
    <s v="LANCHELA HECTOR ROLANDO CONCEPCION 14"/>
    <x v="1161"/>
    <n v="7859452.5499999998"/>
    <x v="133"/>
    <x v="0"/>
    <s v="pagado"/>
    <s v="pagado"/>
    <x v="0"/>
  </r>
  <r>
    <n v="3000005321"/>
    <d v="2025-09-08T00:00:00"/>
    <n v="3926843"/>
    <s v="SANTI NASSAR MAXIMILIANO JESUSSAN MIGUEL DE TUCUMAN 14"/>
    <x v="1162"/>
    <n v="3926843"/>
    <x v="133"/>
    <x v="0"/>
    <s v="pagado"/>
    <s v="pagado"/>
    <x v="0"/>
  </r>
  <r>
    <n v="3000005322"/>
    <d v="2025-09-08T00:00:00"/>
    <n v="15000000"/>
    <s v="MG SERVICIOS AGROPECUARIOS SASTAFI VIEJO 14"/>
    <x v="1163"/>
    <n v="15000000"/>
    <x v="133"/>
    <x v="0"/>
    <s v="pagado"/>
    <s v="pagado"/>
    <x v="0"/>
  </r>
  <r>
    <n v="3000005322"/>
    <d v="2025-09-08T00:00:00"/>
    <n v="7000000"/>
    <s v="MG SERVICIOS AGROPECUARIOS SASTAFI VIEJO 14"/>
    <x v="1164"/>
    <n v="7000000"/>
    <x v="133"/>
    <x v="0"/>
    <s v="pagado"/>
    <s v="pagado"/>
    <x v="0"/>
  </r>
  <r>
    <n v="3000005322"/>
    <d v="2025-09-08T00:00:00"/>
    <n v="4000000"/>
    <s v="MG SERVICIOS AGROPECUARIOS SASTAFI VIEJO 14"/>
    <x v="1165"/>
    <n v="4000000"/>
    <x v="133"/>
    <x v="0"/>
    <s v="pagado"/>
    <s v="pagado"/>
    <x v="0"/>
  </r>
  <r>
    <n v="3000005322"/>
    <d v="2025-09-08T00:00:00"/>
    <n v="4000000"/>
    <s v="MG SERVICIOS AGROPECUARIOS SASTAFI VIEJO 14"/>
    <x v="1166"/>
    <n v="4000000"/>
    <x v="133"/>
    <x v="0"/>
    <s v="pagado"/>
    <s v="pagado"/>
    <x v="0"/>
  </r>
  <r>
    <n v="3000005322"/>
    <d v="2025-09-08T00:00:00"/>
    <n v="35000000"/>
    <s v="MG SERVICIOS AGROPECUARIOS SASTAFI VIEJO 14"/>
    <x v="1167"/>
    <n v="35000000"/>
    <x v="132"/>
    <x v="0"/>
    <s v="pagado"/>
    <s v="pagado"/>
    <x v="0"/>
  </r>
  <r>
    <n v="3000005322"/>
    <d v="2025-09-08T00:00:00"/>
    <n v="42579298.479999997"/>
    <s v="MG SERVICIOS AGROPECUARIOS SASTAFI VIEJO 14"/>
    <x v="1168"/>
    <n v="42579298.479999997"/>
    <x v="111"/>
    <x v="0"/>
    <s v="pagado"/>
    <s v="pagado"/>
    <x v="0"/>
  </r>
  <r>
    <n v="3000005323"/>
    <d v="2025-09-08T00:00:00"/>
    <n v="4000000"/>
    <s v="MG SERVICIOS AGROPECUARIOS SASTAFI VIEJO 14"/>
    <x v="1169"/>
    <n v="4000000"/>
    <x v="133"/>
    <x v="0"/>
    <s v="pagado"/>
    <s v="pagado"/>
    <x v="0"/>
  </r>
  <r>
    <n v="3000005323"/>
    <d v="2025-09-08T00:00:00"/>
    <n v="2000000"/>
    <s v="MG SERVICIOS AGROPECUARIOS SASTAFI VIEJO 14"/>
    <x v="1170"/>
    <n v="2000000"/>
    <x v="133"/>
    <x v="0"/>
    <s v="pagado"/>
    <s v="pagado"/>
    <x v="0"/>
  </r>
  <r>
    <n v="3000005323"/>
    <d v="2025-09-08T00:00:00"/>
    <n v="2800000"/>
    <s v="MG SERVICIOS AGROPECUARIOS SASTAFI VIEJO 14"/>
    <x v="1171"/>
    <n v="2800000"/>
    <x v="133"/>
    <x v="0"/>
    <s v="pagado"/>
    <s v="pagado"/>
    <x v="0"/>
  </r>
  <r>
    <n v="3000005323"/>
    <d v="2025-09-08T00:00:00"/>
    <n v="1400000"/>
    <s v="MG SERVICIOS AGROPECUARIOS SASTAFI VIEJO 14"/>
    <x v="1172"/>
    <n v="1400000"/>
    <x v="133"/>
    <x v="0"/>
    <s v="pagado"/>
    <s v="pagado"/>
    <x v="0"/>
  </r>
  <r>
    <n v="3000005323"/>
    <d v="2025-09-08T00:00:00"/>
    <n v="1200000"/>
    <s v="MG SERVICIOS AGROPECUARIOS SASTAFI VIEJO 14"/>
    <x v="1173"/>
    <n v="1200000"/>
    <x v="133"/>
    <x v="0"/>
    <s v="pagado"/>
    <s v="pagado"/>
    <x v="0"/>
  </r>
  <r>
    <n v="3000005323"/>
    <d v="2025-09-08T00:00:00"/>
    <n v="40000000"/>
    <s v="MG SERVICIOS AGROPECUARIOS SASTAFI VIEJO 14"/>
    <x v="1174"/>
    <n v="40000000"/>
    <x v="132"/>
    <x v="0"/>
    <s v="pagado"/>
    <s v="pagado"/>
    <x v="0"/>
  </r>
  <r>
    <n v="3000005323"/>
    <d v="2025-09-08T00:00:00"/>
    <n v="34653027.520000003"/>
    <s v="MG SERVICIOS AGROPECUARIOS SASTAFI VIEJO 14"/>
    <x v="1175"/>
    <n v="34653027.520000003"/>
    <x v="111"/>
    <x v="0"/>
    <s v="pagado"/>
    <s v="pagado"/>
    <x v="0"/>
  </r>
  <r>
    <n v="3000005362"/>
    <d v="2025-09-09T00:00:00"/>
    <n v="8617127.2300000004"/>
    <s v="NATURAL GAS SA SAN MIGUEL DE TUCUMAN 14"/>
    <x v="1176"/>
    <n v="8617127.2300000004"/>
    <x v="133"/>
    <x v="2"/>
    <s v="pagado"/>
    <s v="pagado"/>
    <x v="0"/>
  </r>
  <r>
    <n v="3000005364"/>
    <d v="2025-09-09T00:00:00"/>
    <n v="13682367.92"/>
    <s v="STARB S.A CIUDAD AUTONOMA DE BUENOS AIRES 01"/>
    <x v="1177"/>
    <n v="13682367.92"/>
    <x v="132"/>
    <x v="2"/>
    <s v="pagado"/>
    <s v="pagado"/>
    <x v="0"/>
  </r>
  <r>
    <n v="3000005365"/>
    <d v="2025-09-09T00:00:00"/>
    <n v="9673396.3699999992"/>
    <s v="Vaquera Francisco Alfredo Monteros 14"/>
    <x v="1178"/>
    <n v="9673396.3699999992"/>
    <x v="132"/>
    <x v="2"/>
    <s v="pagado"/>
    <s v="pagado"/>
    <x v="0"/>
  </r>
  <r>
    <n v="3000005366"/>
    <d v="2025-09-09T00:00:00"/>
    <n v="6086794.8200000003"/>
    <s v="Sanchez Jose Mauricio San Miguel de Tucuman 14"/>
    <x v="1179"/>
    <n v="6086794.8200000003"/>
    <x v="133"/>
    <x v="2"/>
    <s v="pagado"/>
    <s v="pagado"/>
    <x v="0"/>
  </r>
  <r>
    <n v="3000005367"/>
    <d v="2025-09-09T00:00:00"/>
    <n v="4570689.91"/>
    <s v="PERATO LUIS ALBERTO BANDA DEL RIO SALI 14"/>
    <x v="1180"/>
    <n v="4570689.91"/>
    <x v="133"/>
    <x v="2"/>
    <s v="pagado"/>
    <s v="pagado"/>
    <x v="0"/>
  </r>
  <r>
    <n v="3000005368"/>
    <d v="2025-09-09T00:00:00"/>
    <n v="4513341.7699999996"/>
    <s v="Bustos Sergio Alejandro Banda Rio Sali 14"/>
    <x v="1181"/>
    <n v="4513341.7699999996"/>
    <x v="133"/>
    <x v="2"/>
    <s v="pagado"/>
    <s v="pagado"/>
    <x v="0"/>
  </r>
  <r>
    <n v="3000005369"/>
    <d v="2025-09-09T00:00:00"/>
    <n v="14020968.210000001"/>
    <s v="TORRES JUAN RAMON ALDERETES 14"/>
    <x v="1182"/>
    <n v="14020968.210000001"/>
    <x v="132"/>
    <x v="2"/>
    <s v="pagado"/>
    <s v="pagado"/>
    <x v="0"/>
  </r>
  <r>
    <n v="3000005370"/>
    <d v="2025-09-09T00:00:00"/>
    <n v="16235350.359999999"/>
    <s v="PERATO CRISTIAN LUIS BANDA DEL RIO SALI 14"/>
    <x v="1183"/>
    <n v="16235350.359999999"/>
    <x v="132"/>
    <x v="2"/>
    <s v="pagado"/>
    <s v="pagado"/>
    <x v="0"/>
  </r>
  <r>
    <n v="3000005371"/>
    <d v="2025-09-09T00:00:00"/>
    <n v="7734103.5899999999"/>
    <s v="PEDRO GABRIEL ALEJANDRO ALDERETES 14"/>
    <x v="1184"/>
    <n v="7734103.5899999999"/>
    <x v="133"/>
    <x v="2"/>
    <s v="pagado"/>
    <s v="pagado"/>
    <x v="0"/>
  </r>
  <r>
    <n v="3000005372"/>
    <d v="2025-09-09T00:00:00"/>
    <n v="26312486.77"/>
    <s v="CAPETTA ANTONELLA ANAHI SAN MIGUEL DE TUCUMAN 14"/>
    <x v="1185"/>
    <n v="26312486.77"/>
    <x v="132"/>
    <x v="2"/>
    <s v="pagado"/>
    <s v="pagado"/>
    <x v="0"/>
  </r>
  <r>
    <n v="3000005373"/>
    <d v="2025-09-09T00:00:00"/>
    <n v="34715345.520000003"/>
    <s v="TRANSPORTE FRIOS DEL NORTE S.RSAN MIGUEL DE TUCUMAN 14"/>
    <x v="1186"/>
    <n v="34715345.520000003"/>
    <x v="132"/>
    <x v="2"/>
    <s v="pagado"/>
    <s v="pagado"/>
    <x v="0"/>
  </r>
  <r>
    <n v="3000005374"/>
    <d v="2025-09-09T00:00:00"/>
    <n v="4233183.5"/>
    <s v="MAGNONE S. A. CIUDAD AUTONOMA BUENOS AIRES 00"/>
    <x v="1187"/>
    <n v="4233183.5"/>
    <x v="133"/>
    <x v="2"/>
    <s v="pagado"/>
    <s v="pagado"/>
    <x v="0"/>
  </r>
  <r>
    <n v="3000005375"/>
    <d v="2025-09-09T00:00:00"/>
    <n v="10649857.890000001"/>
    <s v="CEMEVA SAS YERBA BUENA 14"/>
    <x v="1188"/>
    <n v="10649857.890000001"/>
    <x v="132"/>
    <x v="2"/>
    <s v="pagado"/>
    <s v="pagado"/>
    <x v="0"/>
  </r>
  <r>
    <n v="3000005376"/>
    <d v="2025-09-09T00:00:00"/>
    <n v="4260111.08"/>
    <s v="MAC DONALD MIGUEL ALEJANDRO BANDA DEL RIO SALI 14"/>
    <x v="1189"/>
    <n v="4260111.08"/>
    <x v="133"/>
    <x v="2"/>
    <s v="pagado"/>
    <s v="pagado"/>
    <x v="0"/>
  </r>
  <r>
    <n v="3000005377"/>
    <d v="2025-09-09T00:00:00"/>
    <n v="7834202.96"/>
    <s v="Sereno Carlos Luis Los Gutierrez 14"/>
    <x v="1190"/>
    <n v="7834202.96"/>
    <x v="133"/>
    <x v="2"/>
    <s v="pagado"/>
    <s v="pagado"/>
    <x v="0"/>
  </r>
  <r>
    <n v="3000005378"/>
    <d v="2025-09-09T00:00:00"/>
    <n v="11721787.52"/>
    <s v="FERNANDEZ HECTOR JOSE SIMOCA 14"/>
    <x v="1191"/>
    <n v="11721787.52"/>
    <x v="132"/>
    <x v="2"/>
    <s v="pagado"/>
    <s v="pagado"/>
    <x v="0"/>
  </r>
  <r>
    <n v="3000005379"/>
    <d v="2025-09-09T00:00:00"/>
    <n v="5686402.4199999999"/>
    <s v="MOREY SERGIO GUILLERMO LOS GUTIERREZ-ALDERETES 14"/>
    <x v="1192"/>
    <n v="5686402.4199999999"/>
    <x v="133"/>
    <x v="2"/>
    <s v="pagado"/>
    <s v="pagado"/>
    <x v="0"/>
  </r>
  <r>
    <n v="3000005380"/>
    <d v="2025-09-09T00:00:00"/>
    <n v="31800379.420000002"/>
    <s v="ACOSTA ROQUE RAMON SAN MIGUEL DE TUCUMAN 14"/>
    <x v="1193"/>
    <n v="31800379.420000002"/>
    <x v="132"/>
    <x v="2"/>
    <s v="pagado"/>
    <s v="pagado"/>
    <x v="0"/>
  </r>
  <r>
    <n v="3000005509"/>
    <d v="2025-09-15T00:00:00"/>
    <n v="0"/>
    <s v="invalidado med.EOLIVERA -Destruido/ Sin uso"/>
    <x v="1194"/>
    <n v="0"/>
    <x v="122"/>
    <x v="2"/>
    <s v="no pagado"/>
    <s v="fuera de fecha"/>
    <x v="0"/>
  </r>
  <r>
    <n v="3000005510"/>
    <d v="2025-09-15T00:00:00"/>
    <n v="0"/>
    <s v="invalidado med.EOLIVERA -Destruido/ Sin uso"/>
    <x v="1195"/>
    <n v="0"/>
    <x v="122"/>
    <x v="2"/>
    <s v="no pagado"/>
    <s v="fuera de fecha"/>
    <x v="0"/>
  </r>
  <r>
    <n v="3000005511"/>
    <d v="2025-09-15T00:00:00"/>
    <n v="0"/>
    <s v="invalidado med.EOLIVERA -Destruido/ Sin uso"/>
    <x v="1196"/>
    <n v="0"/>
    <x v="122"/>
    <x v="2"/>
    <s v="no pagado"/>
    <s v="fuera de fecha"/>
    <x v="0"/>
  </r>
  <r>
    <n v="3000005512"/>
    <d v="2025-09-15T00:00:00"/>
    <n v="0"/>
    <s v="invalidado med.EOLIVERA -Destruido/ Sin uso"/>
    <x v="1197"/>
    <n v="0"/>
    <x v="122"/>
    <x v="2"/>
    <s v="no pagado"/>
    <s v="fuera de fecha"/>
    <x v="0"/>
  </r>
  <r>
    <n v="3000005513"/>
    <d v="2025-09-15T00:00:00"/>
    <n v="0"/>
    <s v="invalidado med.EOLIVERA -Destruido/ Sin uso"/>
    <x v="1198"/>
    <n v="0"/>
    <x v="122"/>
    <x v="2"/>
    <s v="no pagado"/>
    <s v="fuera de fecha"/>
    <x v="0"/>
  </r>
  <r>
    <n v="3000005514"/>
    <d v="2025-09-15T00:00:00"/>
    <n v="0"/>
    <s v="invalidado med.EOLIVERA -Destruido/ Sin uso"/>
    <x v="1199"/>
    <n v="0"/>
    <x v="122"/>
    <x v="2"/>
    <s v="no pagado"/>
    <s v="fuera de fecha"/>
    <x v="0"/>
  </r>
  <r>
    <n v="3000005515"/>
    <d v="2025-09-15T00:00:00"/>
    <n v="0"/>
    <s v="invalidado med.EOLIVERA -Destruido/ Sin uso"/>
    <x v="1200"/>
    <n v="0"/>
    <x v="122"/>
    <x v="2"/>
    <s v="no pagado"/>
    <s v="fuera de fecha"/>
    <x v="0"/>
  </r>
  <r>
    <n v="3000005516"/>
    <d v="2025-09-15T00:00:00"/>
    <n v="0"/>
    <s v="invalidado med.EOLIVERA -Destruido/ Sin uso"/>
    <x v="1201"/>
    <n v="0"/>
    <x v="122"/>
    <x v="2"/>
    <s v="no pagado"/>
    <s v="fuera de fecha"/>
    <x v="0"/>
  </r>
  <r>
    <n v="3000005517"/>
    <d v="2025-09-15T00:00:00"/>
    <n v="0"/>
    <s v="invalidado med.EOLIVERA -Destruido/ Sin uso"/>
    <x v="1202"/>
    <n v="0"/>
    <x v="122"/>
    <x v="2"/>
    <s v="no pagado"/>
    <s v="fuera de fecha"/>
    <x v="0"/>
  </r>
  <r>
    <n v="3000005518"/>
    <d v="2025-09-15T00:00:00"/>
    <n v="0"/>
    <s v="invalidado med.EOLIVERA -Destruido/ Sin uso"/>
    <x v="1203"/>
    <n v="0"/>
    <x v="122"/>
    <x v="2"/>
    <s v="no pagado"/>
    <s v="fuera de fecha"/>
    <x v="0"/>
  </r>
  <r>
    <n v="3000005519"/>
    <d v="2025-09-15T00:00:00"/>
    <n v="0"/>
    <s v="invalidado med.EOLIVERA -Destruido/ Sin uso"/>
    <x v="1204"/>
    <n v="0"/>
    <x v="134"/>
    <x v="2"/>
    <s v="no pagado"/>
    <s v="fuera de fecha"/>
    <x v="0"/>
  </r>
  <r>
    <n v="3000005520"/>
    <d v="2025-09-15T00:00:00"/>
    <n v="0"/>
    <s v="invalidado med.EOLIVERA -Destruido/ Sin uso"/>
    <x v="1205"/>
    <n v="0"/>
    <x v="134"/>
    <x v="2"/>
    <s v="no pagado"/>
    <s v="fuera de fecha"/>
    <x v="0"/>
  </r>
  <r>
    <n v="3000005521"/>
    <d v="2025-09-15T00:00:00"/>
    <n v="0"/>
    <s v="invalidado med.EOLIVERA -Destruido/ Sin uso"/>
    <x v="1206"/>
    <n v="0"/>
    <x v="134"/>
    <x v="2"/>
    <s v="no pagado"/>
    <s v="fuera de fecha"/>
    <x v="0"/>
  </r>
  <r>
    <n v="3000005522"/>
    <d v="2025-09-15T00:00:00"/>
    <n v="0"/>
    <s v="invalidado med.EOLIVERA -Destruido/ Sin uso"/>
    <x v="1207"/>
    <n v="0"/>
    <x v="134"/>
    <x v="2"/>
    <s v="no pagado"/>
    <s v="fuera de fecha"/>
    <x v="0"/>
  </r>
  <r>
    <n v="3000005523"/>
    <d v="2025-09-15T00:00:00"/>
    <n v="0"/>
    <s v="invalidado med.EOLIVERA -Destruido/ Sin uso"/>
    <x v="1208"/>
    <n v="0"/>
    <x v="134"/>
    <x v="2"/>
    <s v="no pagado"/>
    <s v="fuera de fecha"/>
    <x v="0"/>
  </r>
  <r>
    <n v="3000005526"/>
    <d v="2025-09-16T00:00:00"/>
    <n v="0"/>
    <s v="invalidado med.EOLIVERA -Destruido/ Sin uso"/>
    <x v="1209"/>
    <n v="0"/>
    <x v="134"/>
    <x v="2"/>
    <s v="no pagado"/>
    <s v="fuera de fecha"/>
    <x v="0"/>
  </r>
  <r>
    <n v="3000005509"/>
    <d v="2025-09-16T00:00:00"/>
    <n v="4590664.0199999996"/>
    <s v="ALVAREZ RENE JOSE MARIA BELLA VISTA 14"/>
    <x v="1210"/>
    <n v="4590664.0199999996"/>
    <x v="122"/>
    <x v="2"/>
    <s v="pagado"/>
    <s v="pagado"/>
    <x v="0"/>
  </r>
  <r>
    <n v="3000005510"/>
    <d v="2025-09-16T00:00:00"/>
    <n v="5982581.9000000004"/>
    <s v="HERRERA RICARDO ALBERTO BANDA DEL RIO SALI 14"/>
    <x v="1211"/>
    <n v="5982581.9000000004"/>
    <x v="122"/>
    <x v="2"/>
    <s v="pagado"/>
    <s v="pagado"/>
    <x v="0"/>
  </r>
  <r>
    <n v="3000005511"/>
    <d v="2025-09-16T00:00:00"/>
    <n v="9688063.8300000001"/>
    <s v="SLEIMAN JOSE RODOLFO ALDERETES 14"/>
    <x v="1212"/>
    <n v="9688063.8300000001"/>
    <x v="122"/>
    <x v="2"/>
    <s v="pagado"/>
    <s v="pagado"/>
    <x v="0"/>
  </r>
  <r>
    <n v="3000005512"/>
    <d v="2025-09-16T00:00:00"/>
    <n v="4614731.25"/>
    <s v="BESTANI JUAN JOSE SAN MIGUEL DE TUCUMAN 14"/>
    <x v="1213"/>
    <n v="4614731.25"/>
    <x v="122"/>
    <x v="2"/>
    <s v="pagado"/>
    <s v="pagado"/>
    <x v="0"/>
  </r>
  <r>
    <n v="3000005513"/>
    <d v="2025-09-16T00:00:00"/>
    <n v="4121380.98"/>
    <s v="Rojas Antonio Domingo ALDERETES 14"/>
    <x v="1214"/>
    <n v="4121380.98"/>
    <x v="122"/>
    <x v="2"/>
    <s v="pagado"/>
    <s v="pagado"/>
    <x v="0"/>
  </r>
  <r>
    <n v="3000005514"/>
    <d v="2025-09-16T00:00:00"/>
    <n v="9847046.5199999996"/>
    <s v="TRANSPORTE MARIANITA S.R.L SAN MIGUEL DE TUCUMAN 14"/>
    <x v="1215"/>
    <n v="9847046.5199999996"/>
    <x v="122"/>
    <x v="2"/>
    <s v="pagado"/>
    <s v="pagado"/>
    <x v="0"/>
  </r>
  <r>
    <n v="3000005515"/>
    <d v="2025-09-16T00:00:00"/>
    <n v="5835884.9500000002"/>
    <s v="PEREZ CURBELO HNOS SRL SAN MIGUEL DE TUCUMAN 14"/>
    <x v="1216"/>
    <n v="5835884.9500000002"/>
    <x v="122"/>
    <x v="2"/>
    <s v="pagado"/>
    <s v="pagado"/>
    <x v="0"/>
  </r>
  <r>
    <n v="3000005516"/>
    <d v="2025-09-16T00:00:00"/>
    <n v="12234810"/>
    <s v="PABLO Y FERNANDO TACCHELLA S.RSAN MIGUEL DE TUCUMAN 14"/>
    <x v="1217"/>
    <n v="12234810"/>
    <x v="122"/>
    <x v="2"/>
    <s v="pagado"/>
    <s v="pagado"/>
    <x v="0"/>
  </r>
  <r>
    <n v="3000005517"/>
    <d v="2025-09-16T00:00:00"/>
    <n v="8738855"/>
    <s v="GRUPO LIVECA SAS SAN RAMON DE LA NUEVA ORAN 09"/>
    <x v="1218"/>
    <n v="8738855"/>
    <x v="122"/>
    <x v="2"/>
    <s v="pagado"/>
    <s v="pagado"/>
    <x v="0"/>
  </r>
  <r>
    <n v="3000005518"/>
    <d v="2025-09-16T00:00:00"/>
    <n v="9526924.4600000009"/>
    <s v="Barbera, Walter Sergio SAN MIGUEL DE TUCUMAN 14"/>
    <x v="1219"/>
    <n v="9526924.4600000009"/>
    <x v="122"/>
    <x v="2"/>
    <s v="pagado"/>
    <s v="pagado"/>
    <x v="0"/>
  </r>
  <r>
    <n v="3000005519"/>
    <d v="2025-09-16T00:00:00"/>
    <n v="12411341.130000001"/>
    <s v="Arias Carlos Alberto SAN MIGUEL DE TUCUMAN 14"/>
    <x v="1220"/>
    <n v="12411341.130000001"/>
    <x v="134"/>
    <x v="2"/>
    <s v="pagado"/>
    <s v="pagado"/>
    <x v="0"/>
  </r>
  <r>
    <n v="3000005520"/>
    <d v="2025-09-16T00:00:00"/>
    <n v="21677198.129999999"/>
    <s v="MOLINA JUAN F. Y MOLINA ROQUE Lastenia 14"/>
    <x v="1221"/>
    <n v="21677198.129999999"/>
    <x v="134"/>
    <x v="2"/>
    <s v="pagado"/>
    <s v="pagado"/>
    <x v="0"/>
  </r>
  <r>
    <n v="3000005521"/>
    <d v="2025-09-16T00:00:00"/>
    <n v="14298958.300000001"/>
    <s v="Gonzalez Jose Luis Lastenia 14"/>
    <x v="1222"/>
    <n v="14298958.300000001"/>
    <x v="122"/>
    <x v="2"/>
    <s v="pagado"/>
    <s v="pagado"/>
    <x v="0"/>
  </r>
  <r>
    <n v="3000005522"/>
    <d v="2025-09-16T00:00:00"/>
    <n v="31409789.780000001"/>
    <s v="CEFAS S.A CIUDAD AUTONOMA DE BUENOS AIRES 01"/>
    <x v="1223"/>
    <n v="31409789.780000001"/>
    <x v="134"/>
    <x v="2"/>
    <s v="pagado"/>
    <s v="pagado"/>
    <x v="0"/>
  </r>
  <r>
    <n v="3000005523"/>
    <d v="2025-09-16T00:00:00"/>
    <n v="17999651.25"/>
    <s v="TUCUMAN PALLET SRL EL MANANTIAL 14"/>
    <x v="1224"/>
    <n v="17999651.25"/>
    <x v="134"/>
    <x v="2"/>
    <s v="pagado"/>
    <s v="pagado"/>
    <x v="0"/>
  </r>
  <r>
    <n v="3000005526"/>
    <d v="2025-09-16T00:00:00"/>
    <n v="42698510"/>
    <s v="EDET S.A. SAN MIGUEL DE TUCUMAN 14"/>
    <x v="1225"/>
    <n v="42698510"/>
    <x v="134"/>
    <x v="2"/>
    <s v="pagado"/>
    <s v="pagado"/>
    <x v="0"/>
  </r>
  <r>
    <n v="3000005524"/>
    <d v="2025-09-15T00:00:00"/>
    <n v="3411180.16"/>
    <s v="TRANSPORTE MEDINA S.H. CRUZ ALTA 14"/>
    <x v="1226"/>
    <n v="3411180.16"/>
    <x v="135"/>
    <x v="0"/>
    <s v="pagado"/>
    <s v="pagado"/>
    <x v="0"/>
  </r>
  <r>
    <n v="3000005525"/>
    <d v="2025-09-15T00:00:00"/>
    <n v="560000"/>
    <s v="ZUCCHI MARIO RODOLFO YERBA BUENA 14"/>
    <x v="1227"/>
    <n v="560000"/>
    <x v="135"/>
    <x v="0"/>
    <s v="pagado"/>
    <s v="pagado"/>
    <x v="0"/>
  </r>
  <r>
    <n v="3000005547"/>
    <d v="2025-09-16T00:00:00"/>
    <n v="7912006.8200000003"/>
    <s v="BESTANI LEANDRO EXEQUIEL SAN MIGUEL DE TUCUMAN 14"/>
    <x v="1228"/>
    <n v="7912006.8200000003"/>
    <x v="136"/>
    <x v="0"/>
    <s v="pagado"/>
    <s v="pagado"/>
    <x v="0"/>
  </r>
  <r>
    <n v="3000005548"/>
    <d v="2025-09-16T00:00:00"/>
    <n v="11059275.869999999"/>
    <s v="MULET WALTER HUMBERTO SAN MIGUEL DE TUCUMAN 14"/>
    <x v="1229"/>
    <n v="11059275.869999999"/>
    <x v="136"/>
    <x v="0"/>
    <s v="pagado"/>
    <s v="pagado"/>
    <x v="0"/>
  </r>
  <r>
    <n v="3000005549"/>
    <d v="2025-09-16T00:00:00"/>
    <n v="9990532.3399999999"/>
    <s v="Expreso Bisonte S.R.L. BANDA DEL RIO SALI 14"/>
    <x v="1230"/>
    <n v="9990532.3399999999"/>
    <x v="136"/>
    <x v="0"/>
    <s v="pagado"/>
    <s v="pagado"/>
    <x v="0"/>
  </r>
  <r>
    <n v="3000005550"/>
    <d v="2025-09-16T00:00:00"/>
    <n v="20750079.300000001"/>
    <s v="Terminal 4 S.A. Puerto Nuevo 01"/>
    <x v="1231"/>
    <n v="20750079.300000001"/>
    <x v="136"/>
    <x v="0"/>
    <s v="pagado"/>
    <s v="pagado"/>
    <x v="0"/>
  </r>
  <r>
    <n v="3000005551"/>
    <d v="2025-09-16T00:00:00"/>
    <n v="6469841.8899999997"/>
    <s v="RL SOLUCIONES S. A. S. SAN MIGUEL DE TUCUMAN 14"/>
    <x v="1232"/>
    <n v="6469841.8899999997"/>
    <x v="136"/>
    <x v="0"/>
    <s v="pagado"/>
    <s v="pagado"/>
    <x v="0"/>
  </r>
  <r>
    <n v="3000005552"/>
    <d v="2025-09-16T00:00:00"/>
    <n v="39674680.590000004"/>
    <s v="TRANSPORTE FRIOS DEL NORTE S.RSAN MIGUEL DE TUCUMAN 14"/>
    <x v="1233"/>
    <n v="39674680.590000004"/>
    <x v="136"/>
    <x v="0"/>
    <s v="pagado"/>
    <s v="pagado"/>
    <x v="0"/>
  </r>
  <r>
    <n v="3000005553"/>
    <d v="2025-09-16T00:00:00"/>
    <n v="40522417.560000002"/>
    <s v="CAPETTA ANTONELLA ANAHI SAN MIGUEL DE TUCUMAN 14"/>
    <x v="1234"/>
    <n v="40522417.560000002"/>
    <x v="136"/>
    <x v="0"/>
    <s v="pagado"/>
    <s v="pagado"/>
    <x v="0"/>
  </r>
  <r>
    <n v="3000005554"/>
    <d v="2025-09-16T00:00:00"/>
    <n v="27642956.039999999"/>
    <s v="CEMEVA SAS YERBA BUENA 14"/>
    <x v="1235"/>
    <n v="27642956.039999999"/>
    <x v="136"/>
    <x v="0"/>
    <s v="pagado"/>
    <s v="pagado"/>
    <x v="0"/>
  </r>
  <r>
    <n v="3000005592"/>
    <d v="2025-09-17T00:00:00"/>
    <n v="1019239.5"/>
    <s v="Fondo Fijo Administracion CitrNO TIENE"/>
    <x v="1236"/>
    <n v="1019239.5"/>
    <x v="134"/>
    <x v="0"/>
    <s v="pagado"/>
    <s v="pagado"/>
    <x v="0"/>
  </r>
  <r>
    <n v="3000005672"/>
    <d v="2025-09-22T00:00:00"/>
    <n v="242843650"/>
    <s v="EDET S.A. SAN MIGUEL DE TUCUMAN 14"/>
    <x v="1237"/>
    <n v="242843650"/>
    <x v="136"/>
    <x v="2"/>
    <s v="pagado"/>
    <s v="pagado"/>
    <x v="0"/>
  </r>
  <r>
    <n v="3000005673"/>
    <d v="2025-09-22T00:00:00"/>
    <n v="32420399.239999998"/>
    <s v="PAMPLONA SRL SAN MIGUEL DE TUCUMAN 14"/>
    <x v="1238"/>
    <n v="32420399.239999998"/>
    <x v="137"/>
    <x v="2"/>
    <s v="pagado"/>
    <s v="pagado"/>
    <x v="0"/>
  </r>
  <r>
    <n v="3000005674"/>
    <d v="2025-09-22T00:00:00"/>
    <n v="9933870.9199999999"/>
    <s v="ROMERO SERVICIOS S. A. S. ALPACHIRI 14"/>
    <x v="1239"/>
    <n v="9933870.9199999999"/>
    <x v="137"/>
    <x v="2"/>
    <s v="pagado"/>
    <s v="pagado"/>
    <x v="0"/>
  </r>
  <r>
    <n v="3000005675"/>
    <d v="2025-09-22T00:00:00"/>
    <n v="5000000"/>
    <s v="MG SERVICIOS AGROPECUARIOS SASTAFI VIEJO 14"/>
    <x v="1240"/>
    <n v="5000000"/>
    <x v="137"/>
    <x v="2"/>
    <s v="pagado"/>
    <s v="pagado"/>
    <x v="0"/>
  </r>
  <r>
    <n v="3000005675"/>
    <d v="2025-09-22T00:00:00"/>
    <n v="5115362.1100000003"/>
    <s v="MG SERVICIOS AGROPECUARIOS SASTAFI VIEJO 14"/>
    <x v="1241"/>
    <n v="5115362.1100000003"/>
    <x v="137"/>
    <x v="2"/>
    <s v="pagado"/>
    <s v="pagado"/>
    <x v="0"/>
  </r>
  <r>
    <n v="3000005676"/>
    <d v="2025-09-22T00:00:00"/>
    <n v="4817716.3600000003"/>
    <s v="PIQUE JUAN MANUEL San Miguel De Tucuman 14"/>
    <x v="1242"/>
    <n v="4817716.3600000003"/>
    <x v="137"/>
    <x v="2"/>
    <s v="pagado"/>
    <s v="pagado"/>
    <x v="0"/>
  </r>
  <r>
    <n v="3000005677"/>
    <d v="2025-09-22T00:00:00"/>
    <n v="26497240.32"/>
    <s v="Consultoria en Tecnologia de IBUENOS AIRES 00"/>
    <x v="1243"/>
    <n v="26497240.32"/>
    <x v="137"/>
    <x v="2"/>
    <s v="pagado"/>
    <s v="pagado"/>
    <x v="0"/>
  </r>
  <r>
    <n v="3000005678"/>
    <d v="2025-09-22T00:00:00"/>
    <n v="5064378.8"/>
    <s v="TODOLANDIA SRL SAN MIGUEL DE TUCUMAN 14"/>
    <x v="1244"/>
    <n v="5064378.8"/>
    <x v="137"/>
    <x v="2"/>
    <s v="pagado"/>
    <s v="pagado"/>
    <x v="0"/>
  </r>
  <r>
    <n v="3000005679"/>
    <d v="2025-09-22T00:00:00"/>
    <n v="7126916.9500000002"/>
    <s v="Marchese Grandi Meson y Asoc SAN MIGUEL DE TUCUMAN 14"/>
    <x v="1245"/>
    <n v="7126916.9500000002"/>
    <x v="137"/>
    <x v="2"/>
    <s v="pagado"/>
    <s v="pagado"/>
    <x v="0"/>
  </r>
  <r>
    <n v="3000005680"/>
    <d v="2025-09-22T00:00:00"/>
    <n v="1770060"/>
    <s v="EDET S.A. SAN MIGUEL DE TUCUMAN 14"/>
    <x v="1246"/>
    <n v="1770060"/>
    <x v="137"/>
    <x v="2"/>
    <s v="pagado"/>
    <s v="pagado"/>
    <x v="0"/>
  </r>
  <r>
    <n v="3000005681"/>
    <d v="2025-09-22T00:00:00"/>
    <n v="6536406.8399999999"/>
    <s v="FERNANDEZ HECTOR JOSE SIMOCA 14"/>
    <x v="1247"/>
    <n v="6536406.8399999999"/>
    <x v="138"/>
    <x v="2"/>
    <s v="pagado"/>
    <s v="pagado"/>
    <x v="0"/>
  </r>
  <r>
    <n v="3000005682"/>
    <d v="2025-09-22T00:00:00"/>
    <n v="3534056.23"/>
    <s v="MOREY SERGIO GUILLERMO LOS GUTIERREZ-ALDERETES 14"/>
    <x v="1248"/>
    <n v="3534056.23"/>
    <x v="138"/>
    <x v="2"/>
    <s v="pagado"/>
    <s v="pagado"/>
    <x v="0"/>
  </r>
  <r>
    <n v="3000005683"/>
    <d v="2025-09-22T00:00:00"/>
    <n v="3217507.5"/>
    <s v="PEDRO GABRIEL ALEJANDRO ALDERETES 14"/>
    <x v="1249"/>
    <n v="3217507.5"/>
    <x v="138"/>
    <x v="2"/>
    <s v="pagado"/>
    <s v="pagado"/>
    <x v="0"/>
  </r>
  <r>
    <n v="3000005684"/>
    <d v="2025-09-22T00:00:00"/>
    <n v="5426927.2000000002"/>
    <s v="NARANJO GONZALO JOSE TARUCA PAMPA 14"/>
    <x v="1250"/>
    <n v="5426927.2000000002"/>
    <x v="138"/>
    <x v="2"/>
    <s v="pagado"/>
    <s v="pagado"/>
    <x v="0"/>
  </r>
  <r>
    <n v="3000005685"/>
    <d v="2025-09-22T00:00:00"/>
    <n v="9614647.4900000002"/>
    <s v="MOYANO JUAN VICTOR TUCUMAN 14"/>
    <x v="1251"/>
    <n v="9614647.4900000002"/>
    <x v="138"/>
    <x v="2"/>
    <s v="pagado"/>
    <s v="pagado"/>
    <x v="0"/>
  </r>
  <r>
    <n v="3000005686"/>
    <d v="2025-09-22T00:00:00"/>
    <n v="4817398.68"/>
    <s v="SAUCE HUACHO SERVICIOS S.R.L MONTEROS 14"/>
    <x v="1252"/>
    <n v="4817398.68"/>
    <x v="138"/>
    <x v="2"/>
    <s v="pagado"/>
    <s v="pagado"/>
    <x v="0"/>
  </r>
  <r>
    <n v="3000005687"/>
    <d v="2025-09-22T00:00:00"/>
    <n v="9395488.7400000002"/>
    <s v="ROMERO SERVICIOS S. A. S. ALPACHIRI 14"/>
    <x v="1253"/>
    <n v="9395488.7400000002"/>
    <x v="138"/>
    <x v="2"/>
    <s v="pagado"/>
    <s v="pagado"/>
    <x v="0"/>
  </r>
  <r>
    <n v="3000005688"/>
    <d v="2025-09-22T00:00:00"/>
    <n v="23236477.52"/>
    <s v="PAMPLONA SRL SAN MIGUEL DE TUCUMAN 14"/>
    <x v="1254"/>
    <n v="23236477.52"/>
    <x v="138"/>
    <x v="2"/>
    <s v="pagado"/>
    <s v="pagado"/>
    <x v="0"/>
  </r>
  <r>
    <n v="3000005689"/>
    <d v="2025-09-22T00:00:00"/>
    <n v="33739733.549999997"/>
    <s v="MG SERVICIOS AGROPECUARIOS SASTAFI VIEJO 14"/>
    <x v="1255"/>
    <n v="33739733.549999997"/>
    <x v="138"/>
    <x v="2"/>
    <s v="pagado"/>
    <s v="pagado"/>
    <x v="0"/>
  </r>
  <r>
    <n v="3000005690"/>
    <d v="2025-09-22T00:00:00"/>
    <n v="32086562.510000002"/>
    <s v="LA MARTINA SERV. AGRICOLAS S.RSAN PABLO 14"/>
    <x v="1256"/>
    <n v="32086562.510000002"/>
    <x v="138"/>
    <x v="2"/>
    <s v="pagado"/>
    <s v="pagado"/>
    <x v="0"/>
  </r>
  <r>
    <n v="3000005691"/>
    <d v="2025-09-22T00:00:00"/>
    <n v="3726540"/>
    <s v="HELUANE PABLO DARIO SAN MIGUEL DE TUCUMAN 14"/>
    <x v="1257"/>
    <n v="3726540"/>
    <x v="138"/>
    <x v="2"/>
    <s v="pagado"/>
    <s v="pagado"/>
    <x v="0"/>
  </r>
  <r>
    <n v="3000005692"/>
    <d v="2025-09-22T00:00:00"/>
    <n v="4818493.51"/>
    <s v="NORTE DISTRIBUCIONES S.R.L SAN MIGUEL DE TUCUMAN 14"/>
    <x v="1258"/>
    <n v="4818493.51"/>
    <x v="138"/>
    <x v="2"/>
    <s v="pagado"/>
    <s v="pagado"/>
    <x v="0"/>
  </r>
  <r>
    <n v="3000005693"/>
    <d v="2025-09-22T00:00:00"/>
    <n v="4198880.12"/>
    <s v="Hierronort Salta S.R.L. SAN MIGUEL DE TUCUMAN 14"/>
    <x v="1259"/>
    <n v="4198880.12"/>
    <x v="138"/>
    <x v="2"/>
    <s v="pagado"/>
    <s v="pagado"/>
    <x v="0"/>
  </r>
  <r>
    <n v="3000005694"/>
    <d v="2025-09-22T00:00:00"/>
    <n v="6269531.9000000004"/>
    <s v="EMPRESA MAYORISTA INDUSTRIAL SSAN MIGUEL DE TUCUMAN 14"/>
    <x v="1260"/>
    <n v="6269531.9000000004"/>
    <x v="138"/>
    <x v="2"/>
    <s v="pagado"/>
    <s v="pagado"/>
    <x v="0"/>
  </r>
  <r>
    <n v="3000005779"/>
    <d v="2025-09-25T00:00:00"/>
    <n v="1257492.74"/>
    <s v="PALAVECINO LUIS IGNACIO San Miguel De Tucuman 14"/>
    <x v="1261"/>
    <n v="1257492.74"/>
    <x v="139"/>
    <x v="0"/>
    <s v="pagado"/>
    <s v="pagado"/>
    <x v="0"/>
  </r>
  <r>
    <n v="3000005737"/>
    <d v="2025-09-23T00:00:00"/>
    <n v="9471982.5299999993"/>
    <s v="CAPITAN CORTES SACIFIYA Puerto Nuevo 01"/>
    <x v="1262"/>
    <n v="9471982.5299999993"/>
    <x v="138"/>
    <x v="0"/>
    <s v="pagado"/>
    <s v="pagado"/>
    <x v="0"/>
  </r>
  <r>
    <n v="3000005738"/>
    <d v="2025-09-23T00:00:00"/>
    <n v="10000000"/>
    <s v="Terminal 4 S.A. Puerto Nuevo 01"/>
    <x v="1263"/>
    <n v="10000000"/>
    <x v="138"/>
    <x v="0"/>
    <s v="pagado"/>
    <s v="pagado"/>
    <x v="0"/>
  </r>
  <r>
    <n v="3000005738"/>
    <d v="2025-09-23T00:00:00"/>
    <n v="9581257.5700000003"/>
    <s v="Terminal 4 S.A. Puerto Nuevo 01"/>
    <x v="1264"/>
    <n v="9581257.5700000003"/>
    <x v="140"/>
    <x v="0"/>
    <s v="pagado"/>
    <s v="pagado"/>
    <x v="0"/>
  </r>
  <r>
    <n v="3000005739"/>
    <d v="2025-09-23T00:00:00"/>
    <n v="20000000"/>
    <s v="BUENOS AIRES COMEX S.R.L. BANFIELD 14"/>
    <x v="1265"/>
    <n v="20000000"/>
    <x v="138"/>
    <x v="0"/>
    <s v="pagado"/>
    <s v="pagado"/>
    <x v="0"/>
  </r>
  <r>
    <n v="3000005739"/>
    <d v="2025-09-23T00:00:00"/>
    <n v="17856629.920000002"/>
    <s v="BUENOS AIRES COMEX S.R.L. BANFIELD 14"/>
    <x v="1266"/>
    <n v="17856629.920000002"/>
    <x v="140"/>
    <x v="0"/>
    <s v="pagado"/>
    <s v="pagado"/>
    <x v="0"/>
  </r>
  <r>
    <n v="3000005740"/>
    <d v="2025-09-23T00:00:00"/>
    <n v="20000000"/>
    <s v="BONSUR SA CAPITAL FEDERAL 00"/>
    <x v="1267"/>
    <n v="20000000"/>
    <x v="138"/>
    <x v="0"/>
    <s v="pagado"/>
    <s v="pagado"/>
    <x v="0"/>
  </r>
  <r>
    <n v="3000005740"/>
    <d v="2025-09-23T00:00:00"/>
    <n v="18258717.920000002"/>
    <s v="BONSUR SA CAPITAL FEDERAL 00"/>
    <x v="1268"/>
    <n v="18258717.920000002"/>
    <x v="140"/>
    <x v="0"/>
    <s v="pagado"/>
    <s v="pagado"/>
    <x v="0"/>
  </r>
  <r>
    <n v="3000005741"/>
    <d v="2025-09-23T00:00:00"/>
    <n v="8663282.2799999993"/>
    <s v="CAPETTA ANTONELLA ANAHI SAN MIGUEL DE TUCUMAN 14"/>
    <x v="1269"/>
    <n v="8663282.2799999993"/>
    <x v="138"/>
    <x v="0"/>
    <s v="pagado"/>
    <s v="pagado"/>
    <x v="0"/>
  </r>
  <r>
    <n v="3000005742"/>
    <d v="2025-09-23T00:00:00"/>
    <n v="6389914.7300000004"/>
    <s v="CEMEVA SAS YERBA BUENA 14"/>
    <x v="1270"/>
    <n v="6389914.7300000004"/>
    <x v="138"/>
    <x v="0"/>
    <s v="pagado"/>
    <s v="pagado"/>
    <x v="0"/>
  </r>
  <r>
    <n v="3000005743"/>
    <d v="2025-09-23T00:00:00"/>
    <n v="4233015.58"/>
    <s v="RL SOLUCIONES S. A. S. SAN MIGUEL DE TUCUMAN 14"/>
    <x v="1271"/>
    <n v="4233015.58"/>
    <x v="138"/>
    <x v="0"/>
    <s v="pagado"/>
    <s v="pagado"/>
    <x v="0"/>
  </r>
  <r>
    <n v="3000005744"/>
    <d v="2025-09-23T00:00:00"/>
    <n v="4259943.16"/>
    <s v="MAC DONALD MIGUEL ALEJANDRO BANDA DEL RIO SALI 14"/>
    <x v="1272"/>
    <n v="4259943.16"/>
    <x v="138"/>
    <x v="0"/>
    <s v="pagado"/>
    <s v="pagado"/>
    <x v="0"/>
  </r>
  <r>
    <n v="3000005814"/>
    <d v="2025-09-26T00:00:00"/>
    <n v="32600000"/>
    <s v="HORMECO S.R.L SAN MIGUEL DE TUCUMAN 14"/>
    <x v="1273"/>
    <n v="32600000"/>
    <x v="141"/>
    <x v="0"/>
    <s v="pagado"/>
    <s v="pagado"/>
    <x v="0"/>
  </r>
  <r>
    <n v="3000005814"/>
    <d v="2025-09-26T00:00:00"/>
    <n v="32799830"/>
    <s v="HORMECO S.R.L SAN MIGUEL DE TUCUMAN 14"/>
    <x v="1274"/>
    <n v="32799830"/>
    <x v="142"/>
    <x v="0"/>
    <s v="pagado"/>
    <s v="pagado"/>
    <x v="0"/>
  </r>
  <r>
    <n v="3000005876"/>
    <d v="2025-09-30T00:00:00"/>
    <n v="4259943.16"/>
    <s v="CEMEVA SAS YERBA BUENA 14"/>
    <x v="1275"/>
    <n v="4259943.16"/>
    <x v="123"/>
    <x v="0"/>
    <s v="pagado"/>
    <s v="pagado"/>
    <x v="0"/>
  </r>
  <r>
    <n v="3000005877"/>
    <d v="2025-09-30T00:00:00"/>
    <n v="26088934.899999999"/>
    <s v="CAPETTA ANTONELLA ANAHI SAN MIGUEL DE TUCUMAN 14"/>
    <x v="1276"/>
    <n v="26088934.899999999"/>
    <x v="123"/>
    <x v="0"/>
    <s v="pagado"/>
    <s v="pagado"/>
    <x v="0"/>
  </r>
  <r>
    <n v="3000005878"/>
    <d v="2025-09-30T00:00:00"/>
    <n v="13044234.859999999"/>
    <s v="SUAREZ MANUEL RODOLFO ALDERETES 14"/>
    <x v="1277"/>
    <n v="13044234.859999999"/>
    <x v="123"/>
    <x v="0"/>
    <s v="pagado"/>
    <s v="pagado"/>
    <x v="0"/>
  </r>
  <r>
    <n v="3000005879"/>
    <d v="2025-09-30T00:00:00"/>
    <n v="6888474.1399999997"/>
    <s v="PERATO CRISTIAN LUIS BANDA DEL RIO SALI 14"/>
    <x v="1278"/>
    <n v="6888474.1399999997"/>
    <x v="123"/>
    <x v="0"/>
    <s v="pagado"/>
    <s v="pagado"/>
    <x v="0"/>
  </r>
  <r>
    <n v="3000005880"/>
    <d v="2025-09-30T00:00:00"/>
    <n v="7116719.2800000003"/>
    <s v="PAEZ LEONEL EXEQUIEL MACIO 14"/>
    <x v="1279"/>
    <n v="7116719.2800000003"/>
    <x v="123"/>
    <x v="0"/>
    <s v="pagado"/>
    <s v="pagado"/>
    <x v="0"/>
  </r>
  <r>
    <n v="3000005881"/>
    <d v="2025-09-30T00:00:00"/>
    <n v="11890892.92"/>
    <s v="TRANSURSINO S.R.L RIO GRANDE 24"/>
    <x v="1280"/>
    <n v="11890892.92"/>
    <x v="123"/>
    <x v="0"/>
    <s v="pagado"/>
    <s v="pagado"/>
    <x v="0"/>
  </r>
  <r>
    <n v="3000005882"/>
    <d v="2025-09-30T00:00:00"/>
    <n v="14246830"/>
    <s v="Terminal 4 S.A. Puerto Nuevo 01"/>
    <x v="1281"/>
    <n v="14246830"/>
    <x v="123"/>
    <x v="0"/>
    <s v="pagado"/>
    <s v="pagado"/>
    <x v="0"/>
  </r>
  <r>
    <n v="3000005883"/>
    <d v="2025-09-30T00:00:00"/>
    <n v="26696250"/>
    <s v="LATCOMEX SA CAPITAL FEDERAL 00"/>
    <x v="1282"/>
    <n v="26696250"/>
    <x v="123"/>
    <x v="0"/>
    <s v="pagado"/>
    <s v="pagado"/>
    <x v="0"/>
  </r>
  <r>
    <n v="3000005884"/>
    <d v="2025-09-30T00:00:00"/>
    <n v="5360525.8"/>
    <s v="Aislantes Tecnopor SRL SAN MIGUEL DE TUCUMAN 14"/>
    <x v="1283"/>
    <n v="5360525.8"/>
    <x v="143"/>
    <x v="0"/>
    <s v="pagado"/>
    <s v="pagado"/>
    <x v="0"/>
  </r>
  <r>
    <n v="3000005839"/>
    <d v="2025-09-29T00:00:00"/>
    <n v="10784436.67"/>
    <s v="SELLEI FERNANDO GABRIEL RIO GRANDE 24"/>
    <x v="1284"/>
    <n v="10784436.67"/>
    <x v="144"/>
    <x v="2"/>
    <s v="pagado"/>
    <s v="pagado"/>
    <x v="0"/>
  </r>
  <r>
    <n v="3000005840"/>
    <d v="2025-09-29T00:00:00"/>
    <n v="19456287.370000001"/>
    <s v="BARBARISI JUAREZ PABLO EMANUELSAN JUAN 10"/>
    <x v="1285"/>
    <n v="19456287.370000001"/>
    <x v="144"/>
    <x v="2"/>
    <s v="pagado"/>
    <s v="pagado"/>
    <x v="0"/>
  </r>
  <r>
    <n v="3000005841"/>
    <d v="2025-09-29T00:00:00"/>
    <n v="11165473.01"/>
    <s v="ADLER HASENCLEVER Y ASOCIADOS BUENOS AIRES 01"/>
    <x v="1286"/>
    <n v="11165473.01"/>
    <x v="144"/>
    <x v="2"/>
    <s v="pagado"/>
    <s v="pagado"/>
    <x v="0"/>
  </r>
  <r>
    <n v="3000005842"/>
    <d v="2025-09-29T00:00:00"/>
    <n v="8286164.7400000002"/>
    <s v="Bureau Veritas Arg.S.A. CIUDAD AUTONOMA DE BUENOS AIRES 01"/>
    <x v="1287"/>
    <n v="8286164.7400000002"/>
    <x v="144"/>
    <x v="2"/>
    <s v="pagado"/>
    <s v="pagado"/>
    <x v="0"/>
  </r>
  <r>
    <n v="3000005843"/>
    <d v="2025-09-29T00:00:00"/>
    <n v="6061971.9100000001"/>
    <s v="VISMA ARGENTINA SA CAPITAL FEDERAL 14"/>
    <x v="1288"/>
    <n v="6061971.9100000001"/>
    <x v="145"/>
    <x v="2"/>
    <s v="pagado"/>
    <s v="pagado"/>
    <x v="0"/>
  </r>
  <r>
    <n v="3000005844"/>
    <d v="2025-09-29T00:00:00"/>
    <n v="12533136.4"/>
    <s v="TEKNOS TECHNOLOGY GROUP SA CAPITAL FEDERAL 00"/>
    <x v="1289"/>
    <n v="12533136.4"/>
    <x v="145"/>
    <x v="2"/>
    <s v="pagado"/>
    <s v="pagado"/>
    <x v="0"/>
  </r>
  <r>
    <n v="3000005845"/>
    <d v="2025-09-29T00:00:00"/>
    <n v="13187968.34"/>
    <s v="Hierronort Salta S.R.L. SAN MIGUEL DE TUCUMAN 14"/>
    <x v="1290"/>
    <n v="13187968.34"/>
    <x v="145"/>
    <x v="2"/>
    <s v="pagado"/>
    <s v="pagado"/>
    <x v="0"/>
  </r>
  <r>
    <n v="3000005846"/>
    <d v="2025-09-29T00:00:00"/>
    <n v="26342163.75"/>
    <s v="TUCUMAN PALLET SRL EL MANANTIAL 14"/>
    <x v="1291"/>
    <n v="26342163.75"/>
    <x v="123"/>
    <x v="2"/>
    <s v="pagado"/>
    <s v="pagado"/>
    <x v="0"/>
  </r>
  <r>
    <n v="3000005913"/>
    <d v="2025-10-02T00:00:00"/>
    <n v="6367593.4000000004"/>
    <s v="AGROGANADERA DEL NOA CEVIL POZO 14"/>
    <x v="1292"/>
    <n v="6367593.4000000004"/>
    <x v="146"/>
    <x v="0"/>
    <s v="pagado"/>
    <s v="pagado"/>
    <x v="0"/>
  </r>
  <r>
    <n v="3000005913"/>
    <d v="2025-10-02T00:00:00"/>
    <n v="6243170.75"/>
    <s v="AGROGANADERA DEL NOA CEVIL POZO 14"/>
    <x v="1293"/>
    <n v="6243170.75"/>
    <x v="146"/>
    <x v="0"/>
    <s v="pagado"/>
    <s v="pagado"/>
    <x v="0"/>
  </r>
  <r>
    <n v="3000005913"/>
    <d v="2025-10-02T00:00:00"/>
    <n v="4948986.3600000003"/>
    <s v="AGROGANADERA DEL NOA CEVIL POZO 14"/>
    <x v="1294"/>
    <n v="4948986.3600000003"/>
    <x v="146"/>
    <x v="0"/>
    <s v="pagado"/>
    <s v="pagado"/>
    <x v="0"/>
  </r>
  <r>
    <n v="3000005913"/>
    <d v="2025-10-02T00:00:00"/>
    <n v="371468.4"/>
    <s v="AGROGANADERA DEL NOA CEVIL POZO 14"/>
    <x v="1295"/>
    <n v="371468.4"/>
    <x v="146"/>
    <x v="0"/>
    <s v="pagado"/>
    <s v="pagado"/>
    <x v="0"/>
  </r>
  <r>
    <n v="3000005913"/>
    <d v="2025-10-02T00:00:00"/>
    <n v="480143.4"/>
    <s v="AGROGANADERA DEL NOA CEVIL POZO 14"/>
    <x v="1296"/>
    <n v="480143.4"/>
    <x v="146"/>
    <x v="0"/>
    <s v="pagado"/>
    <s v="pagado"/>
    <x v="0"/>
  </r>
  <r>
    <n v="3000005913"/>
    <d v="2025-10-02T00:00:00"/>
    <n v="42413652.060000002"/>
    <s v="AGROGANADERA DEL NOA CEVIL POZO 14"/>
    <x v="1297"/>
    <n v="42413652.060000002"/>
    <x v="146"/>
    <x v="0"/>
    <s v="pagado"/>
    <s v="pagado"/>
    <x v="0"/>
  </r>
  <r>
    <n v="3000005913"/>
    <d v="2025-10-02T00:00:00"/>
    <n v="55919.96"/>
    <s v="AGROGANADERA DEL NOA CEVIL POZO 14"/>
    <x v="1298"/>
    <n v="55919.96"/>
    <x v="146"/>
    <x v="0"/>
    <s v="pagado"/>
    <s v="pagado"/>
    <x v="0"/>
  </r>
  <r>
    <n v="3000005972"/>
    <d v="2025-10-06T00:00:00"/>
    <n v="11549825.25"/>
    <s v="GEREZ ALICIA ELEUTERIA SAN MIGUEL DE TUCUMAN 14"/>
    <x v="1299"/>
    <n v="11549825.25"/>
    <x v="147"/>
    <x v="2"/>
    <s v="pagado"/>
    <s v="pagado"/>
    <x v="0"/>
  </r>
  <r>
    <n v="3000005973"/>
    <d v="2025-10-06T00:00:00"/>
    <n v="4547779.1399999997"/>
    <s v="Gonzalez Jose Luis Lastenia 14"/>
    <x v="1300"/>
    <n v="4547779.1399999997"/>
    <x v="147"/>
    <x v="2"/>
    <s v="pagado"/>
    <s v="pagado"/>
    <x v="0"/>
  </r>
  <r>
    <n v="3000005974"/>
    <d v="2025-10-06T00:00:00"/>
    <n v="10907109.949999999"/>
    <s v="LOS LAURELES SERVICIOS AGRICOLSan Miguel De Tucuman 14"/>
    <x v="1301"/>
    <n v="10907109.949999999"/>
    <x v="147"/>
    <x v="2"/>
    <s v="pagado"/>
    <s v="pagado"/>
    <x v="0"/>
  </r>
  <r>
    <n v="3000005975"/>
    <d v="2025-10-06T00:00:00"/>
    <n v="3843006.39"/>
    <s v="Medina Juan Edgardo SAN MIGUEL DE TUCUMAN 14"/>
    <x v="1302"/>
    <n v="3843006.39"/>
    <x v="147"/>
    <x v="2"/>
    <s v="pagado"/>
    <s v="pagado"/>
    <x v="0"/>
  </r>
  <r>
    <n v="3000005976"/>
    <d v="2025-10-06T00:00:00"/>
    <n v="4817233.17"/>
    <s v="ROLCAR S.A SAN MIGUEL DE TUCUMAN 14"/>
    <x v="1303"/>
    <n v="4817233.17"/>
    <x v="147"/>
    <x v="2"/>
    <s v="pagado"/>
    <s v="pagado"/>
    <x v="0"/>
  </r>
  <r>
    <n v="3000005977"/>
    <d v="2025-10-06T00:00:00"/>
    <n v="4936330"/>
    <s v="TUCUMAN PALLET SRL EL MANANTIAL 14"/>
    <x v="1304"/>
    <n v="4936330"/>
    <x v="147"/>
    <x v="2"/>
    <s v="pagado"/>
    <s v="pagado"/>
    <x v="0"/>
  </r>
  <r>
    <n v="3000005978"/>
    <d v="2025-10-06T00:00:00"/>
    <n v="6750125.0099999998"/>
    <s v="CONSTRUNOA S.A.S. ORAN 09"/>
    <x v="1305"/>
    <n v="6750125.0099999998"/>
    <x v="147"/>
    <x v="2"/>
    <s v="pagado"/>
    <s v="pagado"/>
    <x v="0"/>
  </r>
  <r>
    <n v="3000005979"/>
    <d v="2025-10-06T00:00:00"/>
    <n v="4187118.4"/>
    <s v="TEKNOS TECHNOLOGY GROUP SA CAPITAL FEDERAL 00"/>
    <x v="1306"/>
    <n v="4187118.4"/>
    <x v="147"/>
    <x v="2"/>
    <s v="pagado"/>
    <s v="pagado"/>
    <x v="0"/>
  </r>
  <r>
    <n v="3000005980"/>
    <d v="2025-10-06T00:00:00"/>
    <n v="2675827.6"/>
    <s v="RASUK JORGE LUIS YERBA BUENA 14"/>
    <x v="1307"/>
    <n v="2675827.6"/>
    <x v="148"/>
    <x v="2"/>
    <s v="pagado"/>
    <s v="pagado"/>
    <x v="0"/>
  </r>
  <r>
    <n v="3000005981"/>
    <d v="2025-10-06T00:00:00"/>
    <n v="8927455"/>
    <s v="Asoc. Coop.Fac.Cie.Exac.y Tec.SAN MIGUEL DE TUCUMAN 14"/>
    <x v="1308"/>
    <n v="8927455"/>
    <x v="148"/>
    <x v="2"/>
    <s v="pagado"/>
    <s v="pagado"/>
    <x v="0"/>
  </r>
  <r>
    <n v="3000005982"/>
    <d v="2025-10-06T00:00:00"/>
    <n v="6219540.96"/>
    <s v="VISMA ARGENTINA SA CAPITAL FEDERAL 14"/>
    <x v="1309"/>
    <n v="6219540.96"/>
    <x v="148"/>
    <x v="2"/>
    <s v="pagado"/>
    <s v="pagado"/>
    <x v="0"/>
  </r>
  <r>
    <n v="3000005983"/>
    <d v="2025-10-06T00:00:00"/>
    <n v="3249241.17"/>
    <s v="BME DISENO Y COMUNICACION SAS CAPITAL FEDERAL 00"/>
    <x v="1310"/>
    <n v="3249241.17"/>
    <x v="148"/>
    <x v="2"/>
    <s v="pagado"/>
    <s v="pagado"/>
    <x v="0"/>
  </r>
  <r>
    <n v="3000005984"/>
    <d v="2025-10-06T00:00:00"/>
    <n v="5364410.82"/>
    <s v="NATURAL GAS SA SAN MIGUEL DE TUCUMAN 14"/>
    <x v="1311"/>
    <n v="5364410.82"/>
    <x v="148"/>
    <x v="2"/>
    <s v="pagado"/>
    <s v="pagado"/>
    <x v="0"/>
  </r>
  <r>
    <n v="3000005985"/>
    <d v="2025-10-06T00:00:00"/>
    <n v="15000000"/>
    <s v="DECU3 S.R.L. YERBA BUENA 14"/>
    <x v="1312"/>
    <n v="15000000"/>
    <x v="147"/>
    <x v="2"/>
    <s v="pagado"/>
    <s v="pagado"/>
    <x v="0"/>
  </r>
  <r>
    <n v="3000005985"/>
    <d v="2025-10-06T00:00:00"/>
    <n v="16587377.57"/>
    <s v="DECU3 S.R.L. YERBA BUENA 14"/>
    <x v="1313"/>
    <n v="16587377.57"/>
    <x v="148"/>
    <x v="2"/>
    <s v="pagado"/>
    <s v="pagado"/>
    <x v="0"/>
  </r>
  <r>
    <n v="3000006046"/>
    <d v="2025-10-07T00:00:00"/>
    <n v="1377457.24"/>
    <s v="TRANSPORTE MEDINA S.H. CRUZ ALTA 14"/>
    <x v="1314"/>
    <n v="1377457.24"/>
    <x v="148"/>
    <x v="0"/>
    <s v="pagado"/>
    <s v="pagado"/>
    <x v="0"/>
  </r>
  <r>
    <n v="3000004998"/>
    <d v="2025-10-08T00:00:00"/>
    <n v="3373338.49"/>
    <s v="PALAVECINO LUIS IGNACIO San Miguel De Tucuman 14"/>
    <x v="1315"/>
    <n v="3373338.49"/>
    <x v="149"/>
    <x v="0"/>
    <s v="pagado"/>
    <s v="pagado"/>
    <x v="0"/>
  </r>
  <r>
    <n v="3000006027"/>
    <d v="2025-10-07T00:00:00"/>
    <n v="13977893.039999999"/>
    <s v="LANCHELA HECTOR ROLANDO CONCEPCION 14"/>
    <x v="1316"/>
    <n v="13977893.039999999"/>
    <x v="149"/>
    <x v="0"/>
    <s v="pagado"/>
    <s v="pagado"/>
    <x v="0"/>
  </r>
  <r>
    <n v="3000006028"/>
    <d v="2025-10-07T00:00:00"/>
    <n v="7154270.8200000003"/>
    <s v="TRANSPORTE MARIANITA S.R.L SAN MIGUEL DE TUCUMAN 14"/>
    <x v="1317"/>
    <n v="7154270.8200000003"/>
    <x v="149"/>
    <x v="0"/>
    <s v="pagado"/>
    <s v="pagado"/>
    <x v="0"/>
  </r>
  <r>
    <n v="3000006029"/>
    <d v="2025-10-07T00:00:00"/>
    <n v="4803648.68"/>
    <s v="Arias Carlos Alberto SAN MIGUEL DE TUCUMAN 14"/>
    <x v="1318"/>
    <n v="4803648.68"/>
    <x v="149"/>
    <x v="0"/>
    <s v="pagado"/>
    <s v="pagado"/>
    <x v="0"/>
  </r>
  <r>
    <n v="3000006030"/>
    <d v="2025-10-07T00:00:00"/>
    <n v="2488253.4"/>
    <s v="MOYANO JUAN VICTOR TUCUMAN 14"/>
    <x v="1319"/>
    <n v="2488253.4"/>
    <x v="149"/>
    <x v="0"/>
    <s v="pagado"/>
    <s v="pagado"/>
    <x v="0"/>
  </r>
  <r>
    <n v="3000006031"/>
    <d v="2025-10-07T00:00:00"/>
    <n v="2306666.87"/>
    <s v="HERRERA RICARDO ALBERTO BANDA DEL RIO SALI 14"/>
    <x v="1320"/>
    <n v="2306666.87"/>
    <x v="149"/>
    <x v="0"/>
    <s v="pagado"/>
    <s v="pagado"/>
    <x v="0"/>
  </r>
  <r>
    <n v="3000006032"/>
    <d v="2025-10-07T00:00:00"/>
    <n v="3295120.79"/>
    <s v="Rojas Antonio Domingo ALDERETES 14"/>
    <x v="1321"/>
    <n v="3295120.79"/>
    <x v="149"/>
    <x v="0"/>
    <s v="pagado"/>
    <s v="pagado"/>
    <x v="0"/>
  </r>
  <r>
    <n v="3000006033"/>
    <d v="2025-10-07T00:00:00"/>
    <n v="6601836.8399999999"/>
    <s v="VIDES GUSTAVO ENRIQUE LA TRINIDAD 14"/>
    <x v="1322"/>
    <n v="6601836.8399999999"/>
    <x v="149"/>
    <x v="0"/>
    <s v="pagado"/>
    <s v="pagado"/>
    <x v="0"/>
  </r>
  <r>
    <n v="3000006034"/>
    <d v="2025-10-07T00:00:00"/>
    <n v="2454017.13"/>
    <s v="TORRES JUAN RAMON ALDERETES 14"/>
    <x v="1323"/>
    <n v="2454017.13"/>
    <x v="149"/>
    <x v="0"/>
    <s v="pagado"/>
    <s v="pagado"/>
    <x v="0"/>
  </r>
  <r>
    <n v="3000006035"/>
    <d v="2025-10-07T00:00:00"/>
    <n v="2479667.54"/>
    <s v="TRANSPORTE FRIOS DEL NORTE S.RSAN MIGUEL DE TUCUMAN 14"/>
    <x v="1324"/>
    <n v="2479667.54"/>
    <x v="149"/>
    <x v="0"/>
    <s v="pagado"/>
    <s v="pagado"/>
    <x v="0"/>
  </r>
  <r>
    <n v="3000006036"/>
    <d v="2025-10-07T00:00:00"/>
    <n v="15560571.51"/>
    <s v="MERCATOR TRANSPORT ARGENTINA SBUENOS AIRES 01"/>
    <x v="1325"/>
    <n v="15560571.51"/>
    <x v="149"/>
    <x v="0"/>
    <s v="pagado"/>
    <s v="pagado"/>
    <x v="0"/>
  </r>
  <r>
    <n v="3000006037"/>
    <d v="2025-10-07T00:00:00"/>
    <n v="4260111.08"/>
    <s v="MAC DONALD MIGUEL ALEJANDRO BANDA DEL RIO SALI 14"/>
    <x v="1326"/>
    <n v="4260111.08"/>
    <x v="149"/>
    <x v="0"/>
    <s v="pagado"/>
    <s v="pagado"/>
    <x v="0"/>
  </r>
  <r>
    <n v="3000006038"/>
    <d v="2025-10-07T00:00:00"/>
    <n v="12806924.970000001"/>
    <s v="CAPETTA ANTONELLA ANAHI SAN MIGUEL DE TUCUMAN 14"/>
    <x v="1327"/>
    <n v="12806924.970000001"/>
    <x v="149"/>
    <x v="0"/>
    <s v="pagado"/>
    <s v="pagado"/>
    <x v="0"/>
  </r>
  <r>
    <n v="3000006039"/>
    <d v="2025-10-07T00:00:00"/>
    <n v="2797047.83"/>
    <s v="MOLINA JUAN F. Y MOLINA ROQUE Lastenia 14"/>
    <x v="1328"/>
    <n v="2797047.83"/>
    <x v="149"/>
    <x v="0"/>
    <s v="pagado"/>
    <s v="pagado"/>
    <x v="0"/>
  </r>
  <r>
    <n v="3000006039"/>
    <d v="2025-10-07T00:00:00"/>
    <n v="4653053.1500000004"/>
    <s v="MOLINA JUAN F. Y MOLINA ROQUE Lastenia 14"/>
    <x v="1329"/>
    <n v="4653053.1500000004"/>
    <x v="150"/>
    <x v="0"/>
    <s v="pagado"/>
    <s v="pagado"/>
    <x v="0"/>
  </r>
  <r>
    <n v="3000006040"/>
    <d v="2025-10-07T00:00:00"/>
    <n v="4260111.08"/>
    <s v="CEMEVA SAS YERBA BUENA 14"/>
    <x v="1330"/>
    <n v="4260111.08"/>
    <x v="149"/>
    <x v="0"/>
    <s v="pagado"/>
    <s v="pagado"/>
    <x v="0"/>
  </r>
  <r>
    <n v="3000006041"/>
    <d v="2025-10-07T00:00:00"/>
    <n v="2005336.87"/>
    <s v="Tradelog S.A.U. BUENOS AIRES 01"/>
    <x v="1331"/>
    <n v="2005336.87"/>
    <x v="149"/>
    <x v="0"/>
    <s v="pagado"/>
    <s v="pagado"/>
    <x v="0"/>
  </r>
  <r>
    <n v="3000006042"/>
    <d v="2025-10-07T00:00:00"/>
    <n v="4076730.07"/>
    <s v="Cia. Azucarera Los Balcanes S.Ingenio La Florida 14"/>
    <x v="1332"/>
    <n v="4076730.07"/>
    <x v="149"/>
    <x v="0"/>
    <s v="pagado"/>
    <s v="pagado"/>
    <x v="0"/>
  </r>
  <r>
    <n v="3000006043"/>
    <d v="2025-10-07T00:00:00"/>
    <n v="8054122.1399999997"/>
    <s v="RL SOLUCIONES S. A. S. SAN MIGUEL DE TUCUMAN 14"/>
    <x v="1333"/>
    <n v="8054122.1399999997"/>
    <x v="149"/>
    <x v="0"/>
    <s v="pagado"/>
    <s v="pagado"/>
    <x v="0"/>
  </r>
  <r>
    <n v="3000006044"/>
    <d v="2025-10-07T00:00:00"/>
    <n v="4152917.92"/>
    <s v="LATCOMEX SA CAPITAL FEDERAL 00"/>
    <x v="1334"/>
    <n v="4152917.92"/>
    <x v="149"/>
    <x v="0"/>
    <s v="pagado"/>
    <s v="pagado"/>
    <x v="0"/>
  </r>
  <r>
    <n v="3000006045"/>
    <d v="2025-10-07T00:00:00"/>
    <n v="10395767"/>
    <s v="Terminal 4 S.A. Puerto Nuevo 01"/>
    <x v="1335"/>
    <n v="10395767"/>
    <x v="149"/>
    <x v="0"/>
    <s v="pagado"/>
    <s v="pagado"/>
    <x v="0"/>
  </r>
  <r>
    <n v="3000005049"/>
    <d v="2025-10-14T00:00:00"/>
    <n v="2900000"/>
    <s v="MG SERVICIOS AGROPECUARIOS SASTAFI VIEJO 14"/>
    <x v="1336"/>
    <n v="2900000"/>
    <x v="151"/>
    <x v="2"/>
    <s v="pagado"/>
    <s v="pagado"/>
    <x v="0"/>
  </r>
  <r>
    <n v="3000006139"/>
    <d v="2025-10-13T00:00:00"/>
    <n v="6500000"/>
    <s v="ECOGREEN SRL SAN MIGUEL DE TUCUMAN 14"/>
    <x v="1337"/>
    <n v="6500000"/>
    <x v="143"/>
    <x v="0"/>
    <s v="pagado"/>
    <s v="pagado"/>
    <x v="0"/>
  </r>
  <r>
    <n v="3000006139"/>
    <d v="2025-10-13T00:00:00"/>
    <n v="6500000"/>
    <s v="ECOGREEN SRL SAN MIGUEL DE TUCUMAN 14"/>
    <x v="1338"/>
    <n v="6500000"/>
    <x v="143"/>
    <x v="0"/>
    <s v="pagado"/>
    <s v="pagado"/>
    <x v="0"/>
  </r>
  <r>
    <n v="3000006139"/>
    <d v="2025-10-13T00:00:00"/>
    <n v="6500000"/>
    <s v="ECOGREEN SRL SAN MIGUEL DE TUCUMAN 14"/>
    <x v="1339"/>
    <n v="6500000"/>
    <x v="143"/>
    <x v="0"/>
    <s v="pagado"/>
    <s v="pagado"/>
    <x v="0"/>
  </r>
  <r>
    <n v="3000006139"/>
    <d v="2025-10-13T00:00:00"/>
    <n v="6500000"/>
    <s v="ECOGREEN SRL SAN MIGUEL DE TUCUMAN 14"/>
    <x v="1340"/>
    <n v="6500000"/>
    <x v="152"/>
    <x v="0"/>
    <s v="pagado"/>
    <s v="pagado"/>
    <x v="0"/>
  </r>
  <r>
    <n v="3000006139"/>
    <d v="2025-10-13T00:00:00"/>
    <n v="6529021.4199999999"/>
    <s v="ECOGREEN SRL SAN MIGUEL DE TUCUMAN 14"/>
    <x v="1341"/>
    <n v="6529021.4199999999"/>
    <x v="152"/>
    <x v="0"/>
    <s v="pagado"/>
    <s v="pagado"/>
    <x v="0"/>
  </r>
  <r>
    <n v="3000006143"/>
    <d v="2025-10-13T00:00:00"/>
    <n v="7033365.29"/>
    <s v="CORTEVA AGRISCIENCE ARGENTINA CIUDAD AUTONOMA DE BUENOS AIRES 01"/>
    <x v="1342"/>
    <n v="7033365.29"/>
    <x v="152"/>
    <x v="0"/>
    <s v="pagado"/>
    <s v="pagado"/>
    <x v="0"/>
  </r>
  <r>
    <n v="3000006144"/>
    <d v="2025-10-13T00:00:00"/>
    <n v="11796116.9"/>
    <s v="CONSTRUNOA S.A.S. ORAN 09"/>
    <x v="1343"/>
    <n v="11796116.9"/>
    <x v="143"/>
    <x v="0"/>
    <s v="pagado"/>
    <s v="pagado"/>
    <x v="0"/>
  </r>
  <r>
    <n v="3000006145"/>
    <d v="2025-10-13T00:00:00"/>
    <n v="15448101.4"/>
    <s v="SEGURIDAD OMEGA SRL SAN FERNANDO DEL VALLE DE CATAMARCA 02"/>
    <x v="1344"/>
    <n v="15448101.4"/>
    <x v="143"/>
    <x v="0"/>
    <s v="pagado"/>
    <s v="pagado"/>
    <x v="0"/>
  </r>
  <r>
    <n v="3000006146"/>
    <d v="2025-10-13T00:00:00"/>
    <n v="4624515.1900000004"/>
    <s v="NATURAL GAS SA SAN MIGUEL DE TUCUMAN 14"/>
    <x v="1345"/>
    <n v="4624515.1900000004"/>
    <x v="143"/>
    <x v="0"/>
    <s v="pagado"/>
    <s v="pagado"/>
    <x v="0"/>
  </r>
  <r>
    <n v="3000006147"/>
    <d v="2025-10-13T00:00:00"/>
    <n v="39545843.399999999"/>
    <s v="Jeblab S.R.L. YERBA BUENA 14"/>
    <x v="1346"/>
    <n v="39545843.399999999"/>
    <x v="143"/>
    <x v="0"/>
    <s v="pagado"/>
    <s v="pagado"/>
    <x v="0"/>
  </r>
  <r>
    <n v="3000006148"/>
    <d v="2025-10-13T00:00:00"/>
    <n v="5643710.7199999997"/>
    <s v="Transportes La Sevillanita S.RALDERETES 14"/>
    <x v="1347"/>
    <n v="5643710.7199999997"/>
    <x v="152"/>
    <x v="0"/>
    <s v="pagado"/>
    <s v="pagado"/>
    <x v="0"/>
  </r>
  <r>
    <n v="3000006149"/>
    <d v="2025-10-13T00:00:00"/>
    <n v="20564157.75"/>
    <s v="SMART SEGURIDAD SA YERBA BUENA 14"/>
    <x v="1348"/>
    <n v="20564157.75"/>
    <x v="143"/>
    <x v="0"/>
    <s v="pagado"/>
    <s v="pagado"/>
    <x v="0"/>
  </r>
  <r>
    <n v="3000006150"/>
    <d v="2025-10-13T00:00:00"/>
    <n v="11232013.4"/>
    <s v="SERV.AGROP VILLA PAPADAKIS S.RSALTA 09"/>
    <x v="1349"/>
    <n v="11232013.4"/>
    <x v="143"/>
    <x v="0"/>
    <s v="pagado"/>
    <s v="pagado"/>
    <x v="0"/>
  </r>
  <r>
    <n v="3000006151"/>
    <d v="2025-10-13T00:00:00"/>
    <n v="25000000"/>
    <s v="MG SERVICIOS AGROPECUARIOS SASTAFI VIEJO 14"/>
    <x v="1350"/>
    <n v="25000000"/>
    <x v="143"/>
    <x v="0"/>
    <s v="pagado"/>
    <s v="pagado"/>
    <x v="0"/>
  </r>
  <r>
    <n v="3000006151"/>
    <d v="2025-10-13T00:00:00"/>
    <n v="7354847"/>
    <s v="MG SERVICIOS AGROPECUARIOS SASTAFI VIEJO 14"/>
    <x v="1351"/>
    <n v="7354847"/>
    <x v="143"/>
    <x v="0"/>
    <s v="pagado"/>
    <s v="pagado"/>
    <x v="0"/>
  </r>
  <r>
    <n v="3000006151"/>
    <d v="2025-10-13T00:00:00"/>
    <n v="3522329"/>
    <s v="MG SERVICIOS AGROPECUARIOS SASTAFI VIEJO 14"/>
    <x v="1352"/>
    <n v="3522329"/>
    <x v="152"/>
    <x v="0"/>
    <s v="pagado"/>
    <s v="pagado"/>
    <x v="0"/>
  </r>
  <r>
    <n v="3000006151"/>
    <d v="2025-10-13T00:00:00"/>
    <n v="2200000"/>
    <s v="MG SERVICIOS AGROPECUARIOS SASTAFI VIEJO 14"/>
    <x v="1353"/>
    <n v="2200000"/>
    <x v="152"/>
    <x v="0"/>
    <s v="pagado"/>
    <s v="pagado"/>
    <x v="0"/>
  </r>
  <r>
    <n v="3000006151"/>
    <d v="2025-10-13T00:00:00"/>
    <n v="40000000"/>
    <s v="MG SERVICIOS AGROPECUARIOS SASTAFI VIEJO 14"/>
    <x v="1354"/>
    <n v="40000000"/>
    <x v="152"/>
    <x v="0"/>
    <s v="pagado"/>
    <s v="pagado"/>
    <x v="0"/>
  </r>
  <r>
    <n v="3000006151"/>
    <d v="2025-10-13T00:00:00"/>
    <n v="43738239.719999999"/>
    <s v="MG SERVICIOS AGROPECUARIOS SASTAFI VIEJO 14"/>
    <x v="1355"/>
    <n v="43738239.719999999"/>
    <x v="151"/>
    <x v="0"/>
    <s v="pagado"/>
    <s v="pagado"/>
    <x v="0"/>
  </r>
  <r>
    <n v="3000006152"/>
    <d v="2025-10-13T00:00:00"/>
    <n v="13452203.939999999"/>
    <s v="Verde y Sol S.R.L. SAN MIGUEL DE TUCUMAN 14"/>
    <x v="1356"/>
    <n v="13452203.939999999"/>
    <x v="152"/>
    <x v="0"/>
    <s v="pagado"/>
    <s v="pagado"/>
    <x v="0"/>
  </r>
  <r>
    <n v="3000006153"/>
    <d v="2025-10-13T00:00:00"/>
    <n v="19288256"/>
    <s v="CAMPOAGRO SRL YERBA BUENA 14"/>
    <x v="1357"/>
    <n v="19288256"/>
    <x v="152"/>
    <x v="0"/>
    <s v="pagado"/>
    <s v="pagado"/>
    <x v="0"/>
  </r>
  <r>
    <n v="3000006154"/>
    <d v="2025-10-13T00:00:00"/>
    <n v="10000000"/>
    <s v="CAFELI S.R.L. SAN MIGUEL DE TUCUMAN 14"/>
    <x v="1358"/>
    <n v="10000000"/>
    <x v="143"/>
    <x v="0"/>
    <s v="pagado"/>
    <s v="pagado"/>
    <x v="0"/>
  </r>
  <r>
    <n v="3000006154"/>
    <d v="2025-10-13T00:00:00"/>
    <n v="9971314.4000000004"/>
    <s v="CAFELI S.R.L. SAN MIGUEL DE TUCUMAN 14"/>
    <x v="1359"/>
    <n v="9971314.4000000004"/>
    <x v="152"/>
    <x v="0"/>
    <s v="pagado"/>
    <s v="pagado"/>
    <x v="0"/>
  </r>
  <r>
    <n v="3000006155"/>
    <d v="2025-10-13T00:00:00"/>
    <n v="11569191.08"/>
    <s v="Barbera, Walter Sergio SAN MIGUEL DE TUCUMAN 14"/>
    <x v="1360"/>
    <n v="11569191.08"/>
    <x v="143"/>
    <x v="0"/>
    <s v="pagado"/>
    <s v="pagado"/>
    <x v="0"/>
  </r>
  <r>
    <n v="3000006156"/>
    <d v="2025-10-13T00:00:00"/>
    <n v="4563271.5999999996"/>
    <s v="DUBANIS ANA JOSEFINA SAN MIGUEL DE TUCUMAN 14"/>
    <x v="1361"/>
    <n v="4563271.5999999996"/>
    <x v="152"/>
    <x v="0"/>
    <s v="pagado"/>
    <s v="pagado"/>
    <x v="0"/>
  </r>
  <r>
    <n v="3000005049"/>
    <d v="2025-10-14T00:00:00"/>
    <n v="2900000"/>
    <s v="MG SERVICIOS AGROPECUARIOS SASTAFI VIEJO 14"/>
    <x v="1336"/>
    <n v="2900000"/>
    <x v="151"/>
    <x v="2"/>
    <s v="pagado"/>
    <s v="pagado"/>
    <x v="0"/>
  </r>
  <r>
    <n v="3000006198"/>
    <d v="2025-10-15T00:00:00"/>
    <n v="7068164.5099999998"/>
    <s v="SANTILLI CARLOS MIGUEL SAN MIGUEL DE TUCUMAN 14"/>
    <x v="1362"/>
    <n v="7068164.5099999998"/>
    <x v="127"/>
    <x v="2"/>
    <s v="pagado"/>
    <s v="pagado"/>
    <x v="0"/>
  </r>
  <r>
    <n v="3000006199"/>
    <d v="2025-10-15T00:00:00"/>
    <n v="2845827.42"/>
    <s v="STARB S.A CIUDAD AUTONOMA DE BUENOS AIRES 01"/>
    <x v="1363"/>
    <n v="2845827.42"/>
    <x v="127"/>
    <x v="2"/>
    <s v="pagado"/>
    <s v="pagado"/>
    <x v="0"/>
  </r>
  <r>
    <n v="3000006200"/>
    <d v="2025-10-15T00:00:00"/>
    <n v="6514497.2400000002"/>
    <s v="CEMEVA SAS YERBA BUENA 14"/>
    <x v="1364"/>
    <n v="6514497.2400000002"/>
    <x v="127"/>
    <x v="2"/>
    <s v="pagado"/>
    <s v="pagado"/>
    <x v="0"/>
  </r>
  <r>
    <n v="3000006201"/>
    <d v="2025-10-15T00:00:00"/>
    <n v="9581060.7699999996"/>
    <s v="ACOSTA ROQUE RAMON SAN MIGUEL DE TUCUMAN 14"/>
    <x v="1365"/>
    <n v="9581060.7699999996"/>
    <x v="127"/>
    <x v="2"/>
    <s v="pagado"/>
    <s v="pagado"/>
    <x v="0"/>
  </r>
  <r>
    <n v="3000006202"/>
    <d v="2025-10-15T00:00:00"/>
    <n v="5352312.47"/>
    <s v="MULET WALTER HUMBERTO SAN MIGUEL DE TUCUMAN 14"/>
    <x v="1366"/>
    <n v="5352312.47"/>
    <x v="127"/>
    <x v="2"/>
    <s v="pagado"/>
    <s v="pagado"/>
    <x v="0"/>
  </r>
  <r>
    <n v="3000006203"/>
    <d v="2025-10-15T00:00:00"/>
    <n v="2798259.39"/>
    <s v="Sanchez Jose Mauricio San Miguel de Tucuman 14"/>
    <x v="1367"/>
    <n v="2798259.39"/>
    <x v="127"/>
    <x v="2"/>
    <s v="pagado"/>
    <s v="pagado"/>
    <x v="0"/>
  </r>
  <r>
    <n v="3000006204"/>
    <d v="2025-10-15T00:00:00"/>
    <n v="1797467.75"/>
    <s v="LANCHELA HECTOR ROLANDO CONCEPCION 14"/>
    <x v="1368"/>
    <n v="1797467.75"/>
    <x v="127"/>
    <x v="2"/>
    <s v="pagado"/>
    <s v="pagado"/>
    <x v="0"/>
  </r>
  <r>
    <n v="3000006205"/>
    <d v="2025-10-15T00:00:00"/>
    <n v="0"/>
    <s v="invalidado med.EOLIVERA -Vencimiento BCRA"/>
    <x v="1369"/>
    <n v="0"/>
    <x v="127"/>
    <x v="2"/>
    <s v="no pagado"/>
    <s v="fuera de fecha"/>
    <x v="0"/>
  </r>
  <r>
    <n v="3000006206"/>
    <d v="2025-10-15T00:00:00"/>
    <n v="4259943.16"/>
    <s v="MAC DONALD MIGUEL ALEJANDRO BANDA DEL RIO SALI 14"/>
    <x v="1370"/>
    <n v="4259943.16"/>
    <x v="127"/>
    <x v="2"/>
    <s v="pagado"/>
    <s v="pagado"/>
    <x v="0"/>
  </r>
  <r>
    <n v="3000006207"/>
    <d v="2025-10-15T00:00:00"/>
    <n v="2116507.79"/>
    <s v="JACQUET NORBERTO SALVADOR SAN JOSE 05"/>
    <x v="1371"/>
    <n v="2116507.79"/>
    <x v="127"/>
    <x v="2"/>
    <s v="pagado"/>
    <s v="pagado"/>
    <x v="0"/>
  </r>
  <r>
    <n v="3000006208"/>
    <d v="2025-10-15T00:00:00"/>
    <n v="10672297.539999999"/>
    <s v="CAPETTA ANTONELLA ANAHI SAN MIGUEL DE TUCUMAN 14"/>
    <x v="1372"/>
    <n v="10672297.539999999"/>
    <x v="127"/>
    <x v="2"/>
    <s v="pagado"/>
    <s v="pagado"/>
    <x v="0"/>
  </r>
  <r>
    <n v="3000006209"/>
    <d v="2025-10-15T00:00:00"/>
    <n v="3623280.53"/>
    <s v="ARGENTINA CARGO SRL CAPTAL FEDERAL 00"/>
    <x v="1373"/>
    <n v="3623280.53"/>
    <x v="127"/>
    <x v="2"/>
    <s v="pagado"/>
    <s v="pagado"/>
    <x v="0"/>
  </r>
  <r>
    <n v="3000006244"/>
    <d v="2025-10-16T00:00:00"/>
    <n v="171839244.43000001"/>
    <s v="M. AMUCHASTEGUI S. R. L. YERBA BUENA 14"/>
    <x v="1374"/>
    <n v="171839244.43000001"/>
    <x v="127"/>
    <x v="2"/>
    <s v="pagado"/>
    <s v="pagado"/>
    <x v="0"/>
  </r>
  <r>
    <n v="3000006245"/>
    <d v="2025-10-16T00:00:00"/>
    <n v="87931427.349999994"/>
    <s v="ROMERO SERVICIOS S. A. S. ALPACHIRI 14"/>
    <x v="1375"/>
    <n v="87931427.349999994"/>
    <x v="127"/>
    <x v="2"/>
    <s v="pagado"/>
    <s v="pagado"/>
    <x v="0"/>
  </r>
  <r>
    <n v="3000006246"/>
    <d v="2025-10-16T00:00:00"/>
    <n v="75061784.799999997"/>
    <s v="PAMPLONA SRL SAN MIGUEL DE TUCUMAN 14"/>
    <x v="1376"/>
    <n v="75061784.799999997"/>
    <x v="127"/>
    <x v="2"/>
    <s v="pagado"/>
    <s v="pagado"/>
    <x v="0"/>
  </r>
  <r>
    <n v="3000006247"/>
    <d v="2025-10-16T00:00:00"/>
    <n v="138632171.44"/>
    <s v="Poda Verde SRL SAN MIGUEL DE TUCUMAN 14"/>
    <x v="1377"/>
    <n v="138632171.44"/>
    <x v="127"/>
    <x v="2"/>
    <s v="pagado"/>
    <s v="pagado"/>
    <x v="0"/>
  </r>
  <r>
    <n v="3000006248"/>
    <d v="2025-10-16T00:00:00"/>
    <n v="298086429.85000002"/>
    <s v="CATALANA DE SERVICIOS SRL YERBA BUENA 14"/>
    <x v="1378"/>
    <n v="298086429.85000002"/>
    <x v="127"/>
    <x v="2"/>
    <s v="pagado"/>
    <s v="pagado"/>
    <x v="0"/>
  </r>
  <r>
    <n v="3000006273"/>
    <d v="2025-10-17T00:00:00"/>
    <n v="31694880"/>
    <s v="EDET S.A. SAN MIGUEL DE TUCUMAN 14"/>
    <x v="1379"/>
    <n v="31694880"/>
    <x v="127"/>
    <x v="2"/>
    <s v="pagado"/>
    <s v="pagado"/>
    <x v="0"/>
  </r>
  <r>
    <n v="3000006304"/>
    <d v="2025-10-20T00:00:00"/>
    <n v="6000000"/>
    <s v="EL SOL MATERIALES SA SAN MIGUEL DE TUCUMAN 14"/>
    <x v="1380"/>
    <n v="6000000"/>
    <x v="153"/>
    <x v="0"/>
    <s v="pagado"/>
    <s v="pagado"/>
    <x v="0"/>
  </r>
  <r>
    <n v="3000006304"/>
    <d v="2025-10-20T00:00:00"/>
    <n v="5812371.8399999999"/>
    <s v="EL SOL MATERIALES SA SAN MIGUEL DE TUCUMAN 14"/>
    <x v="1381"/>
    <n v="5812371.8399999999"/>
    <x v="154"/>
    <x v="0"/>
    <s v="pagado"/>
    <s v="pagado"/>
    <x v="0"/>
  </r>
  <r>
    <n v="3000006302"/>
    <d v="2025-10-20T00:00:00"/>
    <n v="4744204.99"/>
    <s v="NALBANDIAN ALEXIS MARIANO CORDOBA 03"/>
    <x v="1382"/>
    <n v="4744204.99"/>
    <x v="155"/>
    <x v="0"/>
    <s v="pagado"/>
    <s v="pagado"/>
    <x v="0"/>
  </r>
  <r>
    <n v="3000006303"/>
    <d v="2025-10-20T00:00:00"/>
    <n v="14563011.199999999"/>
    <s v="LOGISTICA INTERNACIONAL S.A SAN MIGUEL DE TUCUMAN 14"/>
    <x v="1383"/>
    <n v="14563011.199999999"/>
    <x v="155"/>
    <x v="0"/>
    <s v="pagado"/>
    <s v="pagado"/>
    <x v="0"/>
  </r>
  <r>
    <n v="3000006305"/>
    <d v="2025-10-20T00:00:00"/>
    <n v="8203044.7800000003"/>
    <s v="MOYANO JUAN MANUEL ORAN 09"/>
    <x v="1384"/>
    <n v="8203044.7800000003"/>
    <x v="155"/>
    <x v="0"/>
    <s v="pagado"/>
    <s v="pagado"/>
    <x v="0"/>
  </r>
  <r>
    <n v="3000006306"/>
    <d v="2025-10-20T00:00:00"/>
    <n v="6460059.4000000004"/>
    <s v="CAD SOLUTIONS S.A. CAPITAL FEDERAL 00"/>
    <x v="1385"/>
    <n v="6460059.4000000004"/>
    <x v="156"/>
    <x v="0"/>
    <s v="pagado"/>
    <s v="pagado"/>
    <x v="0"/>
  </r>
  <r>
    <n v="3000006307"/>
    <d v="2025-10-20T00:00:00"/>
    <n v="12677933.4"/>
    <s v="GRUPO LIVECA SAS SAN RAMON DE LA NUEVA ORAN 09"/>
    <x v="1386"/>
    <n v="12677933.4"/>
    <x v="155"/>
    <x v="0"/>
    <s v="pagado"/>
    <s v="pagado"/>
    <x v="0"/>
  </r>
  <r>
    <n v="3000006308"/>
    <d v="2025-10-20T00:00:00"/>
    <n v="3926463.35"/>
    <s v="FAGALDE CECILIA MARIA SAN MIGUEL DE TUCUMAN 14"/>
    <x v="1387"/>
    <n v="3926463.35"/>
    <x v="156"/>
    <x v="0"/>
    <s v="pagado"/>
    <s v="pagado"/>
    <x v="0"/>
  </r>
  <r>
    <n v="3000006309"/>
    <d v="2025-10-20T00:00:00"/>
    <n v="9110594"/>
    <s v="Consultoria en Tecnologia de IBUENOS AIRES 00"/>
    <x v="1388"/>
    <n v="9110594"/>
    <x v="157"/>
    <x v="0"/>
    <s v="pagado"/>
    <s v="pagado"/>
    <x v="0"/>
  </r>
  <r>
    <n v="3000006332"/>
    <d v="2025-10-21T00:00:00"/>
    <n v="6372777.7300000004"/>
    <s v="LA MARTINA SERV. AGRICOLAS S.RSAN PABLO 14"/>
    <x v="1389"/>
    <n v="6372777.7300000004"/>
    <x v="156"/>
    <x v="0"/>
    <s v="pagado"/>
    <s v="pagado"/>
    <x v="0"/>
  </r>
  <r>
    <n v="3000006333"/>
    <d v="2025-10-21T00:00:00"/>
    <n v="13682200"/>
    <s v="STARB S.A CIUDAD AUTONOMA DE BUENOS AIRES 01"/>
    <x v="1390"/>
    <n v="13682200"/>
    <x v="157"/>
    <x v="0"/>
    <s v="pagado"/>
    <s v="pagado"/>
    <x v="0"/>
  </r>
  <r>
    <n v="3000006334"/>
    <d v="2025-10-21T00:00:00"/>
    <n v="3686155.2"/>
    <s v="Terminal 4 S.A. Puerto Nuevo 01"/>
    <x v="1391"/>
    <n v="3686155.2"/>
    <x v="156"/>
    <x v="0"/>
    <s v="pagado"/>
    <s v="pagado"/>
    <x v="0"/>
  </r>
  <r>
    <n v="3000006335"/>
    <d v="2025-10-21T00:00:00"/>
    <n v="14360387.92"/>
    <s v="BONSUR SA CAPITAL FEDERAL 00"/>
    <x v="1392"/>
    <n v="14360387.92"/>
    <x v="157"/>
    <x v="0"/>
    <s v="pagado"/>
    <s v="pagado"/>
    <x v="0"/>
  </r>
  <r>
    <n v="3000006336"/>
    <d v="2025-10-21T00:00:00"/>
    <n v="10582538.939999999"/>
    <s v="RL SOLUCIONES S. A. S. SAN MIGUEL DE TUCUMAN 14"/>
    <x v="1393"/>
    <n v="10582538.939999999"/>
    <x v="157"/>
    <x v="0"/>
    <s v="pagado"/>
    <s v="pagado"/>
    <x v="0"/>
  </r>
  <r>
    <n v="3000006371"/>
    <d v="2025-10-22T00:00:00"/>
    <n v="223592290"/>
    <s v="EDET S.A."/>
    <x v="1394"/>
    <n v="223592290"/>
    <x v="157"/>
    <x v="2"/>
    <s v="pagado"/>
    <s v="pagado"/>
    <x v="0"/>
  </r>
  <r>
    <n v="3000006432"/>
    <d v="2025-10-27T00:00:00"/>
    <n v="33959386.719999999"/>
    <s v="PAMPLONA SRL SAN MIGUEL DE TUCUMAN 14"/>
    <x v="1395"/>
    <n v="33959386.719999999"/>
    <x v="158"/>
    <x v="0"/>
    <s v="pagado"/>
    <s v="pagado"/>
    <x v="0"/>
  </r>
  <r>
    <n v="3000006433"/>
    <d v="2025-10-27T00:00:00"/>
    <n v="5000000"/>
    <s v="MG SERVICIOS AGROPECUARIOS SASTAFI VIEJO 14"/>
    <x v="1396"/>
    <n v="5000000"/>
    <x v="159"/>
    <x v="0"/>
    <s v="pagado"/>
    <s v="pagado"/>
    <x v="0"/>
  </r>
  <r>
    <n v="3000006433"/>
    <d v="2025-10-27T00:00:00"/>
    <n v="3656576.68"/>
    <s v="MG SERVICIOS AGROPECUARIOS SASTAFI VIEJO 14"/>
    <x v="1397"/>
    <n v="3656576.68"/>
    <x v="158"/>
    <x v="0"/>
    <s v="pagado"/>
    <s v="pagado"/>
    <x v="0"/>
  </r>
  <r>
    <n v="3000006434"/>
    <d v="2025-10-27T00:00:00"/>
    <n v="28372980.059999999"/>
    <s v="M. AMUCHASTEGUI S. R. L. YERBA BUENA 14"/>
    <x v="1398"/>
    <n v="28372980.059999999"/>
    <x v="158"/>
    <x v="0"/>
    <s v="pagado"/>
    <s v="pagado"/>
    <x v="0"/>
  </r>
  <r>
    <n v="3000006435"/>
    <d v="2025-10-27T00:00:00"/>
    <n v="8863912.5"/>
    <s v="TRUSARELLI CARLOS ALBERTO BANDA DEL RIO SALI 14"/>
    <x v="1399"/>
    <n v="8863912.5"/>
    <x v="159"/>
    <x v="0"/>
    <s v="pagado"/>
    <s v="pagado"/>
    <x v="0"/>
  </r>
  <r>
    <n v="3000006436"/>
    <d v="2025-10-27T00:00:00"/>
    <n v="24737036.289999999"/>
    <s v="EXCELENCIA OPERACIONAL SRL CIUDAD AUTONOMA DE BUENOS AIRES 00"/>
    <x v="1400"/>
    <n v="24737036.289999999"/>
    <x v="158"/>
    <x v="0"/>
    <s v="pagado"/>
    <s v="pagado"/>
    <x v="0"/>
  </r>
  <r>
    <n v="3000006437"/>
    <d v="2025-10-27T00:00:00"/>
    <n v="4606966.46"/>
    <s v="PETROARSA S.A SAN MIGUEL DE TUCUMAN 14"/>
    <x v="1401"/>
    <n v="4606966.46"/>
    <x v="159"/>
    <x v="0"/>
    <s v="pagado"/>
    <s v="pagado"/>
    <x v="0"/>
  </r>
  <r>
    <n v="3000006438"/>
    <d v="2025-10-27T00:00:00"/>
    <n v="6217907.2199999997"/>
    <s v="DELTACOM SA DON TORCUATO 01"/>
    <x v="1402"/>
    <n v="6217907.2199999997"/>
    <x v="159"/>
    <x v="0"/>
    <s v="pagado"/>
    <s v="pagado"/>
    <x v="0"/>
  </r>
  <r>
    <n v="3000006439"/>
    <d v="2025-10-27T00:00:00"/>
    <n v="6547079.1799999997"/>
    <s v="ACEROS NAVARRO SRL LASTENIA 14"/>
    <x v="1403"/>
    <n v="6547079.1799999997"/>
    <x v="159"/>
    <x v="0"/>
    <s v="pagado"/>
    <s v="pagado"/>
    <x v="0"/>
  </r>
  <r>
    <n v="3000006440"/>
    <d v="2025-10-27T00:00:00"/>
    <n v="20568691.829999998"/>
    <s v="ROMERO SERVICIOS S. A. S. ALPACHIRI 14"/>
    <x v="1404"/>
    <n v="20568691.829999998"/>
    <x v="159"/>
    <x v="0"/>
    <s v="pagado"/>
    <s v="pagado"/>
    <x v="0"/>
  </r>
  <r>
    <n v="3000006441"/>
    <d v="2025-10-27T00:00:00"/>
    <n v="8236900"/>
    <s v="PABLO Y FERNANDO TACCHELLA S.RSAN MIGUEL DE TUCUMAN 14"/>
    <x v="1405"/>
    <n v="8236900"/>
    <x v="159"/>
    <x v="0"/>
    <s v="pagado"/>
    <s v="pagado"/>
    <x v="0"/>
  </r>
  <r>
    <n v="3000006442"/>
    <d v="2025-10-27T00:00:00"/>
    <n v="10000000"/>
    <s v="CAFELI S.R.L. SAN MIGUEL DE TUCUMAN 14"/>
    <x v="1406"/>
    <n v="10000000"/>
    <x v="159"/>
    <x v="0"/>
    <s v="pagado"/>
    <s v="pagado"/>
    <x v="0"/>
  </r>
  <r>
    <n v="3000006442"/>
    <d v="2025-10-27T00:00:00"/>
    <n v="8284175"/>
    <s v="CAFELI S.R.L. SAN MIGUEL DE TUCUMAN 14"/>
    <x v="1407"/>
    <n v="8284175"/>
    <x v="158"/>
    <x v="0"/>
    <s v="pagado"/>
    <s v="pagado"/>
    <x v="0"/>
  </r>
  <r>
    <n v="3000006443"/>
    <d v="2025-10-27T00:00:00"/>
    <n v="38830372"/>
    <s v="AMERICANA COMERCIALIZACION S.RSAN MIGUEL DE TUCUMAN 14"/>
    <x v="1408"/>
    <n v="38830372"/>
    <x v="158"/>
    <x v="0"/>
    <s v="pagado"/>
    <s v="pagado"/>
    <x v="0"/>
  </r>
  <r>
    <n v="3000006444"/>
    <d v="2025-10-27T00:00:00"/>
    <n v="5129536.38"/>
    <s v="SERV.AGROP VILLA PAPADAKIS S.RSALTA 09"/>
    <x v="1409"/>
    <n v="5129536.38"/>
    <x v="159"/>
    <x v="0"/>
    <s v="pagado"/>
    <s v="pagado"/>
    <x v="0"/>
  </r>
  <r>
    <n v="3000006445"/>
    <d v="2025-10-27T00:00:00"/>
    <n v="269068089.81"/>
    <s v="CATALANA DE SERVICIOS SRL YERBA BUENA 14"/>
    <x v="1410"/>
    <n v="269068089.81"/>
    <x v="159"/>
    <x v="0"/>
    <s v="pagado"/>
    <s v="pagado"/>
    <x v="0"/>
  </r>
  <r>
    <n v="3000006523"/>
    <d v="2025-10-29T00:00:00"/>
    <n v="2604978.9500000002"/>
    <s v="Fondo Fijo Administracion CitrNO TIENE"/>
    <x v="1411"/>
    <n v="2604978.9500000002"/>
    <x v="160"/>
    <x v="0"/>
    <s v="pagado"/>
    <s v="pagado"/>
    <x v="0"/>
  </r>
  <r>
    <n v="3000006603"/>
    <d v="2025-11-03T00:00:00"/>
    <n v="4471244.1500000004"/>
    <s v="NORTE DISTRIBUCIONES S.R.L SAN MIGUEL DE TUCUMAN 14"/>
    <x v="1412"/>
    <n v="4471244.1500000004"/>
    <x v="153"/>
    <x v="2"/>
    <s v="pagado"/>
    <s v="pagado"/>
    <x v="0"/>
  </r>
  <r>
    <n v="3000006604"/>
    <d v="2025-11-03T00:00:00"/>
    <n v="5506197.9500000002"/>
    <s v="CONSTRUNOA S.A.S. ORAN 09"/>
    <x v="1413"/>
    <n v="5506197.9500000002"/>
    <x v="153"/>
    <x v="2"/>
    <s v="pagado"/>
    <s v="pagado"/>
    <x v="0"/>
  </r>
  <r>
    <n v="3000006605"/>
    <d v="2025-11-03T00:00:00"/>
    <n v="38039625"/>
    <s v="Siner S.A. Los Pocitos - T.Viejo 14"/>
    <x v="1414"/>
    <n v="38039625"/>
    <x v="161"/>
    <x v="2"/>
    <s v="pagado"/>
    <s v="pagado"/>
    <x v="0"/>
  </r>
  <r>
    <n v="3000006605"/>
    <d v="2025-11-03T00:00:00"/>
    <n v="38042804.490000002"/>
    <s v="Siner S.A. Los Pocitos - T.Viejo 14"/>
    <x v="1415"/>
    <n v="38042804.490000002"/>
    <x v="162"/>
    <x v="2"/>
    <s v="pagado"/>
    <s v="pagado"/>
    <x v="0"/>
  </r>
  <r>
    <n v="3000006632"/>
    <d v="2025-11-04T00:00:00"/>
    <n v="9093781.1500000004"/>
    <s v="Establecimiento Minero Sofia SElena 03"/>
    <x v="1416"/>
    <n v="9093781.1500000004"/>
    <x v="153"/>
    <x v="0"/>
    <s v="pagado"/>
    <s v="pagado"/>
    <x v="0"/>
  </r>
  <r>
    <n v="3000006633"/>
    <d v="2025-11-04T00:00:00"/>
    <n v="2281959.06"/>
    <s v="Expreso Bisonte S.R.L. BANDA DEL RIO SALI 14"/>
    <x v="1417"/>
    <n v="2281959.06"/>
    <x v="163"/>
    <x v="0"/>
    <s v="pagado"/>
    <s v="pagado"/>
    <x v="0"/>
  </r>
  <r>
    <n v="3000006634"/>
    <d v="2025-11-04T00:00:00"/>
    <n v="1004615.39"/>
    <s v="MOYANO JUAN VICTOR TUCUMAN 14"/>
    <x v="1418"/>
    <n v="1004615.39"/>
    <x v="163"/>
    <x v="0"/>
    <s v="pagado"/>
    <s v="pagado"/>
    <x v="0"/>
  </r>
  <r>
    <n v="3000006635"/>
    <d v="2025-11-04T00:00:00"/>
    <n v="4260111.08"/>
    <s v="CEMEVA SAS YERBA BUENA 14"/>
    <x v="1419"/>
    <n v="4260111.08"/>
    <x v="163"/>
    <x v="0"/>
    <s v="pagado"/>
    <s v="pagado"/>
    <x v="0"/>
  </r>
  <r>
    <n v="3000006636"/>
    <d v="2025-11-04T00:00:00"/>
    <n v="10797909.710000001"/>
    <s v="CAPETTA ANTONELLA ANAHI SAN MIGUEL DE TUCUMAN 14"/>
    <x v="1420"/>
    <n v="10797909.710000001"/>
    <x v="163"/>
    <x v="0"/>
    <s v="pagado"/>
    <s v="pagado"/>
    <x v="0"/>
  </r>
  <r>
    <n v="3000006637"/>
    <d v="2025-11-04T00:00:00"/>
    <n v="2116675.71"/>
    <s v="VILLAGRA VELEZ ROQUE RICARDO SAN MIGUEL DE TUCUMAN 14"/>
    <x v="1421"/>
    <n v="2116675.71"/>
    <x v="163"/>
    <x v="0"/>
    <s v="pagado"/>
    <s v="pagado"/>
    <x v="0"/>
  </r>
  <r>
    <n v="3000006638"/>
    <d v="2025-11-04T00:00:00"/>
    <n v="2116675.71"/>
    <s v="RL SOLUCIONES S. A. S. SAN MIGUEL DE TUCUMAN 14"/>
    <x v="1422"/>
    <n v="2116675.71"/>
    <x v="163"/>
    <x v="0"/>
    <s v="pagado"/>
    <s v="pagado"/>
    <x v="0"/>
  </r>
  <r>
    <n v="3000006639"/>
    <d v="2025-11-04T00:00:00"/>
    <n v="2130139.5"/>
    <s v="MAC DONALD MIGUEL ALEJANDRO BANDA DEL RIO SALI 14"/>
    <x v="1423"/>
    <n v="2130139.5"/>
    <x v="163"/>
    <x v="0"/>
    <s v="pagado"/>
    <s v="pagado"/>
    <x v="0"/>
  </r>
  <r>
    <n v="3000006640"/>
    <d v="2025-11-04T00:00:00"/>
    <n v="2479835.46"/>
    <s v="TRANSPORTE FRIOS DEL NORTE S.RSAN MIGUEL DE TUCUMAN 14"/>
    <x v="1424"/>
    <n v="2479835.46"/>
    <x v="163"/>
    <x v="0"/>
    <s v="pagado"/>
    <s v="pagado"/>
    <x v="0"/>
  </r>
  <r>
    <n v="3000006641"/>
    <d v="2025-11-04T00:00:00"/>
    <n v="2817243.4"/>
    <s v="Silver Freight Logistic SRL CAPITAL FEDERAL 00"/>
    <x v="1425"/>
    <n v="2817243.4"/>
    <x v="163"/>
    <x v="0"/>
    <s v="pagado"/>
    <s v="pagado"/>
    <x v="0"/>
  </r>
  <r>
    <n v="3000006642"/>
    <d v="2025-11-05T00:00:00"/>
    <n v="531975.6"/>
    <s v="BRUBERTURAS SAS CORDOBA 03"/>
    <x v="1426"/>
    <n v="531975.6"/>
    <x v="164"/>
    <x v="0"/>
    <s v="pagado"/>
    <s v="pagado"/>
    <x v="0"/>
  </r>
  <r>
    <n v="3000006737"/>
    <d v="2025-11-10T00:00:00"/>
    <n v="4389249.3"/>
    <s v="CAFELI S.R.L. SAN MIGUEL DE TUCUMAN 14"/>
    <x v="1427"/>
    <n v="4389249.3"/>
    <x v="164"/>
    <x v="0"/>
    <s v="pagado"/>
    <s v="pagado"/>
    <x v="0"/>
  </r>
  <r>
    <n v="3000006738"/>
    <d v="2025-11-10T00:00:00"/>
    <n v="21785811"/>
    <s v="CAMPOAGRO SRL YERBA BUENA 14"/>
    <x v="1428"/>
    <n v="21785811"/>
    <x v="164"/>
    <x v="0"/>
    <s v="pagado"/>
    <s v="pagado"/>
    <x v="0"/>
  </r>
  <r>
    <n v="3000006739"/>
    <d v="2025-11-10T00:00:00"/>
    <n v="2009038.5"/>
    <s v="M.A.D Serv y mant eléctri SAN MIGUEL DE TUCUMAN 14"/>
    <x v="1429"/>
    <n v="2009038.5"/>
    <x v="164"/>
    <x v="0"/>
    <s v="pagado"/>
    <s v="pagado"/>
    <x v="0"/>
  </r>
  <r>
    <n v="3000006740"/>
    <d v="2025-11-10T00:00:00"/>
    <n v="39545843.399999999"/>
    <s v="Jeblab S.R.L. YERBA BUENA 14"/>
    <x v="1430"/>
    <n v="39545843.399999999"/>
    <x v="164"/>
    <x v="0"/>
    <s v="pagado"/>
    <s v="pagado"/>
    <x v="0"/>
  </r>
  <r>
    <n v="3000006741"/>
    <d v="2025-11-10T00:00:00"/>
    <n v="9920667.9900000002"/>
    <s v="ZYMO SA SAN MIGUEL DE TUCUMAN 00"/>
    <x v="1431"/>
    <n v="9920667.9900000002"/>
    <x v="164"/>
    <x v="0"/>
    <s v="pagado"/>
    <s v="pagado"/>
    <x v="0"/>
  </r>
  <r>
    <n v="3000006742"/>
    <d v="2025-11-10T00:00:00"/>
    <n v="6646368.8399999999"/>
    <s v="RODRIGO HEREDIA PUIG LASTENIA 14"/>
    <x v="1432"/>
    <n v="6646368.8399999999"/>
    <x v="164"/>
    <x v="0"/>
    <s v="pagado"/>
    <s v="pagado"/>
    <x v="0"/>
  </r>
  <r>
    <n v="3000006743"/>
    <d v="2025-11-10T00:00:00"/>
    <n v="11332905.9"/>
    <s v="SOLUCIONES RANDSTAD S.A ROSARIO 12"/>
    <x v="1433"/>
    <n v="11332905.9"/>
    <x v="164"/>
    <x v="0"/>
    <s v="pagado"/>
    <s v="pagado"/>
    <x v="0"/>
  </r>
  <r>
    <n v="3000006744"/>
    <d v="2025-11-10T00:00:00"/>
    <n v="257392138.49000001"/>
    <s v="CATALANA DE SERVICIOS SRL YERBA BUENA 14"/>
    <x v="1434"/>
    <n v="257392138.49000001"/>
    <x v="164"/>
    <x v="0"/>
    <s v="pagado"/>
    <s v="pagado"/>
    <x v="0"/>
  </r>
  <r>
    <n v="3000006765"/>
    <d v="2025-11-11T00:00:00"/>
    <n v="16617614.359999999"/>
    <s v="TRUSARELLI CARLOS ALBERTO BANDA DEL RIO SALI 14"/>
    <x v="1435"/>
    <n v="16617614.359999999"/>
    <x v="165"/>
    <x v="0"/>
    <s v="pagado"/>
    <s v="pagado"/>
    <x v="0"/>
  </r>
  <r>
    <n v="3000006767"/>
    <d v="2025-11-11T00:00:00"/>
    <n v="30711064.57"/>
    <s v="M. AMUCHASTEGUI S. R. L. YERBA BUENA 14"/>
    <x v="1436"/>
    <n v="30711064.57"/>
    <x v="164"/>
    <x v="0"/>
    <s v="pagado"/>
    <s v="pagado"/>
    <x v="0"/>
  </r>
  <r>
    <n v="3000006768"/>
    <d v="2025-11-11T00:00:00"/>
    <n v="2064992.85"/>
    <s v="SANTILLI CARLOS MIGUEL SAN MIGUEL DE TUCUMAN 14"/>
    <x v="1437"/>
    <n v="2064992.85"/>
    <x v="165"/>
    <x v="0"/>
    <s v="pagado"/>
    <s v="pagado"/>
    <x v="0"/>
  </r>
  <r>
    <n v="3000006769"/>
    <d v="2025-11-11T00:00:00"/>
    <n v="2845626.36"/>
    <s v="BESTANI LEANDRO EXEQUIEL SAN MIGUEL DE TUCUMAN 14"/>
    <x v="1438"/>
    <n v="2845626.36"/>
    <x v="165"/>
    <x v="0"/>
    <s v="pagado"/>
    <s v="pagado"/>
    <x v="0"/>
  </r>
  <r>
    <n v="3000006770"/>
    <d v="2025-11-11T00:00:00"/>
    <n v="3121289.61"/>
    <s v="MERCATOR TRANSPORT ARGENTINA SBUENOS AIRES 01"/>
    <x v="1439"/>
    <n v="3121289.61"/>
    <x v="165"/>
    <x v="0"/>
    <s v="pagado"/>
    <s v="pagado"/>
    <x v="0"/>
  </r>
  <r>
    <n v="3000006771"/>
    <d v="2025-11-11T00:00:00"/>
    <n v="2220197.81"/>
    <s v="Exolgan S.A. Dock Sud 01"/>
    <x v="1440"/>
    <n v="2220197.81"/>
    <x v="165"/>
    <x v="0"/>
    <s v="pagado"/>
    <s v="pagado"/>
    <x v="0"/>
  </r>
  <r>
    <n v="3000006772"/>
    <d v="2025-11-11T00:00:00"/>
    <n v="19048570.100000001"/>
    <s v="RL SOLUCIONES S. A. S. SAN MIGUEL DE TUCUMAN 14"/>
    <x v="1441"/>
    <n v="19048570.100000001"/>
    <x v="165"/>
    <x v="0"/>
    <s v="pagado"/>
    <s v="pagado"/>
    <x v="0"/>
  </r>
  <r>
    <n v="3000006773"/>
    <d v="2025-11-11T00:00:00"/>
    <n v="2116507.79"/>
    <s v="VILLAGRA VELEZ ROQUE RICARDO SAN MIGUEL DE TUCUMAN 14"/>
    <x v="1442"/>
    <n v="2116507.79"/>
    <x v="165"/>
    <x v="0"/>
    <s v="pagado"/>
    <s v="pagado"/>
    <x v="0"/>
  </r>
  <r>
    <n v="3000006774"/>
    <d v="2025-11-11T00:00:00"/>
    <n v="10649857.9"/>
    <s v="MAC DONALD MIGUEL ALEJANDRO BANDA DEL RIO SALI 14"/>
    <x v="1443"/>
    <n v="10649857.9"/>
    <x v="165"/>
    <x v="0"/>
    <s v="pagado"/>
    <s v="pagado"/>
    <x v="0"/>
  </r>
  <r>
    <n v="3000006775"/>
    <d v="2025-11-11T00:00:00"/>
    <n v="2129971.58"/>
    <s v="CEMEVA SAS YERBA BUENA 14"/>
    <x v="1444"/>
    <n v="2129971.58"/>
    <x v="165"/>
    <x v="0"/>
    <s v="pagado"/>
    <s v="pagado"/>
    <x v="0"/>
  </r>
  <r>
    <n v="3000006776"/>
    <d v="2025-11-11T00:00:00"/>
    <n v="4190982.71"/>
    <s v="JACQUET NORBERTO SALVADOR SAN JOSE 05"/>
    <x v="1445"/>
    <n v="4190982.71"/>
    <x v="165"/>
    <x v="0"/>
    <s v="pagado"/>
    <s v="pagado"/>
    <x v="0"/>
  </r>
  <r>
    <n v="3000006777"/>
    <d v="2025-11-11T00:00:00"/>
    <n v="8537838.0299999993"/>
    <s v="CAPETTA ANTONELLA ANAHI SAN MIGUEL DE TUCUMAN 14"/>
    <x v="1446"/>
    <n v="8537838.0299999993"/>
    <x v="165"/>
    <x v="0"/>
    <s v="pagado"/>
    <s v="pagado"/>
    <x v="0"/>
  </r>
  <r>
    <n v="3000006778"/>
    <d v="2025-11-11T00:00:00"/>
    <n v="12521110.18"/>
    <s v="DHL Express (Arg.) S.A. CAPITAL FEDERAL 00"/>
    <x v="1447"/>
    <n v="12521110.18"/>
    <x v="165"/>
    <x v="0"/>
    <s v="pagado"/>
    <s v="pagado"/>
    <x v="0"/>
  </r>
  <r>
    <n v="3000006779"/>
    <d v="2025-11-11T00:00:00"/>
    <n v="1018807.64"/>
    <s v="PAMPLONA SRL SAN MIGUEL DE TUCUMAN 14"/>
    <x v="1448"/>
    <n v="1018807.64"/>
    <x v="165"/>
    <x v="0"/>
    <s v="pagado"/>
    <s v="pagado"/>
    <x v="0"/>
  </r>
  <r>
    <n v="3000006780"/>
    <d v="2025-11-11T00:00:00"/>
    <n v="7994703.4400000004"/>
    <s v="SAUCE HUACHO SERVICIOS S.R.L MONTEROS 14"/>
    <x v="1449"/>
    <n v="7994703.4400000004"/>
    <x v="165"/>
    <x v="0"/>
    <s v="pagado"/>
    <s v="pagado"/>
    <x v="0"/>
  </r>
  <r>
    <n v="3000006781"/>
    <d v="2025-11-11T00:00:00"/>
    <n v="1506749.02"/>
    <s v="TRANSPORTE MEDINA S.H. CRUZ ALTA 14"/>
    <x v="1450"/>
    <n v="1506749.02"/>
    <x v="165"/>
    <x v="0"/>
    <s v="pagado"/>
    <s v="pagado"/>
    <x v="0"/>
  </r>
  <r>
    <n v="3000006861"/>
    <d v="2025-11-17T00:00:00"/>
    <n v="25981987.07"/>
    <s v="EDET S.A. SAN MIGUEL DE TUCUMAN 14"/>
    <x v="1451"/>
    <n v="25981987.07"/>
    <x v="128"/>
    <x v="2"/>
    <s v="pagado"/>
    <s v="pagado"/>
    <x v="0"/>
  </r>
  <r>
    <n v="3000006892"/>
    <d v="2025-11-17T00:00:00"/>
    <n v="17748951.82"/>
    <s v="Establecimiento Minero Sofia SElena 03"/>
    <x v="1452"/>
    <n v="17748951.82"/>
    <x v="166"/>
    <x v="2"/>
    <s v="pagado"/>
    <s v="pagado"/>
    <x v="0"/>
  </r>
  <r>
    <n v="3000006893"/>
    <d v="2025-11-17T00:00:00"/>
    <n v="7473752"/>
    <s v="Asoc. Coop.Fac.Cie.Exac.y Tec.SAN MIGUEL DE TUCUMAN 14"/>
    <x v="1453"/>
    <n v="7473752"/>
    <x v="166"/>
    <x v="2"/>
    <s v="pagado"/>
    <s v="pagado"/>
    <x v="0"/>
  </r>
  <r>
    <n v="3000006894"/>
    <d v="2025-11-17T00:00:00"/>
    <n v="7169433.54"/>
    <s v="CATALANA DE SERVICIOS SRL YERBA BUENA 14"/>
    <x v="1454"/>
    <n v="7169433.54"/>
    <x v="166"/>
    <x v="2"/>
    <s v="pagado"/>
    <s v="pagado"/>
    <x v="0"/>
  </r>
  <r>
    <n v="3000006895"/>
    <d v="2025-11-17T00:00:00"/>
    <n v="4643387.4000000004"/>
    <s v="Produccion S.A. SAN MIGUEL DE TUCUMAN 14"/>
    <x v="1455"/>
    <n v="4643387.4000000004"/>
    <x v="166"/>
    <x v="2"/>
    <s v="pagado"/>
    <s v="pagado"/>
    <x v="0"/>
  </r>
  <r>
    <n v="3000006896"/>
    <d v="2025-11-17T00:00:00"/>
    <n v="5790244.4900000002"/>
    <s v="J. SLEIMAN S.R.L SAN MIGUEL DE TUCUMAN 14"/>
    <x v="1456"/>
    <n v="5790244.4900000002"/>
    <x v="166"/>
    <x v="2"/>
    <s v="pagado"/>
    <s v="pagado"/>
    <x v="0"/>
  </r>
  <r>
    <n v="3000006897"/>
    <d v="2025-11-17T00:00:00"/>
    <n v="9646544.2400000002"/>
    <s v="VERON MARIANA BEATRIZ NUEVA ESPERANZA 13"/>
    <x v="1457"/>
    <n v="9646544.2400000002"/>
    <x v="166"/>
    <x v="2"/>
    <s v="pagado"/>
    <s v="pagado"/>
    <x v="0"/>
  </r>
  <r>
    <n v="3000006923"/>
    <d v="2025-11-18T00:00:00"/>
    <n v="7000000"/>
    <s v="ECOGREEN SRL SAN MIGUEL DE TUCUMAN 14"/>
    <x v="1458"/>
    <n v="7000000"/>
    <x v="166"/>
    <x v="0"/>
    <s v="pagado"/>
    <s v="pagado"/>
    <x v="0"/>
  </r>
  <r>
    <n v="3000006923"/>
    <d v="2025-11-18T00:00:00"/>
    <n v="7000000"/>
    <s v="ECOGREEN SRL SAN MIGUEL DE TUCUMAN 14"/>
    <x v="1459"/>
    <n v="7000000"/>
    <x v="166"/>
    <x v="0"/>
    <s v="pagado"/>
    <s v="pagado"/>
    <x v="0"/>
  </r>
  <r>
    <n v="3000006923"/>
    <d v="2025-11-18T00:00:00"/>
    <n v="6794043.9699999997"/>
    <s v="ECOGREEN SRL SAN MIGUEL DE TUCUMAN 14"/>
    <x v="1460"/>
    <n v="6794043.9699999997"/>
    <x v="166"/>
    <x v="0"/>
    <s v="pagado"/>
    <s v="pagado"/>
    <x v="0"/>
  </r>
  <r>
    <n v="3000006924"/>
    <d v="2025-11-18T00:00:00"/>
    <n v="12699046.73"/>
    <s v="RL SOLUCIONES S. A. S. SAN MIGUEL DE TUCUMAN 14"/>
    <x v="1461"/>
    <n v="12699046.73"/>
    <x v="142"/>
    <x v="0"/>
    <s v="pagado"/>
    <s v="pagado"/>
    <x v="0"/>
  </r>
  <r>
    <n v="3000006925"/>
    <d v="2025-11-18T00:00:00"/>
    <n v="4259943.16"/>
    <s v="MAC DONALD MIGUEL ALEJANDRO BANDA DEL RIO SALI 14"/>
    <x v="1462"/>
    <n v="4259943.16"/>
    <x v="142"/>
    <x v="0"/>
    <s v="pagado"/>
    <s v="pagado"/>
    <x v="0"/>
  </r>
  <r>
    <n v="3000006926"/>
    <d v="2025-11-18T00:00:00"/>
    <n v="4259943.16"/>
    <s v="CEMEVA SAS YERBA BUENA 14"/>
    <x v="1463"/>
    <n v="4259943.16"/>
    <x v="142"/>
    <x v="0"/>
    <s v="pagado"/>
    <s v="pagado"/>
    <x v="0"/>
  </r>
  <r>
    <n v="3000006927"/>
    <d v="2025-11-18T00:00:00"/>
    <n v="2116507.79"/>
    <s v="VILLAGRA VELEZ ROQUE RICARDO SAN MIGUEL DE TUCUMAN 14"/>
    <x v="1464"/>
    <n v="2116507.79"/>
    <x v="142"/>
    <x v="0"/>
    <s v="pagado"/>
    <s v="pagado"/>
    <x v="0"/>
  </r>
  <r>
    <n v="3000006928"/>
    <d v="2025-11-18T00:00:00"/>
    <n v="12806757.050000001"/>
    <s v="CAPETTA ANTONELLA ANAHI SAN MIGUEL DE TUCUMAN 14"/>
    <x v="1465"/>
    <n v="12806757.050000001"/>
    <x v="142"/>
    <x v="0"/>
    <s v="pagado"/>
    <s v="pagado"/>
    <x v="0"/>
  </r>
  <r>
    <n v="3000006929"/>
    <d v="2025-11-18T00:00:00"/>
    <n v="7214150.79"/>
    <s v="CONTROL UNION NORTE S.A YERBA BUENA 14"/>
    <x v="1466"/>
    <n v="7214150.79"/>
    <x v="142"/>
    <x v="0"/>
    <s v="pagado"/>
    <s v="pagado"/>
    <x v="0"/>
  </r>
  <r>
    <n v="3000006930"/>
    <d v="2025-11-18T00:00:00"/>
    <n v="13879757.4"/>
    <s v="Terminal 4 S.A. Puerto Nuevo 01"/>
    <x v="1467"/>
    <n v="13879757.4"/>
    <x v="142"/>
    <x v="0"/>
    <s v="pagado"/>
    <s v="pagado"/>
    <x v="0"/>
  </r>
  <r>
    <n v="3000006962"/>
    <d v="2025-11-20T00:00:00"/>
    <n v="154825260"/>
    <s v="EDET S.A. SAN MIGUEL DE TUCUMAN 14"/>
    <x v="1468"/>
    <n v="154825260"/>
    <x v="142"/>
    <x v="2"/>
    <s v="pagado"/>
    <s v="pagado"/>
    <x v="0"/>
  </r>
  <r>
    <n v="3000007007"/>
    <d v="2025-11-25T00:00:00"/>
    <n v="8939507.4000000004"/>
    <s v="TEKNOS TECHNOLOGY GROUP SA CAPITAL FEDERAL 00"/>
    <x v="1469"/>
    <n v="8939507.4000000004"/>
    <x v="167"/>
    <x v="2"/>
    <s v="pagado"/>
    <s v="pagado"/>
    <x v="0"/>
  </r>
  <r>
    <n v="3000007008"/>
    <d v="2025-11-25T00:00:00"/>
    <n v="4249728"/>
    <s v="CITRUSIMON S.A.S SAN MIGUEL DE TUCUMAN 14"/>
    <x v="1470"/>
    <n v="4249728"/>
    <x v="167"/>
    <x v="2"/>
    <s v="pagado"/>
    <s v="pagado"/>
    <x v="0"/>
  </r>
  <r>
    <n v="3000007009"/>
    <d v="2025-11-25T00:00:00"/>
    <n v="28490204.57"/>
    <s v="Consultoria en Tecnologia de IBUENOS AIRES 00"/>
    <x v="1471"/>
    <n v="28490204.57"/>
    <x v="167"/>
    <x v="2"/>
    <s v="pagado"/>
    <s v="pagado"/>
    <x v="0"/>
  </r>
  <r>
    <n v="3000007010"/>
    <d v="2025-11-25T00:00:00"/>
    <n v="4190802"/>
    <s v="M.A.D Serv y mant eléctri SAN MIGUEL DE TUCUMAN 14"/>
    <x v="1472"/>
    <n v="4190802"/>
    <x v="167"/>
    <x v="2"/>
    <s v="pagado"/>
    <s v="pagado"/>
    <x v="0"/>
  </r>
  <r>
    <n v="3000007011"/>
    <d v="2025-11-25T00:00:00"/>
    <n v="3964795.28"/>
    <s v="RASUK JORGE LUIS YERBA BUENA 14"/>
    <x v="1473"/>
    <n v="3964795.28"/>
    <x v="167"/>
    <x v="2"/>
    <s v="pagado"/>
    <s v="pagado"/>
    <x v="0"/>
  </r>
  <r>
    <n v="3000007012"/>
    <d v="2025-11-25T00:00:00"/>
    <n v="22019418.219999999"/>
    <s v="CONSTRUNOA S.A.S. ORAN 09"/>
    <x v="1474"/>
    <n v="22019418.219999999"/>
    <x v="167"/>
    <x v="2"/>
    <s v="pagado"/>
    <s v="pagado"/>
    <x v="0"/>
  </r>
  <r>
    <n v="3000007013"/>
    <d v="2025-11-25T00:00:00"/>
    <n v="4977844.2"/>
    <s v="CAMPOAGRO SRL YERBA BUENA 14"/>
    <x v="1475"/>
    <n v="4977844.2"/>
    <x v="167"/>
    <x v="2"/>
    <s v="pagado"/>
    <s v="pagado"/>
    <x v="0"/>
  </r>
  <r>
    <n v="3000007014"/>
    <d v="2025-11-25T00:00:00"/>
    <n v="24394399.27"/>
    <s v="ROMERO SERVICIOS S. A. S. ALPACHIRI 14"/>
    <x v="1476"/>
    <n v="24394399.27"/>
    <x v="167"/>
    <x v="2"/>
    <s v="pagado"/>
    <s v="pagado"/>
    <x v="0"/>
  </r>
  <r>
    <n v="3000007015"/>
    <d v="2025-11-25T00:00:00"/>
    <n v="20035776.559999999"/>
    <s v="PAMPLONA SRL SAN MIGUEL DE TUCUMAN 14"/>
    <x v="1477"/>
    <n v="20035776.559999999"/>
    <x v="167"/>
    <x v="2"/>
    <s v="pagado"/>
    <s v="pagado"/>
    <x v="0"/>
  </r>
  <r>
    <n v="3000007016"/>
    <d v="2025-11-25T00:00:00"/>
    <n v="39490309.859999999"/>
    <s v="TRUSARELLI CARLOS ALBERTO BANDA DEL RIO SALI 14"/>
    <x v="1478"/>
    <n v="39490309.859999999"/>
    <x v="167"/>
    <x v="2"/>
    <s v="pagado"/>
    <s v="pagado"/>
    <x v="0"/>
  </r>
  <r>
    <n v="3000007017"/>
    <d v="2025-11-25T00:00:00"/>
    <n v="232695124.11000001"/>
    <s v="CATALANA DE SERVICIOS SRL YERBA BUENA 14"/>
    <x v="1479"/>
    <n v="232695124.11000001"/>
    <x v="167"/>
    <x v="2"/>
    <s v="pagado"/>
    <s v="pagado"/>
    <x v="0"/>
  </r>
  <r>
    <n v="3000007018"/>
    <d v="2025-11-25T00:00:00"/>
    <n v="15915466.189999999"/>
    <s v="Establecimiento Minero Sofia SElena 03"/>
    <x v="1480"/>
    <n v="15915466.189999999"/>
    <x v="168"/>
    <x v="2"/>
    <s v="pagado"/>
    <s v="pagado"/>
    <x v="0"/>
  </r>
  <r>
    <n v="3000007019"/>
    <d v="2025-11-25T00:00:00"/>
    <n v="32131914.460000001"/>
    <s v="DECU3 S.R.L. YERBA BUENA 14"/>
    <x v="1481"/>
    <n v="32131914.460000001"/>
    <x v="167"/>
    <x v="2"/>
    <s v="pagado"/>
    <s v="pagado"/>
    <x v="0"/>
  </r>
  <r>
    <n v="3000007020"/>
    <d v="2025-11-25T00:00:00"/>
    <n v="5416505.7800000003"/>
    <s v="Refrigeracion Norte S.R.L. SAN MIGUEL DE TUCUMAN 14"/>
    <x v="1482"/>
    <n v="5416505.7800000003"/>
    <x v="167"/>
    <x v="2"/>
    <s v="pagado"/>
    <s v="pagado"/>
    <x v="0"/>
  </r>
  <r>
    <n v="3000007021"/>
    <d v="2025-11-25T00:00:00"/>
    <n v="5674825.6799999997"/>
    <s v="A.F.Gentile Tucumán S.A. SAN MIGUEL DE TUCUMAN 14"/>
    <x v="1483"/>
    <n v="5674825.6799999997"/>
    <x v="167"/>
    <x v="2"/>
    <s v="pagado"/>
    <s v="pagado"/>
    <x v="0"/>
  </r>
  <r>
    <n v="3000007022"/>
    <d v="2025-11-25T00:00:00"/>
    <n v="4017666.5"/>
    <s v="Cia. Azucarera Los Balcanes S.Ingenio La Florida 14"/>
    <x v="1484"/>
    <n v="4017666.5"/>
    <x v="167"/>
    <x v="2"/>
    <s v="pagado"/>
    <s v="pagado"/>
    <x v="0"/>
  </r>
  <r>
    <n v="3000007023"/>
    <d v="2025-11-25T00:00:00"/>
    <n v="14941216.560000001"/>
    <s v="CAPETTA ANTONELLA ANAHI SAN MIGUEL DE TUCUMAN 14"/>
    <x v="1485"/>
    <n v="14941216.560000001"/>
    <x v="167"/>
    <x v="2"/>
    <s v="pagado"/>
    <s v="pagado"/>
    <x v="0"/>
  </r>
  <r>
    <n v="3000007024"/>
    <d v="2025-11-25T00:00:00"/>
    <n v="2116675.71"/>
    <s v="LOGISTICA Y DISTRIBUCION FEDE CAPITAL FEDERAL 00"/>
    <x v="1486"/>
    <n v="2116675.71"/>
    <x v="167"/>
    <x v="2"/>
    <s v="pagado"/>
    <s v="pagado"/>
    <x v="0"/>
  </r>
  <r>
    <n v="3000007025"/>
    <d v="2025-11-25T00:00:00"/>
    <n v="6323502.0700000003"/>
    <s v="PETROARSA S.A SAN MIGUEL DE TUCUMAN 14"/>
    <x v="1487"/>
    <n v="6323502.0700000003"/>
    <x v="167"/>
    <x v="2"/>
    <s v="pagado"/>
    <s v="pagado"/>
    <x v="0"/>
  </r>
  <r>
    <n v="3000007026"/>
    <d v="2025-11-25T00:00:00"/>
    <n v="4259943.16"/>
    <s v="MAC DONALD MIGUEL ALEJANDRO BANDA DEL RIO SALI 14"/>
    <x v="1488"/>
    <n v="4259943.16"/>
    <x v="167"/>
    <x v="2"/>
    <s v="pagado"/>
    <s v="pagado"/>
    <x v="0"/>
  </r>
  <r>
    <n v="3000007027"/>
    <d v="2025-11-25T00:00:00"/>
    <n v="4233015.58"/>
    <s v="JACQUET NORBERTO SALVADOR SAN JOSE 05"/>
    <x v="1489"/>
    <n v="4233015.58"/>
    <x v="167"/>
    <x v="2"/>
    <s v="pagado"/>
    <s v="pagado"/>
    <x v="0"/>
  </r>
  <r>
    <n v="3000007028"/>
    <d v="2025-11-25T00:00:00"/>
    <n v="6906900"/>
    <s v="Silver Freight Logistic SRL CAPITAL FEDERAL 00"/>
    <x v="1490"/>
    <n v="6906900"/>
    <x v="167"/>
    <x v="2"/>
    <s v="pagado"/>
    <s v="pagado"/>
    <x v="0"/>
  </r>
  <r>
    <n v="3000007029"/>
    <d v="2025-11-25T00:00:00"/>
    <n v="1416155.23"/>
    <s v="RL SOLUCIONES S. A. S. SAN MIGUEL DE TUCUMAN 14"/>
    <x v="1491"/>
    <n v="1416155.23"/>
    <x v="167"/>
    <x v="2"/>
    <s v="pagado"/>
    <s v="pagado"/>
    <x v="0"/>
  </r>
  <r>
    <n v="3000007031"/>
    <d v="2025-11-26T00:00:00"/>
    <n v="2957550"/>
    <s v="EDET S.A. SAN MIGUEL DE TUCUMAN 14"/>
    <x v="1492"/>
    <n v="2957550"/>
    <x v="169"/>
    <x v="2"/>
    <s v="pagado"/>
    <s v="pagado"/>
    <x v="0"/>
  </r>
  <r>
    <n v="3000007070"/>
    <d v="2025-11-27T00:00:00"/>
    <n v="35799705"/>
    <s v="Siner S.A. Los Pocitos - T.Viejo 14"/>
    <x v="1493"/>
    <n v="35799705"/>
    <x v="170"/>
    <x v="0"/>
    <s v="pagado"/>
    <s v="pagado"/>
    <x v="0"/>
  </r>
  <r>
    <n v="3000007070"/>
    <d v="2025-11-27T00:00:00"/>
    <n v="35813360.630000003"/>
    <s v="Siner S.A. Los Pocitos - T.Viejo 14"/>
    <x v="1494"/>
    <n v="35813360.630000003"/>
    <x v="171"/>
    <x v="0"/>
    <s v="pagado"/>
    <s v="pagado"/>
    <x v="0"/>
  </r>
  <r>
    <n v="3000007116"/>
    <d v="2025-12-01T00:00:00"/>
    <n v="7953819.8600000003"/>
    <s v="Libreria San Pablo S.R.L. SAN MIGUEL DE TUCUMAN 14"/>
    <x v="1495"/>
    <n v="7953819.8600000003"/>
    <x v="154"/>
    <x v="0"/>
    <s v="pagado"/>
    <s v="pagado"/>
    <x v="0"/>
  </r>
  <r>
    <n v="3000007117"/>
    <d v="2025-12-01T00:00:00"/>
    <n v="8575630"/>
    <s v="Buloneria Reginato S.R.L SAN MIGUEL DE TUCUMAN 14"/>
    <x v="1496"/>
    <n v="8575630"/>
    <x v="154"/>
    <x v="0"/>
    <s v="pagado"/>
    <s v="pagado"/>
    <x v="0"/>
  </r>
  <r>
    <n v="3000007118"/>
    <d v="2025-12-01T00:00:00"/>
    <n v="10449918.32"/>
    <s v="SMART SEGURIDAD SA YERBA BUENA 14"/>
    <x v="1497"/>
    <n v="10449918.32"/>
    <x v="154"/>
    <x v="0"/>
    <s v="pagado"/>
    <s v="pagado"/>
    <x v="0"/>
  </r>
  <r>
    <n v="3000007119"/>
    <d v="2025-12-01T00:00:00"/>
    <n v="9868180"/>
    <s v="TUCUMAN PALLET SRL EL MANANTIAL 14"/>
    <x v="1498"/>
    <n v="9868180"/>
    <x v="154"/>
    <x v="0"/>
    <s v="pagado"/>
    <s v="pagado"/>
    <x v="0"/>
  </r>
  <r>
    <n v="3000007150"/>
    <d v="2025-12-03T00:00:00"/>
    <n v="2501590.2599999998"/>
    <s v="AGROGANADERA DEL NOA CEVIL POZO 14"/>
    <x v="1499"/>
    <n v="2501590.2599999998"/>
    <x v="172"/>
    <x v="0"/>
    <s v="pagado"/>
    <s v="pagado"/>
    <x v="0"/>
  </r>
  <r>
    <n v="3000007150"/>
    <d v="2025-12-03T00:00:00"/>
    <n v="2837277.53"/>
    <s v="AGROGANADERA DEL NOA CEVIL POZO 14"/>
    <x v="1500"/>
    <n v="2837277.53"/>
    <x v="172"/>
    <x v="0"/>
    <s v="pagado"/>
    <s v="pagado"/>
    <x v="0"/>
  </r>
  <r>
    <n v="3000007150"/>
    <d v="2025-12-03T00:00:00"/>
    <n v="2770188.59"/>
    <s v="AGROGANADERA DEL NOA CEVIL POZO 14"/>
    <x v="1501"/>
    <n v="2770188.59"/>
    <x v="172"/>
    <x v="0"/>
    <s v="pagado"/>
    <s v="pagado"/>
    <x v="0"/>
  </r>
  <r>
    <n v="3000007150"/>
    <d v="2025-12-03T00:00:00"/>
    <n v="21393190.530000001"/>
    <s v="AGROGANADERA DEL NOA CEVIL POZO 14"/>
    <x v="1502"/>
    <n v="21393190.530000001"/>
    <x v="173"/>
    <x v="0"/>
    <s v="pagado"/>
    <s v="pagado"/>
    <x v="0"/>
  </r>
  <r>
    <n v="3000007150"/>
    <d v="2025-12-03T00:00:00"/>
    <n v="5192070"/>
    <s v="AGROGANADERA DEL NOA CEVIL POZO 14"/>
    <x v="1503"/>
    <n v="5192070"/>
    <x v="172"/>
    <x v="0"/>
    <s v="pagado"/>
    <s v="pagado"/>
    <x v="0"/>
  </r>
  <r>
    <n v="3000007150"/>
    <d v="2025-12-03T00:00:00"/>
    <n v="6441349.8799999999"/>
    <s v="AGROGANADERA DEL NOA CEVIL POZO 14"/>
    <x v="1504"/>
    <n v="6441349.8799999999"/>
    <x v="172"/>
    <x v="0"/>
    <s v="pagado"/>
    <s v="pagado"/>
    <x v="0"/>
  </r>
  <r>
    <n v="3000007150"/>
    <d v="2025-12-03T00:00:00"/>
    <n v="3727019.63"/>
    <s v="AGROGANADERA DEL NOA CEVIL POZO 14"/>
    <x v="1505"/>
    <n v="3727019.63"/>
    <x v="172"/>
    <x v="0"/>
    <s v="pagado"/>
    <s v="pagado"/>
    <x v="0"/>
  </r>
  <r>
    <n v="3000007150"/>
    <d v="2025-12-03T00:00:00"/>
    <n v="3063742.04"/>
    <s v="AGROGANADERA DEL NOA CEVIL POZO 14"/>
    <x v="1506"/>
    <n v="3063742.04"/>
    <x v="172"/>
    <x v="0"/>
    <s v="pagado"/>
    <s v="pagado"/>
    <x v="0"/>
  </r>
  <r>
    <n v="3000007150"/>
    <d v="2025-12-03T00:00:00"/>
    <n v="2366630"/>
    <s v="AGROGANADERA DEL NOA CEVIL POZO 14"/>
    <x v="1507"/>
    <n v="2366630"/>
    <x v="172"/>
    <x v="0"/>
    <s v="pagado"/>
    <s v="pagado"/>
    <x v="0"/>
  </r>
  <r>
    <n v="3000007150"/>
    <d v="2025-12-03T00:00:00"/>
    <n v="8251343.4000000004"/>
    <s v="AGROGANADERA DEL NOA CEVIL POZO 14"/>
    <x v="1508"/>
    <n v="8251343.4000000004"/>
    <x v="172"/>
    <x v="0"/>
    <s v="pagado"/>
    <s v="pagado"/>
    <x v="0"/>
  </r>
  <r>
    <n v="3000007150"/>
    <d v="2025-12-03T00:00:00"/>
    <n v="3862482.91"/>
    <s v="AGROGANADERA DEL NOA CEVIL POZO 14"/>
    <x v="1509"/>
    <n v="3862482.91"/>
    <x v="172"/>
    <x v="0"/>
    <s v="pagado"/>
    <s v="pagado"/>
    <x v="0"/>
  </r>
  <r>
    <n v="3000007150"/>
    <d v="2025-12-03T00:00:00"/>
    <n v="1319222.54"/>
    <s v="AGROGANADERA DEL NOA CEVIL POZO 14"/>
    <x v="1510"/>
    <n v="1319222.54"/>
    <x v="172"/>
    <x v="0"/>
    <s v="pagado"/>
    <s v="pagado"/>
    <x v="0"/>
  </r>
  <r>
    <n v="3000007181"/>
    <d v="2025-12-04T00:00:00"/>
    <n v="8056319.5999999996"/>
    <s v="Terminal 4 S.A. Puerto Nuevo 01"/>
    <x v="1511"/>
    <n v="8056319.5999999996"/>
    <x v="174"/>
    <x v="0"/>
    <s v="pagado"/>
    <s v="pagado"/>
    <x v="0"/>
  </r>
  <r>
    <n v="3000007182"/>
    <d v="2025-12-04T00:00:00"/>
    <n v="9910633.0299999993"/>
    <s v="Dsv Air &amp; Sea SA BUENOS AIRES 01"/>
    <x v="1512"/>
    <n v="9910633.0299999993"/>
    <x v="174"/>
    <x v="0"/>
    <s v="pagado"/>
    <s v="pagado"/>
    <x v="0"/>
  </r>
  <r>
    <n v="3000007183"/>
    <d v="2025-12-04T00:00:00"/>
    <n v="4260111.08"/>
    <s v="CEMEVA SAS YERBA BUENA 14"/>
    <x v="1513"/>
    <n v="4260111.08"/>
    <x v="174"/>
    <x v="0"/>
    <s v="pagado"/>
    <s v="pagado"/>
    <x v="0"/>
  </r>
  <r>
    <n v="3000007184"/>
    <d v="2025-12-04T00:00:00"/>
    <n v="12699214.65"/>
    <s v="RL SOLUCIONES S. A. S. SAN MIGUEL DE TUCUMAN 14"/>
    <x v="1514"/>
    <n v="12699214.65"/>
    <x v="174"/>
    <x v="0"/>
    <s v="pagado"/>
    <s v="pagado"/>
    <x v="0"/>
  </r>
  <r>
    <n v="3000007185"/>
    <d v="2025-12-04T00:00:00"/>
    <n v="4233183.5"/>
    <s v="JACQUET NORBERTO SALVADOR SAN JOSE 05"/>
    <x v="1515"/>
    <n v="4233183.5"/>
    <x v="174"/>
    <x v="0"/>
    <s v="pagado"/>
    <s v="pagado"/>
    <x v="0"/>
  </r>
  <r>
    <n v="3000007186"/>
    <d v="2025-12-04T00:00:00"/>
    <n v="15387483.01"/>
    <s v="CAPETTA ANTONELLA ANAHI SAN MIGUEL DE TUCUMAN 14"/>
    <x v="1516"/>
    <n v="15387483.01"/>
    <x v="174"/>
    <x v="0"/>
    <s v="pagado"/>
    <s v="pagado"/>
    <x v="0"/>
  </r>
  <r>
    <n v="3000007187"/>
    <d v="2025-12-04T00:00:00"/>
    <n v="4260111.08"/>
    <s v="MAC DONALD MIGUEL ALEJANDRO BANDA DEL RIO SALI 14"/>
    <x v="1517"/>
    <n v="4260111.08"/>
    <x v="174"/>
    <x v="0"/>
    <s v="pagado"/>
    <s v="pagado"/>
    <x v="0"/>
  </r>
  <r>
    <n v="3000007226"/>
    <d v="2025-12-09T00:00:00"/>
    <n v="22000000"/>
    <s v="HORMECO S.R.L SAN MIGUEL DE TUCUMAN 14"/>
    <x v="1518"/>
    <n v="22000000"/>
    <x v="175"/>
    <x v="0"/>
    <s v="pagado"/>
    <s v="pagado"/>
    <x v="0"/>
  </r>
  <r>
    <n v="3000007226"/>
    <d v="2025-12-09T00:00:00"/>
    <n v="22000000"/>
    <s v="HORMECO S.R.L SAN MIGUEL DE TUCUMAN 14"/>
    <x v="1519"/>
    <n v="22000000"/>
    <x v="176"/>
    <x v="0"/>
    <s v="pagado"/>
    <s v="pagado"/>
    <x v="0"/>
  </r>
  <r>
    <n v="3000007226"/>
    <d v="2025-12-09T00:00:00"/>
    <n v="21631711.25"/>
    <s v="HORMECO S.R.L SAN MIGUEL DE TUCUMAN 14"/>
    <x v="1520"/>
    <n v="21631711.25"/>
    <x v="177"/>
    <x v="0"/>
    <s v="pagado"/>
    <s v="pagado"/>
    <x v="0"/>
  </r>
  <r>
    <n v="3000007227"/>
    <d v="2025-12-09T00:00:00"/>
    <n v="6000000"/>
    <s v="ECOGREEN SRL SAN MIGUEL DE TUCUMAN 14"/>
    <x v="1521"/>
    <n v="6000000"/>
    <x v="168"/>
    <x v="0"/>
    <s v="pagado"/>
    <s v="pagado"/>
    <x v="0"/>
  </r>
  <r>
    <n v="3000007227"/>
    <d v="2025-12-09T00:00:00"/>
    <n v="6000000"/>
    <s v="ECOGREEN SRL SAN MIGUEL DE TUCUMAN 14"/>
    <x v="1522"/>
    <n v="6000000"/>
    <x v="168"/>
    <x v="0"/>
    <s v="pagado"/>
    <s v="pagado"/>
    <x v="0"/>
  </r>
  <r>
    <n v="3000007227"/>
    <d v="2025-12-09T00:00:00"/>
    <n v="0"/>
    <s v="invalidado med.EOLIVERA -Rechazado"/>
    <x v="1523"/>
    <n v="0"/>
    <x v="168"/>
    <x v="0"/>
    <s v="pagado"/>
    <s v="pagado"/>
    <x v="0"/>
  </r>
  <r>
    <n v="3000007227"/>
    <d v="2025-12-09T00:00:00"/>
    <n v="5310822.6100000003"/>
    <s v="ECOGREEN SRL SAN MIGUEL DE TUCUMAN 14"/>
    <x v="1524"/>
    <n v="5310822.6100000003"/>
    <x v="168"/>
    <x v="0"/>
    <s v="pagado"/>
    <s v="pagado"/>
    <x v="0"/>
  </r>
  <r>
    <n v="3000007244"/>
    <d v="2025-12-09T00:00:00"/>
    <n v="3000000"/>
    <s v=". Tucumán"/>
    <x v="1525"/>
    <n v="3000000"/>
    <x v="173"/>
    <x v="0"/>
    <s v="pagado"/>
    <s v="pagado"/>
    <x v="0"/>
  </r>
  <r>
    <n v="3000007228"/>
    <d v="2025-12-09T00:00:00"/>
    <n v="4259943.16"/>
    <s v="MAC DONALD MIGUEL ALEJANDRO BANDA DEL RIO SALI 14"/>
    <x v="1526"/>
    <n v="4259943.16"/>
    <x v="168"/>
    <x v="0"/>
    <s v="pagado"/>
    <s v="pagado"/>
    <x v="0"/>
  </r>
  <r>
    <n v="3000007229"/>
    <d v="2025-12-09T00:00:00"/>
    <n v="10797741.789999999"/>
    <s v="CAPETTA ANTONELLA ANAHI SAN MIGUEL DE TUCUMAN 14"/>
    <x v="1527"/>
    <n v="10797741.789999999"/>
    <x v="168"/>
    <x v="0"/>
    <s v="pagado"/>
    <s v="pagado"/>
    <x v="0"/>
  </r>
  <r>
    <n v="3000007230"/>
    <d v="2025-12-09T00:00:00"/>
    <n v="9918838.0700000003"/>
    <s v="TRANSPORTE FRIOS DEL NORTE S.RSAN MIGUEL DE TUCUMAN 14"/>
    <x v="1528"/>
    <n v="9918838.0700000003"/>
    <x v="168"/>
    <x v="0"/>
    <s v="pagado"/>
    <s v="pagado"/>
    <x v="0"/>
  </r>
  <r>
    <n v="3000007231"/>
    <d v="2025-12-09T00:00:00"/>
    <n v="4233015.58"/>
    <s v="RL SOLUCIONES S. A. S. SAN MIGUEL DE TUCUMAN 14"/>
    <x v="1529"/>
    <n v="4233015.58"/>
    <x v="168"/>
    <x v="0"/>
    <s v="pagado"/>
    <s v="pagado"/>
    <x v="0"/>
  </r>
  <r>
    <n v="3000007232"/>
    <d v="2025-12-09T00:00:00"/>
    <n v="6987960"/>
    <s v="CONTROL UNION NORTE S.A YERBA BUENA 14"/>
    <x v="1530"/>
    <n v="6987960"/>
    <x v="168"/>
    <x v="0"/>
    <s v="pagado"/>
    <s v="pagado"/>
    <x v="0"/>
  </r>
  <r>
    <n v="3000007233"/>
    <d v="2025-12-09T00:00:00"/>
    <n v="11761645.800000001"/>
    <s v="Roda Transformecanica Serv.SRLSAN MIGUEL DE TUCUMAN 14"/>
    <x v="1531"/>
    <n v="11761645.800000001"/>
    <x v="168"/>
    <x v="0"/>
    <s v="pagado"/>
    <s v="pagado"/>
    <x v="0"/>
  </r>
  <r>
    <n v="3000007234"/>
    <d v="2025-12-09T00:00:00"/>
    <n v="5068380.9000000004"/>
    <s v="VISMA ARGENTINA SA CAPITAL FEDERAL 14"/>
    <x v="1532"/>
    <n v="5068380.9000000004"/>
    <x v="168"/>
    <x v="0"/>
    <s v="pagado"/>
    <s v="pagado"/>
    <x v="0"/>
  </r>
  <r>
    <n v="3000007235"/>
    <d v="2025-12-09T00:00:00"/>
    <n v="4913173.05"/>
    <s v="Marchese Grandi Meson y Asoc SAN MIGUEL DE TUCUMAN 14"/>
    <x v="1533"/>
    <n v="4913173.05"/>
    <x v="168"/>
    <x v="0"/>
    <s v="pagado"/>
    <s v="pagado"/>
    <x v="0"/>
  </r>
  <r>
    <n v="3000007236"/>
    <d v="2025-12-09T00:00:00"/>
    <n v="3249241.17"/>
    <s v="BME DISENO Y COMUNICACION SAS CAPITAL FEDERAL 00"/>
    <x v="1534"/>
    <n v="3249241.17"/>
    <x v="168"/>
    <x v="0"/>
    <s v="pagado"/>
    <s v="pagado"/>
    <x v="0"/>
  </r>
  <r>
    <n v="3000007237"/>
    <d v="2025-12-09T00:00:00"/>
    <n v="9025923.4000000004"/>
    <s v="TEKNOS TECHNOLOGY GROUP SA CAPITAL FEDERAL 00"/>
    <x v="1535"/>
    <n v="9025923.4000000004"/>
    <x v="168"/>
    <x v="0"/>
    <s v="pagado"/>
    <s v="pagado"/>
    <x v="0"/>
  </r>
  <r>
    <n v="3000007238"/>
    <d v="2025-12-09T00:00:00"/>
    <n v="10090541.4"/>
    <s v="FERRO JOSE NICOLAS FAMAILLA 14"/>
    <x v="1536"/>
    <n v="10090541.4"/>
    <x v="168"/>
    <x v="0"/>
    <s v="pagado"/>
    <s v="pagado"/>
    <x v="0"/>
  </r>
  <r>
    <n v="3000007239"/>
    <d v="2025-12-09T00:00:00"/>
    <n v="9110594"/>
    <s v="Consultoria en Tecnologia de IBUENOS AIRES 00"/>
    <x v="1537"/>
    <n v="9110594"/>
    <x v="168"/>
    <x v="0"/>
    <s v="pagado"/>
    <s v="pagado"/>
    <x v="0"/>
  </r>
  <r>
    <n v="3000007240"/>
    <d v="2025-12-09T00:00:00"/>
    <n v="12415377.800000001"/>
    <s v="EL SOL MATERIALES SA SAN MIGUEL DE TUCUMAN 14"/>
    <x v="1538"/>
    <n v="12415377.800000001"/>
    <x v="168"/>
    <x v="0"/>
    <s v="pagado"/>
    <s v="pagado"/>
    <x v="0"/>
  </r>
  <r>
    <n v="3000007241"/>
    <d v="2025-12-09T00:00:00"/>
    <n v="52125273.729999997"/>
    <s v="Poda Verde SRL SAN MIGUEL DE TUCUMAN 14"/>
    <x v="1539"/>
    <n v="52125273.729999997"/>
    <x v="168"/>
    <x v="0"/>
    <s v="pagado"/>
    <s v="pagado"/>
    <x v="0"/>
  </r>
  <r>
    <n v="3000007242"/>
    <d v="2025-12-09T00:00:00"/>
    <n v="20452483.57"/>
    <s v="CAMPOAGRO SRL YERBA BUENA 14"/>
    <x v="1540"/>
    <n v="20452483.57"/>
    <x v="168"/>
    <x v="0"/>
    <s v="pagado"/>
    <s v="pagado"/>
    <x v="0"/>
  </r>
  <r>
    <n v="3000007243"/>
    <d v="2025-12-09T00:00:00"/>
    <n v="199568481.24000001"/>
    <s v="CATALANA DE SERVICIOS SRL YERBA BUENA 14"/>
    <x v="1541"/>
    <n v="199568481.24000001"/>
    <x v="168"/>
    <x v="0"/>
    <s v="pagado"/>
    <s v="pagado"/>
    <x v="0"/>
  </r>
  <r>
    <n v="3000007292"/>
    <d v="2025-12-11T00:00:00"/>
    <n v="30000000"/>
    <s v="MG SERVICIOS AGROPECUARIOS SASTAFI VIEJO 14"/>
    <x v="1542"/>
    <n v="30000000"/>
    <x v="178"/>
    <x v="0"/>
    <s v="pagado"/>
    <s v="pagado"/>
    <x v="0"/>
  </r>
  <r>
    <n v="3000007292"/>
    <d v="2025-12-11T00:00:00"/>
    <n v="14561285.220000001"/>
    <s v="MG SERVICIOS AGROPECUARIOS SASTAFI VIEJO 14"/>
    <x v="1543"/>
    <n v="14561285.220000001"/>
    <x v="168"/>
    <x v="0"/>
    <s v="pagado"/>
    <s v="pagado"/>
    <x v="0"/>
  </r>
  <r>
    <n v="3000007334"/>
    <d v="2025-12-12T00:00:00"/>
    <n v="25698560"/>
    <s v="EDET S.A. SAN MIGUEL DE TUCUMAN 14"/>
    <x v="1544"/>
    <n v="25698560"/>
    <x v="178"/>
    <x v="0"/>
    <s v="pagado"/>
    <s v="pagado"/>
    <x v="0"/>
  </r>
  <r>
    <n v="3000007335"/>
    <d v="2025-12-12T00:00:00"/>
    <n v="15138130.279999999"/>
    <s v="AGRO BAYER SRL CAPITAL FEDERAL 00"/>
    <x v="1545"/>
    <n v="15138130.279999999"/>
    <x v="178"/>
    <x v="0"/>
    <s v="pagado"/>
    <s v="pagado"/>
    <x v="0"/>
  </r>
  <r>
    <n v="3000007379"/>
    <d v="2025-12-15T00:00:00"/>
    <n v="7500000"/>
    <s v="CAFELI S.R.L. SAN MIGUEL DE TUCUMAN 14"/>
    <x v="1546"/>
    <n v="7500000"/>
    <x v="179"/>
    <x v="2"/>
    <s v="pagado"/>
    <s v="pagado"/>
    <x v="0"/>
  </r>
  <r>
    <n v="3000007379"/>
    <d v="2025-12-15T00:00:00"/>
    <n v="7500000"/>
    <s v="CAFELI S.R.L. SAN MIGUEL DE TUCUMAN 14"/>
    <x v="1547"/>
    <n v="7500000"/>
    <x v="179"/>
    <x v="2"/>
    <s v="pagado"/>
    <s v="pagado"/>
    <x v="0"/>
  </r>
  <r>
    <n v="3000007379"/>
    <d v="2025-12-15T00:00:00"/>
    <n v="7500000"/>
    <s v="CAFELI S.R.L. SAN MIGUEL DE TUCUMAN 14"/>
    <x v="1548"/>
    <n v="7500000"/>
    <x v="180"/>
    <x v="2"/>
    <s v="pagado"/>
    <s v="pagado"/>
    <x v="0"/>
  </r>
  <r>
    <n v="3000007379"/>
    <d v="2025-12-15T00:00:00"/>
    <n v="7577609.0999999996"/>
    <s v="CAFELI S.R.L. SAN MIGUEL DE TUCUMAN 14"/>
    <x v="1549"/>
    <n v="7577609.0999999996"/>
    <x v="180"/>
    <x v="2"/>
    <s v="pagado"/>
    <s v="pagado"/>
    <x v="0"/>
  </r>
  <r>
    <n v="3000007371"/>
    <d v="2025-12-15T00:00:00"/>
    <n v="12329601.82"/>
    <s v="Establecimiento Minero Sofia SElena 03"/>
    <x v="1550"/>
    <n v="12329601.82"/>
    <x v="129"/>
    <x v="2"/>
    <s v="pagado"/>
    <s v="pagado"/>
    <x v="0"/>
  </r>
  <r>
    <n v="3000007372"/>
    <d v="2025-12-15T00:00:00"/>
    <n v="6461513.2000000002"/>
    <s v="RC CONSULTORES S.R.L BARRIO LOS GIGANTES 03"/>
    <x v="1551"/>
    <n v="6461513.2000000002"/>
    <x v="129"/>
    <x v="2"/>
    <s v="pagado"/>
    <s v="pagado"/>
    <x v="0"/>
  </r>
  <r>
    <n v="3000007373"/>
    <d v="2025-12-15T00:00:00"/>
    <n v="49284747.119999997"/>
    <s v="Jeblab S.R.L. YERBA BUENA 14"/>
    <x v="1552"/>
    <n v="49284747.119999997"/>
    <x v="129"/>
    <x v="2"/>
    <s v="pagado"/>
    <s v="pagado"/>
    <x v="0"/>
  </r>
  <r>
    <n v="3000007374"/>
    <d v="2025-12-15T00:00:00"/>
    <n v="5067370"/>
    <s v="GRUPO ADAL SRL SAN MIGUEL DE TUCUMAN 14"/>
    <x v="1553"/>
    <n v="5067370"/>
    <x v="129"/>
    <x v="2"/>
    <s v="pagado"/>
    <s v="pagado"/>
    <x v="0"/>
  </r>
  <r>
    <n v="3000007375"/>
    <d v="2025-12-15T00:00:00"/>
    <n v="17057605"/>
    <s v="GALINDO CONSTRUCCIONES SRL SAN MIGUEL DE TUCUMAN 14"/>
    <x v="1554"/>
    <n v="17057605"/>
    <x v="181"/>
    <x v="2"/>
    <s v="pagado"/>
    <s v="pagado"/>
    <x v="0"/>
  </r>
  <r>
    <n v="3000007376"/>
    <d v="2025-12-15T00:00:00"/>
    <n v="14830193.33"/>
    <s v="CANDYNORTE SRL SAN PABLO 14"/>
    <x v="1555"/>
    <n v="14830193.33"/>
    <x v="129"/>
    <x v="2"/>
    <s v="pagado"/>
    <s v="pagado"/>
    <x v="0"/>
  </r>
  <r>
    <n v="3000007377"/>
    <d v="2025-12-15T00:00:00"/>
    <n v="5019561.09"/>
    <s v="MICHELI SOSA MARIA GUADALUPE SAN MIGUEL DE TUCUMAN 14"/>
    <x v="1556"/>
    <n v="5019561.09"/>
    <x v="129"/>
    <x v="2"/>
    <s v="pagado"/>
    <s v="pagado"/>
    <x v="0"/>
  </r>
  <r>
    <n v="3000007378"/>
    <d v="2025-12-15T00:00:00"/>
    <n v="9863700"/>
    <s v="TUCUMAN PALLET SRL EL MANANTIAL 14"/>
    <x v="1557"/>
    <n v="9863700"/>
    <x v="179"/>
    <x v="2"/>
    <s v="pagado"/>
    <s v="pagado"/>
    <x v="0"/>
  </r>
  <r>
    <n v="3000007380"/>
    <d v="2025-12-15T00:00:00"/>
    <n v="15773880.84"/>
    <s v="SAN CRISTOBAL SMSG ROSARIO 12"/>
    <x v="1558"/>
    <n v="15773880.84"/>
    <x v="179"/>
    <x v="2"/>
    <s v="pagado"/>
    <s v="pagado"/>
    <x v="0"/>
  </r>
  <r>
    <n v="3000007381"/>
    <d v="2025-12-15T00:00:00"/>
    <n v="15238103.4"/>
    <s v="POWERFLEET ARGENTINA SA CAPITAL FEDERAL 00"/>
    <x v="1559"/>
    <n v="15238103.4"/>
    <x v="180"/>
    <x v="2"/>
    <s v="pagado"/>
    <s v="pagado"/>
    <x v="0"/>
  </r>
  <r>
    <n v="3000007382"/>
    <d v="2025-12-15T00:00:00"/>
    <n v="2837393.4"/>
    <s v="COOPTRAR LTDA SAN MIGUEL DE TUCUMAN 14"/>
    <x v="1560"/>
    <n v="2837393.4"/>
    <x v="180"/>
    <x v="2"/>
    <s v="pagado"/>
    <s v="pagado"/>
    <x v="0"/>
  </r>
  <r>
    <n v="3000007383"/>
    <d v="2025-12-15T00:00:00"/>
    <n v="6003987.5"/>
    <s v="VISMA ARGENTINA SA CAPITAL FEDERAL 14"/>
    <x v="1561"/>
    <n v="6003987.5"/>
    <x v="180"/>
    <x v="2"/>
    <s v="pagado"/>
    <s v="pagado"/>
    <x v="0"/>
  </r>
  <r>
    <n v="3000007384"/>
    <d v="2025-12-15T00:00:00"/>
    <n v="5235682.05"/>
    <s v="EL SOL MATERIALES SA SAN MIGUEL DE TUCUMAN 14"/>
    <x v="1562"/>
    <n v="5235682.05"/>
    <x v="180"/>
    <x v="2"/>
    <s v="pagado"/>
    <s v="pagado"/>
    <x v="0"/>
  </r>
  <r>
    <n v="3000006205"/>
    <d v="2025-12-15T00:00:00"/>
    <n v="1361061.93"/>
    <s v="GONZALEZ SANTIAGO ROQUE TAFI VIEJO 14"/>
    <x v="1563"/>
    <n v="1361061.93"/>
    <x v="129"/>
    <x v="2"/>
    <s v="pagado"/>
    <s v="pagado"/>
    <x v="0"/>
  </r>
  <r>
    <n v="3000007369"/>
    <d v="2025-12-15T00:00:00"/>
    <n v="687000"/>
    <s v=". Tucumán"/>
    <x v="1564"/>
    <n v="687000"/>
    <x v="182"/>
    <x v="0"/>
    <s v="pagado"/>
    <s v="pagado"/>
    <x v="0"/>
  </r>
  <r>
    <n v="3000007370"/>
    <d v="2025-12-15T00:00:00"/>
    <n v="2831611.26"/>
    <s v="Fondo Fijo Administracion CitrNO TIENE"/>
    <x v="1565"/>
    <n v="2831611.26"/>
    <x v="182"/>
    <x v="0"/>
    <s v="pagado"/>
    <s v="pagado"/>
    <x v="0"/>
  </r>
  <r>
    <n v="3000007441"/>
    <d v="2025-12-17T00:00:00"/>
    <n v="8290612.7999999998"/>
    <s v="Terminal 4 S.A. Puerto Nuevo 01"/>
    <x v="1566"/>
    <n v="8290612.7999999998"/>
    <x v="183"/>
    <x v="0"/>
    <s v="pagado"/>
    <s v="pagado"/>
    <x v="0"/>
  </r>
  <r>
    <n v="3000007442"/>
    <d v="2025-12-17T00:00:00"/>
    <n v="4233015.58"/>
    <s v="VILLAGRA VELEZ ROQUE RICARDO SAN MIGUEL DE TUCUMAN 14"/>
    <x v="1567"/>
    <n v="4233015.58"/>
    <x v="183"/>
    <x v="0"/>
    <s v="pagado"/>
    <s v="pagado"/>
    <x v="0"/>
  </r>
  <r>
    <n v="3000007443"/>
    <d v="2025-12-17T00:00:00"/>
    <n v="7439002.6200000001"/>
    <s v="TRANSPORTE FRIOS DEL NORTE S.RSAN MIGUEL DE TUCUMAN 14"/>
    <x v="1568"/>
    <n v="7439002.6200000001"/>
    <x v="183"/>
    <x v="0"/>
    <s v="pagado"/>
    <s v="pagado"/>
    <x v="0"/>
  </r>
  <r>
    <n v="3000007444"/>
    <d v="2025-12-17T00:00:00"/>
    <n v="12806757.050000001"/>
    <s v="CAPETTA ANTONELLA ANAHI SAN MIGUEL DE TUCUMAN 14"/>
    <x v="1569"/>
    <n v="12806757.050000001"/>
    <x v="183"/>
    <x v="0"/>
    <s v="pagado"/>
    <s v="pagado"/>
    <x v="0"/>
  </r>
  <r>
    <n v="3000007445"/>
    <d v="2025-12-17T00:00:00"/>
    <n v="4233015.58"/>
    <s v="JACQUET NORBERTO SALVADOR SAN JOSE 05"/>
    <x v="1570"/>
    <n v="4233015.58"/>
    <x v="183"/>
    <x v="0"/>
    <s v="pagado"/>
    <s v="pagado"/>
    <x v="0"/>
  </r>
  <r>
    <n v="3000007446"/>
    <d v="2025-12-17T00:00:00"/>
    <n v="19412454.25"/>
    <s v="Transportes La Sevillanita S.RALDERETES 14"/>
    <x v="1571"/>
    <n v="19412454.25"/>
    <x v="183"/>
    <x v="0"/>
    <s v="pagado"/>
    <s v="pagado"/>
    <x v="0"/>
  </r>
  <r>
    <n v="3000007507"/>
    <d v="2025-12-22T00:00:00"/>
    <n v="14815554.529999999"/>
    <s v="RL SOLUCIONES S. A. S. SAN MIGUEL DE TUCUMAN 14"/>
    <x v="1572"/>
    <n v="14815554.529999999"/>
    <x v="184"/>
    <x v="0"/>
    <s v="pagado"/>
    <s v="pagado"/>
    <x v="0"/>
  </r>
  <r>
    <n v="3000007508"/>
    <d v="2025-12-22T00:00:00"/>
    <n v="8239407.4000000004"/>
    <s v="CARRASCO JUAN CARLOS BANDA DEL RIO SALI 14"/>
    <x v="1573"/>
    <n v="8239407.4000000004"/>
    <x v="184"/>
    <x v="0"/>
    <s v="pagado"/>
    <s v="pagado"/>
    <x v="0"/>
  </r>
  <r>
    <n v="3000007509"/>
    <d v="2025-12-22T00:00:00"/>
    <n v="27173334.66"/>
    <s v="Consultoria en Tecnologia de IBUENOS AIRES 00"/>
    <x v="1574"/>
    <n v="27173334.66"/>
    <x v="184"/>
    <x v="0"/>
    <s v="pagado"/>
    <s v="pagado"/>
    <x v="0"/>
  </r>
  <r>
    <n v="3000007510"/>
    <d v="2025-12-22T00:00:00"/>
    <n v="7400693.4000000004"/>
    <s v="GROUND SAS YERBA BUENA 14"/>
    <x v="1575"/>
    <n v="7400693.4000000004"/>
    <x v="184"/>
    <x v="0"/>
    <s v="pagado"/>
    <s v="pagado"/>
    <x v="0"/>
  </r>
  <r>
    <n v="3000007511"/>
    <d v="2025-12-22T00:00:00"/>
    <n v="36987408.530000001"/>
    <s v="NOBEN SRL SAN MIGUEL DE TUCUMAN 14"/>
    <x v="1576"/>
    <n v="36987408.530000001"/>
    <x v="184"/>
    <x v="0"/>
    <s v="pagado"/>
    <s v="pagado"/>
    <x v="0"/>
  </r>
  <r>
    <n v="3000007512"/>
    <d v="2025-12-22T00:00:00"/>
    <n v="13268383.810000001"/>
    <s v="EL SOL MATERIALES SA SAN MIGUEL DE TUCUMAN 14"/>
    <x v="1577"/>
    <n v="13268383.810000001"/>
    <x v="184"/>
    <x v="0"/>
    <s v="pagado"/>
    <s v="pagado"/>
    <x v="0"/>
  </r>
  <r>
    <n v="3000007513"/>
    <d v="2025-12-22T00:00:00"/>
    <n v="12145106.65"/>
    <s v="PAMPLONA SRL SAN MIGUEL DE TUCUMAN 14"/>
    <x v="1578"/>
    <n v="12145106.65"/>
    <x v="184"/>
    <x v="0"/>
    <s v="pagado"/>
    <s v="pagado"/>
    <x v="0"/>
  </r>
  <r>
    <n v="3000007514"/>
    <d v="2025-12-22T00:00:00"/>
    <n v="10585510.08"/>
    <s v="ROMERO SERVICIOS S. A. S. ALPACHIRI 14"/>
    <x v="1579"/>
    <n v="10585510.08"/>
    <x v="184"/>
    <x v="0"/>
    <s v="pagado"/>
    <s v="pagado"/>
    <x v="0"/>
  </r>
  <r>
    <n v="3000007515"/>
    <d v="2025-12-22T00:00:00"/>
    <n v="8748387.8599999994"/>
    <s v="Establecimiento Minero Sofia SElena 03"/>
    <x v="1580"/>
    <n v="8748387.8599999994"/>
    <x v="184"/>
    <x v="0"/>
    <s v="pagado"/>
    <s v="pagado"/>
    <x v="0"/>
  </r>
  <r>
    <n v="3000007516"/>
    <d v="2025-12-22T00:00:00"/>
    <n v="223718718.72999999"/>
    <s v="CATALANA DE SERVICIOS SRL YERBA BUENA 14"/>
    <x v="1581"/>
    <n v="223718718.72999999"/>
    <x v="184"/>
    <x v="0"/>
    <s v="pagado"/>
    <s v="pagado"/>
    <x v="0"/>
  </r>
  <r>
    <n v="3000007517"/>
    <d v="2025-12-22T00:00:00"/>
    <n v="6478122.3200000003"/>
    <s v="CAPETTA ANTONELLA ANAHI SAN MIGUEL DE TUCUMAN 14"/>
    <x v="1582"/>
    <n v="6478122.3200000003"/>
    <x v="184"/>
    <x v="0"/>
    <s v="pagado"/>
    <s v="pagado"/>
    <x v="0"/>
  </r>
  <r>
    <n v="3000007558"/>
    <d v="2025-12-23T00:00:00"/>
    <n v="156310510"/>
    <s v="EDET S.A."/>
    <x v="1583"/>
    <n v="156310510"/>
    <x v="184"/>
    <x v="2"/>
    <s v="pagado"/>
    <s v="pagado"/>
    <x v="0"/>
  </r>
  <r>
    <n v="3000007590"/>
    <d v="2025-12-26T00:00:00"/>
    <n v="14686396.1"/>
    <s v="AZ AGRICOLAS S.R.L SAN MIGUEL DE TUCUMAN 14"/>
    <x v="1584"/>
    <n v="14686396.1"/>
    <x v="185"/>
    <x v="2"/>
    <s v="pagado"/>
    <s v="pagado"/>
    <x v="0"/>
  </r>
  <r>
    <n v="3000007591"/>
    <d v="2025-12-26T00:00:00"/>
    <n v="14691201.279999999"/>
    <s v="ADLER HASENCLEVER Y ASOCIADOS BUENOS AIRES 01"/>
    <x v="1585"/>
    <n v="14691201.279999999"/>
    <x v="185"/>
    <x v="2"/>
    <s v="pagado"/>
    <s v="pagado"/>
    <x v="0"/>
  </r>
  <r>
    <n v="3000007592"/>
    <d v="2025-12-26T00:00:00"/>
    <n v="3050226.7"/>
    <s v="Transportes La Sevillanita S.RALDERETES 14"/>
    <x v="1586"/>
    <n v="3050226.7"/>
    <x v="186"/>
    <x v="2"/>
    <s v="pagado"/>
    <s v="pagado"/>
    <x v="0"/>
  </r>
  <r>
    <n v="3000007593"/>
    <d v="2025-12-26T00:00:00"/>
    <n v="2243497.88"/>
    <s v="VILLAGRA VELEZ ROQUE RICARDO SAN MIGUEL DE TUCUMAN 14"/>
    <x v="1587"/>
    <n v="2243497.88"/>
    <x v="186"/>
    <x v="2"/>
    <s v="no pagado"/>
    <s v="fuera de fecha"/>
    <x v="0"/>
  </r>
  <r>
    <n v="3000007594"/>
    <d v="2025-12-26T00:00:00"/>
    <n v="8847001.4299999997"/>
    <s v="JACQUET NORBERTO SALVADOR SAN JOSE 05"/>
    <x v="1588"/>
    <n v="8847001.4299999997"/>
    <x v="186"/>
    <x v="2"/>
    <s v="pagado"/>
    <s v="pagado"/>
    <x v="0"/>
  </r>
  <r>
    <n v="3000007595"/>
    <d v="2025-12-26T00:00:00"/>
    <n v="6645510.5700000003"/>
    <s v="MAC DONALD MIGUEL ALEJANDRO BANDA DEL RIO SALI 14"/>
    <x v="1589"/>
    <n v="6645510.5700000003"/>
    <x v="186"/>
    <x v="2"/>
    <s v="pagado"/>
    <s v="pagado"/>
    <x v="0"/>
  </r>
  <r>
    <n v="3000007596"/>
    <d v="2025-12-26T00:00:00"/>
    <n v="9970448.9199999999"/>
    <s v="INTER AMERICAN CARGO GROUP S.ACIUDAD AUTONOMA DE BUENOS AIRES 01"/>
    <x v="1590"/>
    <n v="9970448.9199999999"/>
    <x v="186"/>
    <x v="2"/>
    <s v="pagado"/>
    <s v="pagado"/>
    <x v="0"/>
  </r>
  <r>
    <n v="3000007597"/>
    <d v="2025-12-26T00:00:00"/>
    <n v="21546048.16"/>
    <s v="RL SOLUCIONES S. A. S. SAN MIGUEL DE TUCUMAN 14"/>
    <x v="1591"/>
    <n v="21546048.16"/>
    <x v="186"/>
    <x v="2"/>
    <s v="pagado"/>
    <s v="pagado"/>
    <x v="0"/>
  </r>
  <r>
    <n v="3000007598"/>
    <d v="2025-12-26T00:00:00"/>
    <n v="26765484.539999999"/>
    <s v="CAPETTA ANTONELLA ANAHI SAN MIGUEL DE TUCUMAN 14"/>
    <x v="1592"/>
    <n v="26765484.539999999"/>
    <x v="186"/>
    <x v="2"/>
    <s v="pagado"/>
    <s v="pagado"/>
    <x v="0"/>
  </r>
  <r>
    <n v="3000007599"/>
    <d v="2025-12-26T00:00:00"/>
    <n v="10513790.060000001"/>
    <s v="TRANSPORTE FRIOS DEL NORTE S.RSAN MIGUEL DE TUCUMAN 14"/>
    <x v="1593"/>
    <n v="10513790.060000001"/>
    <x v="186"/>
    <x v="2"/>
    <s v="pagado"/>
    <s v="pagado"/>
    <x v="0"/>
  </r>
  <r>
    <n v="3000000052"/>
    <d v="2026-01-05T00:00:00"/>
    <n v="7822194.8099999996"/>
    <s v="Establecimiento Minero Sofia SElena 03"/>
    <x v="1594"/>
    <n v="7822194.8099999996"/>
    <x v="187"/>
    <x v="0"/>
    <s v="pagado"/>
    <s v="pagado"/>
    <x v="0"/>
  </r>
  <r>
    <n v="3000000053"/>
    <d v="2026-01-05T00:00:00"/>
    <n v="4267925.32"/>
    <s v="SERV.AGROP VILLA PAPADAKIS S.RSALTA 09"/>
    <x v="1595"/>
    <n v="4267925.32"/>
    <x v="187"/>
    <x v="0"/>
    <s v="pagado"/>
    <s v="pagado"/>
    <x v="0"/>
  </r>
  <r>
    <n v="3000000054"/>
    <d v="2026-01-05T00:00:00"/>
    <n v="9203943.4000000004"/>
    <s v="SEGURIDAD OMEGA SRL SAN FERNANDO DEL VALLE DE CATAMARCA 02"/>
    <x v="1596"/>
    <n v="9203943.4000000004"/>
    <x v="187"/>
    <x v="0"/>
    <s v="pagado"/>
    <s v="pagado"/>
    <x v="0"/>
  </r>
  <r>
    <n v="3000000055"/>
    <d v="2026-01-05T00:00:00"/>
    <n v="17081371.809999999"/>
    <s v="CAMPOAGRO SRL YERBA BUENA 14"/>
    <x v="1597"/>
    <n v="17081371.809999999"/>
    <x v="187"/>
    <x v="0"/>
    <s v="pagado"/>
    <s v="pagado"/>
    <x v="0"/>
  </r>
  <r>
    <n v="3000000056"/>
    <d v="2026-01-05T00:00:00"/>
    <n v="25000000"/>
    <s v="Poda Verde SRL SAN MIGUEL DE TUCUMAN 14"/>
    <x v="1598"/>
    <n v="25000000"/>
    <x v="187"/>
    <x v="0"/>
    <s v="pagado"/>
    <s v="pagado"/>
    <x v="0"/>
  </r>
  <r>
    <n v="3000000056"/>
    <d v="2026-01-05T00:00:00"/>
    <n v="21105938.68"/>
    <s v="Poda Verde SRL SAN MIGUEL DE TUCUMAN 14"/>
    <x v="1599"/>
    <n v="21105938.68"/>
    <x v="187"/>
    <x v="0"/>
    <s v="pagado"/>
    <s v="pagado"/>
    <x v="0"/>
  </r>
  <r>
    <n v="3000000057"/>
    <d v="2026-01-05T00:00:00"/>
    <n v="12282235.4"/>
    <s v="TEKNOS TECHNOLOGY GROUP SA CAPITAL FEDERAL 00"/>
    <x v="1600"/>
    <n v="12282235.4"/>
    <x v="187"/>
    <x v="0"/>
    <s v="pagado"/>
    <s v="pagado"/>
    <x v="0"/>
  </r>
  <r>
    <n v="3000000058"/>
    <d v="2026-01-05T00:00:00"/>
    <n v="5790385.9000000004"/>
    <s v="HIKARI S.A CIUDAD AUTONOMA DE BUENOS AIRES 01"/>
    <x v="1601"/>
    <n v="5790385.9000000004"/>
    <x v="187"/>
    <x v="0"/>
    <s v="pagado"/>
    <s v="pagado"/>
    <x v="0"/>
  </r>
  <r>
    <n v="3000000059"/>
    <d v="2026-01-05T00:00:00"/>
    <n v="8065794.2999999998"/>
    <s v="Silver Freight Logistic SRL CAPITAL FEDERAL 00"/>
    <x v="1602"/>
    <n v="8065794.2999999998"/>
    <x v="187"/>
    <x v="0"/>
    <s v="pagado"/>
    <s v="pagado"/>
    <x v="0"/>
  </r>
  <r>
    <n v="3000000060"/>
    <d v="2026-01-05T00:00:00"/>
    <n v="4356152.75"/>
    <s v="LOGISTICA INTERNACIONAL S.A SAN MIGUEL DE TUCUMAN 14"/>
    <x v="1603"/>
    <n v="4356152.75"/>
    <x v="187"/>
    <x v="0"/>
    <s v="pagado"/>
    <s v="pagado"/>
    <x v="0"/>
  </r>
  <r>
    <n v="3000000105"/>
    <d v="2026-01-09T00:00:00"/>
    <n v="27643314.600000001"/>
    <s v="GEA Westfalia Separator ArgentCAPITAL FEDERAL 00"/>
    <x v="1604"/>
    <n v="27643314.600000001"/>
    <x v="188"/>
    <x v="0"/>
    <s v="pagado"/>
    <s v="pagado"/>
    <x v="0"/>
  </r>
  <r>
    <n v="3000000170"/>
    <d v="2026-01-12T00:00:00"/>
    <n v="180000000"/>
    <s v="MG SERVICIOS AGROPECUARIOS SASTAFI VIEJO 14"/>
    <x v="1605"/>
    <n v="180000000"/>
    <x v="189"/>
    <x v="0"/>
    <s v="pagado"/>
    <s v="pagado"/>
    <x v="0"/>
  </r>
  <r>
    <n v="3000000170"/>
    <d v="2026-01-12T00:00:00"/>
    <n v="30000000"/>
    <s v="MG SERVICIOS AGROPECUARIOS SASTAFI VIEJO 14"/>
    <x v="1606"/>
    <n v="30000000"/>
    <x v="190"/>
    <x v="0"/>
    <s v="pagado"/>
    <s v="pagado"/>
    <x v="0"/>
  </r>
  <r>
    <n v="3000000170"/>
    <d v="2026-01-12T00:00:00"/>
    <n v="22000000"/>
    <s v="MG SERVICIOS AGROPECUARIOS SASTAFI VIEJO 14"/>
    <x v="1607"/>
    <n v="22000000"/>
    <x v="190"/>
    <x v="0"/>
    <s v="pagado"/>
    <s v="pagado"/>
    <x v="0"/>
  </r>
  <r>
    <n v="3000000170"/>
    <d v="2026-01-12T00:00:00"/>
    <n v="15000000"/>
    <s v="MG SERVICIOS AGROPECUARIOS SASTAFI VIEJO 14"/>
    <x v="1608"/>
    <n v="15000000"/>
    <x v="189"/>
    <x v="0"/>
    <s v="pagado"/>
    <s v="pagado"/>
    <x v="0"/>
  </r>
  <r>
    <n v="3000000170"/>
    <d v="2026-01-12T00:00:00"/>
    <n v="15000000"/>
    <s v="MG SERVICIOS AGROPECUARIOS SASTAFI VIEJO 14"/>
    <x v="1609"/>
    <n v="15000000"/>
    <x v="189"/>
    <x v="0"/>
    <s v="pagado"/>
    <s v="pagado"/>
    <x v="0"/>
  </r>
  <r>
    <n v="3000000170"/>
    <d v="2026-01-12T00:00:00"/>
    <n v="6283909.9400000004"/>
    <s v="MG SERVICIOS AGROPECUARIOS SASTAFI VIEJO 14"/>
    <x v="1610"/>
    <n v="6283909.9400000004"/>
    <x v="190"/>
    <x v="0"/>
    <s v="pagado"/>
    <s v="pagado"/>
    <x v="0"/>
  </r>
  <r>
    <n v="3000000167"/>
    <d v="2026-01-12T00:00:00"/>
    <n v="7984587.8899999997"/>
    <s v="Consultoria en Tecnologia de IBUENOS AIRES 00"/>
    <x v="1611"/>
    <n v="7984587.8899999997"/>
    <x v="191"/>
    <x v="0"/>
    <s v="pagado"/>
    <s v="pagado"/>
    <x v="0"/>
  </r>
  <r>
    <n v="3000000168"/>
    <d v="2026-01-12T00:00:00"/>
    <n v="6943987.5"/>
    <s v="HIKARI S.A CIUDAD AUTONOMA DE BUENOS AIRES 01"/>
    <x v="1612"/>
    <n v="6943987.5"/>
    <x v="190"/>
    <x v="0"/>
    <s v="pagado"/>
    <s v="pagado"/>
    <x v="0"/>
  </r>
  <r>
    <n v="3000000169"/>
    <d v="2026-01-12T00:00:00"/>
    <n v="5050299.0199999996"/>
    <s v="NORTE DISTRIBUCIONES S.R.L SAN MIGUEL DE TUCUMAN 14"/>
    <x v="1613"/>
    <n v="5050299.0199999996"/>
    <x v="190"/>
    <x v="0"/>
    <s v="pagado"/>
    <s v="pagado"/>
    <x v="0"/>
  </r>
  <r>
    <n v="3000000171"/>
    <d v="2026-01-12T00:00:00"/>
    <n v="5608563.4000000004"/>
    <s v="AG SUSTENTABLE SAS CABA 00"/>
    <x v="1614"/>
    <n v="5608563.4000000004"/>
    <x v="170"/>
    <x v="0"/>
    <s v="pagado"/>
    <s v="pagado"/>
    <x v="0"/>
  </r>
  <r>
    <n v="3000000172"/>
    <d v="2026-01-12T00:00:00"/>
    <n v="9496593.4000000004"/>
    <s v="SEPULVEDA MONTAJES S.R.L. SAN ISIDRO DE LULES 14"/>
    <x v="1615"/>
    <n v="9496593.4000000004"/>
    <x v="189"/>
    <x v="0"/>
    <s v="pagado"/>
    <s v="pagado"/>
    <x v="0"/>
  </r>
  <r>
    <n v="3000000173"/>
    <d v="2026-01-12T00:00:00"/>
    <n v="14212748.4"/>
    <s v="GEOTECNOLOGIA S.R.L SAN MIGUEL DE TUCUMAN 14"/>
    <x v="1616"/>
    <n v="14212748.4"/>
    <x v="189"/>
    <x v="0"/>
    <s v="pagado"/>
    <s v="pagado"/>
    <x v="0"/>
  </r>
  <r>
    <n v="3000000174"/>
    <d v="2026-01-12T00:00:00"/>
    <n v="14524218.029999999"/>
    <s v="OLEIROS S.A OLIVOS 01"/>
    <x v="1617"/>
    <n v="14524218.029999999"/>
    <x v="190"/>
    <x v="0"/>
    <s v="pagado"/>
    <s v="pagado"/>
    <x v="0"/>
  </r>
  <r>
    <n v="3000000218"/>
    <d v="2026-01-14T00:00:00"/>
    <n v="10513957.99"/>
    <s v="TRANSPORTE FRIOS DEL NORTE S.RSAN MIGUEL DE TUCUMAN 14"/>
    <x v="1618"/>
    <n v="10513957.99"/>
    <x v="170"/>
    <x v="0"/>
    <s v="pagado"/>
    <s v="pagado"/>
    <x v="0"/>
  </r>
  <r>
    <n v="3000000219"/>
    <d v="2026-01-14T00:00:00"/>
    <n v="6773476.4000000004"/>
    <s v="MAC DONALD MIGUEL ALEJANDRO BANDA DEL RIO SALI 14"/>
    <x v="1619"/>
    <n v="6773476.4000000004"/>
    <x v="170"/>
    <x v="0"/>
    <s v="pagado"/>
    <s v="pagado"/>
    <x v="0"/>
  </r>
  <r>
    <n v="3000000220"/>
    <d v="2026-01-14T00:00:00"/>
    <n v="8974159.4199999999"/>
    <s v="JACQUET NORBERTO SALVADOR SAN JOSE 05"/>
    <x v="1620"/>
    <n v="8974159.4199999999"/>
    <x v="170"/>
    <x v="0"/>
    <s v="pagado"/>
    <s v="pagado"/>
    <x v="0"/>
  </r>
  <r>
    <n v="3000000221"/>
    <d v="2026-01-14T00:00:00"/>
    <n v="8973991.5"/>
    <s v="RL SOLUCIONES S. A. S. SAN MIGUEL DE TUCUMAN 14"/>
    <x v="1621"/>
    <n v="8973991.5"/>
    <x v="170"/>
    <x v="0"/>
    <s v="pagado"/>
    <s v="pagado"/>
    <x v="0"/>
  </r>
  <r>
    <n v="3000000222"/>
    <d v="2026-01-14T00:00:00"/>
    <n v="13145224.51"/>
    <s v="CEMEVA SAS YERBA BUENA 14"/>
    <x v="1622"/>
    <n v="13145224.51"/>
    <x v="170"/>
    <x v="0"/>
    <s v="pagado"/>
    <s v="pagado"/>
    <x v="0"/>
  </r>
  <r>
    <n v="3000000223"/>
    <d v="2026-01-14T00:00:00"/>
    <n v="25360825.710000001"/>
    <s v="CAPETTA ANTONELLA ANAHI SAN MIGUEL DE TUCUMAN 14"/>
    <x v="1623"/>
    <n v="25360825.710000001"/>
    <x v="170"/>
    <x v="0"/>
    <s v="pagado"/>
    <s v="pagado"/>
    <x v="0"/>
  </r>
  <r>
    <n v="3000000301"/>
    <d v="2026-01-19T00:00:00"/>
    <n v="12000000"/>
    <s v="RL SOLUCIONES S. A. S. SAN MIGUEL DE TUCUMAN 14"/>
    <x v="1624"/>
    <n v="12000000"/>
    <x v="192"/>
    <x v="0"/>
    <s v="pagado"/>
    <s v="pagado"/>
    <x v="0"/>
  </r>
  <r>
    <n v="3000000301"/>
    <d v="2026-01-19T00:00:00"/>
    <n v="12551486.539999999"/>
    <s v="RL SOLUCIONES S. A. S. SAN MIGUEL DE TUCUMAN 14"/>
    <x v="1625"/>
    <n v="12551486.539999999"/>
    <x v="162"/>
    <x v="0"/>
    <s v="pagado"/>
    <s v="pagado"/>
    <x v="0"/>
  </r>
  <r>
    <n v="3000000302"/>
    <d v="2026-01-19T00:00:00"/>
    <n v="22000000"/>
    <s v="Jeblab S.R.L. YERBA BUENA 14"/>
    <x v="1626"/>
    <n v="22000000"/>
    <x v="192"/>
    <x v="0"/>
    <s v="pagado"/>
    <s v="pagado"/>
    <x v="0"/>
  </r>
  <r>
    <n v="3000000302"/>
    <d v="2026-01-19T00:00:00"/>
    <n v="22368343.399999999"/>
    <s v="Jeblab S.R.L. YERBA BUENA 14"/>
    <x v="1627"/>
    <n v="22368343.399999999"/>
    <x v="162"/>
    <x v="0"/>
    <s v="pagado"/>
    <s v="pagado"/>
    <x v="0"/>
  </r>
  <r>
    <n v="3000000303"/>
    <d v="2026-01-19T00:00:00"/>
    <n v="20000000"/>
    <s v="Sirena Juan Jose SAN MIGUEL DE TUCUMAN 14"/>
    <x v="1628"/>
    <n v="20000000"/>
    <x v="192"/>
    <x v="0"/>
    <s v="pagado"/>
    <s v="pagado"/>
    <x v="0"/>
  </r>
  <r>
    <n v="3000000303"/>
    <d v="2026-01-19T00:00:00"/>
    <n v="19919277.050000001"/>
    <s v="Sirena Juan Jose SAN MIGUEL DE TUCUMAN 14"/>
    <x v="1629"/>
    <n v="19919277.050000001"/>
    <x v="162"/>
    <x v="0"/>
    <s v="pagado"/>
    <s v="pagado"/>
    <x v="0"/>
  </r>
  <r>
    <n v="3000000289"/>
    <d v="2026-01-19T00:00:00"/>
    <n v="26036820"/>
    <s v="EDET S.A. SAN MIGUEL DE TUCUMAN 14"/>
    <x v="1630"/>
    <n v="26036820"/>
    <x v="193"/>
    <x v="0"/>
    <s v="pagado"/>
    <s v="pagado"/>
    <x v="0"/>
  </r>
  <r>
    <n v="3000000291"/>
    <d v="2026-01-19T00:00:00"/>
    <n v="3813525"/>
    <s v="LOBO BENICIO MARTIN ALDERETES 14"/>
    <x v="1631"/>
    <n v="3813525"/>
    <x v="192"/>
    <x v="0"/>
    <s v="pagado"/>
    <s v="pagado"/>
    <x v="0"/>
  </r>
  <r>
    <n v="3000000292"/>
    <d v="2026-01-19T00:00:00"/>
    <n v="10077823.800000001"/>
    <s v="M.A.D Serv y mant eléctri SAN MIGUEL DE TUCUMAN 14"/>
    <x v="1632"/>
    <n v="10077823.800000001"/>
    <x v="192"/>
    <x v="0"/>
    <s v="pagado"/>
    <s v="pagado"/>
    <x v="0"/>
  </r>
  <r>
    <n v="3000000293"/>
    <d v="2026-01-19T00:00:00"/>
    <n v="3224588.06"/>
    <s v="CAMPOAGRO SRL YERBA BUENA 14"/>
    <x v="1633"/>
    <n v="3224588.06"/>
    <x v="192"/>
    <x v="0"/>
    <s v="pagado"/>
    <s v="pagado"/>
    <x v="0"/>
  </r>
  <r>
    <n v="3000000294"/>
    <d v="2026-01-19T00:00:00"/>
    <n v="5545687.6100000003"/>
    <s v="RASUK JORGE LUIS YERBA BUENA 14"/>
    <x v="1634"/>
    <n v="5545687.6100000003"/>
    <x v="192"/>
    <x v="0"/>
    <s v="pagado"/>
    <s v="pagado"/>
    <x v="0"/>
  </r>
  <r>
    <n v="3000000295"/>
    <d v="2026-01-19T00:00:00"/>
    <n v="16771520.5"/>
    <s v="INDUSTRIAS CONTARDO SAIYC SAN JUSTO 01"/>
    <x v="1635"/>
    <n v="16771520.5"/>
    <x v="192"/>
    <x v="0"/>
    <s v="pagado"/>
    <s v="pagado"/>
    <x v="0"/>
  </r>
  <r>
    <n v="3000000296"/>
    <d v="2026-01-19T00:00:00"/>
    <n v="5984978.4000000004"/>
    <s v="VISMA ARGENTINA SA CAPITAL FEDERAL 14"/>
    <x v="1636"/>
    <n v="5984978.4000000004"/>
    <x v="192"/>
    <x v="0"/>
    <s v="pagado"/>
    <s v="pagado"/>
    <x v="0"/>
  </r>
  <r>
    <n v="3000000297"/>
    <d v="2026-01-19T00:00:00"/>
    <n v="17194788.699999999"/>
    <s v="Colombres Federico J. SAN MIGUEL DE TUCUMAN 14"/>
    <x v="1637"/>
    <n v="17194788.699999999"/>
    <x v="192"/>
    <x v="0"/>
    <s v="pagado"/>
    <s v="pagado"/>
    <x v="0"/>
  </r>
  <r>
    <n v="3000000298"/>
    <d v="2026-01-19T00:00:00"/>
    <n v="10390538.029999999"/>
    <s v="Colombres Federico Jose AdolfoSAN MIGUEL DE TUCUMAN 14"/>
    <x v="1638"/>
    <n v="10390538.029999999"/>
    <x v="192"/>
    <x v="0"/>
    <s v="pagado"/>
    <s v="pagado"/>
    <x v="0"/>
  </r>
  <r>
    <n v="3000000299"/>
    <d v="2026-01-19T00:00:00"/>
    <n v="8127954.9000000004"/>
    <s v="COLOMBRES GARMENDIA JUAN CRISOYERBA BUENA 14"/>
    <x v="1639"/>
    <n v="8127954.9000000004"/>
    <x v="192"/>
    <x v="0"/>
    <s v="pagado"/>
    <s v="pagado"/>
    <x v="0"/>
  </r>
  <r>
    <n v="3000000300"/>
    <d v="2026-01-19T00:00:00"/>
    <n v="5760237.8700000001"/>
    <s v="Sergio Scopel SAN MIGUEL DE TUCUMAN 14"/>
    <x v="1640"/>
    <n v="5760237.8700000001"/>
    <x v="192"/>
    <x v="0"/>
    <s v="pagado"/>
    <s v="pagado"/>
    <x v="0"/>
  </r>
  <r>
    <n v="3000000330"/>
    <d v="2026-01-20T00:00:00"/>
    <n v="4486995.75"/>
    <s v="RL SOLUCIONES S. A. S. SAN MIGUEL DE TUCUMAN 14"/>
    <x v="1641"/>
    <n v="4486995.75"/>
    <x v="176"/>
    <x v="0"/>
    <s v="pagado"/>
    <s v="pagado"/>
    <x v="0"/>
  </r>
  <r>
    <n v="3000000331"/>
    <d v="2026-01-20T00:00:00"/>
    <n v="4486995.75"/>
    <s v="JACQUET NORBERTO SALVADOR SAN JOSE 05"/>
    <x v="1642"/>
    <n v="4486995.75"/>
    <x v="176"/>
    <x v="0"/>
    <s v="pagado"/>
    <s v="pagado"/>
    <x v="0"/>
  </r>
  <r>
    <n v="3000000332"/>
    <d v="2026-01-20T00:00:00"/>
    <n v="5256895.03"/>
    <s v="TRANSPORTE FRIOS DEL NORTE S.RSAN MIGUEL DE TUCUMAN 14"/>
    <x v="1643"/>
    <n v="5256895.03"/>
    <x v="176"/>
    <x v="0"/>
    <s v="pagado"/>
    <s v="pagado"/>
    <x v="0"/>
  </r>
  <r>
    <n v="3000000326"/>
    <d v="2026-01-20T00:00:00"/>
    <n v="25000000"/>
    <s v="BONSUR SA CAPITAL FEDERAL 00"/>
    <x v="1644"/>
    <n v="25000000"/>
    <x v="176"/>
    <x v="0"/>
    <s v="pagado"/>
    <s v="pagado"/>
    <x v="0"/>
  </r>
  <r>
    <n v="3000000326"/>
    <d v="2026-01-20T00:00:00"/>
    <n v="23280050"/>
    <s v="BONSUR SA CAPITAL FEDERAL 00"/>
    <x v="1645"/>
    <n v="23280050"/>
    <x v="194"/>
    <x v="0"/>
    <s v="pagado"/>
    <s v="pagado"/>
    <x v="0"/>
  </r>
  <r>
    <n v="3000000325"/>
    <d v="2026-01-20T00:00:00"/>
    <n v="7055961.3499999996"/>
    <s v="Expreso Bisonte S.R.L. BANDA DEL RIO SALI 14"/>
    <x v="1646"/>
    <n v="7055961.3499999996"/>
    <x v="176"/>
    <x v="0"/>
    <s v="pagado"/>
    <s v="pagado"/>
    <x v="0"/>
  </r>
  <r>
    <n v="3000000327"/>
    <d v="2026-01-20T00:00:00"/>
    <n v="9831266.8000000007"/>
    <s v="Terminal 4 S.A. Puerto Nuevo 01"/>
    <x v="1647"/>
    <n v="9831266.8000000007"/>
    <x v="176"/>
    <x v="0"/>
    <s v="pagado"/>
    <s v="pagado"/>
    <x v="0"/>
  </r>
  <r>
    <n v="3000000328"/>
    <d v="2026-01-20T00:00:00"/>
    <n v="14613832.859999999"/>
    <s v="INTER AMERICAN CARGO GROUP S.ACIUDAD AUTONOMA DE BUENOS AIRES 01"/>
    <x v="1648"/>
    <n v="14613832.859999999"/>
    <x v="176"/>
    <x v="0"/>
    <s v="pagado"/>
    <s v="pagado"/>
    <x v="0"/>
  </r>
  <r>
    <n v="3000000329"/>
    <d v="2026-01-20T00:00:00"/>
    <n v="4515538.99"/>
    <s v="MAC DONALD MIGUEL ALEJANDRO BANDA DEL RIO SALI 14"/>
    <x v="1649"/>
    <n v="4515538.99"/>
    <x v="176"/>
    <x v="0"/>
    <s v="pagado"/>
    <s v="pagado"/>
    <x v="0"/>
  </r>
  <r>
    <n v="3000000355"/>
    <d v="2026-01-21T00:00:00"/>
    <n v="156975000"/>
    <s v="EDET S.A. SAN MIGUEL DE TUCUMAN 14"/>
    <x v="1650"/>
    <n v="156975000"/>
    <x v="192"/>
    <x v="0"/>
    <s v="pagado"/>
    <s v="pagado"/>
    <x v="0"/>
  </r>
  <r>
    <n v="3000000437"/>
    <d v="2026-01-26T00:00:00"/>
    <n v="9597592.5600000005"/>
    <s v="SEGURIDAD OMEGA SRL"/>
    <x v="1651"/>
    <n v="9597592.5600000005"/>
    <x v="195"/>
    <x v="0"/>
    <s v="pagado"/>
    <s v="pagado"/>
    <x v="0"/>
  </r>
  <r>
    <n v="3000000438"/>
    <d v="2026-01-26T00:00:00"/>
    <n v="21449825.030000001"/>
    <s v="SMART SEGURIDAD SA"/>
    <x v="1652"/>
    <n v="21449825.030000001"/>
    <x v="195"/>
    <x v="0"/>
    <s v="pagado"/>
    <s v="pagado"/>
    <x v="0"/>
  </r>
  <r>
    <n v="3000000439"/>
    <d v="2026-01-26T00:00:00"/>
    <n v="3036764.4"/>
    <s v="DIGEX S.R.L."/>
    <x v="1653"/>
    <n v="3036764.4"/>
    <x v="196"/>
    <x v="0"/>
    <s v="pagado"/>
    <s v="pagado"/>
    <x v="0"/>
  </r>
  <r>
    <n v="3000000440"/>
    <d v="2026-01-26T00:00:00"/>
    <n v="3059020.08"/>
    <s v="Lamontanaro Luis B."/>
    <x v="1654"/>
    <n v="3059020.08"/>
    <x v="196"/>
    <x v="0"/>
    <s v="pagado"/>
    <s v="pagado"/>
    <x v="0"/>
  </r>
  <r>
    <n v="3000000441"/>
    <d v="2026-01-26T00:00:00"/>
    <n v="256051599.84"/>
    <s v="CATALANA DE SERVICIOS SRL"/>
    <x v="1655"/>
    <n v="256051599.84"/>
    <x v="195"/>
    <x v="0"/>
    <s v="pagado"/>
    <s v="pagado"/>
    <x v="0"/>
  </r>
  <r>
    <n v="3000000442"/>
    <d v="2026-01-26T00:00:00"/>
    <n v="29747116.050000001"/>
    <s v="PAMPLONA SRL"/>
    <x v="1656"/>
    <n v="29747116.050000001"/>
    <x v="195"/>
    <x v="0"/>
    <s v="pagado"/>
    <s v="pagado"/>
    <x v="0"/>
  </r>
  <r>
    <n v="3000000443"/>
    <d v="2026-01-26T00:00:00"/>
    <n v="12433472.9"/>
    <s v="ROMERO SERVICIOS S. A. S."/>
    <x v="1657"/>
    <n v="12433472.9"/>
    <x v="195"/>
    <x v="0"/>
    <s v="pagado"/>
    <s v="pagado"/>
    <x v="0"/>
  </r>
  <r>
    <n v="3000000444"/>
    <d v="2026-01-26T00:00:00"/>
    <n v="13294432.130000001"/>
    <s v="MG SERVICIOS AGROPECUARIOS SAS"/>
    <x v="1658"/>
    <n v="13294432.130000001"/>
    <x v="196"/>
    <x v="0"/>
    <s v="pagado"/>
    <s v="pagado"/>
    <x v="0"/>
  </r>
  <r>
    <n v="3000000445"/>
    <d v="2026-01-26T00:00:00"/>
    <n v="10690155"/>
    <s v="CITEX SRL"/>
    <x v="1659"/>
    <n v="10690155"/>
    <x v="196"/>
    <x v="0"/>
    <s v="pagado"/>
    <s v="pagado"/>
    <x v="0"/>
  </r>
  <r>
    <n v="3000000446"/>
    <d v="2026-01-26T00:00:00"/>
    <n v="20362740.280000001"/>
    <s v="CAPETTA ANTONELLA ANAHI"/>
    <x v="1660"/>
    <n v="20362740.280000001"/>
    <x v="196"/>
    <x v="0"/>
    <s v="pagado"/>
    <s v="pagado"/>
    <x v="0"/>
  </r>
  <r>
    <n v="3000000447"/>
    <d v="2026-01-26T00:00:00"/>
    <n v="2628447.5099999998"/>
    <s v="TRANSPORTE FRIOS DEL NORTE S.R.L"/>
    <x v="1661"/>
    <n v="2628447.5099999998"/>
    <x v="196"/>
    <x v="0"/>
    <s v="pagado"/>
    <s v="pagado"/>
    <x v="0"/>
  </r>
  <r>
    <n v="3000000448"/>
    <d v="2026-01-26T00:00:00"/>
    <n v="15110549.279999999"/>
    <s v="ADLER HASENCLEVER Y ASOCIADOS SRL"/>
    <x v="1662"/>
    <n v="15110549.279999999"/>
    <x v="196"/>
    <x v="0"/>
    <s v="pagado"/>
    <s v="pagado"/>
    <x v="0"/>
  </r>
  <r>
    <n v="3000000449"/>
    <d v="2026-01-26T00:00:00"/>
    <n v="13284723.9"/>
    <s v="M.A.D Serv y mant eléctri"/>
    <x v="1663"/>
    <n v="13284723.9"/>
    <x v="197"/>
    <x v="0"/>
    <s v="pagado"/>
    <s v="pagado"/>
    <x v="0"/>
  </r>
  <r>
    <n v="3000000450"/>
    <d v="2026-01-26T00:00:00"/>
    <n v="9067788"/>
    <s v="TEKNOS TECHNOLOGY GROUP SA"/>
    <x v="1664"/>
    <n v="9067788"/>
    <x v="197"/>
    <x v="0"/>
    <s v="pagado"/>
    <s v="pagado"/>
    <x v="0"/>
  </r>
  <r>
    <n v="3000000451"/>
    <d v="2026-01-26T00:00:00"/>
    <n v="17748570.359999999"/>
    <s v="Consultoria en Tecnologia de Inform"/>
    <x v="1665"/>
    <n v="17748570.359999999"/>
    <x v="197"/>
    <x v="0"/>
    <s v="pagado"/>
    <s v="pagado"/>
    <x v="0"/>
  </r>
  <r>
    <n v="3000000453"/>
    <d v="2026-01-26T00:00:00"/>
    <n v="36351559.520000003"/>
    <s v="AGROPECUARIA MUNDO NUEVO SRL"/>
    <x v="1666"/>
    <n v="36351559.520000003"/>
    <x v="195"/>
    <x v="0"/>
    <s v="pagado"/>
    <s v="pagado"/>
    <x v="0"/>
  </r>
  <r>
    <n v="3000000454"/>
    <d v="2026-01-27T00:00:00"/>
    <n v="19722454.359999999"/>
    <s v="Silver Freight Logistic SRL"/>
    <x v="1667"/>
    <n v="19722454.359999999"/>
    <x v="196"/>
    <x v="0"/>
    <s v="pagado"/>
    <s v="pagado"/>
    <x v="0"/>
  </r>
  <r>
    <n v="3000000564"/>
    <d v="2026-02-02T00:00:00"/>
    <n v="23775738.850000001"/>
    <s v="Astori Estructuras S.A. Bº Palmar 03"/>
    <x v="1668"/>
    <n v="23775738.850000001"/>
    <x v="198"/>
    <x v="0"/>
    <s v="pagado"/>
    <s v="pagado"/>
    <x v="0"/>
  </r>
  <r>
    <n v="3000000565"/>
    <d v="2026-02-02T00:00:00"/>
    <n v="7597267"/>
    <s v="Terminal 4 S.A. Puerto Nuevo 01"/>
    <x v="1669"/>
    <n v="7597267"/>
    <x v="199"/>
    <x v="0"/>
    <s v="pagado"/>
    <s v="pagado"/>
    <x v="0"/>
  </r>
  <r>
    <n v="3000000596"/>
    <d v="2026-02-03T00:00:00"/>
    <n v="11870000"/>
    <s v="HELVETICA SA CAÑADA DE GOMEZ 12"/>
    <x v="1670"/>
    <n v="11870000"/>
    <x v="199"/>
    <x v="0"/>
    <s v="pagado"/>
    <s v="pagado"/>
    <x v="0"/>
  </r>
  <r>
    <n v="3000000596"/>
    <d v="2026-02-03T00:00:00"/>
    <n v="5275000"/>
    <s v="HELVETICA SA CAÑADA DE GOMEZ 12"/>
    <x v="1671"/>
    <n v="5275000"/>
    <x v="177"/>
    <x v="0"/>
    <s v="pagado"/>
    <s v="pagado"/>
    <x v="0"/>
  </r>
  <r>
    <n v="3000000596"/>
    <d v="2026-02-03T00:00:00"/>
    <n v="5275000"/>
    <s v="HELVETICA SA CAÑADA DE GOMEZ 12"/>
    <x v="1672"/>
    <n v="5275000"/>
    <x v="200"/>
    <x v="0"/>
    <s v="pagado"/>
    <s v="pagado"/>
    <x v="0"/>
  </r>
  <r>
    <n v="3000000596"/>
    <d v="2026-02-03T00:00:00"/>
    <n v="5275000"/>
    <s v="HELVETICA SA CAÑADA DE GOMEZ 12"/>
    <x v="1673"/>
    <n v="5275000"/>
    <x v="201"/>
    <x v="0"/>
    <s v="pagado"/>
    <s v="pagado"/>
    <x v="0"/>
  </r>
  <r>
    <n v="3000000596"/>
    <d v="2026-02-03T00:00:00"/>
    <n v="5275000"/>
    <s v="HELVETICA SA CAÑADA DE GOMEZ 12"/>
    <x v="1674"/>
    <n v="5275000"/>
    <x v="202"/>
    <x v="0"/>
    <s v="pagado"/>
    <s v="pagado"/>
    <x v="0"/>
  </r>
  <r>
    <n v="3000000596"/>
    <d v="2026-02-03T00:00:00"/>
    <n v="5275000"/>
    <s v="HELVETICA SA CAÑADA DE GOMEZ 12"/>
    <x v="1675"/>
    <n v="5275000"/>
    <x v="203"/>
    <x v="0"/>
    <s v="pagado"/>
    <s v="pagado"/>
    <x v="0"/>
  </r>
  <r>
    <n v="3000000596"/>
    <d v="2026-02-03T00:00:00"/>
    <n v="5275000"/>
    <s v="HELVETICA SA CAÑADA DE GOMEZ 12"/>
    <x v="1676"/>
    <n v="5275000"/>
    <x v="204"/>
    <x v="0"/>
    <s v="pagado"/>
    <s v="pagado"/>
    <x v="0"/>
  </r>
  <r>
    <n v="3000000596"/>
    <d v="2026-02-03T00:00:00"/>
    <n v="5275000"/>
    <s v="HELVETICA SA CAÑADA DE GOMEZ 12"/>
    <x v="1677"/>
    <n v="5275000"/>
    <x v="205"/>
    <x v="0"/>
    <s v="pagado"/>
    <s v="pagado"/>
    <x v="0"/>
  </r>
  <r>
    <n v="3000000596"/>
    <d v="2026-02-03T00:00:00"/>
    <n v="5275000"/>
    <s v="HELVETICA SA CAÑADA DE GOMEZ 12"/>
    <x v="1678"/>
    <n v="5275000"/>
    <x v="206"/>
    <x v="0"/>
    <s v="no pagado"/>
    <s v="en periodo de pago"/>
    <x v="1"/>
  </r>
  <r>
    <n v="3000000596"/>
    <d v="2026-02-03T00:00:00"/>
    <n v="5278371.3899999997"/>
    <s v="HELVETICA SA CAÑADA DE GOMEZ 12"/>
    <x v="1679"/>
    <n v="5278371.3899999997"/>
    <x v="207"/>
    <x v="0"/>
    <s v="no pagado"/>
    <s v="en periodo de pago"/>
    <x v="1"/>
  </r>
  <r>
    <n v="3000000590"/>
    <d v="2026-02-03T00:00:00"/>
    <n v="14238071.25"/>
    <s v="Terminal 4 S.A. Puerto Nuevo 01"/>
    <x v="1680"/>
    <n v="14238071.25"/>
    <x v="199"/>
    <x v="0"/>
    <s v="pagado"/>
    <s v="pagado"/>
    <x v="0"/>
  </r>
  <r>
    <n v="3000000591"/>
    <d v="2026-02-03T00:00:00"/>
    <n v="7153041.7400000002"/>
    <s v="Silver Freight Logistic SRL CAPITAL FEDERAL 00"/>
    <x v="1681"/>
    <n v="7153041.7400000002"/>
    <x v="199"/>
    <x v="0"/>
    <s v="pagado"/>
    <s v="pagado"/>
    <x v="0"/>
  </r>
  <r>
    <n v="3000000592"/>
    <d v="2026-02-03T00:00:00"/>
    <n v="22435146.670000002"/>
    <s v="RL SOLUCIONES S. A. S. SAN MIGUEL DE TUCUMAN 14"/>
    <x v="1682"/>
    <n v="22435146.670000002"/>
    <x v="208"/>
    <x v="0"/>
    <s v="pagado"/>
    <s v="pagado"/>
    <x v="0"/>
  </r>
  <r>
    <n v="3000000593"/>
    <d v="2026-02-03T00:00:00"/>
    <n v="8974159.4199999999"/>
    <s v="JACQUET NORBERTO SALVADOR SAN JOSE 05"/>
    <x v="1683"/>
    <n v="8974159.4199999999"/>
    <x v="199"/>
    <x v="0"/>
    <s v="pagado"/>
    <s v="pagado"/>
    <x v="0"/>
  </r>
  <r>
    <n v="3000000594"/>
    <d v="2026-02-03T00:00:00"/>
    <n v="37544980.119999997"/>
    <s v="BONSUR SA CAPITAL FEDERAL 00"/>
    <x v="1684"/>
    <n v="37544980.119999997"/>
    <x v="208"/>
    <x v="0"/>
    <s v="pagado"/>
    <s v="pagado"/>
    <x v="0"/>
  </r>
  <r>
    <n v="3000000595"/>
    <d v="2026-02-03T00:00:00"/>
    <n v="17191145.800000001"/>
    <s v="MELISAM S A BOULOGNE 01"/>
    <x v="1685"/>
    <n v="17191145.800000001"/>
    <x v="208"/>
    <x v="0"/>
    <s v="pagado"/>
    <s v="pagado"/>
    <x v="0"/>
  </r>
  <r>
    <n v="3000000597"/>
    <d v="2026-02-03T00:00:00"/>
    <n v="3000000"/>
    <s v=". TUCUMAN"/>
    <x v="1686"/>
    <n v="3000000"/>
    <x v="209"/>
    <x v="0"/>
    <s v="pagado"/>
    <s v="pagado"/>
    <x v="0"/>
  </r>
  <r>
    <n v="3000000724"/>
    <d v="2026-02-10T00:00:00"/>
    <n v="85000000"/>
    <s v="CATALANA DE SERVICIOS SRL YERBA BUENA 14"/>
    <x v="1687"/>
    <n v="85000000"/>
    <x v="210"/>
    <x v="0"/>
    <s v="pagado"/>
    <s v="pagado"/>
    <x v="0"/>
  </r>
  <r>
    <n v="3000000724"/>
    <d v="2026-02-10T00:00:00"/>
    <n v="80020760.019999996"/>
    <s v="CATALANA DE SERVICIOS SRL YERBA BUENA 14"/>
    <x v="1688"/>
    <n v="80020760.019999996"/>
    <x v="211"/>
    <x v="0"/>
    <s v="pagado"/>
    <s v="pagado"/>
    <x v="0"/>
  </r>
  <r>
    <n v="3000000726"/>
    <d v="2026-02-10T00:00:00"/>
    <n v="5000000"/>
    <s v="CAFELI S.R.L. SAN MIGUEL DE TUCUMAN 14"/>
    <x v="1689"/>
    <n v="5000000"/>
    <x v="210"/>
    <x v="0"/>
    <s v="pagado"/>
    <s v="pagado"/>
    <x v="0"/>
  </r>
  <r>
    <n v="3000000726"/>
    <d v="2026-02-10T00:00:00"/>
    <n v="5000000"/>
    <s v="CAFELI S.R.L. SAN MIGUEL DE TUCUMAN 14"/>
    <x v="1690"/>
    <n v="5000000"/>
    <x v="210"/>
    <x v="0"/>
    <s v="pagado"/>
    <s v="pagado"/>
    <x v="0"/>
  </r>
  <r>
    <n v="3000000726"/>
    <d v="2026-02-10T00:00:00"/>
    <n v="11799074.5"/>
    <s v="CAFELI S.R.L. SAN MIGUEL DE TUCUMAN 14"/>
    <x v="1691"/>
    <n v="11799074.5"/>
    <x v="211"/>
    <x v="0"/>
    <s v="pagado"/>
    <s v="pagado"/>
    <x v="0"/>
  </r>
  <r>
    <n v="3000000727"/>
    <d v="2026-02-10T00:00:00"/>
    <n v="20000000"/>
    <s v="Poda Verde SRL SAN MIGUEL DE TUCUMAN 14"/>
    <x v="1692"/>
    <n v="20000000"/>
    <x v="210"/>
    <x v="0"/>
    <s v="pagado"/>
    <s v="pagado"/>
    <x v="0"/>
  </r>
  <r>
    <n v="3000000727"/>
    <d v="2026-02-10T00:00:00"/>
    <n v="20176442.02"/>
    <s v="Poda Verde SRL SAN MIGUEL DE TUCUMAN 14"/>
    <x v="1693"/>
    <n v="20176442.02"/>
    <x v="211"/>
    <x v="0"/>
    <s v="pagado"/>
    <s v="pagado"/>
    <x v="0"/>
  </r>
  <r>
    <n v="3000000728"/>
    <d v="2026-02-10T00:00:00"/>
    <n v="30000000"/>
    <s v="TRUSARELLI CARLOS ALBERTO BANDA DEL RIO SALI 14"/>
    <x v="1694"/>
    <n v="30000000"/>
    <x v="210"/>
    <x v="0"/>
    <s v="pagado"/>
    <s v="pagado"/>
    <x v="0"/>
  </r>
  <r>
    <n v="3000000728"/>
    <d v="2026-02-10T00:00:00"/>
    <n v="36620633.600000001"/>
    <s v="TRUSARELLI CARLOS ALBERTO BANDA DEL RIO SALI 14"/>
    <x v="1695"/>
    <n v="36620633.600000001"/>
    <x v="211"/>
    <x v="0"/>
    <s v="pagado"/>
    <s v="pagado"/>
    <x v="0"/>
  </r>
  <r>
    <n v="3000000729"/>
    <d v="2026-02-10T00:00:00"/>
    <n v="12000000"/>
    <s v="MG SERVICIOS AGROPECUARIOS SASTAFI VIEJO 14"/>
    <x v="1696"/>
    <n v="12000000"/>
    <x v="210"/>
    <x v="0"/>
    <s v="pagado"/>
    <s v="pagado"/>
    <x v="0"/>
  </r>
  <r>
    <n v="3000000729"/>
    <d v="2026-02-10T00:00:00"/>
    <n v="7000000"/>
    <s v="MG SERVICIOS AGROPECUARIOS SASTAFI VIEJO 14"/>
    <x v="1697"/>
    <n v="7000000"/>
    <x v="210"/>
    <x v="0"/>
    <s v="pagado"/>
    <s v="pagado"/>
    <x v="0"/>
  </r>
  <r>
    <n v="3000000729"/>
    <d v="2026-02-10T00:00:00"/>
    <n v="4500000"/>
    <s v="MG SERVICIOS AGROPECUARIOS SASTAFI VIEJO 14"/>
    <x v="1698"/>
    <n v="4500000"/>
    <x v="210"/>
    <x v="0"/>
    <s v="pagado"/>
    <s v="pagado"/>
    <x v="0"/>
  </r>
  <r>
    <n v="3000000729"/>
    <d v="2026-02-10T00:00:00"/>
    <n v="120000000"/>
    <s v="MG SERVICIOS AGROPECUARIOS SASTAFI VIEJO 14"/>
    <x v="1699"/>
    <n v="120000000"/>
    <x v="210"/>
    <x v="0"/>
    <s v="pagado"/>
    <s v="pagado"/>
    <x v="0"/>
  </r>
  <r>
    <n v="3000000729"/>
    <d v="2026-02-10T00:00:00"/>
    <n v="135844373.69"/>
    <s v="MG SERVICIOS AGROPECUARIOS SASTAFI VIEJO 14"/>
    <x v="1700"/>
    <n v="135844373.69"/>
    <x v="211"/>
    <x v="0"/>
    <s v="pagado"/>
    <s v="pagado"/>
    <x v="0"/>
  </r>
  <r>
    <n v="3000000722"/>
    <d v="2026-02-10T00:00:00"/>
    <n v="6765336.3399999999"/>
    <s v="Marchese Grandi Meson y Asoc SAN MIGUEL DE TUCUMAN 14"/>
    <x v="1701"/>
    <n v="6765336.3399999999"/>
    <x v="210"/>
    <x v="0"/>
    <s v="pagado"/>
    <s v="pagado"/>
    <x v="0"/>
  </r>
  <r>
    <n v="3000000723"/>
    <d v="2026-02-10T00:00:00"/>
    <n v="8895951.4000000004"/>
    <s v="CARRASCO JUAN CARLOS BANDA DEL RIO SALI 14"/>
    <x v="1702"/>
    <n v="8895951.4000000004"/>
    <x v="210"/>
    <x v="0"/>
    <s v="pagado"/>
    <s v="pagado"/>
    <x v="0"/>
  </r>
  <r>
    <n v="3000000725"/>
    <d v="2026-02-10T00:00:00"/>
    <n v="30691564.98"/>
    <s v="CAMPOAGRO SRL YERBA BUENA 14"/>
    <x v="1703"/>
    <n v="30691564.98"/>
    <x v="211"/>
    <x v="0"/>
    <s v="pagado"/>
    <s v="pagado"/>
    <x v="0"/>
  </r>
  <r>
    <n v="3000000730"/>
    <d v="2026-02-10T00:00:00"/>
    <n v="4503359.4000000004"/>
    <s v="CITRUSIMON S.A.S SAN MIGUEL DE TUCUMAN 14"/>
    <x v="1704"/>
    <n v="4503359.4000000004"/>
    <x v="210"/>
    <x v="0"/>
    <s v="pagado"/>
    <s v="pagado"/>
    <x v="0"/>
  </r>
  <r>
    <n v="3000000731"/>
    <d v="2026-02-10T00:00:00"/>
    <n v="6333148.8899999997"/>
    <s v="NOELIA VERONICA BAZAN RUIZ LAS TALITAS - TUCUMAN 14"/>
    <x v="1705"/>
    <n v="6333148.8899999997"/>
    <x v="210"/>
    <x v="0"/>
    <s v="pagado"/>
    <s v="pagado"/>
    <x v="0"/>
  </r>
  <r>
    <n v="3000000732"/>
    <d v="2026-02-10T00:00:00"/>
    <n v="5608563.4000000004"/>
    <s v="AG SUSTENTABLE SAS CABA 00"/>
    <x v="1706"/>
    <n v="5608563.4000000004"/>
    <x v="210"/>
    <x v="0"/>
    <s v="pagado"/>
    <s v="pagado"/>
    <x v="0"/>
  </r>
  <r>
    <n v="3000000733"/>
    <d v="2026-02-10T00:00:00"/>
    <n v="10899983.93"/>
    <s v="SMART SEGURIDAD SA YERBA BUENA 14"/>
    <x v="1707"/>
    <n v="10899983.93"/>
    <x v="210"/>
    <x v="0"/>
    <s v="pagado"/>
    <s v="pagado"/>
    <x v="0"/>
  </r>
  <r>
    <n v="3000000734"/>
    <d v="2026-02-10T00:00:00"/>
    <n v="13546784.869999999"/>
    <s v="CEMEVA SAS YERBA BUENA 14"/>
    <x v="1708"/>
    <n v="13546784.869999999"/>
    <x v="211"/>
    <x v="0"/>
    <s v="pagado"/>
    <s v="pagado"/>
    <x v="0"/>
  </r>
  <r>
    <n v="3000000735"/>
    <d v="2026-02-10T00:00:00"/>
    <n v="38463121.780000001"/>
    <s v="CAPETTA ANTONELLA ANAHI SAN MIGUEL DE TUCUMAN 14"/>
    <x v="1709"/>
    <n v="38463121.780000001"/>
    <x v="211"/>
    <x v="0"/>
    <s v="pagado"/>
    <s v="pagado"/>
    <x v="0"/>
  </r>
  <r>
    <n v="3000000736"/>
    <d v="2026-02-11T00:00:00"/>
    <n v="13150000"/>
    <s v="Siner S.A. Los Pocitos - T.Viejo 14"/>
    <x v="1710"/>
    <n v="13150000"/>
    <x v="212"/>
    <x v="0"/>
    <s v="pagado"/>
    <s v="pagado"/>
    <x v="0"/>
  </r>
  <r>
    <n v="3000000736"/>
    <d v="2026-02-11T00:00:00"/>
    <n v="13120317.5"/>
    <s v="Siner S.A. Los Pocitos - T.Viejo 14"/>
    <x v="1711"/>
    <n v="13120317.5"/>
    <x v="200"/>
    <x v="0"/>
    <s v="pagado"/>
    <s v="pagado"/>
    <x v="0"/>
  </r>
  <r>
    <n v="3000000817"/>
    <d v="2026-02-18T00:00:00"/>
    <n v="3551708.4"/>
    <s v="BME DISENO Y COMUNICACION SAS CAPITAL FEDERAL 00"/>
    <x v="1712"/>
    <n v="3551708.4"/>
    <x v="213"/>
    <x v="0"/>
    <s v="pagado"/>
    <s v="pagado"/>
    <x v="0"/>
  </r>
  <r>
    <n v="3000000818"/>
    <d v="2026-02-18T00:00:00"/>
    <n v="9848493.5199999996"/>
    <s v="Terminal 4 S.A. Puerto Nuevo 01"/>
    <x v="1713"/>
    <n v="9848493.5199999996"/>
    <x v="213"/>
    <x v="0"/>
    <s v="pagado"/>
    <s v="pagado"/>
    <x v="0"/>
  </r>
  <r>
    <n v="3000000819"/>
    <d v="2026-02-18T00:00:00"/>
    <n v="6773308.4900000002"/>
    <s v="MAC DONALD MIGUEL ALEJANDRO BANDA DEL RIO SALI 14"/>
    <x v="1714"/>
    <n v="6773308.4900000002"/>
    <x v="213"/>
    <x v="0"/>
    <s v="pagado"/>
    <s v="pagado"/>
    <x v="0"/>
  </r>
  <r>
    <n v="3000000820"/>
    <d v="2026-02-18T00:00:00"/>
    <n v="4515538.99"/>
    <s v="CEMEVA SAS YERBA BUENA 14"/>
    <x v="1715"/>
    <n v="4515538.99"/>
    <x v="213"/>
    <x v="0"/>
    <s v="pagado"/>
    <s v="pagado"/>
    <x v="0"/>
  </r>
  <r>
    <n v="3000000821"/>
    <d v="2026-02-18T00:00:00"/>
    <n v="18235288.73"/>
    <s v="CAPETTA ANTONELLA ANAHI SAN MIGUEL DE TUCUMAN 14"/>
    <x v="1716"/>
    <n v="18235288.73"/>
    <x v="214"/>
    <x v="0"/>
    <s v="pagado"/>
    <s v="pagado"/>
    <x v="0"/>
  </r>
  <r>
    <n v="3000000822"/>
    <d v="2026-02-18T00:00:00"/>
    <n v="20191480.879999999"/>
    <s v="RL SOLUCIONES S. A. S. SAN MIGUEL DE TUCUMAN 14"/>
    <x v="1717"/>
    <n v="20191480.879999999"/>
    <x v="214"/>
    <x v="0"/>
    <s v="pagado"/>
    <s v="pagado"/>
    <x v="0"/>
  </r>
  <r>
    <n v="3000000823"/>
    <d v="2026-02-18T00:00:00"/>
    <n v="44368343.399999999"/>
    <s v="Jeblab S.R.L. YERBA BUENA 14"/>
    <x v="1718"/>
    <n v="44368343.399999999"/>
    <x v="214"/>
    <x v="0"/>
    <s v="pagado"/>
    <s v="pagado"/>
    <x v="0"/>
  </r>
  <r>
    <n v="3000000824"/>
    <d v="2026-02-18T00:00:00"/>
    <n v="5214080.0999999996"/>
    <s v="Expreso Bisonte S.R.L. BANDA DEL RIO SALI 14"/>
    <x v="1719"/>
    <n v="5214080.0999999996"/>
    <x v="213"/>
    <x v="0"/>
    <s v="pagado"/>
    <s v="pagado"/>
    <x v="0"/>
  </r>
  <r>
    <n v="3000000825"/>
    <d v="2026-02-18T00:00:00"/>
    <n v="6982588.7800000003"/>
    <s v="CAMPOAGRO SRL YERBA BUENA 14"/>
    <x v="1720"/>
    <n v="6982588.7800000003"/>
    <x v="213"/>
    <x v="0"/>
    <s v="pagado"/>
    <s v="pagado"/>
    <x v="0"/>
  </r>
  <r>
    <n v="3000000826"/>
    <d v="2026-02-18T00:00:00"/>
    <n v="25314860"/>
    <s v="EDET S.A. SAN MIGUEL DE TUCUMAN 14"/>
    <x v="1721"/>
    <n v="25314860"/>
    <x v="213"/>
    <x v="0"/>
    <s v="pagado"/>
    <s v="pagado"/>
    <x v="0"/>
  </r>
  <r>
    <n v="3000000922"/>
    <d v="2026-02-23T00:00:00"/>
    <n v="8719172.5199999996"/>
    <s v="MRT S.A. CAPITAL FEDERAL 00"/>
    <x v="1722"/>
    <n v="8719172.5199999996"/>
    <x v="177"/>
    <x v="0"/>
    <s v="pagado"/>
    <s v="pagado"/>
    <x v="0"/>
  </r>
  <r>
    <n v="3000000923"/>
    <d v="2026-02-23T00:00:00"/>
    <n v="100000000"/>
    <s v="CATALANA DE SERVICIOS SRL YERBA BUENA 14"/>
    <x v="1723"/>
    <n v="100000000"/>
    <x v="177"/>
    <x v="0"/>
    <s v="pagado"/>
    <s v="pagado"/>
    <x v="0"/>
  </r>
  <r>
    <n v="3000000923"/>
    <d v="2026-02-23T00:00:00"/>
    <n v="112375717.95999999"/>
    <s v="CATALANA DE SERVICIOS SRL YERBA BUENA 14"/>
    <x v="1724"/>
    <n v="112375717.95999999"/>
    <x v="215"/>
    <x v="0"/>
    <s v="pagado"/>
    <s v="pagado"/>
    <x v="0"/>
  </r>
  <r>
    <n v="3000000924"/>
    <d v="2026-02-23T00:00:00"/>
    <n v="26463187.379999999"/>
    <s v="PAMPLONA SRL SAN MIGUEL DE TUCUMAN 14"/>
    <x v="1725"/>
    <n v="26463187.379999999"/>
    <x v="215"/>
    <x v="0"/>
    <s v="pagado"/>
    <s v="pagado"/>
    <x v="0"/>
  </r>
  <r>
    <n v="3000000925"/>
    <d v="2026-02-23T00:00:00"/>
    <n v="9568920.6600000001"/>
    <s v="ROMERO SERVICIOS S. A. S. ALPACHIRI 14"/>
    <x v="1726"/>
    <n v="9568920.6600000001"/>
    <x v="177"/>
    <x v="0"/>
    <s v="pagado"/>
    <s v="pagado"/>
    <x v="0"/>
  </r>
  <r>
    <n v="3000000926"/>
    <d v="2026-02-23T00:00:00"/>
    <n v="13349995.869999999"/>
    <s v="INSITU S.R.L SAN MIGUEL DE TUCUMAN 14"/>
    <x v="1727"/>
    <n v="13349995.869999999"/>
    <x v="177"/>
    <x v="0"/>
    <s v="pagado"/>
    <s v="pagado"/>
    <x v="0"/>
  </r>
  <r>
    <n v="3000000927"/>
    <d v="2026-02-23T00:00:00"/>
    <n v="10913343.4"/>
    <s v="Deloitte &amp; Co. SA BUENOS AIRES 01"/>
    <x v="1728"/>
    <n v="10913343.4"/>
    <x v="177"/>
    <x v="0"/>
    <s v="pagado"/>
    <s v="pagado"/>
    <x v="0"/>
  </r>
  <r>
    <n v="3000000928"/>
    <d v="2026-02-23T00:00:00"/>
    <n v="5708969.2800000003"/>
    <s v="RASUK JORGE LUIS YERBA BUENA 14"/>
    <x v="1729"/>
    <n v="5708969.2800000003"/>
    <x v="177"/>
    <x v="0"/>
    <s v="pagado"/>
    <s v="pagado"/>
    <x v="0"/>
  </r>
  <r>
    <n v="3000000929"/>
    <d v="2026-02-23T00:00:00"/>
    <n v="6046035.9000000004"/>
    <s v="VISMA ARGENTINA SA CAPITAL FEDERAL 14"/>
    <x v="1730"/>
    <n v="6046035.9000000004"/>
    <x v="177"/>
    <x v="0"/>
    <s v="pagado"/>
    <s v="pagado"/>
    <x v="0"/>
  </r>
  <r>
    <n v="3000000955"/>
    <d v="2026-02-25T00:00:00"/>
    <n v="172055660"/>
    <s v="EDET S.A. SAN MIGUEL DE TUCUMAN 14"/>
    <x v="1731"/>
    <n v="172055660"/>
    <x v="177"/>
    <x v="2"/>
    <s v="pagado"/>
    <s v="pagado"/>
    <x v="0"/>
  </r>
  <r>
    <n v="3000001015"/>
    <d v="2026-02-27T00:00:00"/>
    <n v="5000000"/>
    <s v="AGROGANADERA DEL NOA CEVIL POZO 14"/>
    <x v="1732"/>
    <n v="5000000"/>
    <x v="216"/>
    <x v="0"/>
    <s v="pagado"/>
    <s v="pagado"/>
    <x v="0"/>
  </r>
  <r>
    <n v="3000001015"/>
    <d v="2026-02-27T00:00:00"/>
    <n v="5000000"/>
    <s v="AGROGANADERA DEL NOA CEVIL POZO 14"/>
    <x v="1733"/>
    <n v="5000000"/>
    <x v="216"/>
    <x v="0"/>
    <s v="pagado"/>
    <s v="pagado"/>
    <x v="0"/>
  </r>
  <r>
    <n v="3000001015"/>
    <d v="2026-02-27T00:00:00"/>
    <n v="5164541.66"/>
    <s v="AGROGANADERA DEL NOA CEVIL POZO 14"/>
    <x v="1734"/>
    <n v="5164541.66"/>
    <x v="216"/>
    <x v="0"/>
    <s v="pagado"/>
    <s v="pagado"/>
    <x v="0"/>
  </r>
  <r>
    <n v="3000001042"/>
    <d v="2026-03-02T00:00:00"/>
    <n v="4257678.87"/>
    <s v="TS OASIS SRL BANDA DEL RIO SALI 14"/>
    <x v="1735"/>
    <n v="4257678.87"/>
    <x v="217"/>
    <x v="0"/>
    <s v="pagado"/>
    <s v="pagado"/>
    <x v="0"/>
  </r>
  <r>
    <n v="3000001043"/>
    <d v="2026-03-02T00:00:00"/>
    <n v="15545939.09"/>
    <s v="ADLER HASENCLEVER Y ASOCIADOS BUENOS AIRES 01"/>
    <x v="1736"/>
    <n v="15545939.09"/>
    <x v="218"/>
    <x v="0"/>
    <s v="pagado"/>
    <s v="pagado"/>
    <x v="0"/>
  </r>
  <r>
    <n v="3000001044"/>
    <d v="2026-03-02T00:00:00"/>
    <n v="16207253.939999999"/>
    <s v="Dimater S.A. SAN MIGUEL DE TUCUMAN 14"/>
    <x v="1737"/>
    <n v="16207253.939999999"/>
    <x v="218"/>
    <x v="0"/>
    <s v="pagado"/>
    <s v="pagado"/>
    <x v="0"/>
  </r>
  <r>
    <n v="3000001045"/>
    <d v="2026-03-02T00:00:00"/>
    <n v="9247855.4000000004"/>
    <s v="TEKNOS TECHNOLOGY GROUP SA CAPITAL FEDERAL 00"/>
    <x v="1738"/>
    <n v="9247855.4000000004"/>
    <x v="217"/>
    <x v="0"/>
    <s v="pagado"/>
    <s v="pagado"/>
    <x v="0"/>
  </r>
  <r>
    <n v="3000001046"/>
    <d v="2026-03-02T00:00:00"/>
    <n v="5944273.4000000004"/>
    <s v="VISMA ARGENTINA SA CAPITAL FEDERAL 14"/>
    <x v="1739"/>
    <n v="5944273.4000000004"/>
    <x v="217"/>
    <x v="0"/>
    <s v="pagado"/>
    <s v="pagado"/>
    <x v="0"/>
  </r>
  <r>
    <n v="3000001047"/>
    <d v="2026-03-02T00:00:00"/>
    <n v="14168764.220000001"/>
    <s v="Marchese Grandi Meson y Asoc SAN MIGUEL DE TUCUMAN 14"/>
    <x v="1740"/>
    <n v="14168764.220000001"/>
    <x v="218"/>
    <x v="0"/>
    <s v="pagado"/>
    <s v="pagado"/>
    <x v="0"/>
  </r>
  <r>
    <n v="3000001048"/>
    <d v="2026-03-02T00:00:00"/>
    <n v="11385095.9"/>
    <s v="Consultoria en Tecnologia de IBUENOS AIRES 00"/>
    <x v="1741"/>
    <n v="11385095.9"/>
    <x v="218"/>
    <x v="0"/>
    <s v="pagado"/>
    <s v="pagado"/>
    <x v="0"/>
  </r>
  <r>
    <n v="3000001109"/>
    <d v="2026-03-04T00:00:00"/>
    <n v="24000000"/>
    <s v="BONSUR SA CAPITAL FEDERAL 00"/>
    <x v="1742"/>
    <n v="24000000"/>
    <x v="218"/>
    <x v="0"/>
    <s v="pagado"/>
    <s v="pagado"/>
    <x v="0"/>
  </r>
  <r>
    <n v="3000001109"/>
    <d v="2026-03-04T00:00:00"/>
    <n v="23219117.920000002"/>
    <s v="BONSUR SA CAPITAL FEDERAL 00"/>
    <x v="1743"/>
    <n v="23219117.920000002"/>
    <x v="219"/>
    <x v="0"/>
    <s v="pagado"/>
    <s v="pagado"/>
    <x v="0"/>
  </r>
  <r>
    <n v="3000001111"/>
    <d v="2026-03-04T00:00:00"/>
    <n v="5000000"/>
    <s v="RL SOLUCIONES S. A. S. SAN MIGUEL DE TUCUMAN 14"/>
    <x v="1744"/>
    <n v="5000000"/>
    <x v="218"/>
    <x v="0"/>
    <s v="pagado"/>
    <s v="pagado"/>
    <x v="0"/>
  </r>
  <r>
    <n v="3000001111"/>
    <d v="2026-03-04T00:00:00"/>
    <n v="10645663.710000001"/>
    <s v="RL SOLUCIONES S. A. S. SAN MIGUEL DE TUCUMAN 14"/>
    <x v="1745"/>
    <n v="10645663.710000001"/>
    <x v="219"/>
    <x v="0"/>
    <s v="pagado"/>
    <s v="pagado"/>
    <x v="0"/>
  </r>
  <r>
    <n v="3000001106"/>
    <d v="2026-03-04T00:00:00"/>
    <n v="22312745.579999998"/>
    <s v="Terminal 4 S.A. Puerto Nuevo 01"/>
    <x v="1746"/>
    <n v="22312745.579999998"/>
    <x v="218"/>
    <x v="0"/>
    <s v="pagado"/>
    <s v="pagado"/>
    <x v="0"/>
  </r>
  <r>
    <n v="3000001108"/>
    <d v="2026-03-04T00:00:00"/>
    <n v="12611263.4"/>
    <s v="Rutas Servicios Integrales SRLCapital Federal 00"/>
    <x v="1747"/>
    <n v="12611263.4"/>
    <x v="218"/>
    <x v="0"/>
    <s v="pagado"/>
    <s v="pagado"/>
    <x v="0"/>
  </r>
  <r>
    <n v="3000001110"/>
    <d v="2026-03-04T00:00:00"/>
    <n v="11596731.74"/>
    <s v="JACQUET NORBERTO SALVADOR SAN JOSE 05"/>
    <x v="1748"/>
    <n v="11596731.74"/>
    <x v="218"/>
    <x v="0"/>
    <s v="pagado"/>
    <s v="pagado"/>
    <x v="0"/>
  </r>
  <r>
    <n v="3000001112"/>
    <d v="2026-03-04T00:00:00"/>
    <n v="11580847.17"/>
    <s v="CAPETTA ANTONELLA ANAHI SAN MIGUEL DE TUCUMAN 14"/>
    <x v="1749"/>
    <n v="11580847.17"/>
    <x v="218"/>
    <x v="0"/>
    <s v="pagado"/>
    <s v="pagado"/>
    <x v="0"/>
  </r>
  <r>
    <n v="3000001231"/>
    <d v="2026-03-10T00:00:00"/>
    <n v="7243773.4500000002"/>
    <s v="LETIS SA SANTA FE 12"/>
    <x v="1750"/>
    <n v="7243773.4500000002"/>
    <x v="220"/>
    <x v="0"/>
    <s v="pagado"/>
    <s v="pagado"/>
    <x v="0"/>
  </r>
  <r>
    <n v="3000001232"/>
    <d v="2026-03-10T00:00:00"/>
    <n v="4592578.8899999997"/>
    <s v="BERCOVICH COMERCIAL SAS SAN MIGUEL DE TUCUMAN 14"/>
    <x v="1751"/>
    <n v="4592578.8899999997"/>
    <x v="220"/>
    <x v="0"/>
    <s v="pagado"/>
    <s v="pagado"/>
    <x v="0"/>
  </r>
  <r>
    <n v="3000001233"/>
    <d v="2026-03-10T00:00:00"/>
    <n v="9496593.4000000004"/>
    <s v="SEPULVEDA MONTAJES S.R.L. SAN ISIDRO DE LULES 14"/>
    <x v="1752"/>
    <n v="9496593.4000000004"/>
    <x v="220"/>
    <x v="0"/>
    <s v="pagado"/>
    <s v="pagado"/>
    <x v="0"/>
  </r>
  <r>
    <n v="3000001234"/>
    <d v="2026-03-10T00:00:00"/>
    <n v="15837686.890000001"/>
    <s v="CAPETTA ANTONELLA ANAHI SAN MIGUEL DE TUCUMAN 14"/>
    <x v="1753"/>
    <n v="15837686.890000001"/>
    <x v="220"/>
    <x v="0"/>
    <s v="pagado"/>
    <s v="pagado"/>
    <x v="0"/>
  </r>
  <r>
    <n v="3000001235"/>
    <d v="2026-03-10T00:00:00"/>
    <n v="22434978.77"/>
    <s v="RL SOLUCIONES S. A. S. SAN MIGUEL DE TUCUMAN 14"/>
    <x v="1754"/>
    <n v="22434978.77"/>
    <x v="220"/>
    <x v="0"/>
    <s v="pagado"/>
    <s v="pagado"/>
    <x v="0"/>
  </r>
  <r>
    <n v="3000001265"/>
    <d v="2026-03-12T00:00:00"/>
    <n v="11000000"/>
    <s v="ECOGREEN SRL SAN MIGUEL DE TUCUMAN 14"/>
    <x v="1755"/>
    <n v="11000000"/>
    <x v="221"/>
    <x v="0"/>
    <s v="pagado"/>
    <s v="pagado"/>
    <x v="0"/>
  </r>
  <r>
    <n v="3000001265"/>
    <d v="2026-03-12T00:00:00"/>
    <n v="11000000"/>
    <s v="ECOGREEN SRL SAN MIGUEL DE TUCUMAN 14"/>
    <x v="1756"/>
    <n v="11000000"/>
    <x v="221"/>
    <x v="0"/>
    <s v="pagado"/>
    <s v="pagado"/>
    <x v="0"/>
  </r>
  <r>
    <n v="3000001265"/>
    <d v="2026-03-12T00:00:00"/>
    <n v="11098774.199999999"/>
    <s v="ECOGREEN SRL SAN MIGUEL DE TUCUMAN 14"/>
    <x v="1757"/>
    <n v="11098774.199999999"/>
    <x v="221"/>
    <x v="0"/>
    <s v="pagado"/>
    <s v="pagado"/>
    <x v="0"/>
  </r>
  <r>
    <n v="3000001352"/>
    <d v="2026-03-16T00:00:00"/>
    <n v="1670899.79"/>
    <s v="Fondo Fijo Administracion CitrNO TIENE"/>
    <x v="1758"/>
    <n v="1670899.79"/>
    <x v="222"/>
    <x v="0"/>
    <s v="pagado"/>
    <s v="pagado"/>
    <x v="0"/>
  </r>
  <r>
    <n v="3000001353"/>
    <d v="2026-03-16T00:00:00"/>
    <n v="1549440.88"/>
    <s v="Fondo Fijo Administracion CitrNO TIENE"/>
    <x v="1759"/>
    <n v="1549440.88"/>
    <x v="223"/>
    <x v="0"/>
    <s v="pagado"/>
    <s v="pagado"/>
    <x v="0"/>
  </r>
  <r>
    <n v="3000001342"/>
    <d v="2026-03-16T00:00:00"/>
    <n v="22000000"/>
    <s v="Jeblab S.R.L. YERBA BUENA 14"/>
    <x v="1760"/>
    <n v="22000000"/>
    <x v="223"/>
    <x v="0"/>
    <s v="pagado"/>
    <s v="pagado"/>
    <x v="0"/>
  </r>
  <r>
    <n v="3000001342"/>
    <d v="2026-03-16T00:00:00"/>
    <n v="22368343.399999999"/>
    <s v="Jeblab S.R.L. YERBA BUENA 14"/>
    <x v="1761"/>
    <n v="22368343.399999999"/>
    <x v="224"/>
    <x v="0"/>
    <s v="pagado"/>
    <s v="pagado"/>
    <x v="0"/>
  </r>
  <r>
    <n v="3000001343"/>
    <d v="2026-03-16T00:00:00"/>
    <n v="20466569.289999999"/>
    <s v="Roda Transformecanica Serv.SRLSAN MIGUEL DE TUCUMAN 14"/>
    <x v="1762"/>
    <n v="20466569.289999999"/>
    <x v="223"/>
    <x v="0"/>
    <s v="pagado"/>
    <s v="pagado"/>
    <x v="0"/>
  </r>
  <r>
    <n v="3000001344"/>
    <d v="2026-03-16T00:00:00"/>
    <n v="5557213.0199999996"/>
    <s v="Expreso San Jose S.A. SAN MIGUEL DE TUCUMAN 14"/>
    <x v="1763"/>
    <n v="5557213.0199999996"/>
    <x v="223"/>
    <x v="0"/>
    <s v="pagado"/>
    <s v="pagado"/>
    <x v="0"/>
  </r>
  <r>
    <n v="3000001345"/>
    <d v="2026-03-16T00:00:00"/>
    <n v="4901728.8099999996"/>
    <s v="CAFELI S.R.L. SAN MIGUEL DE TUCUMAN 14"/>
    <x v="1764"/>
    <n v="4901728.8099999996"/>
    <x v="223"/>
    <x v="0"/>
    <s v="pagado"/>
    <s v="pagado"/>
    <x v="0"/>
  </r>
  <r>
    <n v="3000001346"/>
    <d v="2026-03-16T00:00:00"/>
    <n v="25658700"/>
    <s v="EDET S.A. SAN MIGUEL DE TUCUMAN 14"/>
    <x v="1765"/>
    <n v="25658700"/>
    <x v="224"/>
    <x v="0"/>
    <s v="pagado"/>
    <s v="pagado"/>
    <x v="0"/>
  </r>
  <r>
    <n v="3000001347"/>
    <d v="2026-03-16T00:00:00"/>
    <n v="30000000"/>
    <s v="M. AMUCHASTEGUI S. R. L. YERBA BUENA 14"/>
    <x v="1766"/>
    <n v="30000000"/>
    <x v="223"/>
    <x v="0"/>
    <s v="pagado"/>
    <s v="pagado"/>
    <x v="0"/>
  </r>
  <r>
    <n v="3000001347"/>
    <d v="2026-03-16T00:00:00"/>
    <n v="30121126.440000001"/>
    <s v="M. AMUCHASTEGUI S. R. L. YERBA BUENA 14"/>
    <x v="1767"/>
    <n v="30121126.440000001"/>
    <x v="224"/>
    <x v="0"/>
    <s v="pagado"/>
    <s v="pagado"/>
    <x v="0"/>
  </r>
  <r>
    <n v="3000001348"/>
    <d v="2026-03-16T00:00:00"/>
    <n v="20000000"/>
    <s v="Poda Verde SRL SAN MIGUEL DE TUCUMAN 14"/>
    <x v="1768"/>
    <n v="20000000"/>
    <x v="223"/>
    <x v="0"/>
    <s v="pagado"/>
    <s v="pagado"/>
    <x v="0"/>
  </r>
  <r>
    <n v="3000001348"/>
    <d v="2026-03-16T00:00:00"/>
    <n v="19699035.510000002"/>
    <s v="Poda Verde SRL SAN MIGUEL DE TUCUMAN 14"/>
    <x v="1769"/>
    <n v="19699035.510000002"/>
    <x v="224"/>
    <x v="0"/>
    <s v="no pagado"/>
    <s v="fuera de fecha"/>
    <x v="0"/>
  </r>
  <r>
    <n v="3000001349"/>
    <d v="2026-03-16T00:00:00"/>
    <n v="23965867.300000001"/>
    <s v="CAMPOAGRO SRL YERBA BUENA 14"/>
    <x v="1770"/>
    <n v="23965867.300000001"/>
    <x v="223"/>
    <x v="0"/>
    <s v="pagado"/>
    <s v="pagado"/>
    <x v="0"/>
  </r>
  <r>
    <n v="3000001350"/>
    <d v="2026-03-16T00:00:00"/>
    <n v="170000000"/>
    <s v="MG SERVICIOS AGROPECUARIOS SASTAFI VIEJO 14"/>
    <x v="1771"/>
    <n v="170000000"/>
    <x v="223"/>
    <x v="0"/>
    <s v="pagado"/>
    <s v="pagado"/>
    <x v="0"/>
  </r>
  <r>
    <n v="3000001350"/>
    <d v="2026-03-16T00:00:00"/>
    <n v="20517619"/>
    <s v="MG SERVICIOS AGROPECUARIOS SASTAFI VIEJO 14"/>
    <x v="1772"/>
    <n v="20517619"/>
    <x v="224"/>
    <x v="0"/>
    <s v="pagado"/>
    <s v="pagado"/>
    <x v="0"/>
  </r>
  <r>
    <n v="3000001350"/>
    <d v="2026-03-16T00:00:00"/>
    <n v="8316000"/>
    <s v="MG SERVICIOS AGROPECUARIOS SASTAFI VIEJO 14"/>
    <x v="1773"/>
    <n v="8316000"/>
    <x v="224"/>
    <x v="0"/>
    <s v="pagado"/>
    <s v="pagado"/>
    <x v="0"/>
  </r>
  <r>
    <n v="3000001350"/>
    <d v="2026-03-16T00:00:00"/>
    <n v="7704000"/>
    <s v="MG SERVICIOS AGROPECUARIOS SASTAFI VIEJO 14"/>
    <x v="1774"/>
    <n v="7704000"/>
    <x v="224"/>
    <x v="0"/>
    <s v="pagado"/>
    <s v="pagado"/>
    <x v="0"/>
  </r>
  <r>
    <n v="3000001350"/>
    <d v="2026-03-16T00:00:00"/>
    <n v="72608590.819999993"/>
    <s v="MG SERVICIOS AGROPECUARIOS SASTAFI VIEJO 14"/>
    <x v="1775"/>
    <n v="72608590.819999993"/>
    <x v="224"/>
    <x v="0"/>
    <s v="pagado"/>
    <s v="pagado"/>
    <x v="0"/>
  </r>
  <r>
    <n v="3000001351"/>
    <d v="2026-03-16T00:00:00"/>
    <n v="80000000"/>
    <s v="AGROPECUARIA MUNDO NUEVO SRL SAN PABLO 14"/>
    <x v="1776"/>
    <n v="80000000"/>
    <x v="222"/>
    <x v="0"/>
    <s v="pagado"/>
    <s v="pagado"/>
    <x v="0"/>
  </r>
  <r>
    <n v="3000001351"/>
    <d v="2026-03-16T00:00:00"/>
    <n v="75572794.780000001"/>
    <s v="AGROPECUARIA MUNDO NUEVO SRL SAN PABLO 14"/>
    <x v="1777"/>
    <n v="75572794.780000001"/>
    <x v="223"/>
    <x v="0"/>
    <s v="pagado"/>
    <s v="pagado"/>
    <x v="0"/>
  </r>
  <r>
    <n v="3000001354"/>
    <d v="2026-03-17T00:00:00"/>
    <n v="100000000"/>
    <s v="CATALANA DE SERVICIOS SRL YERBA BUENA 14"/>
    <x v="1778"/>
    <n v="100000000"/>
    <x v="223"/>
    <x v="0"/>
    <s v="pagado"/>
    <s v="pagado"/>
    <x v="0"/>
  </r>
  <r>
    <n v="3000001354"/>
    <d v="2026-03-17T00:00:00"/>
    <n v="65247619.82"/>
    <s v="CATALANA DE SERVICIOS SRL YERBA BUENA 14"/>
    <x v="1779"/>
    <n v="65247619.82"/>
    <x v="224"/>
    <x v="0"/>
    <s v="pagado"/>
    <s v="pagado"/>
    <x v="0"/>
  </r>
  <r>
    <n v="3000001429"/>
    <d v="2026-03-20T00:00:00"/>
    <n v="197261290"/>
    <s v="EDET S.A. SAN MIGUEL DE TUCUMAN 14"/>
    <x v="1780"/>
    <n v="197261290"/>
    <x v="225"/>
    <x v="2"/>
    <s v="pagado"/>
    <s v="pagado"/>
    <x v="0"/>
  </r>
  <r>
    <n v="3000001390"/>
    <d v="2026-03-18T00:00:00"/>
    <n v="18806192.920000002"/>
    <s v="LATCOMEX SA CAPITAL FEDERAL 00"/>
    <x v="1781"/>
    <n v="18806192.920000002"/>
    <x v="224"/>
    <x v="0"/>
    <s v="pagado"/>
    <s v="pagado"/>
    <x v="0"/>
  </r>
  <r>
    <n v="3000001391"/>
    <d v="2026-03-18T00:00:00"/>
    <n v="4487163.67"/>
    <s v="LOGISTICA Y DISTRIBUCION FEDE CAPITAL FEDERAL 00"/>
    <x v="1782"/>
    <n v="4487163.67"/>
    <x v="224"/>
    <x v="0"/>
    <s v="pagado"/>
    <s v="pagado"/>
    <x v="0"/>
  </r>
  <r>
    <n v="3000001392"/>
    <d v="2026-03-18T00:00:00"/>
    <n v="4486995.76"/>
    <s v="JACQUET NORBERTO SALVADOR SAN JOSE 05"/>
    <x v="1783"/>
    <n v="4486995.76"/>
    <x v="224"/>
    <x v="0"/>
    <s v="pagado"/>
    <s v="pagado"/>
    <x v="0"/>
  </r>
  <r>
    <n v="3000001393"/>
    <d v="2026-03-18T00:00:00"/>
    <n v="6730493.6399999997"/>
    <s v="RL SOLUCIONES S. A. S. SAN MIGUEL DE TUCUMAN 14"/>
    <x v="1784"/>
    <n v="6730493.6399999997"/>
    <x v="224"/>
    <x v="0"/>
    <s v="pagado"/>
    <s v="pagado"/>
    <x v="0"/>
  </r>
  <r>
    <n v="3000001394"/>
    <d v="2026-03-18T00:00:00"/>
    <n v="28168255.800000001"/>
    <s v="Terminal 4 S.A. Puerto Nuevo 01"/>
    <x v="1785"/>
    <n v="28168255.800000001"/>
    <x v="224"/>
    <x v="0"/>
    <s v="pagado"/>
    <s v="pagado"/>
    <x v="0"/>
  </r>
  <r>
    <n v="3000001395"/>
    <d v="2026-03-18T00:00:00"/>
    <n v="11058717.779999999"/>
    <s v="Expreso Bisonte S.R.L. BANDA DEL RIO SALI 14"/>
    <x v="1786"/>
    <n v="11058717.779999999"/>
    <x v="224"/>
    <x v="0"/>
    <s v="pagado"/>
    <s v="pagado"/>
    <x v="0"/>
  </r>
  <r>
    <n v="3000001396"/>
    <d v="2026-03-18T00:00:00"/>
    <n v="27972869.77"/>
    <s v="CAPETTA ANTONELLA ANAHI SAN MIGUEL DE TUCUMAN 14"/>
    <x v="1787"/>
    <n v="27972869.77"/>
    <x v="224"/>
    <x v="0"/>
    <s v="pagado"/>
    <s v="pagado"/>
    <x v="0"/>
  </r>
  <r>
    <n v="3000001443"/>
    <d v="2026-03-25T00:00:00"/>
    <n v="70000000"/>
    <s v="CATALANA DE SERVICIOS SRL YERBA BUENA 14"/>
    <x v="1788"/>
    <n v="70000000"/>
    <x v="200"/>
    <x v="0"/>
    <s v="pagado"/>
    <s v="pagado"/>
    <x v="0"/>
  </r>
  <r>
    <n v="3000001443"/>
    <d v="2026-03-25T00:00:00"/>
    <n v="73237662.680000007"/>
    <s v="CATALANA DE SERVICIOS SRL YERBA BUENA 14"/>
    <x v="1789"/>
    <n v="73237662.680000007"/>
    <x v="226"/>
    <x v="0"/>
    <s v="pagado"/>
    <s v="pagado"/>
    <x v="0"/>
  </r>
  <r>
    <n v="3000001439"/>
    <d v="2026-03-25T00:00:00"/>
    <n v="16625192.5"/>
    <s v="Consultoria en Tecnologia de IBUENOS AIRES 00"/>
    <x v="1790"/>
    <n v="16625192.5"/>
    <x v="200"/>
    <x v="0"/>
    <s v="pagado"/>
    <s v="pagado"/>
    <x v="0"/>
  </r>
  <r>
    <n v="3000001440"/>
    <d v="2026-03-25T00:00:00"/>
    <n v="6021324.8300000001"/>
    <s v="ROMERO SERVICIOS S. A. S. ALPACHIRI 14"/>
    <x v="1791"/>
    <n v="6021324.8300000001"/>
    <x v="226"/>
    <x v="0"/>
    <s v="pagado"/>
    <s v="pagado"/>
    <x v="0"/>
  </r>
  <r>
    <n v="3000001441"/>
    <d v="2026-03-25T00:00:00"/>
    <n v="18563869.34"/>
    <s v="PAMPLONA SRL SAN MIGUEL DE TUCUMAN 14"/>
    <x v="1792"/>
    <n v="18563869.34"/>
    <x v="226"/>
    <x v="0"/>
    <s v="pagado"/>
    <s v="pagado"/>
    <x v="0"/>
  </r>
  <r>
    <n v="3000001442"/>
    <d v="2026-03-25T00:00:00"/>
    <n v="17579717.789999999"/>
    <s v="M. AMUCHASTEGUI S. R. L. YERBA BUENA 14"/>
    <x v="1793"/>
    <n v="17579717.789999999"/>
    <x v="226"/>
    <x v="0"/>
    <s v="pagado"/>
    <s v="pagado"/>
    <x v="0"/>
  </r>
  <r>
    <n v="3000001444"/>
    <d v="2026-03-25T00:00:00"/>
    <n v="41662283.469999999"/>
    <s v="AGROPECUARIA MUNDO NUEVO SRL SAN PABLO 14"/>
    <x v="1794"/>
    <n v="41662283.469999999"/>
    <x v="226"/>
    <x v="0"/>
    <s v="pagado"/>
    <s v="pagado"/>
    <x v="0"/>
  </r>
  <r>
    <n v="3000001445"/>
    <d v="2026-03-25T00:00:00"/>
    <n v="6365278.1200000001"/>
    <s v="LOGISTICA INTERNACIONAL S.A SAN MIGUEL DE TUCUMAN 14"/>
    <x v="1795"/>
    <n v="6365278.1200000001"/>
    <x v="200"/>
    <x v="0"/>
    <s v="pagado"/>
    <s v="pagado"/>
    <x v="0"/>
  </r>
  <r>
    <n v="3000001446"/>
    <d v="2026-03-25T00:00:00"/>
    <n v="6447707.1699999999"/>
    <s v="TODOS RETENES SA CORDOBA 03"/>
    <x v="1796"/>
    <n v="6447707.1699999999"/>
    <x v="200"/>
    <x v="0"/>
    <s v="pagado"/>
    <s v="pagado"/>
    <x v="0"/>
  </r>
  <r>
    <n v="3000001447"/>
    <d v="2026-03-25T00:00:00"/>
    <n v="13676438.4"/>
    <s v="FERRO JOSE NICOLAS FAMAILLA 14"/>
    <x v="1797"/>
    <n v="13676438.4"/>
    <x v="200"/>
    <x v="0"/>
    <s v="pagado"/>
    <s v="pagado"/>
    <x v="0"/>
  </r>
  <r>
    <n v="3000001448"/>
    <d v="2026-03-25T00:00:00"/>
    <n v="20365023.18"/>
    <s v="Astori Estructuras S.A. Bº Palmar 03"/>
    <x v="1798"/>
    <n v="20365023.18"/>
    <x v="200"/>
    <x v="0"/>
    <s v="pagado"/>
    <s v="pagado"/>
    <x v="0"/>
  </r>
  <r>
    <n v="3000001449"/>
    <d v="2026-03-25T00:00:00"/>
    <n v="24970255.57"/>
    <s v="CEMEVA SAS YERBA BUENA 14"/>
    <x v="1799"/>
    <n v="24970255.57"/>
    <x v="200"/>
    <x v="0"/>
    <s v="pagado"/>
    <s v="pagado"/>
    <x v="0"/>
  </r>
  <r>
    <n v="3000001450"/>
    <d v="2026-03-25T00:00:00"/>
    <n v="7885342.54"/>
    <s v="TRANSPORTE FRIOS DEL NORTE S.RSAN MIGUEL DE TUCUMAN 14"/>
    <x v="1800"/>
    <n v="7885342.54"/>
    <x v="226"/>
    <x v="0"/>
    <s v="pagado"/>
    <s v="pagado"/>
    <x v="0"/>
  </r>
  <r>
    <n v="3000001451"/>
    <d v="2026-03-25T00:00:00"/>
    <n v="9031077.9800000004"/>
    <s v="MAC DONALD MIGUEL ALEJANDRO BANDA DEL RIO SALI 14"/>
    <x v="1801"/>
    <n v="9031077.9800000004"/>
    <x v="200"/>
    <x v="0"/>
    <s v="pagado"/>
    <s v="pagado"/>
    <x v="0"/>
  </r>
  <r>
    <n v="3000001452"/>
    <d v="2026-03-25T00:00:00"/>
    <n v="13859450.800000001"/>
    <s v="VILLAGRA VELEZ ROQUE RICARDO SAN MIGUEL DE TUCUMAN 14"/>
    <x v="1802"/>
    <n v="13859450.800000001"/>
    <x v="200"/>
    <x v="0"/>
    <s v="pagado"/>
    <s v="pagado"/>
    <x v="0"/>
  </r>
  <r>
    <n v="3000001453"/>
    <d v="2026-03-25T00:00:00"/>
    <n v="6730493.6399999997"/>
    <s v="JACQUET NORBERTO SALVADOR SAN JOSE 05"/>
    <x v="1803"/>
    <n v="6730493.6399999997"/>
    <x v="226"/>
    <x v="0"/>
    <s v="pagado"/>
    <s v="pagado"/>
    <x v="0"/>
  </r>
  <r>
    <n v="3000001454"/>
    <d v="2026-03-25T00:00:00"/>
    <n v="4686675"/>
    <s v="LATCOMEX SA CAPITAL FEDERAL 00"/>
    <x v="1804"/>
    <n v="4686675"/>
    <x v="200"/>
    <x v="0"/>
    <s v="pagado"/>
    <s v="pagado"/>
    <x v="0"/>
  </r>
  <r>
    <n v="3000007593"/>
    <d v="2026-03-27T00:00:00"/>
    <n v="2243497.88"/>
    <s v="VILLAGRA VELEZ ROQUE RICARDO SAN MIGUEL DE TUCUMAN 14"/>
    <x v="1805"/>
    <n v="2243497.88"/>
    <x v="226"/>
    <x v="2"/>
    <s v="pagado"/>
    <s v="pagado"/>
    <x v="0"/>
  </r>
  <r>
    <n v="3000001348"/>
    <d v="2026-03-27T00:00:00"/>
    <n v="19699035.510000002"/>
    <s v="Poda Verde SRL SAN MIGUEL DE TUCUMAN 14"/>
    <x v="1806"/>
    <n v="19699035.510000002"/>
    <x v="226"/>
    <x v="0"/>
    <s v="pagado"/>
    <s v="pagado"/>
    <x v="0"/>
  </r>
  <r>
    <n v="3000001554"/>
    <d v="2026-03-27T00:00:00"/>
    <n v="649200"/>
    <s v=". TUCUMAN"/>
    <x v="1807"/>
    <n v="649200"/>
    <x v="226"/>
    <x v="0"/>
    <s v="pagado"/>
    <s v="pagado"/>
    <x v="0"/>
  </r>
  <r>
    <n v="3000001696"/>
    <d v="2026-04-06T00:00:00"/>
    <n v="23575430.25"/>
    <s v="Roda Transformecanica Serv.SRLSAN MIGUEL DE TUCUMAN 14"/>
    <x v="1808"/>
    <n v="23575430.25"/>
    <x v="227"/>
    <x v="0"/>
    <s v="pagado"/>
    <s v="pagado"/>
    <x v="0"/>
  </r>
  <r>
    <n v="3000001697"/>
    <d v="2026-04-06T00:00:00"/>
    <n v="5739462.1500000004"/>
    <s v="VISMA ARGENTINA SA CAPITAL FEDERAL 14"/>
    <x v="1809"/>
    <n v="5739462.1500000004"/>
    <x v="227"/>
    <x v="0"/>
    <s v="pagado"/>
    <s v="pagado"/>
    <x v="0"/>
  </r>
  <r>
    <n v="3000001698"/>
    <d v="2026-04-06T00:00:00"/>
    <n v="35006943.399999999"/>
    <s v="Consultoria en Tecnologia de IBUENOS AIRES 00"/>
    <x v="1810"/>
    <n v="35006943.399999999"/>
    <x v="227"/>
    <x v="0"/>
    <s v="pagado"/>
    <s v="pagado"/>
    <x v="0"/>
  </r>
  <r>
    <n v="3000001699"/>
    <d v="2026-04-06T00:00:00"/>
    <n v="9703847.4000000004"/>
    <s v="FERRO JOSE NICOLAS FAMAILLA 14"/>
    <x v="1811"/>
    <n v="9703847.4000000004"/>
    <x v="227"/>
    <x v="0"/>
    <s v="pagado"/>
    <s v="pagado"/>
    <x v="0"/>
  </r>
  <r>
    <n v="3000001700"/>
    <d v="2026-04-06T00:00:00"/>
    <n v="9118231.4000000004"/>
    <s v="TEKNOS TECHNOLOGY GROUP SA CAPITAL FEDERAL 00"/>
    <x v="1812"/>
    <n v="9118231.4000000004"/>
    <x v="227"/>
    <x v="0"/>
    <s v="pagado"/>
    <s v="pagado"/>
    <x v="0"/>
  </r>
  <r>
    <n v="3000001701"/>
    <d v="2026-04-06T00:00:00"/>
    <n v="18851123.23"/>
    <s v="CONFECAT S.A SAN FERNANDO DEL VALLE DE CATAMARCA 02"/>
    <x v="1813"/>
    <n v="18851123.23"/>
    <x v="227"/>
    <x v="0"/>
    <s v="pagado"/>
    <s v="pagado"/>
    <x v="0"/>
  </r>
  <r>
    <n v="3000001702"/>
    <d v="2026-04-06T00:00:00"/>
    <n v="9139264.1799999997"/>
    <s v="Marchese Grandi Meson y Asoc SAN MIGUEL DE TUCUMAN 14"/>
    <x v="1814"/>
    <n v="9139264.1799999997"/>
    <x v="227"/>
    <x v="0"/>
    <s v="pagado"/>
    <s v="pagado"/>
    <x v="0"/>
  </r>
  <r>
    <n v="3000001766"/>
    <d v="2026-04-08T00:00:00"/>
    <n v="16593343.4"/>
    <s v="Rutas Servicios Integrales SRLCapital Federal 00"/>
    <x v="1815"/>
    <n v="16593343.4"/>
    <x v="228"/>
    <x v="0"/>
    <s v="pagado"/>
    <s v="pagado"/>
    <x v="0"/>
  </r>
  <r>
    <n v="3000001767"/>
    <d v="2026-04-08T00:00:00"/>
    <n v="19457607.149999999"/>
    <s v="Terminal 4 S.A. Puerto Nuevo 01"/>
    <x v="1816"/>
    <n v="19457607.149999999"/>
    <x v="228"/>
    <x v="0"/>
    <s v="pagado"/>
    <s v="pagado"/>
    <x v="0"/>
  </r>
  <r>
    <n v="3000001768"/>
    <d v="2026-04-08T00:00:00"/>
    <n v="3996370.85"/>
    <s v="Southatlantic Maritime S.A. BUENOS AIRES 01"/>
    <x v="1817"/>
    <n v="3996370.85"/>
    <x v="228"/>
    <x v="0"/>
    <s v="pagado"/>
    <s v="pagado"/>
    <x v="0"/>
  </r>
  <r>
    <n v="3000001769"/>
    <d v="2026-04-08T00:00:00"/>
    <n v="2243497.87"/>
    <s v="RL SOLUCIONES S. A. S. SAN MIGUEL DE TUCUMAN 14"/>
    <x v="1818"/>
    <n v="2243497.87"/>
    <x v="228"/>
    <x v="0"/>
    <s v="pagado"/>
    <s v="pagado"/>
    <x v="0"/>
  </r>
  <r>
    <n v="3000001770"/>
    <d v="2026-04-08T00:00:00"/>
    <n v="2243665.7999999998"/>
    <s v="JACQUET NORBERTO SALVADOR SAN JOSE 05"/>
    <x v="1819"/>
    <n v="2243665.7999999998"/>
    <x v="228"/>
    <x v="0"/>
    <s v="pagado"/>
    <s v="pagado"/>
    <x v="0"/>
  </r>
  <r>
    <n v="3000001771"/>
    <d v="2026-04-08T00:00:00"/>
    <n v="2040745.01"/>
    <s v="PEDRO GABRIEL ALEJANDRO ALDERETES 14"/>
    <x v="1820"/>
    <n v="2040745.01"/>
    <x v="228"/>
    <x v="0"/>
    <s v="pagado"/>
    <s v="pagado"/>
    <x v="0"/>
  </r>
  <r>
    <n v="3000001772"/>
    <d v="2026-04-08T00:00:00"/>
    <n v="4290889.25"/>
    <s v="Expreso Bisonte S.R.L. BANDA DEL RIO SALI 14"/>
    <x v="1821"/>
    <n v="4290889.25"/>
    <x v="228"/>
    <x v="0"/>
    <s v="pagado"/>
    <s v="pagado"/>
    <x v="0"/>
  </r>
  <r>
    <n v="3000001773"/>
    <d v="2026-04-08T00:00:00"/>
    <n v="2527351.7799999998"/>
    <s v="CEMEVA SAS YERBA BUENA 14"/>
    <x v="1822"/>
    <n v="2527351.7799999998"/>
    <x v="228"/>
    <x v="0"/>
    <s v="pagado"/>
    <s v="pagado"/>
    <x v="0"/>
  </r>
  <r>
    <n v="3000001871"/>
    <d v="2026-04-13T00:00:00"/>
    <n v="1400000"/>
    <s v=". TUCUMAN"/>
    <x v="1823"/>
    <n v="1400000"/>
    <x v="229"/>
    <x v="0"/>
    <s v="pagado"/>
    <s v="pagado"/>
    <x v="0"/>
  </r>
  <r>
    <n v="3000001943"/>
    <d v="2026-04-14T00:00:00"/>
    <n v="459580.12"/>
    <s v="PEDRO CRISTOFER MAURICIO LOS GUTIERREZ 14"/>
    <x v="1824"/>
    <n v="459580.12"/>
    <x v="230"/>
    <x v="0"/>
    <s v="pagado"/>
    <s v="pagado"/>
    <x v="0"/>
  </r>
  <r>
    <n v="3000001880"/>
    <d v="2026-04-13T00:00:00"/>
    <n v="44368343.399999999"/>
    <s v="Jeblab S.R.L. YERBA BUENA 14"/>
    <x v="1825"/>
    <n v="44368343.399999999"/>
    <x v="229"/>
    <x v="0"/>
    <s v="pagado"/>
    <s v="pagado"/>
    <x v="0"/>
  </r>
  <r>
    <n v="3000001881"/>
    <d v="2026-04-13T00:00:00"/>
    <n v="10242029.73"/>
    <s v="SMART SEGURIDAD SA YERBA BUENA 14"/>
    <x v="1826"/>
    <n v="10242029.73"/>
    <x v="229"/>
    <x v="0"/>
    <s v="pagado"/>
    <s v="pagado"/>
    <x v="0"/>
  </r>
  <r>
    <n v="3000001883"/>
    <d v="2026-04-13T00:00:00"/>
    <n v="6113834.4000000004"/>
    <s v="M.A.D Serv y mant eléctri SAN MIGUEL DE TUCUMAN 14"/>
    <x v="1827"/>
    <n v="6113834.4000000004"/>
    <x v="229"/>
    <x v="0"/>
    <s v="pagado"/>
    <s v="pagado"/>
    <x v="0"/>
  </r>
  <r>
    <n v="3000001884"/>
    <d v="2026-04-13T00:00:00"/>
    <n v="22548375"/>
    <s v="BONSUR SA CAPITAL FEDERAL 00"/>
    <x v="1828"/>
    <n v="22548375"/>
    <x v="229"/>
    <x v="0"/>
    <s v="pagado"/>
    <s v="pagado"/>
    <x v="0"/>
  </r>
  <r>
    <n v="3000001885"/>
    <d v="2026-04-13T00:00:00"/>
    <n v="5131056.05"/>
    <s v="CAPETTA ANTONELLA ANAHI SAN MIGUEL DE TUCUMAN 14"/>
    <x v="1829"/>
    <n v="5131056.05"/>
    <x v="229"/>
    <x v="0"/>
    <s v="pagado"/>
    <s v="pagado"/>
    <x v="0"/>
  </r>
  <r>
    <n v="3000001886"/>
    <d v="2026-04-13T00:00:00"/>
    <n v="10826452.17"/>
    <s v="Poda Verde SRL SAN MIGUEL DE TUCUMAN 14"/>
    <x v="1830"/>
    <n v="10826452.17"/>
    <x v="229"/>
    <x v="0"/>
    <s v="pagado"/>
    <s v="pagado"/>
    <x v="0"/>
  </r>
  <r>
    <n v="3000001887"/>
    <d v="2026-04-13T00:00:00"/>
    <n v="173851885.88999999"/>
    <s v="CATALANA DE SERVICIOS SRL YERBA BUENA 14"/>
    <x v="1831"/>
    <n v="173851885.88999999"/>
    <x v="229"/>
    <x v="0"/>
    <s v="pagado"/>
    <s v="pagado"/>
    <x v="0"/>
  </r>
  <r>
    <n v="3000001888"/>
    <d v="2026-04-13T00:00:00"/>
    <n v="21749242.460000001"/>
    <s v="CAMPOAGRO SRL YERBA BUENA 14"/>
    <x v="1832"/>
    <n v="21749242.460000001"/>
    <x v="230"/>
    <x v="0"/>
    <s v="pagado"/>
    <s v="pagado"/>
    <x v="0"/>
  </r>
  <r>
    <n v="3000001882"/>
    <d v="2026-04-13T00:00:00"/>
    <n v="15085000"/>
    <s v="MG SERVICIOS AGROPECUARIOS SASTAFI VIEJO 14"/>
    <x v="1833"/>
    <n v="15085000"/>
    <x v="229"/>
    <x v="0"/>
    <s v="pagado"/>
    <s v="pagado"/>
    <x v="0"/>
  </r>
  <r>
    <n v="3000001882"/>
    <d v="2026-04-13T00:00:00"/>
    <n v="12500000"/>
    <s v="MG SERVICIOS AGROPECUARIOS SASTAFI VIEJO 14"/>
    <x v="1834"/>
    <n v="12500000"/>
    <x v="229"/>
    <x v="0"/>
    <s v="pagado"/>
    <s v="pagado"/>
    <x v="0"/>
  </r>
  <r>
    <n v="3000001882"/>
    <d v="2026-04-13T00:00:00"/>
    <n v="8000000"/>
    <s v="MG SERVICIOS AGROPECUARIOS SASTAFI VIEJO 14"/>
    <x v="1835"/>
    <n v="8000000"/>
    <x v="229"/>
    <x v="0"/>
    <s v="pagado"/>
    <s v="pagado"/>
    <x v="0"/>
  </r>
  <r>
    <n v="3000001882"/>
    <d v="2026-04-13T00:00:00"/>
    <n v="4619219"/>
    <s v="MG SERVICIOS AGROPECUARIOS SASTAFI VIEJO 14"/>
    <x v="1836"/>
    <n v="4619219"/>
    <x v="229"/>
    <x v="0"/>
    <s v="pagado"/>
    <s v="pagado"/>
    <x v="0"/>
  </r>
  <r>
    <n v="3000001882"/>
    <d v="2026-04-13T00:00:00"/>
    <n v="2149975"/>
    <s v="MG SERVICIOS AGROPECUARIOS SASTAFI VIEJO 14"/>
    <x v="1837"/>
    <n v="2149975"/>
    <x v="229"/>
    <x v="0"/>
    <s v="pagado"/>
    <s v="pagado"/>
    <x v="0"/>
  </r>
  <r>
    <n v="3000001882"/>
    <d v="2026-04-13T00:00:00"/>
    <n v="147744535.21000001"/>
    <s v="MG SERVICIOS AGROPECUARIOS SASTAFI VIEJO 14"/>
    <x v="1838"/>
    <n v="147744535.21000001"/>
    <x v="230"/>
    <x v="0"/>
    <s v="pagado"/>
    <s v="pagado"/>
    <x v="0"/>
  </r>
  <r>
    <n v="3000001890"/>
    <d v="2026-04-13T00:00:00"/>
    <n v="1947595.77"/>
    <s v="AGROGANADERA DEL NOA CEVIL POZO 14"/>
    <x v="1839"/>
    <n v="1947595.77"/>
    <x v="229"/>
    <x v="0"/>
    <s v="pagado"/>
    <s v="pagado"/>
    <x v="0"/>
  </r>
  <r>
    <n v="3000001890"/>
    <d v="2026-04-13T00:00:00"/>
    <n v="2326904.62"/>
    <s v="AGROGANADERA DEL NOA CEVIL POZO 14"/>
    <x v="1840"/>
    <n v="2326904.62"/>
    <x v="229"/>
    <x v="0"/>
    <s v="pagado"/>
    <s v="pagado"/>
    <x v="0"/>
  </r>
  <r>
    <n v="3000001890"/>
    <d v="2026-04-13T00:00:00"/>
    <n v="1954667.92"/>
    <s v="AGROGANADERA DEL NOA CEVIL POZO 14"/>
    <x v="1841"/>
    <n v="1954667.92"/>
    <x v="229"/>
    <x v="0"/>
    <s v="no pagado"/>
    <s v="fuera de fecha"/>
    <x v="0"/>
  </r>
  <r>
    <n v="3000001890"/>
    <d v="2026-04-13T00:00:00"/>
    <n v="3029304.79"/>
    <s v="AGROGANADERA DEL NOA CEVIL POZO 14"/>
    <x v="1842"/>
    <n v="3029304.79"/>
    <x v="229"/>
    <x v="0"/>
    <s v="pagado"/>
    <s v="pagado"/>
    <x v="0"/>
  </r>
  <r>
    <n v="3000001890"/>
    <d v="2026-04-13T00:00:00"/>
    <n v="3597606.51"/>
    <s v="AGROGANADERA DEL NOA CEVIL POZO 14"/>
    <x v="1843"/>
    <n v="3597606.51"/>
    <x v="229"/>
    <x v="0"/>
    <s v="no pagado"/>
    <s v="fuera de fecha"/>
    <x v="0"/>
  </r>
  <r>
    <n v="3000001890"/>
    <d v="2026-04-13T00:00:00"/>
    <n v="27269382.5"/>
    <s v="AGROGANADERA DEL NOA CEVIL POZO 14"/>
    <x v="1844"/>
    <n v="27269382.5"/>
    <x v="229"/>
    <x v="0"/>
    <s v="pagado"/>
    <s v="pagado"/>
    <x v="0"/>
  </r>
  <r>
    <n v="3000001890"/>
    <d v="2026-04-13T00:00:00"/>
    <n v="31651343.399999999"/>
    <s v="AGROGANADERA DEL NOA CEVIL POZO 14"/>
    <x v="1845"/>
    <n v="31651343.399999999"/>
    <x v="229"/>
    <x v="0"/>
    <s v="pagado"/>
    <s v="pagado"/>
    <x v="0"/>
  </r>
  <r>
    <n v="3000001890"/>
    <d v="2026-04-13T00:00:00"/>
    <n v="3510098.49"/>
    <s v="AGROGANADERA DEL NOA CEVIL POZO 14"/>
    <x v="1846"/>
    <n v="3510098.49"/>
    <x v="229"/>
    <x v="0"/>
    <s v="pagado"/>
    <s v="pagado"/>
    <x v="0"/>
  </r>
  <r>
    <n v="3000001953"/>
    <d v="2026-04-14T00:00:00"/>
    <n v="12396489.369999999"/>
    <s v="RL SOLUCIONES S. A. S. SAN MIGUEL DE TUCUMAN 14"/>
    <x v="1847"/>
    <n v="12396489.369999999"/>
    <x v="231"/>
    <x v="0"/>
    <s v="pagado"/>
    <s v="pagado"/>
    <x v="0"/>
  </r>
  <r>
    <n v="3000001952"/>
    <d v="2026-04-14T00:00:00"/>
    <n v="5257062.96"/>
    <s v="TRANSPORTE FRIOS DEL NORTE S.RSAN MIGUEL DE TUCUMAN 14"/>
    <x v="1848"/>
    <n v="5257062.96"/>
    <x v="231"/>
    <x v="0"/>
    <s v="pagado"/>
    <s v="pagado"/>
    <x v="0"/>
  </r>
  <r>
    <n v="3000001951"/>
    <d v="2026-04-14T00:00:00"/>
    <n v="11312633.49"/>
    <s v="CAPETTA ANTONELLA ANAHI SAN MIGUEL DE TUCUMAN 14"/>
    <x v="1849"/>
    <n v="11312633.49"/>
    <x v="231"/>
    <x v="0"/>
    <s v="pagado"/>
    <s v="pagado"/>
    <x v="0"/>
  </r>
  <r>
    <n v="3000001950"/>
    <d v="2026-04-14T00:00:00"/>
    <n v="7416248.1600000001"/>
    <s v="VIDES GUSTAVO ENRIQUE LA TRINIDAD 14"/>
    <x v="1850"/>
    <n v="7416248.1600000001"/>
    <x v="231"/>
    <x v="0"/>
    <s v="no pagado"/>
    <s v="fuera de fecha"/>
    <x v="0"/>
  </r>
  <r>
    <n v="3000001944"/>
    <d v="2026-04-14T00:00:00"/>
    <n v="8499850.9199999999"/>
    <s v="CAFELI S.R.L. SAN MIGUEL DE TUCUMAN 14"/>
    <x v="1851"/>
    <n v="8499850.9199999999"/>
    <x v="232"/>
    <x v="0"/>
    <s v="pagado"/>
    <s v="pagado"/>
    <x v="0"/>
  </r>
  <r>
    <n v="3000001945"/>
    <d v="2026-04-14T00:00:00"/>
    <n v="19714253.350000001"/>
    <s v="SEGURIDAD OMEGA SRL SAN FERNANDO DEL VALLE DE CATAMARCA 02"/>
    <x v="1852"/>
    <n v="19714253.350000001"/>
    <x v="232"/>
    <x v="0"/>
    <s v="pagado"/>
    <s v="pagado"/>
    <x v="0"/>
  </r>
  <r>
    <n v="3000001946"/>
    <d v="2026-04-14T00:00:00"/>
    <n v="15277327.029999999"/>
    <s v="ROMERO SERVICIOS S. A. S. ALPACHIRI 14"/>
    <x v="1853"/>
    <n v="15277327.029999999"/>
    <x v="232"/>
    <x v="0"/>
    <s v="pagado"/>
    <s v="pagado"/>
    <x v="0"/>
  </r>
  <r>
    <n v="3000001947"/>
    <d v="2026-04-14T00:00:00"/>
    <n v="12428257.5"/>
    <s v="PAMPLONA SRL SAN MIGUEL DE TUCUMAN 14"/>
    <x v="1854"/>
    <n v="12428257.5"/>
    <x v="232"/>
    <x v="0"/>
    <s v="pagado"/>
    <s v="pagado"/>
    <x v="0"/>
  </r>
  <r>
    <n v="3000001948"/>
    <d v="2026-04-14T00:00:00"/>
    <n v="27538833.109999999"/>
    <s v="MG SERVICIOS AGROPECUARIOS SASTAFI VIEJO 14"/>
    <x v="1855"/>
    <n v="27538833.109999999"/>
    <x v="232"/>
    <x v="0"/>
    <s v="pagado"/>
    <s v="pagado"/>
    <x v="0"/>
  </r>
  <r>
    <n v="3000001949"/>
    <d v="2026-04-14T00:00:00"/>
    <n v="23521840.329999998"/>
    <s v="LA MARTINA SERV. AGRICOLAS S.RSAN PABLO 14"/>
    <x v="1856"/>
    <n v="23521840.329999998"/>
    <x v="232"/>
    <x v="0"/>
    <s v="pagado"/>
    <s v="pagado"/>
    <x v="0"/>
  </r>
  <r>
    <n v="3000002030"/>
    <d v="2026-04-16T00:00:00"/>
    <n v="23311830.98"/>
    <s v="BONSUR SA CAPITAL FEDERAL 00"/>
    <x v="1857"/>
    <n v="23311830.98"/>
    <x v="233"/>
    <x v="0"/>
    <s v="pagado"/>
    <s v="pagado"/>
    <x v="0"/>
  </r>
  <r>
    <n v="3000002087"/>
    <d v="2026-04-20T00:00:00"/>
    <n v="2000000"/>
    <s v="Hierronort Salta S.R.L. SAN MIGUEL DE TUCUMAN 14"/>
    <x v="1858"/>
    <n v="2000000"/>
    <x v="234"/>
    <x v="0"/>
    <s v="pagado"/>
    <s v="pagado"/>
    <x v="0"/>
  </r>
  <r>
    <n v="3000002087"/>
    <d v="2026-04-20T00:00:00"/>
    <n v="2000000"/>
    <s v="Hierronort Salta S.R.L. SAN MIGUEL DE TUCUMAN 14"/>
    <x v="1859"/>
    <n v="2000000"/>
    <x v="235"/>
    <x v="0"/>
    <s v="pagado"/>
    <s v="pagado"/>
    <x v="0"/>
  </r>
  <r>
    <n v="3000002087"/>
    <d v="2026-04-20T00:00:00"/>
    <n v="2573127.7799999998"/>
    <s v="Hierronort Salta S.R.L. SAN MIGUEL DE TUCUMAN 14"/>
    <x v="1860"/>
    <n v="2573127.7799999998"/>
    <x v="236"/>
    <x v="0"/>
    <s v="pagado"/>
    <s v="pagado"/>
    <x v="0"/>
  </r>
  <r>
    <n v="3000002088"/>
    <d v="2026-04-20T00:00:00"/>
    <n v="4543274.22"/>
    <s v="PEREZ CURBELO HNOS SRL SAN MIGUEL DE TUCUMAN 14"/>
    <x v="1861"/>
    <n v="4543274.22"/>
    <x v="234"/>
    <x v="0"/>
    <s v="pagado"/>
    <s v="pagado"/>
    <x v="0"/>
  </r>
  <r>
    <n v="3000002089"/>
    <d v="2026-04-20T00:00:00"/>
    <n v="11327967.66"/>
    <s v="SMART SEGURIDAD SA YERBA BUENA 14"/>
    <x v="1862"/>
    <n v="11327967.66"/>
    <x v="234"/>
    <x v="0"/>
    <s v="pagado"/>
    <s v="pagado"/>
    <x v="0"/>
  </r>
  <r>
    <n v="3000002090"/>
    <d v="2026-04-20T00:00:00"/>
    <n v="19279785.890000001"/>
    <s v="SEGURIDAD OMEGA SRL SAN FERNANDO DEL VALLE DE CATAMARCA 02"/>
    <x v="1863"/>
    <n v="19279785.890000001"/>
    <x v="234"/>
    <x v="0"/>
    <s v="pagado"/>
    <s v="pagado"/>
    <x v="0"/>
  </r>
  <r>
    <n v="3000002091"/>
    <d v="2026-04-20T00:00:00"/>
    <n v="189544258.16"/>
    <s v="CATALANA DE SERVICIOS SRL YERBA BUENA 14"/>
    <x v="1864"/>
    <n v="189544258.16"/>
    <x v="234"/>
    <x v="0"/>
    <s v="pagado"/>
    <s v="pagado"/>
    <x v="0"/>
  </r>
  <r>
    <n v="3000002092"/>
    <d v="2026-04-20T00:00:00"/>
    <n v="5608563.4000000004"/>
    <s v="AG SUSTENTABLE SAS CABA 00"/>
    <x v="1865"/>
    <n v="5608563.4000000004"/>
    <x v="234"/>
    <x v="0"/>
    <s v="pagado"/>
    <s v="pagado"/>
    <x v="0"/>
  </r>
  <r>
    <n v="3000002093"/>
    <d v="2026-04-20T00:00:00"/>
    <n v="5193980"/>
    <s v="GIL ISABEL CRISTINA SAN MIGUEL DE TUCUMAN 14"/>
    <x v="1866"/>
    <n v="5193980"/>
    <x v="237"/>
    <x v="0"/>
    <s v="pagado"/>
    <s v="pagado"/>
    <x v="0"/>
  </r>
  <r>
    <n v="3000002136"/>
    <d v="2026-04-21T00:00:00"/>
    <n v="14831765.09"/>
    <s v="SERVICIO INTERNACIONAL DE FLETCAPTAL FEDERAL 00"/>
    <x v="1867"/>
    <n v="14831765.09"/>
    <x v="238"/>
    <x v="0"/>
    <s v="no pagado"/>
    <s v="fuera de fecha"/>
    <x v="0"/>
  </r>
  <r>
    <n v="3000002137"/>
    <d v="2026-04-21T00:00:00"/>
    <n v="3420636.3"/>
    <s v="PERATO LUIS ALBERTO BANDA DEL RIO SALI 14"/>
    <x v="1868"/>
    <n v="3420636.3"/>
    <x v="238"/>
    <x v="0"/>
    <s v="no pagado"/>
    <s v="fuera de fecha"/>
    <x v="0"/>
  </r>
  <r>
    <n v="3000002138"/>
    <d v="2026-04-21T00:00:00"/>
    <n v="8567468.9800000004"/>
    <s v="ACOSTA ROQUE RAMON SAN MIGUEL DE TUCUMAN 14"/>
    <x v="1869"/>
    <n v="8567468.9800000004"/>
    <x v="238"/>
    <x v="0"/>
    <s v="pagado"/>
    <s v="pagado"/>
    <x v="0"/>
  </r>
  <r>
    <n v="3000002139"/>
    <d v="2026-04-21T00:00:00"/>
    <n v="5133802.09"/>
    <s v="FERNANDEZ HECTOR JOSE SIMOCA 14"/>
    <x v="1870"/>
    <n v="5133802.09"/>
    <x v="238"/>
    <x v="0"/>
    <s v="no pagado"/>
    <s v="fuera de fecha"/>
    <x v="0"/>
  </r>
  <r>
    <n v="3000002140"/>
    <d v="2026-04-21T00:00:00"/>
    <n v="7751298.9699999997"/>
    <s v="GOMEZ JUANA ROSA VILLA LA TRINIDAD 14"/>
    <x v="1871"/>
    <n v="7751298.9699999997"/>
    <x v="238"/>
    <x v="0"/>
    <s v="no pagado"/>
    <s v="fuera de fecha"/>
    <x v="0"/>
  </r>
  <r>
    <n v="3000002141"/>
    <d v="2026-04-21T00:00:00"/>
    <n v="23905685.699999999"/>
    <s v="CEMEVA SAS YERBA BUENA 14"/>
    <x v="1872"/>
    <n v="23905685.699999999"/>
    <x v="238"/>
    <x v="0"/>
    <s v="no pagado"/>
    <s v="fuera de fecha"/>
    <x v="0"/>
  </r>
  <r>
    <n v="3000002142"/>
    <d v="2026-04-21T00:00:00"/>
    <n v="6380801.7599999998"/>
    <s v="Gonzalez Jose Luis Lastenia 14"/>
    <x v="1873"/>
    <n v="6380801.7599999998"/>
    <x v="238"/>
    <x v="0"/>
    <s v="no pagado"/>
    <s v="fuera de fecha"/>
    <x v="0"/>
  </r>
  <r>
    <n v="3000002056"/>
    <d v="2026-04-20T00:00:00"/>
    <n v="30330400"/>
    <s v="EDET S.A. SAN MIGUEL DE TUCUMAN 14"/>
    <x v="1874"/>
    <n v="30330400"/>
    <x v="232"/>
    <x v="0"/>
    <s v="pagado"/>
    <s v="pagado"/>
    <x v="0"/>
  </r>
  <r>
    <n v="3000002182"/>
    <d v="2026-04-22T00:00:00"/>
    <n v="222414331.91999999"/>
    <s v="EDET S.A. SAN MIGUEL DE TUCUMAN 14"/>
    <x v="1875"/>
    <n v="222414331.91999999"/>
    <x v="238"/>
    <x v="0"/>
    <s v="no pagado"/>
    <s v="fuera de fecha"/>
    <x v="0"/>
  </r>
  <r>
    <n v="3000002183"/>
    <d v="2026-04-22T00:00:00"/>
    <n v="350514.88"/>
    <s v="ACOSTA ANGEL ALEJANDRO SAN MIGUEL DE TUCUMAN 14"/>
    <x v="1876"/>
    <n v="350514.88"/>
    <x v="237"/>
    <x v="0"/>
    <s v="pagado"/>
    <s v="pagado"/>
    <x v="0"/>
  </r>
  <r>
    <n v="3000002223"/>
    <d v="2026-04-24T00:00:00"/>
    <n v="6893841.6399999997"/>
    <s v="ROMERO SERVICIOS S. A. S. ALPACHIRI 14"/>
    <x v="1877"/>
    <n v="6893841.6399999997"/>
    <x v="238"/>
    <x v="0"/>
    <s v="pagado"/>
    <s v="pagado"/>
    <x v="0"/>
  </r>
  <r>
    <n v="3000002224"/>
    <d v="2026-04-24T00:00:00"/>
    <n v="42625439.039999999"/>
    <s v="AGROPECUARIA MUNDO NUEVO SRL SAN PABLO 14"/>
    <x v="1878"/>
    <n v="42625439.039999999"/>
    <x v="238"/>
    <x v="0"/>
    <s v="pagado"/>
    <s v="pagado"/>
    <x v="0"/>
  </r>
  <r>
    <n v="3000002225"/>
    <d v="2026-04-24T00:00:00"/>
    <n v="26623627.559999999"/>
    <s v="PAMPLONA SRL SAN MIGUEL DE TUCUMAN 14"/>
    <x v="1879"/>
    <n v="26623627.559999999"/>
    <x v="238"/>
    <x v="0"/>
    <s v="pagado"/>
    <s v="pagado"/>
    <x v="0"/>
  </r>
  <r>
    <n v="3000002296"/>
    <d v="2026-04-27T00:00:00"/>
    <n v="14600000"/>
    <s v="LEGADO DEL NORTE SA LOS VALLISTOS 14"/>
    <x v="1880"/>
    <n v="14600000"/>
    <x v="239"/>
    <x v="0"/>
    <s v="no pagado"/>
    <s v="fuera de fecha"/>
    <x v="0"/>
  </r>
  <r>
    <n v="3000002296"/>
    <d v="2026-04-27T00:00:00"/>
    <n v="14600000"/>
    <s v="LEGADO DEL NORTE SA LOS VALLISTOS 14"/>
    <x v="1881"/>
    <n v="14600000"/>
    <x v="239"/>
    <x v="0"/>
    <s v="no pagado"/>
    <s v="fuera de fecha"/>
    <x v="0"/>
  </r>
  <r>
    <n v="3000002296"/>
    <d v="2026-04-27T00:00:00"/>
    <n v="14600000"/>
    <s v="LEGADO DEL NORTE SA LOS VALLISTOS 14"/>
    <x v="1882"/>
    <n v="14600000"/>
    <x v="239"/>
    <x v="0"/>
    <s v="no pagado"/>
    <s v="fuera de fecha"/>
    <x v="0"/>
  </r>
  <r>
    <n v="3000002296"/>
    <d v="2026-04-27T00:00:00"/>
    <n v="14600000"/>
    <s v="LEGADO DEL NORTE SA LOS VALLISTOS 14"/>
    <x v="1883"/>
    <n v="14600000"/>
    <x v="239"/>
    <x v="0"/>
    <s v="no pagado"/>
    <s v="fuera de fecha"/>
    <x v="0"/>
  </r>
  <r>
    <n v="3000002296"/>
    <d v="2026-04-27T00:00:00"/>
    <n v="14519180.300000001"/>
    <s v="LEGADO DEL NORTE SA LOS VALLISTOS 14"/>
    <x v="1884"/>
    <n v="14519180.300000001"/>
    <x v="239"/>
    <x v="0"/>
    <s v="no pagado"/>
    <s v="fuera de fecha"/>
    <x v="0"/>
  </r>
  <r>
    <n v="3000002280"/>
    <d v="2026-04-27T00:00:00"/>
    <n v="4490853.6500000004"/>
    <s v="Astori Estructuras S.A. Bº Palmar 03"/>
    <x v="1885"/>
    <n v="4490853.6500000004"/>
    <x v="239"/>
    <x v="0"/>
    <s v="pagado"/>
    <s v="pagado"/>
    <x v="0"/>
  </r>
  <r>
    <n v="3000002281"/>
    <d v="2026-04-27T00:00:00"/>
    <n v="10384519.9"/>
    <s v="Inquinat S.A. San Martín 01"/>
    <x v="1886"/>
    <n v="10384519.9"/>
    <x v="239"/>
    <x v="0"/>
    <s v="pagado"/>
    <s v="pagado"/>
    <x v="0"/>
  </r>
  <r>
    <n v="3000002282"/>
    <d v="2026-04-27T00:00:00"/>
    <n v="4588053.75"/>
    <s v="Autino Hierros S.R.L. SAN MIGUEL DE TUCUMAN 14"/>
    <x v="1887"/>
    <n v="4588053.75"/>
    <x v="239"/>
    <x v="0"/>
    <s v="no pagado"/>
    <s v="fuera de fecha"/>
    <x v="0"/>
  </r>
  <r>
    <n v="3000002283"/>
    <d v="2026-04-27T00:00:00"/>
    <n v="33111550.079999998"/>
    <s v="ROMERO SERVICIOS S. A. S. ALPACHIRI 14"/>
    <x v="1888"/>
    <n v="33111550.079999998"/>
    <x v="239"/>
    <x v="0"/>
    <s v="pagado"/>
    <s v="pagado"/>
    <x v="0"/>
  </r>
  <r>
    <n v="3000002284"/>
    <d v="2026-04-27T00:00:00"/>
    <n v="9180648.7300000004"/>
    <s v="PERATO CRISTIAN LUIS BANDA DEL RIO SALI 14"/>
    <x v="1889"/>
    <n v="9180648.7300000004"/>
    <x v="239"/>
    <x v="0"/>
    <s v="pagado"/>
    <s v="pagado"/>
    <x v="0"/>
  </r>
  <r>
    <n v="3000002285"/>
    <d v="2026-04-27T00:00:00"/>
    <n v="3190003.44"/>
    <s v="HERRERA RICARDO ALBERTO BANDA DEL RIO SALI 14"/>
    <x v="1890"/>
    <n v="3190003.44"/>
    <x v="239"/>
    <x v="0"/>
    <s v="pagado"/>
    <s v="pagado"/>
    <x v="0"/>
  </r>
  <r>
    <n v="3000002286"/>
    <d v="2026-04-27T00:00:00"/>
    <n v="4074680.69"/>
    <s v="Arias Gonzalo Alejandro San Miguel de Tucumán 14"/>
    <x v="1891"/>
    <n v="4074680.69"/>
    <x v="239"/>
    <x v="0"/>
    <s v="no pagado"/>
    <s v="fuera de fecha"/>
    <x v="0"/>
  </r>
  <r>
    <n v="3000002287"/>
    <d v="2026-04-27T00:00:00"/>
    <n v="47033595.619999997"/>
    <s v="LA MARTINA SERV. AGRICOLAS S.RSAN PABLO 14"/>
    <x v="1892"/>
    <n v="47033595.619999997"/>
    <x v="239"/>
    <x v="0"/>
    <s v="pagado"/>
    <s v="pagado"/>
    <x v="0"/>
  </r>
  <r>
    <n v="3000002289"/>
    <d v="2026-04-27T00:00:00"/>
    <n v="3267634.21"/>
    <s v="LANCHELA HECTOR ROLANDO CONCEPCION 14"/>
    <x v="1893"/>
    <n v="3267634.21"/>
    <x v="239"/>
    <x v="0"/>
    <s v="pagado"/>
    <s v="pagado"/>
    <x v="0"/>
  </r>
  <r>
    <n v="3000002290"/>
    <d v="2026-04-27T00:00:00"/>
    <n v="5530828.9400000004"/>
    <s v="SUAREZ MANUEL RODOLFO ALDERETES 14"/>
    <x v="1894"/>
    <n v="5530828.9400000004"/>
    <x v="239"/>
    <x v="0"/>
    <s v="no pagado"/>
    <s v="fuera de fecha"/>
    <x v="0"/>
  </r>
  <r>
    <n v="3000002291"/>
    <d v="2026-04-27T00:00:00"/>
    <n v="5011443.46"/>
    <s v="Transportes La Sevillanita S.RALDERETES 14"/>
    <x v="1895"/>
    <n v="5011443.46"/>
    <x v="239"/>
    <x v="0"/>
    <s v="no pagado"/>
    <s v="fuera de fecha"/>
    <x v="0"/>
  </r>
  <r>
    <n v="3000002292"/>
    <d v="2026-04-27T00:00:00"/>
    <n v="29425910.899999999"/>
    <s v="LATCOMEX SA CAPITAL FEDERAL 00"/>
    <x v="1896"/>
    <n v="29425910.899999999"/>
    <x v="239"/>
    <x v="0"/>
    <s v="pagado"/>
    <s v="pagado"/>
    <x v="0"/>
  </r>
  <r>
    <n v="3000002293"/>
    <d v="2026-04-27T00:00:00"/>
    <n v="10211869.41"/>
    <s v="CONTROL UNION NORTE S.A YERBA BUENA 14"/>
    <x v="1897"/>
    <n v="10211869.41"/>
    <x v="239"/>
    <x v="0"/>
    <s v="pagado"/>
    <s v="pagado"/>
    <x v="0"/>
  </r>
  <r>
    <n v="3000002294"/>
    <d v="2026-04-27T00:00:00"/>
    <n v="19764000"/>
    <s v="Rutas Servicios Integrales SRLCapital Federal 00"/>
    <x v="1898"/>
    <n v="19764000"/>
    <x v="239"/>
    <x v="0"/>
    <s v="pagado"/>
    <s v="pagado"/>
    <x v="0"/>
  </r>
  <r>
    <n v="3000002295"/>
    <d v="2026-04-27T00:00:00"/>
    <n v="3149017.23"/>
    <s v="Sanchez Jose Mauricio San Miguel de Tucuman 14"/>
    <x v="1899"/>
    <n v="3149017.23"/>
    <x v="239"/>
    <x v="0"/>
    <s v="pagado"/>
    <s v="pagado"/>
    <x v="0"/>
  </r>
  <r>
    <n v="3000002288"/>
    <d v="2026-04-27T00:00:00"/>
    <n v="19780904.050000001"/>
    <s v="PAMPLONA SRL SAN MIGUEL DE TUCUMAN 14"/>
    <x v="1900"/>
    <n v="19780904.050000001"/>
    <x v="239"/>
    <x v="0"/>
    <s v="pagado"/>
    <s v="pagado"/>
    <x v="0"/>
  </r>
  <r>
    <n v="3000002340"/>
    <d v="2026-04-28T00:00:00"/>
    <n v="3000000"/>
    <s v=". TUCUMAN"/>
    <x v="1901"/>
    <n v="3000000"/>
    <x v="240"/>
    <x v="0"/>
    <s v="pagado"/>
    <s v="pagado"/>
    <x v="0"/>
  </r>
  <r>
    <n v="3000002342"/>
    <d v="2026-04-29T00:00:00"/>
    <n v="50000000"/>
    <s v="CV CONSTRUCCIONES SRL SAN MIGUEL DE TUCUMAN 14"/>
    <x v="1902"/>
    <n v="50000000"/>
    <x v="241"/>
    <x v="0"/>
    <s v="no pagado"/>
    <s v="fuera de fecha"/>
    <x v="0"/>
  </r>
  <r>
    <n v="3000002342"/>
    <d v="2026-04-29T00:00:00"/>
    <n v="57830447.140000001"/>
    <s v="CV CONSTRUCCIONES SRL SAN MIGUEL DE TUCUMAN 14"/>
    <x v="1903"/>
    <n v="57830447.140000001"/>
    <x v="242"/>
    <x v="0"/>
    <s v="pagado"/>
    <s v="pagado"/>
    <x v="0"/>
  </r>
  <r>
    <n v="3000002392"/>
    <d v="2026-04-29T00:00:00"/>
    <n v="2856663.29"/>
    <s v="TRANSPORTE MEDINA S.H. CRUZ ALTA 14"/>
    <x v="1904"/>
    <n v="2856663.29"/>
    <x v="241"/>
    <x v="0"/>
    <s v="pagado"/>
    <s v="pagado"/>
    <x v="0"/>
  </r>
  <r>
    <n v="3000002423"/>
    <d v="2026-04-30T00:00:00"/>
    <n v="10000000"/>
    <s v="AGROGANADERA DEL NOA CEVIL POZO 14"/>
    <x v="1905"/>
    <n v="10000000"/>
    <x v="243"/>
    <x v="0"/>
    <s v="pagado"/>
    <s v="pagado"/>
    <x v="0"/>
  </r>
  <r>
    <n v="3000002423"/>
    <d v="2026-04-30T00:00:00"/>
    <n v="10000000"/>
    <s v="AGROGANADERA DEL NOA CEVIL POZO 14"/>
    <x v="1906"/>
    <n v="10000000"/>
    <x v="243"/>
    <x v="0"/>
    <s v="pagado"/>
    <s v="pagado"/>
    <x v="0"/>
  </r>
  <r>
    <n v="3000002423"/>
    <d v="2026-04-30T00:00:00"/>
    <n v="10000000"/>
    <s v="AGROGANADERA DEL NOA CEVIL POZO 14"/>
    <x v="1907"/>
    <n v="10000000"/>
    <x v="243"/>
    <x v="0"/>
    <s v="pagado"/>
    <s v="pagado"/>
    <x v="0"/>
  </r>
  <r>
    <n v="3000002423"/>
    <d v="2026-04-30T00:00:00"/>
    <n v="10000000"/>
    <s v="AGROGANADERA DEL NOA CEVIL POZO 14"/>
    <x v="1908"/>
    <n v="10000000"/>
    <x v="244"/>
    <x v="0"/>
    <s v="pagado"/>
    <s v="pagado"/>
    <x v="0"/>
  </r>
  <r>
    <n v="3000002423"/>
    <d v="2026-04-30T00:00:00"/>
    <n v="5000000"/>
    <s v="AGROGANADERA DEL NOA CEVIL POZO 14"/>
    <x v="1909"/>
    <n v="5000000"/>
    <x v="244"/>
    <x v="0"/>
    <s v="pagado"/>
    <s v="pagado"/>
    <x v="0"/>
  </r>
  <r>
    <n v="3000002423"/>
    <d v="2026-04-30T00:00:00"/>
    <n v="5000000"/>
    <s v="AGROGANADERA DEL NOA CEVIL POZO 14"/>
    <x v="1910"/>
    <n v="5000000"/>
    <x v="244"/>
    <x v="0"/>
    <s v="pagado"/>
    <s v="pagado"/>
    <x v="0"/>
  </r>
  <r>
    <n v="3000002423"/>
    <d v="2026-04-30T00:00:00"/>
    <n v="5000000"/>
    <s v="AGROGANADERA DEL NOA CEVIL POZO 14"/>
    <x v="1911"/>
    <n v="5000000"/>
    <x v="244"/>
    <x v="0"/>
    <s v="pagado"/>
    <s v="pagado"/>
    <x v="0"/>
  </r>
  <r>
    <n v="3000002423"/>
    <d v="2026-04-30T00:00:00"/>
    <n v="5000000"/>
    <s v="AGROGANADERA DEL NOA CEVIL POZO 14"/>
    <x v="1912"/>
    <n v="5000000"/>
    <x v="244"/>
    <x v="0"/>
    <s v="pagado"/>
    <s v="pagado"/>
    <x v="0"/>
  </r>
  <r>
    <n v="3000002423"/>
    <d v="2026-04-30T00:00:00"/>
    <n v="5000000"/>
    <s v="AGROGANADERA DEL NOA CEVIL POZO 14"/>
    <x v="1913"/>
    <n v="5000000"/>
    <x v="244"/>
    <x v="0"/>
    <s v="pagado"/>
    <s v="pagado"/>
    <x v="0"/>
  </r>
  <r>
    <n v="3000002423"/>
    <d v="2026-04-30T00:00:00"/>
    <n v="5000000"/>
    <s v="AGROGANADERA DEL NOA CEVIL POZO 14"/>
    <x v="1914"/>
    <n v="5000000"/>
    <x v="244"/>
    <x v="0"/>
    <s v="pagado"/>
    <s v="pagado"/>
    <x v="0"/>
  </r>
  <r>
    <n v="3000002423"/>
    <d v="2026-04-30T00:00:00"/>
    <n v="5000000"/>
    <s v="AGROGANADERA DEL NOA CEVIL POZO 14"/>
    <x v="1915"/>
    <n v="5000000"/>
    <x v="244"/>
    <x v="0"/>
    <s v="pagado"/>
    <s v="pagado"/>
    <x v="0"/>
  </r>
  <r>
    <n v="3000002423"/>
    <d v="2026-04-30T00:00:00"/>
    <n v="8780695.2899999991"/>
    <s v="AGROGANADERA DEL NOA CEVIL POZO 14"/>
    <x v="1916"/>
    <n v="8780695.2899999991"/>
    <x v="244"/>
    <x v="0"/>
    <s v="pagado"/>
    <s v="pagado"/>
    <x v="0"/>
  </r>
  <r>
    <n v="3000002447"/>
    <d v="2026-05-04T00:00:00"/>
    <n v="45000000"/>
    <s v="Cheque de terceros TUCUMAN"/>
    <x v="1917"/>
    <n v="45000000"/>
    <x v="245"/>
    <x v="0"/>
    <s v="pagado"/>
    <s v="pagado"/>
    <x v="0"/>
  </r>
  <r>
    <n v="3000002447"/>
    <d v="2026-05-04T00:00:00"/>
    <n v="45796981.350000001"/>
    <s v="Cheque de terceros TUCUMAN"/>
    <x v="1918"/>
    <n v="45796981.350000001"/>
    <x v="245"/>
    <x v="0"/>
    <s v="pagado"/>
    <s v="pagado"/>
    <x v="0"/>
  </r>
  <r>
    <n v="3000002447"/>
    <d v="2026-05-04T00:00:00"/>
    <n v="30250"/>
    <s v="Cheque de terceros TUCUMAN"/>
    <x v="1919"/>
    <n v="30250"/>
    <x v="245"/>
    <x v="0"/>
    <s v="no pagado"/>
    <s v="fuera de fecha"/>
    <x v="0"/>
  </r>
  <r>
    <n v="3000002447"/>
    <d v="2026-05-04T00:00:00"/>
    <n v="18459650.890000001"/>
    <s v="Cheque de terceros TUCUMAN"/>
    <x v="1920"/>
    <n v="18459650.890000001"/>
    <x v="245"/>
    <x v="0"/>
    <s v="pagado"/>
    <s v="pagado"/>
    <x v="0"/>
  </r>
  <r>
    <n v="3000002447"/>
    <d v="2026-05-04T00:00:00"/>
    <n v="657119.32999999996"/>
    <s v="Cheque de terceros TUCUMAN"/>
    <x v="1921"/>
    <n v="657119.32999999996"/>
    <x v="245"/>
    <x v="0"/>
    <s v="no pagado"/>
    <s v="fuera de fecha"/>
    <x v="0"/>
  </r>
  <r>
    <n v="3000002448"/>
    <d v="2026-05-04T00:00:00"/>
    <n v="45000000"/>
    <s v="Cheque de terceros TUCUMAN"/>
    <x v="1922"/>
    <n v="45000000"/>
    <x v="245"/>
    <x v="0"/>
    <s v="pagado"/>
    <s v="pagado"/>
    <x v="0"/>
  </r>
  <r>
    <n v="3000002448"/>
    <d v="2026-05-04T00:00:00"/>
    <n v="45796981.350000001"/>
    <s v="Cheque de terceros TUCUMAN"/>
    <x v="1923"/>
    <n v="45796981.350000001"/>
    <x v="245"/>
    <x v="0"/>
    <s v="pagado"/>
    <s v="pagado"/>
    <x v="0"/>
  </r>
  <r>
    <n v="3000002448"/>
    <d v="2026-05-04T00:00:00"/>
    <n v="30250"/>
    <s v="Cheque de terceros TUCUMAN"/>
    <x v="1924"/>
    <n v="30250"/>
    <x v="245"/>
    <x v="0"/>
    <s v="no pagado"/>
    <s v="fuera de fecha"/>
    <x v="0"/>
  </r>
  <r>
    <n v="3000002448"/>
    <d v="2026-05-04T00:00:00"/>
    <n v="18459650.890000001"/>
    <s v="Cheque de terceros TUCUMAN"/>
    <x v="1925"/>
    <n v="18459650.890000001"/>
    <x v="245"/>
    <x v="0"/>
    <s v="pagado"/>
    <s v="pagado"/>
    <x v="0"/>
  </r>
  <r>
    <n v="3000002448"/>
    <d v="2026-05-04T00:00:00"/>
    <n v="657119.32999999996"/>
    <s v="Cheque de terceros TUCUMAN"/>
    <x v="1926"/>
    <n v="657119.32999999996"/>
    <x v="245"/>
    <x v="0"/>
    <s v="no pagado"/>
    <s v="fuera de fecha"/>
    <x v="0"/>
  </r>
  <r>
    <n v="3000002478"/>
    <d v="2026-05-05T00:00:00"/>
    <n v="1500000"/>
    <s v=". TUCUMAN"/>
    <x v="1927"/>
    <n v="1500000"/>
    <x v="243"/>
    <x v="0"/>
    <s v="pagado"/>
    <s v="pagado"/>
    <x v="0"/>
  </r>
  <r>
    <n v="3000002479"/>
    <d v="2026-05-05T00:00:00"/>
    <n v="3320230"/>
    <s v="EDET S.A. SAN MIGUEL DE TUCUMAN 14"/>
    <x v="1928"/>
    <n v="3320230"/>
    <x v="245"/>
    <x v="0"/>
    <s v="no pagado"/>
    <s v="fuera de fecha"/>
    <x v="0"/>
  </r>
  <r>
    <n v="3000002483"/>
    <d v="2026-05-05T00:00:00"/>
    <n v="6167688.8499999996"/>
    <s v="PEDRO GABRIEL ALEJANDRO ALDERETES 14"/>
    <x v="1929"/>
    <n v="6167688.8499999996"/>
    <x v="244"/>
    <x v="0"/>
    <s v="pagado"/>
    <s v="pagado"/>
    <x v="0"/>
  </r>
  <r>
    <n v="3000002486"/>
    <d v="2026-05-05T00:00:00"/>
    <n v="1989790.52"/>
    <s v="TRANSPORTE MEDINA S.H. CRUZ ALTA 14"/>
    <x v="1930"/>
    <n v="1989790.52"/>
    <x v="244"/>
    <x v="0"/>
    <s v="pagado"/>
    <s v="pagado"/>
    <x v="0"/>
  </r>
  <r>
    <n v="3000002480"/>
    <d v="2026-05-05T00:00:00"/>
    <n v="6246803.4000000004"/>
    <s v="GEOTECNOLOGIA S.R.L SAN MIGUEL DE TUCUMAN 14"/>
    <x v="1931"/>
    <n v="6246803.4000000004"/>
    <x v="244"/>
    <x v="0"/>
    <s v="pagado"/>
    <s v="pagado"/>
    <x v="0"/>
  </r>
  <r>
    <n v="3000002481"/>
    <d v="2026-05-05T00:00:00"/>
    <n v="22028025"/>
    <s v="FERRO JOSE NICOLAS FAMAILLA 14"/>
    <x v="1932"/>
    <n v="22028025"/>
    <x v="244"/>
    <x v="0"/>
    <s v="pagado"/>
    <s v="pagado"/>
    <x v="0"/>
  </r>
  <r>
    <n v="3000002482"/>
    <d v="2026-05-05T00:00:00"/>
    <n v="5709023.4000000004"/>
    <s v="PABLO Y FERNANDO TACCHELLA S.RSAN MIGUEL DE TUCUMAN 14"/>
    <x v="1933"/>
    <n v="5709023.4000000004"/>
    <x v="244"/>
    <x v="0"/>
    <s v="pagado"/>
    <s v="pagado"/>
    <x v="0"/>
  </r>
  <r>
    <n v="3000002484"/>
    <d v="2026-05-05T00:00:00"/>
    <n v="15171638.5"/>
    <s v="BARBARISI JUAREZ PABLO EMANUELSAN JUAN 10"/>
    <x v="1934"/>
    <n v="15171638.5"/>
    <x v="244"/>
    <x v="0"/>
    <s v="pagado"/>
    <s v="pagado"/>
    <x v="0"/>
  </r>
  <r>
    <n v="3000002485"/>
    <d v="2026-05-05T00:00:00"/>
    <n v="3056012.13"/>
    <s v="JACQUET NORBERTO SALVADOR SAN JOSE 05"/>
    <x v="1935"/>
    <n v="3056012.13"/>
    <x v="244"/>
    <x v="0"/>
    <s v="pagado"/>
    <s v="pagado"/>
    <x v="0"/>
  </r>
  <r>
    <n v="3000002487"/>
    <d v="2026-05-05T00:00:00"/>
    <n v="18806823.469999999"/>
    <s v="CAPETTA ANTONELLA ANAHI SAN MIGUEL DE TUCUMAN 14"/>
    <x v="1936"/>
    <n v="18806823.469999999"/>
    <x v="244"/>
    <x v="0"/>
    <s v="pagado"/>
    <s v="pagado"/>
    <x v="0"/>
  </r>
  <r>
    <n v="3000002488"/>
    <d v="2026-05-05T00:00:00"/>
    <n v="5598760.7199999997"/>
    <s v="MAC DONALD MIGUEL ALEJANDRO BANDA DEL RIO SALI 14"/>
    <x v="1937"/>
    <n v="5598760.7199999997"/>
    <x v="244"/>
    <x v="0"/>
    <s v="pagado"/>
    <s v="pagado"/>
    <x v="0"/>
  </r>
  <r>
    <n v="3000002489"/>
    <d v="2026-05-05T00:00:00"/>
    <n v="21527151.829999998"/>
    <s v="TRANSPORTE FRIOS DEL NORTE S.RSAN MIGUEL DE TUCUMAN 14"/>
    <x v="1938"/>
    <n v="21527151.829999998"/>
    <x v="244"/>
    <x v="0"/>
    <s v="pagado"/>
    <s v="pagado"/>
    <x v="0"/>
  </r>
  <r>
    <n v="3000002490"/>
    <d v="2026-05-05T00:00:00"/>
    <n v="10189865.58"/>
    <s v="GOMEZ JUANA ROSA VILLA LA TRINIDAD 14"/>
    <x v="1939"/>
    <n v="10189865.58"/>
    <x v="244"/>
    <x v="0"/>
    <s v="pagado"/>
    <s v="pagado"/>
    <x v="0"/>
  </r>
  <r>
    <n v="3000002491"/>
    <d v="2026-05-05T00:00:00"/>
    <n v="2238697.2799999998"/>
    <s v="SUAREZ ENRIQUE FLORENCIO ALDERETES 14"/>
    <x v="1940"/>
    <n v="2238697.2799999998"/>
    <x v="244"/>
    <x v="0"/>
    <s v="pagado"/>
    <s v="pagado"/>
    <x v="0"/>
  </r>
  <r>
    <n v="3000002492"/>
    <d v="2026-05-05T00:00:00"/>
    <n v="11829504.689999999"/>
    <s v="PERATO CRISTIAN LUIS BANDA DEL RIO SALI 14"/>
    <x v="1941"/>
    <n v="11829504.689999999"/>
    <x v="244"/>
    <x v="0"/>
    <s v="pagado"/>
    <s v="pagado"/>
    <x v="0"/>
  </r>
  <r>
    <n v="3000002493"/>
    <d v="2026-05-05T00:00:00"/>
    <n v="2237657.85"/>
    <s v="GONZALEZ SANTIAGO ROQUE TAFI VIEJO 14"/>
    <x v="1942"/>
    <n v="2237657.85"/>
    <x v="244"/>
    <x v="0"/>
    <s v="pagado"/>
    <s v="pagado"/>
    <x v="0"/>
  </r>
  <r>
    <n v="3000002494"/>
    <d v="2026-05-05T00:00:00"/>
    <n v="3716293.1"/>
    <s v="TORRES JUAN RAMON ALDERETES 14"/>
    <x v="1943"/>
    <n v="3716293.1"/>
    <x v="244"/>
    <x v="0"/>
    <s v="pagado"/>
    <s v="pagado"/>
    <x v="0"/>
  </r>
  <r>
    <n v="3000002495"/>
    <d v="2026-05-05T00:00:00"/>
    <n v="4536566.55"/>
    <s v="PERATO LUIS ALBERTO BANDA DEL RIO SALI 14"/>
    <x v="1944"/>
    <n v="4536566.55"/>
    <x v="244"/>
    <x v="0"/>
    <s v="pagado"/>
    <s v="pagado"/>
    <x v="0"/>
  </r>
  <r>
    <n v="3000002496"/>
    <d v="2026-05-05T00:00:00"/>
    <n v="2161912.81"/>
    <s v="ALBERTUS JUAN CARLOS SAN MIGUEL DE TUCUMAN 14"/>
    <x v="1945"/>
    <n v="2161912.81"/>
    <x v="244"/>
    <x v="0"/>
    <s v="pagado"/>
    <s v="pagado"/>
    <x v="0"/>
  </r>
  <r>
    <n v="3000002497"/>
    <d v="2026-05-06T00:00:00"/>
    <n v="5064950.8499999996"/>
    <s v="MOLINA JUAN F. Y MOLINA ROQUE Lastenia 14"/>
    <x v="1946"/>
    <n v="5064950.8499999996"/>
    <x v="244"/>
    <x v="0"/>
    <s v="pagado"/>
    <s v="pagado"/>
    <x v="0"/>
  </r>
  <r>
    <n v="3000002497"/>
    <d v="2026-05-06T00:00:00"/>
    <n v="10020951.16"/>
    <s v="MOLINA JUAN F. Y MOLINA ROQUE Lastenia 14"/>
    <x v="1947"/>
    <n v="10020951.16"/>
    <x v="244"/>
    <x v="0"/>
    <s v="pagado"/>
    <s v="pagado"/>
    <x v="0"/>
  </r>
  <r>
    <n v="3000002635"/>
    <d v="2026-05-12T00:00:00"/>
    <n v="35000000"/>
    <s v="Rosso Hnos SH MONTEROS 14"/>
    <x v="1948"/>
    <n v="35000000"/>
    <x v="246"/>
    <x v="0"/>
    <s v="pagado"/>
    <s v="pagado"/>
    <x v="0"/>
  </r>
  <r>
    <n v="3000002635"/>
    <d v="2026-05-12T00:00:00"/>
    <n v="34832829.740000002"/>
    <s v="Rosso Hnos SH MONTEROS 14"/>
    <x v="1949"/>
    <n v="34832829.740000002"/>
    <x v="246"/>
    <x v="0"/>
    <s v="pagado"/>
    <s v="pagado"/>
    <x v="0"/>
  </r>
  <r>
    <n v="3000002709"/>
    <d v="2026-05-12T00:00:00"/>
    <n v="20000000"/>
    <s v="CAPETTA ANTONELLA ANAHI SAN MIGUEL DE TUCUMAN 14"/>
    <x v="1950"/>
    <n v="20000000"/>
    <x v="247"/>
    <x v="0"/>
    <s v="pagado"/>
    <s v="pagado"/>
    <x v="0"/>
  </r>
  <r>
    <n v="3000002709"/>
    <d v="2026-05-12T00:00:00"/>
    <n v="22094015.399999999"/>
    <s v="CAPETTA ANTONELLA ANAHI SAN MIGUEL DE TUCUMAN 14"/>
    <x v="1951"/>
    <n v="22094015.399999999"/>
    <x v="247"/>
    <x v="0"/>
    <s v="pagado"/>
    <s v="pagado"/>
    <x v="0"/>
  </r>
  <r>
    <n v="3000002636"/>
    <d v="2026-05-12T00:00:00"/>
    <n v="173710874.16999999"/>
    <s v="CATALANA DE SERVICIOS SRL YERBA BUENA 14"/>
    <x v="1952"/>
    <n v="173710874.16999999"/>
    <x v="248"/>
    <x v="0"/>
    <s v="pagado"/>
    <s v="pagado"/>
    <x v="0"/>
  </r>
  <r>
    <n v="3000002637"/>
    <d v="2026-05-12T00:00:00"/>
    <n v="5445534.4199999999"/>
    <s v="Marchese Grandi Meson y Asoc SAN MIGUEL DE TUCUMAN 14"/>
    <x v="1953"/>
    <n v="5445534.4199999999"/>
    <x v="248"/>
    <x v="0"/>
    <s v="pagado"/>
    <s v="pagado"/>
    <x v="0"/>
  </r>
  <r>
    <n v="3000002638"/>
    <d v="2026-05-12T00:00:00"/>
    <n v="44368343.399999999"/>
    <s v="Jeblab S.R.L. YERBA BUENA 14"/>
    <x v="1954"/>
    <n v="44368343.399999999"/>
    <x v="248"/>
    <x v="0"/>
    <s v="pagado"/>
    <s v="pagado"/>
    <x v="0"/>
  </r>
  <r>
    <n v="3000002639"/>
    <d v="2026-05-12T00:00:00"/>
    <n v="7964741.1100000003"/>
    <s v="RODRIGO HEREDIA PUIG LASTENIA 14"/>
    <x v="1955"/>
    <n v="7964741.1100000003"/>
    <x v="248"/>
    <x v="0"/>
    <s v="pagado"/>
    <s v="pagado"/>
    <x v="0"/>
  </r>
  <r>
    <n v="3000002640"/>
    <d v="2026-05-12T00:00:00"/>
    <n v="25394426.609999999"/>
    <s v="CAMPOAGRO SRL YERBA BUENA 14"/>
    <x v="1956"/>
    <n v="25394426.609999999"/>
    <x v="248"/>
    <x v="0"/>
    <s v="pagado"/>
    <s v="pagado"/>
    <x v="0"/>
  </r>
  <r>
    <n v="3000002641"/>
    <d v="2026-05-12T00:00:00"/>
    <n v="11867365.5"/>
    <s v="Poda Verde SRL SAN MIGUEL DE TUCUMAN 14"/>
    <x v="1957"/>
    <n v="11867365.5"/>
    <x v="248"/>
    <x v="0"/>
    <s v="pagado"/>
    <s v="pagado"/>
    <x v="0"/>
  </r>
  <r>
    <n v="3000002642"/>
    <d v="2026-05-12T00:00:00"/>
    <n v="14058127.23"/>
    <s v="CAFELI S.R.L. SAN MIGUEL DE TUCUMAN 14"/>
    <x v="1958"/>
    <n v="14058127.23"/>
    <x v="248"/>
    <x v="0"/>
    <s v="pagado"/>
    <s v="pagado"/>
    <x v="0"/>
  </r>
  <r>
    <n v="3000002643"/>
    <d v="2026-05-12T00:00:00"/>
    <n v="38363892.060000002"/>
    <s v="TRUSARELLI CARLOS ALBERTO BANDA DEL RIO SALI 14"/>
    <x v="1959"/>
    <n v="38363892.060000002"/>
    <x v="248"/>
    <x v="0"/>
    <s v="pagado"/>
    <s v="pagado"/>
    <x v="0"/>
  </r>
  <r>
    <n v="3000002644"/>
    <d v="2026-05-12T00:00:00"/>
    <n v="6043958.4900000002"/>
    <s v="LOBO BENICIO MARTIN ALDERETES 14"/>
    <x v="1960"/>
    <n v="6043958.4900000002"/>
    <x v="248"/>
    <x v="0"/>
    <s v="pagado"/>
    <s v="pagado"/>
    <x v="0"/>
  </r>
  <r>
    <n v="3000002645"/>
    <d v="2026-05-12T00:00:00"/>
    <n v="6793880.7999999998"/>
    <s v="SUAREZ MANUEL RODOLFO ALDERETES 14"/>
    <x v="1961"/>
    <n v="6793880.7999999998"/>
    <x v="248"/>
    <x v="0"/>
    <s v="pagado"/>
    <s v="pagado"/>
    <x v="0"/>
  </r>
  <r>
    <n v="3000002646"/>
    <d v="2026-05-12T00:00:00"/>
    <n v="8658934.8499999996"/>
    <s v="FERNANDEZ HECTOR JOSE SIMOCA 14"/>
    <x v="1962"/>
    <n v="8658934.8499999996"/>
    <x v="248"/>
    <x v="0"/>
    <s v="pagado"/>
    <s v="pagado"/>
    <x v="0"/>
  </r>
  <r>
    <n v="3000002647"/>
    <d v="2026-05-12T00:00:00"/>
    <n v="4887290.55"/>
    <s v="PAEZ ANDRES ALEXIS MACIO 14"/>
    <x v="1963"/>
    <n v="4887290.55"/>
    <x v="248"/>
    <x v="0"/>
    <s v="pagado"/>
    <s v="pagado"/>
    <x v="0"/>
  </r>
  <r>
    <n v="3000002648"/>
    <d v="2026-05-12T00:00:00"/>
    <n v="9318577.6199999992"/>
    <s v="LA 10 SRL SAN MIGUEL DE TUCUMAN 14"/>
    <x v="1964"/>
    <n v="9318577.6199999992"/>
    <x v="248"/>
    <x v="0"/>
    <s v="pagado"/>
    <s v="pagado"/>
    <x v="0"/>
  </r>
  <r>
    <n v="3000002649"/>
    <d v="2026-05-12T00:00:00"/>
    <n v="3999841.95"/>
    <s v="BERCOVICH COMERCIAL SAS SAN MIGUEL DE TUCUMAN 14"/>
    <x v="1965"/>
    <n v="3999841.95"/>
    <x v="248"/>
    <x v="0"/>
    <s v="pagado"/>
    <s v="pagado"/>
    <x v="0"/>
  </r>
  <r>
    <n v="3000002650"/>
    <d v="2026-05-12T00:00:00"/>
    <n v="3551708.4"/>
    <s v="BME DISENO Y COMUNICACION SAS CAPITAL FEDERAL 00"/>
    <x v="1966"/>
    <n v="3551708.4"/>
    <x v="248"/>
    <x v="0"/>
    <s v="pagado"/>
    <s v="pagado"/>
    <x v="0"/>
  </r>
  <r>
    <n v="3000002651"/>
    <d v="2026-05-12T00:00:00"/>
    <n v="12873220.869999999"/>
    <s v="Hierronort Salta S.R.L. SAN MIGUEL DE TUCUMAN 14"/>
    <x v="1967"/>
    <n v="12873220.869999999"/>
    <x v="248"/>
    <x v="0"/>
    <s v="pagado"/>
    <s v="pagado"/>
    <x v="0"/>
  </r>
  <r>
    <n v="3000002652"/>
    <d v="2026-05-12T00:00:00"/>
    <n v="5375231.9500000002"/>
    <s v="EL SOL MATERIALES SA SAN MIGUEL DE TUCUMAN 14"/>
    <x v="1968"/>
    <n v="5375231.9500000002"/>
    <x v="248"/>
    <x v="0"/>
    <s v="pagado"/>
    <s v="pagado"/>
    <x v="0"/>
  </r>
  <r>
    <n v="3000002653"/>
    <d v="2026-05-12T00:00:00"/>
    <n v="21704180.800000001"/>
    <s v="MG SERVICIOS AGROPECUARIOS SASTAFI VIEJO 14"/>
    <x v="1969"/>
    <n v="21704180.800000001"/>
    <x v="249"/>
    <x v="0"/>
    <s v="pagado"/>
    <s v="pagado"/>
    <x v="0"/>
  </r>
  <r>
    <n v="3000002654"/>
    <d v="2026-05-12T00:00:00"/>
    <n v="11884741"/>
    <s v="Di Bacco &amp; Cia. S.A. SAN MIGUEL DE TUCUMAN 14"/>
    <x v="1970"/>
    <n v="11884741"/>
    <x v="249"/>
    <x v="0"/>
    <s v="pagado"/>
    <s v="pagado"/>
    <x v="0"/>
  </r>
  <r>
    <n v="3000002700"/>
    <d v="2026-05-12T00:00:00"/>
    <n v="7924771.1299999999"/>
    <s v="MAC DONALD MIGUEL ALEJANDRO BANDA DEL RIO SALI 14"/>
    <x v="1971"/>
    <n v="7924771.1299999999"/>
    <x v="247"/>
    <x v="0"/>
    <s v="pagado"/>
    <s v="pagado"/>
    <x v="0"/>
  </r>
  <r>
    <n v="3000002701"/>
    <d v="2026-05-12T00:00:00"/>
    <n v="15279388.949999999"/>
    <s v="RL SOLUCIONES S. A. S. SAN MIGUEL DE TUCUMAN 14"/>
    <x v="1972"/>
    <n v="15279388.949999999"/>
    <x v="247"/>
    <x v="0"/>
    <s v="pagado"/>
    <s v="pagado"/>
    <x v="0"/>
  </r>
  <r>
    <n v="3000002702"/>
    <d v="2026-05-12T00:00:00"/>
    <n v="8736580.9900000002"/>
    <s v="JACQUET NORBERTO SALVADOR SAN JOSE 05"/>
    <x v="1973"/>
    <n v="8736580.9900000002"/>
    <x v="247"/>
    <x v="0"/>
    <s v="pagado"/>
    <s v="pagado"/>
    <x v="0"/>
  </r>
  <r>
    <n v="3000002703"/>
    <d v="2026-05-12T00:00:00"/>
    <n v="11086768.189999999"/>
    <s v="ACOSTA ROQUE RAMON SAN MIGUEL DE TUCUMAN 14"/>
    <x v="1974"/>
    <n v="11086768.189999999"/>
    <x v="247"/>
    <x v="0"/>
    <s v="pagado"/>
    <s v="pagado"/>
    <x v="0"/>
  </r>
  <r>
    <n v="3000002704"/>
    <d v="2026-05-12T00:00:00"/>
    <n v="3937443.82"/>
    <s v="Cruz Jonas Marcos Tafi del Valle 14"/>
    <x v="1975"/>
    <n v="3937443.82"/>
    <x v="247"/>
    <x v="0"/>
    <s v="pagado"/>
    <s v="pagado"/>
    <x v="0"/>
  </r>
  <r>
    <n v="3000002705"/>
    <d v="2026-05-12T00:00:00"/>
    <n v="4008330.08"/>
    <s v="Almibar SRL San Miguel de Tucuman 14"/>
    <x v="1976"/>
    <n v="4008330.08"/>
    <x v="247"/>
    <x v="0"/>
    <s v="pagado"/>
    <s v="pagado"/>
    <x v="0"/>
  </r>
  <r>
    <n v="3000002706"/>
    <d v="2026-05-12T00:00:00"/>
    <n v="5379268.9400000004"/>
    <s v="Pedro Angel Michael Alderetes 14"/>
    <x v="1977"/>
    <n v="5379268.9400000004"/>
    <x v="247"/>
    <x v="0"/>
    <s v="pagado"/>
    <s v="pagado"/>
    <x v="0"/>
  </r>
  <r>
    <n v="3000002707"/>
    <d v="2026-05-12T00:00:00"/>
    <n v="7378084.8099999996"/>
    <s v="Gonzalez Jose Luis Lastenia 14"/>
    <x v="1978"/>
    <n v="7378084.8099999996"/>
    <x v="247"/>
    <x v="0"/>
    <s v="pagado"/>
    <s v="pagado"/>
    <x v="0"/>
  </r>
  <r>
    <n v="3000002708"/>
    <d v="2026-05-12T00:00:00"/>
    <n v="4364576.5999999996"/>
    <s v="BESTANI JUAN JOSE SAN MIGUEL DE TUCUMAN 14"/>
    <x v="1979"/>
    <n v="4364576.5999999996"/>
    <x v="247"/>
    <x v="0"/>
    <s v="no pagado"/>
    <s v="fuera de fecha"/>
    <x v="0"/>
  </r>
  <r>
    <n v="3000002741"/>
    <d v="2026-05-13T00:00:00"/>
    <n v="1247830.69"/>
    <s v="Gentile Juan Luis Yerba Buena 14"/>
    <x v="1980"/>
    <n v="1247830.69"/>
    <x v="250"/>
    <x v="0"/>
    <s v="pagado"/>
    <s v="pagado"/>
    <x v="0"/>
  </r>
  <r>
    <n v="3000002756"/>
    <d v="2026-05-14T00:00:00"/>
    <n v="4198284.25"/>
    <s v=". TUCUMAN"/>
    <x v="1981"/>
    <n v="4198284.25"/>
    <x v="250"/>
    <x v="0"/>
    <s v="pagado"/>
    <s v="pagado"/>
    <x v="0"/>
  </r>
  <r>
    <n v="3000002822"/>
    <d v="2026-05-18T00:00:00"/>
    <n v="46676000"/>
    <s v="EDET S.A. SAN MIGUEL DE TUCUMAN 14"/>
    <x v="1982"/>
    <n v="46676000"/>
    <x v="251"/>
    <x v="0"/>
    <s v="pagado"/>
    <s v="pagado"/>
    <x v="0"/>
  </r>
  <r>
    <n v="3000002845"/>
    <d v="2026-05-18T00:00:00"/>
    <n v="4769627.3899999997"/>
    <s v="Arias Gonzalo Alejandro San Miguel de Tucumán 14"/>
    <x v="1983"/>
    <n v="4769627.3899999997"/>
    <x v="252"/>
    <x v="0"/>
    <s v="pagado"/>
    <s v="pagado"/>
    <x v="0"/>
  </r>
  <r>
    <n v="3000002846"/>
    <d v="2026-05-18T00:00:00"/>
    <n v="7149291.6600000001"/>
    <s v="LANCHELA HECTOR ROLANDO CONCEPCION 14"/>
    <x v="1984"/>
    <n v="7149291.6600000001"/>
    <x v="252"/>
    <x v="0"/>
    <s v="pagado"/>
    <s v="pagado"/>
    <x v="0"/>
  </r>
  <r>
    <n v="3000002847"/>
    <d v="2026-05-18T00:00:00"/>
    <n v="18628195.239999998"/>
    <s v="LA 10 SRL SAN MIGUEL DE TUCUMAN 14"/>
    <x v="1985"/>
    <n v="18628195.239999998"/>
    <x v="252"/>
    <x v="0"/>
    <s v="pagado"/>
    <s v="pagado"/>
    <x v="0"/>
  </r>
  <r>
    <n v="3000002848"/>
    <d v="2026-05-18T00:00:00"/>
    <n v="9736155"/>
    <s v="GEOTECNOLOGIA S.R.L SAN MIGUEL DE TUCUMAN 14"/>
    <x v="1986"/>
    <n v="9736155"/>
    <x v="252"/>
    <x v="0"/>
    <s v="pagado"/>
    <s v="pagado"/>
    <x v="0"/>
  </r>
  <r>
    <n v="3000002849"/>
    <d v="2026-05-18T00:00:00"/>
    <n v="4241481.58"/>
    <s v="Pintureria España S.R.L SAN MIGUEL DE TUCUMAN 14"/>
    <x v="1987"/>
    <n v="4241481.58"/>
    <x v="252"/>
    <x v="0"/>
    <s v="pagado"/>
    <s v="pagado"/>
    <x v="0"/>
  </r>
  <r>
    <n v="3000002850"/>
    <d v="2026-05-18T00:00:00"/>
    <n v="5264764.26"/>
    <s v="NORTE DISTRIBUCIONES S.R.L SAN MIGUEL DE TUCUMAN 14"/>
    <x v="1988"/>
    <n v="5264764.26"/>
    <x v="252"/>
    <x v="0"/>
    <s v="pagado"/>
    <s v="pagado"/>
    <x v="0"/>
  </r>
  <r>
    <n v="3000002851"/>
    <d v="2026-05-18T00:00:00"/>
    <n v="6545153.4000000004"/>
    <s v="BEVERINA BASCULAS SRL SAN MIGUEL DE TUCUMAN 14"/>
    <x v="1989"/>
    <n v="6545153.4000000004"/>
    <x v="252"/>
    <x v="0"/>
    <s v="pagado"/>
    <s v="pagado"/>
    <x v="0"/>
  </r>
  <r>
    <n v="3000002852"/>
    <d v="2026-05-18T00:00:00"/>
    <n v="5306090"/>
    <s v="Stok, Leandro SAN MIGUEL DE TUCUMAN 14"/>
    <x v="1990"/>
    <n v="5306090"/>
    <x v="252"/>
    <x v="0"/>
    <s v="pagado"/>
    <s v="pagado"/>
    <x v="0"/>
  </r>
  <r>
    <n v="3000002853"/>
    <d v="2026-05-18T00:00:00"/>
    <n v="16786994"/>
    <s v="CANEVARO JOSE MARIA CONCEPCION 14"/>
    <x v="1991"/>
    <n v="16786994"/>
    <x v="252"/>
    <x v="0"/>
    <s v="pagado"/>
    <s v="pagado"/>
    <x v="0"/>
  </r>
  <r>
    <n v="3000002854"/>
    <d v="2026-05-18T00:00:00"/>
    <n v="5181585.09"/>
    <s v="Sisdam S.A. CAPITAL FEDERAL 00"/>
    <x v="1992"/>
    <n v="5181585.09"/>
    <x v="252"/>
    <x v="0"/>
    <s v="pagado"/>
    <s v="pagado"/>
    <x v="0"/>
  </r>
  <r>
    <n v="3000002855"/>
    <d v="2026-05-18T00:00:00"/>
    <n v="6513032.8300000001"/>
    <s v="Norviguet S.R.L. SAN MIGUEL DE TUCUMAN 14"/>
    <x v="1993"/>
    <n v="6513032.8300000001"/>
    <x v="252"/>
    <x v="0"/>
    <s v="pagado"/>
    <s v="pagado"/>
    <x v="0"/>
  </r>
  <r>
    <n v="3000002856"/>
    <d v="2026-05-18T00:00:00"/>
    <n v="2925000"/>
    <s v="LOPEZ CAPARROS EDGARDO AGUSTINSAN MIGUEL DE TUCUMAN 14"/>
    <x v="1994"/>
    <n v="2925000"/>
    <x v="252"/>
    <x v="0"/>
    <s v="pagado"/>
    <s v="pagado"/>
    <x v="0"/>
  </r>
  <r>
    <n v="3000002887"/>
    <d v="2026-05-19T00:00:00"/>
    <n v="20000000"/>
    <s v="GAR S.A SAN MIGUEL DE TUCUMAN 14"/>
    <x v="1995"/>
    <n v="20000000"/>
    <x v="253"/>
    <x v="0"/>
    <s v="pagado"/>
    <s v="pagado"/>
    <x v="0"/>
  </r>
  <r>
    <n v="3000002887"/>
    <d v="2026-05-19T00:00:00"/>
    <n v="22364265.850000001"/>
    <s v="GAR S.A SAN MIGUEL DE TUCUMAN 14"/>
    <x v="1996"/>
    <n v="22364265.850000001"/>
    <x v="235"/>
    <x v="0"/>
    <s v="pagado"/>
    <s v="pagado"/>
    <x v="0"/>
  </r>
  <r>
    <n v="3000002879"/>
    <d v="2026-05-19T00:00:00"/>
    <n v="6628458.7400000002"/>
    <s v="PEDRO CRISTOFER MAURICIO LOS GUTIERREZ 14"/>
    <x v="1997"/>
    <n v="6628458.7400000002"/>
    <x v="235"/>
    <x v="0"/>
    <s v="pagado"/>
    <s v="pagado"/>
    <x v="0"/>
  </r>
  <r>
    <n v="3000002880"/>
    <d v="2026-05-19T00:00:00"/>
    <n v="7728463.0499999998"/>
    <s v="Pedro Ivan Marcelo ALDERETES 14"/>
    <x v="1998"/>
    <n v="7728463.0499999998"/>
    <x v="235"/>
    <x v="0"/>
    <s v="pagado"/>
    <s v="pagado"/>
    <x v="0"/>
  </r>
  <r>
    <n v="3000002881"/>
    <d v="2026-05-19T00:00:00"/>
    <n v="19642573.09"/>
    <s v="FERNANDEZ HECTOR JOSE SIMOCA 14"/>
    <x v="1999"/>
    <n v="19642573.09"/>
    <x v="235"/>
    <x v="0"/>
    <s v="pagado"/>
    <s v="pagado"/>
    <x v="0"/>
  </r>
  <r>
    <n v="3000002882"/>
    <d v="2026-05-19T00:00:00"/>
    <n v="31012217.920000002"/>
    <s v="Rutas Servicios Integrales SRLCapital Federal 00"/>
    <x v="2000"/>
    <n v="31012217.920000002"/>
    <x v="235"/>
    <x v="0"/>
    <s v="pagado"/>
    <s v="pagado"/>
    <x v="0"/>
  </r>
  <r>
    <n v="3000002883"/>
    <d v="2026-05-19T00:00:00"/>
    <n v="10396879.68"/>
    <s v="CONTROL UNION NORTE S.A YERBA BUENA 14"/>
    <x v="2001"/>
    <n v="10396879.68"/>
    <x v="235"/>
    <x v="0"/>
    <s v="pagado"/>
    <s v="pagado"/>
    <x v="0"/>
  </r>
  <r>
    <n v="3000002884"/>
    <d v="2026-05-19T00:00:00"/>
    <n v="5249785.18"/>
    <s v="VILLAGRA VELEZ ROQUE RICARDO SAN MIGUEL DE TUCUMAN 14"/>
    <x v="2002"/>
    <n v="5249785.18"/>
    <x v="235"/>
    <x v="0"/>
    <s v="pagado"/>
    <s v="pagado"/>
    <x v="0"/>
  </r>
  <r>
    <n v="3000002885"/>
    <d v="2026-05-19T00:00:00"/>
    <n v="11220778.48"/>
    <s v="CAPETTA ANTONELLA ANAHI SAN MIGUEL DE TUCUMAN 14"/>
    <x v="2003"/>
    <n v="11220778.48"/>
    <x v="235"/>
    <x v="0"/>
    <s v="pagado"/>
    <s v="pagado"/>
    <x v="0"/>
  </r>
  <r>
    <n v="3000002886"/>
    <d v="2026-05-19T00:00:00"/>
    <n v="13061725.810000001"/>
    <s v="RL SOLUCIONES S. A. S. SAN MIGUEL DE TUCUMAN 14"/>
    <x v="2004"/>
    <n v="13061725.810000001"/>
    <x v="235"/>
    <x v="0"/>
    <s v="pagado"/>
    <s v="pagado"/>
    <x v="0"/>
  </r>
  <r>
    <n v="3000002993"/>
    <d v="2026-05-26T00:00:00"/>
    <n v="5294933.7699999996"/>
    <s v="TRANSPORTE MEDINA S.H. CRUZ ALTA 14"/>
    <x v="2005"/>
    <n v="5294933.7699999996"/>
    <x v="254"/>
    <x v="0"/>
    <s v="pagado"/>
    <s v="pagado"/>
    <x v="0"/>
  </r>
  <r>
    <n v="3000002994"/>
    <d v="2026-05-26T00:00:00"/>
    <n v="6028954.5800000001"/>
    <s v="ABALOS ENZO FEDERICO Villa Mariano Moreno 14"/>
    <x v="2006"/>
    <n v="6028954.5800000001"/>
    <x v="254"/>
    <x v="0"/>
    <s v="pagado"/>
    <s v="pagado"/>
    <x v="0"/>
  </r>
  <r>
    <n v="3000003027"/>
    <d v="2026-05-26T00:00:00"/>
    <n v="45479271.909999996"/>
    <s v="PAMPLONA SRL SAN MIGUEL DE TUCUMAN 14"/>
    <x v="2007"/>
    <n v="45479271.909999996"/>
    <x v="254"/>
    <x v="0"/>
    <s v="pagado"/>
    <s v="pagado"/>
    <x v="0"/>
  </r>
  <r>
    <n v="3000003028"/>
    <d v="2026-05-26T00:00:00"/>
    <n v="9604516.3100000005"/>
    <s v="NATURAL GAS SA SAN MIGUEL DE TUCUMAN 14"/>
    <x v="2008"/>
    <n v="9604516.3100000005"/>
    <x v="254"/>
    <x v="0"/>
    <s v="pagado"/>
    <s v="pagado"/>
    <x v="0"/>
  </r>
  <r>
    <n v="3000003029"/>
    <d v="2026-05-26T00:00:00"/>
    <n v="6447707.1699999999"/>
    <s v="TODOS RETENES SA CORDOBA 03"/>
    <x v="2009"/>
    <n v="6447707.1699999999"/>
    <x v="254"/>
    <x v="0"/>
    <s v="pagado"/>
    <s v="pagado"/>
    <x v="0"/>
  </r>
  <r>
    <n v="3000003030"/>
    <d v="2026-05-26T00:00:00"/>
    <n v="5862000.6600000001"/>
    <s v="PIQUE JUAN MANUEL San Miguel De Tucuman 14"/>
    <x v="2010"/>
    <n v="5862000.6600000001"/>
    <x v="254"/>
    <x v="0"/>
    <s v="pagado"/>
    <s v="pagado"/>
    <x v="0"/>
  </r>
  <r>
    <n v="3000003031"/>
    <d v="2026-05-26T00:00:00"/>
    <n v="37091057.369999997"/>
    <s v="AGROPECUARIA MUNDO NUEVO SRL SAN PABLO 14"/>
    <x v="2011"/>
    <n v="37091057.369999997"/>
    <x v="254"/>
    <x v="0"/>
    <s v="pagado"/>
    <s v="pagado"/>
    <x v="0"/>
  </r>
  <r>
    <n v="3000003032"/>
    <d v="2026-05-26T00:00:00"/>
    <n v="6903429.7300000004"/>
    <s v="ROMERO SERVICIOS S. A. S. ALPACHIRI 14"/>
    <x v="2012"/>
    <n v="6903429.7300000004"/>
    <x v="254"/>
    <x v="0"/>
    <s v="pagado"/>
    <s v="pagado"/>
    <x v="0"/>
  </r>
  <r>
    <n v="3000003033"/>
    <d v="2026-05-26T00:00:00"/>
    <n v="8440894.5"/>
    <s v="BARBARISI JUAREZ PABLO EMANUELSAN JUAN 10"/>
    <x v="2013"/>
    <n v="8440894.5"/>
    <x v="254"/>
    <x v="0"/>
    <s v="pagado"/>
    <s v="pagado"/>
    <x v="0"/>
  </r>
  <r>
    <n v="3000003034"/>
    <d v="2026-05-26T00:00:00"/>
    <n v="7253898.6799999997"/>
    <s v="ALVAREZ RENE JOSE MARIA BELLA VISTA 14"/>
    <x v="2014"/>
    <n v="7253898.6799999997"/>
    <x v="254"/>
    <x v="0"/>
    <s v="pagado"/>
    <s v="pagado"/>
    <x v="0"/>
  </r>
  <r>
    <n v="3000003035"/>
    <d v="2026-05-26T00:00:00"/>
    <n v="10777880.48"/>
    <s v="SUAREZ MANUEL RODOLFO ALDERETES 14"/>
    <x v="2015"/>
    <n v="10777880.48"/>
    <x v="254"/>
    <x v="0"/>
    <s v="pagado"/>
    <s v="pagado"/>
    <x v="0"/>
  </r>
  <r>
    <n v="3000003036"/>
    <d v="2026-05-26T00:00:00"/>
    <n v="12280442.92"/>
    <s v="LATCOMEX SA CAPITAL FEDERAL 00"/>
    <x v="2016"/>
    <n v="12280442.92"/>
    <x v="254"/>
    <x v="0"/>
    <s v="pagado"/>
    <s v="pagado"/>
    <x v="0"/>
  </r>
  <r>
    <n v="3000003037"/>
    <d v="2026-05-26T00:00:00"/>
    <n v="13981484.93"/>
    <s v="GOMEZ JUANA ROSA VILLA LA TRINIDAD 14"/>
    <x v="2017"/>
    <n v="13981484.93"/>
    <x v="254"/>
    <x v="0"/>
    <s v="pagado"/>
    <s v="pagado"/>
    <x v="0"/>
  </r>
  <r>
    <n v="3000003038"/>
    <d v="2026-05-26T00:00:00"/>
    <n v="6321019.3700000001"/>
    <s v="Robles Angel Gabriel San Miguel de Tucuman 14"/>
    <x v="2018"/>
    <n v="6321019.3700000001"/>
    <x v="254"/>
    <x v="0"/>
    <s v="pagado"/>
    <s v="pagado"/>
    <x v="0"/>
  </r>
  <r>
    <n v="3000003039"/>
    <d v="2026-05-26T00:00:00"/>
    <n v="16688060.960000001"/>
    <s v="PERATO CRISTIAN LUIS BANDA DEL RIO SALI 14"/>
    <x v="2019"/>
    <n v="16688060.960000001"/>
    <x v="254"/>
    <x v="0"/>
    <s v="pagado"/>
    <s v="pagado"/>
    <x v="0"/>
  </r>
  <r>
    <n v="3000003040"/>
    <d v="2026-05-26T00:00:00"/>
    <n v="6308516.1399999997"/>
    <s v="PERATO LUIS ALBERTO BANDA DEL RIO SALI 14"/>
    <x v="2020"/>
    <n v="6308516.1399999997"/>
    <x v="254"/>
    <x v="0"/>
    <s v="pagado"/>
    <s v="pagado"/>
    <x v="0"/>
  </r>
  <r>
    <n v="3000003041"/>
    <d v="2026-05-26T00:00:00"/>
    <n v="8220401.6699999999"/>
    <s v="LA MARTINA SERV. AGRICOLAS S.RSAN PABLO 14"/>
    <x v="2021"/>
    <n v="8220401.6699999999"/>
    <x v="254"/>
    <x v="0"/>
    <s v="pagado"/>
    <s v="pagado"/>
    <x v="0"/>
  </r>
  <r>
    <n v="3000003042"/>
    <d v="2026-05-26T00:00:00"/>
    <n v="11926381.970000001"/>
    <s v="DE COULON EDUARDO JARDIN AMERICA 19"/>
    <x v="2022"/>
    <n v="11926381.970000001"/>
    <x v="254"/>
    <x v="0"/>
    <s v="pagado"/>
    <s v="pagado"/>
    <x v="0"/>
  </r>
  <r>
    <n v="3000003043"/>
    <d v="2026-05-26T00:00:00"/>
    <n v="12805043.4"/>
    <s v="MARIN TOMAS LAZARO CAFAYATE - SALTA 09"/>
    <x v="2023"/>
    <n v="12805043.4"/>
    <x v="254"/>
    <x v="0"/>
    <s v="pagado"/>
    <s v="pagado"/>
    <x v="0"/>
  </r>
  <r>
    <n v="3000003044"/>
    <d v="2026-05-26T00:00:00"/>
    <n v="40543895.899999999"/>
    <s v="Consultoria en Tecnologia de IBUENOS AIRES 00"/>
    <x v="2024"/>
    <n v="40543895.899999999"/>
    <x v="254"/>
    <x v="0"/>
    <s v="pagado"/>
    <s v="pagado"/>
    <x v="0"/>
  </r>
  <r>
    <n v="3000003045"/>
    <d v="2026-05-26T00:00:00"/>
    <n v="6132962.7300000004"/>
    <s v="BESTANI JUAN JOSE SAN MIGUEL DE TUCUMAN 14"/>
    <x v="2025"/>
    <n v="6132962.7300000004"/>
    <x v="255"/>
    <x v="0"/>
    <s v="no pagado"/>
    <s v="fuera de fecha"/>
    <x v="0"/>
  </r>
  <r>
    <n v="3000003046"/>
    <d v="2026-05-26T00:00:00"/>
    <n v="6796398.0099999998"/>
    <s v="Arias Gonzalo Alejandro San Miguel de Tucumán 14"/>
    <x v="2026"/>
    <n v="6796398.0099999998"/>
    <x v="255"/>
    <x v="0"/>
    <s v="pagado"/>
    <s v="pagado"/>
    <x v="0"/>
  </r>
  <r>
    <n v="3000003047"/>
    <d v="2026-05-26T00:00:00"/>
    <n v="6258241.1699999999"/>
    <s v="Pedro Angel Michael Alderetes 14"/>
    <x v="2027"/>
    <n v="6258241.1699999999"/>
    <x v="255"/>
    <x v="0"/>
    <s v="pagado"/>
    <s v="pagado"/>
    <x v="0"/>
  </r>
  <r>
    <n v="3000003048"/>
    <d v="2026-05-26T00:00:00"/>
    <n v="5878038.8200000003"/>
    <s v="PAEZ ANDRES ALEXIS MACIO 14"/>
    <x v="2028"/>
    <n v="5878038.8200000003"/>
    <x v="255"/>
    <x v="0"/>
    <s v="pagado"/>
    <s v="pagado"/>
    <x v="0"/>
  </r>
  <r>
    <n v="3000003049"/>
    <d v="2026-05-26T00:00:00"/>
    <n v="4969297.1500000004"/>
    <s v="PAEZ LEONEL EXEQUIEL MACIO 14"/>
    <x v="2029"/>
    <n v="4969297.1500000004"/>
    <x v="255"/>
    <x v="0"/>
    <s v="pagado"/>
    <s v="pagado"/>
    <x v="0"/>
  </r>
  <r>
    <n v="3000003050"/>
    <d v="2026-05-26T00:00:00"/>
    <n v="10508834.92"/>
    <s v="LANCHELA HECTOR ROLANDO CONCEPCION 14"/>
    <x v="2030"/>
    <n v="10508834.92"/>
    <x v="255"/>
    <x v="0"/>
    <s v="pagado"/>
    <s v="pagado"/>
    <x v="0"/>
  </r>
  <r>
    <n v="3000003051"/>
    <d v="2026-05-26T00:00:00"/>
    <n v="8442301.1799999997"/>
    <s v="RL SOLUCIONES S. A. S. SAN MIGUEL DE TUCUMAN 14"/>
    <x v="2031"/>
    <n v="8442301.1799999997"/>
    <x v="255"/>
    <x v="0"/>
    <s v="pagado"/>
    <s v="pagado"/>
    <x v="0"/>
  </r>
  <r>
    <n v="3000003052"/>
    <d v="2026-05-26T00:00:00"/>
    <n v="8306862.6100000003"/>
    <s v="JACQUET NORBERTO SALVADOR SAN JOSE 05"/>
    <x v="2032"/>
    <n v="8306862.6100000003"/>
    <x v="255"/>
    <x v="0"/>
    <s v="pagado"/>
    <s v="pagado"/>
    <x v="0"/>
  </r>
  <r>
    <n v="3000003053"/>
    <d v="2026-05-26T00:00:00"/>
    <n v="19215740.739999998"/>
    <s v="CAPETTA ANTONELLA ANAHI SAN MIGUEL DE TUCUMAN 14"/>
    <x v="2033"/>
    <n v="19215740.739999998"/>
    <x v="255"/>
    <x v="0"/>
    <s v="pagado"/>
    <s v="pagado"/>
    <x v="0"/>
  </r>
  <r>
    <n v="3000003054"/>
    <d v="2026-05-26T00:00:00"/>
    <n v="270032.24"/>
    <s v="ACOSTA ROQUE RAMON SAN MIGUEL DE TUCUMAN 14"/>
    <x v="2034"/>
    <n v="270032.24"/>
    <x v="255"/>
    <x v="0"/>
    <s v="pagado"/>
    <s v="pagado"/>
    <x v="0"/>
  </r>
  <r>
    <n v="3000003026"/>
    <d v="2026-05-26T00:00:00"/>
    <n v="0"/>
    <s v="invalidado med.EOLIVERA -Destruido/ Sin uso"/>
    <x v="2035"/>
    <n v="0"/>
    <x v="256"/>
    <x v="0"/>
    <s v="no pagado"/>
    <s v="fuera de fecha"/>
    <x v="0"/>
  </r>
  <r>
    <n v="3000003026"/>
    <d v="2026-05-26T00:00:00"/>
    <n v="0"/>
    <s v="invalidado med.EOLIVERA -Destruido/ Sin uso"/>
    <x v="2036"/>
    <n v="0"/>
    <x v="257"/>
    <x v="0"/>
    <s v="no pagado"/>
    <s v="fuera de fecha"/>
    <x v="0"/>
  </r>
  <r>
    <n v="3000003199"/>
    <d v="2026-06-01T00:00:00"/>
    <n v="3035073.08"/>
    <s v="Fondo Fijo Administracion CitrNO TIENE"/>
    <x v="2037"/>
    <n v="3035073.08"/>
    <x v="246"/>
    <x v="0"/>
    <s v="pagado"/>
    <s v="pagado"/>
    <x v="0"/>
  </r>
  <r>
    <n v="3000003198"/>
    <d v="2026-06-01T00:00:00"/>
    <n v="6867907.04"/>
    <s v="Libreria San Pablo S.R.L. SAN MIGUEL DE TUCUMAN 14"/>
    <x v="2038"/>
    <n v="6867907.04"/>
    <x v="246"/>
    <x v="0"/>
    <s v="pagado"/>
    <s v="pagado"/>
    <x v="0"/>
  </r>
  <r>
    <n v="3000003200"/>
    <d v="2026-06-01T00:00:00"/>
    <n v="28510473"/>
    <s v="DISLUB INTERIOR SA CAPÍTAL FEDERAL 00"/>
    <x v="2039"/>
    <n v="28510473"/>
    <x v="246"/>
    <x v="0"/>
    <s v="pagado"/>
    <s v="pagado"/>
    <x v="0"/>
  </r>
  <r>
    <n v="3000003201"/>
    <d v="2026-06-01T00:00:00"/>
    <n v="10679001.24"/>
    <s v="SEGURIDAD OMEGA SRL SAN FERNANDO DEL VALLE DE CATAMARCA 02"/>
    <x v="2040"/>
    <n v="10679001.24"/>
    <x v="246"/>
    <x v="0"/>
    <s v="pagado"/>
    <s v="pagado"/>
    <x v="0"/>
  </r>
  <r>
    <n v="3000003202"/>
    <d v="2026-06-01T00:00:00"/>
    <n v="11848847.25"/>
    <s v="M.A.D Serv y mant eléctri SAN MIGUEL DE TUCUMAN 14"/>
    <x v="2041"/>
    <n v="11848847.25"/>
    <x v="246"/>
    <x v="0"/>
    <s v="pagado"/>
    <s v="pagado"/>
    <x v="0"/>
  </r>
  <r>
    <n v="3000003203"/>
    <d v="2026-06-01T00:00:00"/>
    <n v="17447056.370000001"/>
    <s v="LA 10 SRL SAN MIGUEL DE TUCUMAN 14"/>
    <x v="2042"/>
    <n v="17447056.370000001"/>
    <x v="246"/>
    <x v="0"/>
    <s v="pagado"/>
    <s v="pagado"/>
    <x v="0"/>
  </r>
  <r>
    <n v="3000003204"/>
    <d v="2026-06-01T00:00:00"/>
    <n v="8400000"/>
    <s v="Muñoz Silvia Liliana Capital Federal 00"/>
    <x v="2043"/>
    <n v="8400000"/>
    <x v="246"/>
    <x v="0"/>
    <s v="pagado"/>
    <s v="pagado"/>
    <x v="0"/>
  </r>
  <r>
    <n v="3000003239"/>
    <d v="2026-06-02T00:00:00"/>
    <n v="20000000"/>
    <s v="GAR S.A SAN MIGUEL DE TUCUMAN 14"/>
    <x v="2044"/>
    <n v="20000000"/>
    <x v="258"/>
    <x v="0"/>
    <s v="pagado"/>
    <s v="pagado"/>
    <x v="0"/>
  </r>
  <r>
    <n v="3000003239"/>
    <d v="2026-06-02T00:00:00"/>
    <n v="11523274.1"/>
    <s v="GAR S.A SAN MIGUEL DE TUCUMAN 14"/>
    <x v="2045"/>
    <n v="11523274.1"/>
    <x v="259"/>
    <x v="0"/>
    <s v="pagado"/>
    <s v="pagado"/>
    <x v="0"/>
  </r>
  <r>
    <n v="3000003235"/>
    <d v="2026-06-02T00:00:00"/>
    <n v="6153158.0099999998"/>
    <s v="GONZALEZ JOSE LUIS CONCEPCION 14"/>
    <x v="2046"/>
    <n v="6153158.0099999998"/>
    <x v="259"/>
    <x v="0"/>
    <s v="pagado"/>
    <s v="pagado"/>
    <x v="0"/>
  </r>
  <r>
    <n v="3000003236"/>
    <d v="2026-06-02T00:00:00"/>
    <n v="6645020.5700000003"/>
    <s v="TRANSPORTE MARIANITA S.R.L SAN MIGUEL DE TUCUMAN 14"/>
    <x v="2047"/>
    <n v="6645020.5700000003"/>
    <x v="259"/>
    <x v="0"/>
    <s v="pagado"/>
    <s v="pagado"/>
    <x v="0"/>
  </r>
  <r>
    <n v="3000003237"/>
    <d v="2026-06-02T00:00:00"/>
    <n v="6469278.04"/>
    <s v="Rojas Antonio Domingo ALDERETES 14"/>
    <x v="2048"/>
    <n v="6469278.04"/>
    <x v="259"/>
    <x v="0"/>
    <s v="pagado"/>
    <s v="pagado"/>
    <x v="0"/>
  </r>
  <r>
    <n v="3000003238"/>
    <d v="2026-06-02T00:00:00"/>
    <n v="7618281.8300000001"/>
    <s v="Transportes La Sevillanita S.RALDERETES 14"/>
    <x v="2049"/>
    <n v="7618281.8300000001"/>
    <x v="259"/>
    <x v="0"/>
    <s v="pagado"/>
    <s v="pagado"/>
    <x v="0"/>
  </r>
  <r>
    <n v="3000003240"/>
    <d v="2026-06-02T00:00:00"/>
    <n v="7874845.6900000004"/>
    <s v="VILLAGRA VELEZ ROQUE RICARDO SAN MIGUEL DE TUCUMAN 14"/>
    <x v="2050"/>
    <n v="7874845.6900000004"/>
    <x v="259"/>
    <x v="0"/>
    <s v="pagado"/>
    <s v="pagado"/>
    <x v="0"/>
  </r>
  <r>
    <n v="3000003241"/>
    <d v="2026-06-02T00:00:00"/>
    <n v="7874797.04"/>
    <s v="JACQUET NORBERTO SALVADOR SAN JOSE 05"/>
    <x v="2051"/>
    <n v="7874797.04"/>
    <x v="259"/>
    <x v="0"/>
    <s v="pagado"/>
    <s v="pagado"/>
    <x v="0"/>
  </r>
  <r>
    <n v="3000003242"/>
    <d v="2026-06-02T00:00:00"/>
    <n v="13742345.189999999"/>
    <s v="CONTROL UNION NORTE S.A YERBA BUENA 14"/>
    <x v="2052"/>
    <n v="13742345.189999999"/>
    <x v="259"/>
    <x v="0"/>
    <s v="pagado"/>
    <s v="pagado"/>
    <x v="0"/>
  </r>
  <r>
    <n v="3000003243"/>
    <d v="2026-06-02T00:00:00"/>
    <n v="29196776.23"/>
    <s v="CAPETTA ANTONELLA ANAHI SAN MIGUEL DE TUCUMAN 14"/>
    <x v="2053"/>
    <n v="29196776.23"/>
    <x v="259"/>
    <x v="0"/>
    <s v="pagado"/>
    <s v="pagado"/>
    <x v="0"/>
  </r>
  <r>
    <n v="3000003244"/>
    <d v="2026-06-02T00:00:00"/>
    <n v="15376585.01"/>
    <s v="TRANSPORTE FRIOS DEL NORTE S.RSAN MIGUEL DE TUCUMAN 14"/>
    <x v="2054"/>
    <n v="15376585.01"/>
    <x v="259"/>
    <x v="0"/>
    <s v="pagado"/>
    <s v="pagado"/>
    <x v="0"/>
  </r>
  <r>
    <n v="3000003245"/>
    <d v="2026-06-02T00:00:00"/>
    <n v="13104593.51"/>
    <s v="RL SOLUCIONES S. A. S. SAN MIGUEL DE TUCUMAN 14"/>
    <x v="2055"/>
    <n v="13104593.51"/>
    <x v="259"/>
    <x v="0"/>
    <s v="pagado"/>
    <s v="pagado"/>
    <x v="0"/>
  </r>
  <r>
    <n v="3000003246"/>
    <d v="2026-06-02T00:00:00"/>
    <n v="7924939.0599999996"/>
    <s v="MAC DONALD MIGUEL ALEJANDRO BANDA DEL RIO SALI 14"/>
    <x v="2056"/>
    <n v="7924939.0599999996"/>
    <x v="259"/>
    <x v="0"/>
    <s v="pagado"/>
    <s v="pagado"/>
    <x v="0"/>
  </r>
  <r>
    <n v="3000003247"/>
    <d v="2026-06-02T00:00:00"/>
    <n v="9226018.1699999999"/>
    <s v="CEMEVA SAS YERBA BUENA 14"/>
    <x v="2057"/>
    <n v="9226018.1699999999"/>
    <x v="259"/>
    <x v="0"/>
    <s v="pagado"/>
    <s v="pagado"/>
    <x v="0"/>
  </r>
  <r>
    <n v="3000003248"/>
    <d v="2026-06-02T00:00:00"/>
    <n v="20967580.399999999"/>
    <s v="M DODERO COMPANIA GRAL DE SERVCIUDAD AUTONOMA DE BUENOS AIRES 01"/>
    <x v="2058"/>
    <n v="20967580.399999999"/>
    <x v="259"/>
    <x v="0"/>
    <s v="pagado"/>
    <s v="pagado"/>
    <x v="0"/>
  </r>
  <r>
    <n v="3000003249"/>
    <d v="2026-06-02T00:00:00"/>
    <n v="6564607.0199999996"/>
    <s v="BESTANI LEANDRO EXEQUIEL SAN MIGUEL DE TUCUMAN 14"/>
    <x v="2059"/>
    <n v="6564607.0199999996"/>
    <x v="259"/>
    <x v="0"/>
    <s v="pagado"/>
    <s v="pagado"/>
    <x v="0"/>
  </r>
  <r>
    <n v="3000003281"/>
    <d v="2026-06-03T00:00:00"/>
    <n v="45612602.57"/>
    <s v="Rosso Hnos SH MONTEROS 14"/>
    <x v="2060"/>
    <n v="45612602.57"/>
    <x v="260"/>
    <x v="0"/>
    <s v="pagado"/>
    <s v="pagado"/>
    <x v="0"/>
  </r>
  <r>
    <n v="3000003281"/>
    <d v="2026-06-03T00:00:00"/>
    <n v="0"/>
    <s v="Rosso Hnos SH MONTEROS 14"/>
    <x v="2061"/>
    <n v="0"/>
    <x v="261"/>
    <x v="0"/>
    <s v="no pagado"/>
    <s v="fuera de fecha"/>
    <x v="0"/>
  </r>
  <r>
    <n v="3000003281"/>
    <d v="2026-06-03T00:00:00"/>
    <n v="0"/>
    <s v="Rosso Hnos SH MONTEROS 14"/>
    <x v="2062"/>
    <n v="0"/>
    <x v="261"/>
    <x v="0"/>
    <s v="no pagado"/>
    <s v="fuera de fecha"/>
    <x v="0"/>
  </r>
  <r>
    <n v="3000003282"/>
    <d v="2026-06-03T00:00:00"/>
    <n v="8800000"/>
    <s v="BERNASCONI MARIANO SAN MIGUEL DE TUCUMAN 14"/>
    <x v="2063"/>
    <n v="8800000"/>
    <x v="262"/>
    <x v="0"/>
    <s v="pagado"/>
    <s v="pagado"/>
    <x v="0"/>
  </r>
  <r>
    <n v="3000003282"/>
    <d v="2026-06-03T00:00:00"/>
    <n v="8800000"/>
    <s v="BERNASCONI MARIANO SAN MIGUEL DE TUCUMAN 14"/>
    <x v="2064"/>
    <n v="8800000"/>
    <x v="262"/>
    <x v="0"/>
    <s v="pagado"/>
    <s v="pagado"/>
    <x v="0"/>
  </r>
  <r>
    <n v="3000003282"/>
    <d v="2026-06-03T00:00:00"/>
    <n v="8800000"/>
    <s v="BERNASCONI MARIANO SAN MIGUEL DE TUCUMAN 14"/>
    <x v="2065"/>
    <n v="8800000"/>
    <x v="262"/>
    <x v="0"/>
    <s v="pagado"/>
    <s v="pagado"/>
    <x v="0"/>
  </r>
  <r>
    <n v="3000003282"/>
    <d v="2026-06-03T00:00:00"/>
    <n v="8800000"/>
    <s v="BERNASCONI MARIANO SAN MIGUEL DE TUCUMAN 14"/>
    <x v="2066"/>
    <n v="8800000"/>
    <x v="263"/>
    <x v="0"/>
    <s v="no pagado"/>
    <s v="fuera de fecha"/>
    <x v="0"/>
  </r>
  <r>
    <n v="3000003282"/>
    <d v="2026-06-03T00:00:00"/>
    <n v="8800000"/>
    <s v="BERNASCONI MARIANO SAN MIGUEL DE TUCUMAN 14"/>
    <x v="2067"/>
    <n v="8800000"/>
    <x v="263"/>
    <x v="0"/>
    <s v="pagado"/>
    <s v="pagado"/>
    <x v="0"/>
  </r>
  <r>
    <n v="3000003282"/>
    <d v="2026-06-03T00:00:00"/>
    <n v="8759343.4000000004"/>
    <s v="BERNASCONI MARIANO SAN MIGUEL DE TUCUMAN 14"/>
    <x v="2068"/>
    <n v="8759343.4000000004"/>
    <x v="263"/>
    <x v="0"/>
    <s v="pagado"/>
    <s v="pagado"/>
    <x v="0"/>
  </r>
  <r>
    <n v="3000003383"/>
    <d v="2026-06-08T00:00:00"/>
    <n v="7964741.1100000003"/>
    <s v="RODRIGO HEREDIA PUIG LASTENIA 14"/>
    <x v="2069"/>
    <n v="7964741.1100000003"/>
    <x v="264"/>
    <x v="0"/>
    <s v="pagado"/>
    <s v="pagado"/>
    <x v="0"/>
  </r>
  <r>
    <n v="3000003384"/>
    <d v="2026-06-08T00:00:00"/>
    <n v="4571980"/>
    <s v="Atenor Hnos. S.R.L SAN MIGUEL DE TUCUMAN 14"/>
    <x v="2070"/>
    <n v="4571980"/>
    <x v="264"/>
    <x v="0"/>
    <s v="pagado"/>
    <s v="pagado"/>
    <x v="0"/>
  </r>
  <r>
    <n v="3000003385"/>
    <d v="2026-06-08T00:00:00"/>
    <n v="4997234.58"/>
    <s v="Marchese Grandi Meson y Asoc SAN MIGUEL DE TUCUMAN 14"/>
    <x v="2071"/>
    <n v="4997234.58"/>
    <x v="264"/>
    <x v="0"/>
    <s v="pagado"/>
    <s v="pagado"/>
    <x v="0"/>
  </r>
  <r>
    <n v="3000003386"/>
    <d v="2026-06-08T00:00:00"/>
    <n v="11688329"/>
    <s v="SMART SEGURIDAD SA YERBA BUENA 14"/>
    <x v="2072"/>
    <n v="11688329"/>
    <x v="264"/>
    <x v="0"/>
    <s v="pagado"/>
    <s v="pagado"/>
    <x v="0"/>
  </r>
  <r>
    <n v="3000003387"/>
    <d v="2026-06-08T00:00:00"/>
    <n v="12686763.4"/>
    <s v="ADLER HASENCLEVER Y ASOCIADOS BUENOS AIRES 01"/>
    <x v="2073"/>
    <n v="12686763.4"/>
    <x v="264"/>
    <x v="0"/>
    <s v="pagado"/>
    <s v="pagado"/>
    <x v="0"/>
  </r>
  <r>
    <n v="3000003388"/>
    <d v="2026-06-08T00:00:00"/>
    <n v="6371178.6900000004"/>
    <s v="VISMA ARGENTINA SA CAPITAL FEDERAL 14"/>
    <x v="2074"/>
    <n v="6371178.6900000004"/>
    <x v="264"/>
    <x v="0"/>
    <s v="pagado"/>
    <s v="pagado"/>
    <x v="0"/>
  </r>
  <r>
    <n v="3000003389"/>
    <d v="2026-06-08T00:00:00"/>
    <n v="11325235.5"/>
    <s v="SUAREZ MANUEL RODOLFO ALDERETES 14"/>
    <x v="2075"/>
    <n v="11325235.5"/>
    <x v="264"/>
    <x v="0"/>
    <s v="pagado"/>
    <s v="pagado"/>
    <x v="0"/>
  </r>
  <r>
    <n v="3000003390"/>
    <d v="2026-06-08T00:00:00"/>
    <n v="8888501.5199999996"/>
    <s v="ALVAREZ RENE JOSE MARIA BELLA VISTA 14"/>
    <x v="2076"/>
    <n v="8888501.5199999996"/>
    <x v="265"/>
    <x v="0"/>
    <s v="pagado"/>
    <s v="pagado"/>
    <x v="0"/>
  </r>
  <r>
    <n v="3000003391"/>
    <d v="2026-06-08T00:00:00"/>
    <n v="5894099.1299999999"/>
    <s v="PEDRO CRISTOFER MAURICIO LOS GUTIERREZ 14"/>
    <x v="2077"/>
    <n v="5894099.1299999999"/>
    <x v="265"/>
    <x v="0"/>
    <s v="pagado"/>
    <s v="pagado"/>
    <x v="0"/>
  </r>
  <r>
    <n v="3000003392"/>
    <d v="2026-06-08T00:00:00"/>
    <n v="6175831.4299999997"/>
    <s v="Arias Gonzalo Alejandro San Miguel de Tucumán 14"/>
    <x v="2078"/>
    <n v="6175831.4299999997"/>
    <x v="265"/>
    <x v="0"/>
    <s v="pagado"/>
    <s v="pagado"/>
    <x v="0"/>
  </r>
  <r>
    <n v="3000003393"/>
    <d v="2026-06-08T00:00:00"/>
    <n v="24503999.850000001"/>
    <s v="Gonzalez Jose Luis Lastenia 14"/>
    <x v="2079"/>
    <n v="24503999.850000001"/>
    <x v="265"/>
    <x v="0"/>
    <s v="pagado"/>
    <s v="pagado"/>
    <x v="0"/>
  </r>
  <r>
    <n v="3000003394"/>
    <d v="2026-06-08T00:00:00"/>
    <n v="7116564.3099999996"/>
    <s v="Pedro Ivan Marcelo ALDERETES 14"/>
    <x v="2080"/>
    <n v="7116564.3099999996"/>
    <x v="265"/>
    <x v="0"/>
    <s v="pagado"/>
    <s v="pagado"/>
    <x v="0"/>
  </r>
  <r>
    <n v="3000003395"/>
    <d v="2026-06-08T00:00:00"/>
    <n v="8444051.1300000008"/>
    <s v="Verde y Sol S.R.L. SAN MIGUEL DE TUCUMAN 14"/>
    <x v="2081"/>
    <n v="8444051.1300000008"/>
    <x v="265"/>
    <x v="0"/>
    <s v="pagado"/>
    <s v="pagado"/>
    <x v="0"/>
  </r>
  <r>
    <n v="3000003396"/>
    <d v="2026-06-08T00:00:00"/>
    <n v="12187329.83"/>
    <s v="Poda Verde SRL SAN MIGUEL DE TUCUMAN 14"/>
    <x v="2082"/>
    <n v="12187329.83"/>
    <x v="265"/>
    <x v="0"/>
    <s v="pagado"/>
    <s v="pagado"/>
    <x v="0"/>
  </r>
  <r>
    <n v="3000003397"/>
    <d v="2026-06-08T00:00:00"/>
    <n v="20279802.039999999"/>
    <s v="CAMPOAGRO SRL YERBA BUENA 14"/>
    <x v="2083"/>
    <n v="20279802.039999999"/>
    <x v="265"/>
    <x v="0"/>
    <s v="pagado"/>
    <s v="pagado"/>
    <x v="0"/>
  </r>
  <r>
    <n v="3000003428"/>
    <d v="2026-06-09T00:00:00"/>
    <n v="15000000"/>
    <s v="GAR S.A SAN MIGUEL DE TUCUMAN 14"/>
    <x v="2084"/>
    <n v="15000000"/>
    <x v="264"/>
    <x v="0"/>
    <s v="pagado"/>
    <s v="pagado"/>
    <x v="0"/>
  </r>
  <r>
    <n v="3000003428"/>
    <d v="2026-06-09T00:00:00"/>
    <n v="13062124.51"/>
    <s v="GAR S.A SAN MIGUEL DE TUCUMAN 14"/>
    <x v="2085"/>
    <n v="13062124.51"/>
    <x v="265"/>
    <x v="0"/>
    <s v="pagado"/>
    <s v="pagado"/>
    <x v="0"/>
  </r>
  <r>
    <n v="3000003425"/>
    <d v="2026-06-09T00:00:00"/>
    <n v="5212678.82"/>
    <s v="HERRERA RICARDO ALBERTO BANDA DEL RIO SALI 14"/>
    <x v="2086"/>
    <n v="5212678.82"/>
    <x v="265"/>
    <x v="0"/>
    <s v="pagado"/>
    <s v="pagado"/>
    <x v="0"/>
  </r>
  <r>
    <n v="3000003426"/>
    <d v="2026-06-09T00:00:00"/>
    <n v="15896382.42"/>
    <s v="PERATO CRISTIAN LUIS BANDA DEL RIO SALI 14"/>
    <x v="2087"/>
    <n v="15896382.42"/>
    <x v="265"/>
    <x v="0"/>
    <s v="pagado"/>
    <s v="pagado"/>
    <x v="0"/>
  </r>
  <r>
    <n v="3000003427"/>
    <d v="2026-06-09T00:00:00"/>
    <n v="5698133.3700000001"/>
    <s v="ABALOS ENZO FEDERICO Villa Mariano Moreno 14"/>
    <x v="2088"/>
    <n v="5698133.3700000001"/>
    <x v="265"/>
    <x v="0"/>
    <s v="pagado"/>
    <s v="pagado"/>
    <x v="0"/>
  </r>
  <r>
    <n v="3000003429"/>
    <d v="2026-06-09T00:00:00"/>
    <n v="16082767.58"/>
    <s v="GONZALEZ JOSE LUIS CONCEPCION 14"/>
    <x v="2089"/>
    <n v="16082767.58"/>
    <x v="265"/>
    <x v="0"/>
    <s v="pagado"/>
    <s v="pagado"/>
    <x v="0"/>
  </r>
  <r>
    <n v="3000003430"/>
    <d v="2026-06-09T00:00:00"/>
    <n v="7924771.1399999997"/>
    <s v="MAC DONALD MIGUEL ALEJANDRO BANDA DEL RIO SALI 14"/>
    <x v="2090"/>
    <n v="7924771.1399999997"/>
    <x v="265"/>
    <x v="0"/>
    <s v="pagado"/>
    <s v="pagado"/>
    <x v="0"/>
  </r>
  <r>
    <n v="3000003431"/>
    <d v="2026-06-09T00:00:00"/>
    <n v="6925301.2699999996"/>
    <s v="PAEZ ANDRES ALEXIS MACIO 14"/>
    <x v="2091"/>
    <n v="6925301.2699999996"/>
    <x v="265"/>
    <x v="0"/>
    <s v="pagado"/>
    <s v="pagado"/>
    <x v="0"/>
  </r>
  <r>
    <n v="3000003432"/>
    <d v="2026-06-09T00:00:00"/>
    <n v="7169849.1200000001"/>
    <s v="Sanchez Jose Mauricio San Miguel de Tucuman 14"/>
    <x v="2092"/>
    <n v="7169849.1200000001"/>
    <x v="265"/>
    <x v="0"/>
    <s v="pagado"/>
    <s v="pagado"/>
    <x v="0"/>
  </r>
  <r>
    <n v="3000003433"/>
    <d v="2026-06-09T00:00:00"/>
    <n v="5168447.88"/>
    <s v="PAEZ LEONEL EXEQUIEL MACIO 14"/>
    <x v="2093"/>
    <n v="5168447.88"/>
    <x v="265"/>
    <x v="0"/>
    <s v="pagado"/>
    <s v="pagado"/>
    <x v="0"/>
  </r>
  <r>
    <n v="3000003434"/>
    <d v="2026-06-09T00:00:00"/>
    <n v="5507017.8200000003"/>
    <s v="Robles Angel Gabriel San Miguel de Tucuman 14"/>
    <x v="2094"/>
    <n v="5507017.8200000003"/>
    <x v="265"/>
    <x v="0"/>
    <s v="pagado"/>
    <s v="pagado"/>
    <x v="0"/>
  </r>
  <r>
    <n v="3000003435"/>
    <d v="2026-06-09T00:00:00"/>
    <n v="15376417.07"/>
    <s v="TRANSPORTE FRIOS DEL NORTE S.RSAN MIGUEL DE TUCUMAN 14"/>
    <x v="2095"/>
    <n v="15376417.07"/>
    <x v="265"/>
    <x v="0"/>
    <s v="pagado"/>
    <s v="pagado"/>
    <x v="0"/>
  </r>
  <r>
    <n v="3000003436"/>
    <d v="2026-06-09T00:00:00"/>
    <n v="18590445.859999999"/>
    <s v="FERNANDEZ HECTOR JOSE SIMOCA 14"/>
    <x v="2096"/>
    <n v="18590445.859999999"/>
    <x v="265"/>
    <x v="0"/>
    <s v="pagado"/>
    <s v="pagado"/>
    <x v="0"/>
  </r>
  <r>
    <n v="3000003437"/>
    <d v="2026-06-09T00:00:00"/>
    <n v="4724421.3600000003"/>
    <s v="CAPETTA ANTONELLA ANAHI SAN MIGUEL DE TUCUMAN 14"/>
    <x v="2097"/>
    <n v="4724421.3600000003"/>
    <x v="265"/>
    <x v="0"/>
    <s v="pagado"/>
    <s v="pagado"/>
    <x v="0"/>
  </r>
  <r>
    <n v="3000003466"/>
    <d v="2026-06-10T00:00:00"/>
    <n v="6610132.3700000001"/>
    <s v="TRANSPORTE MEDINA S.H. CRUZ ALTA 14"/>
    <x v="2098"/>
    <n v="6610132.3700000001"/>
    <x v="265"/>
    <x v="0"/>
    <s v="pagado"/>
    <s v="pagado"/>
    <x v="0"/>
  </r>
  <r>
    <n v="3000003502"/>
    <d v="2026-06-11T00:00:00"/>
    <n v="19250000"/>
    <s v="LINEA CONSTRUCCIONES SRL SAN MIGUEL DE TUCUMAN 14"/>
    <x v="2099"/>
    <n v="19250000"/>
    <x v="266"/>
    <x v="0"/>
    <s v="pagado"/>
    <s v="pagado"/>
    <x v="0"/>
  </r>
  <r>
    <n v="3000003502"/>
    <d v="2026-06-11T00:00:00"/>
    <n v="19312053.399999999"/>
    <s v="LINEA CONSTRUCCIONES SRL SAN MIGUEL DE TUCUMAN 14"/>
    <x v="2100"/>
    <n v="19312053.399999999"/>
    <x v="267"/>
    <x v="0"/>
    <s v="pagado"/>
    <s v="pagado"/>
    <x v="0"/>
  </r>
  <r>
    <n v="3000003281"/>
    <d v="2026-06-16T00:00:00"/>
    <n v="45580986.57"/>
    <s v="Rosso Hnos SA MONTEROS 14"/>
    <x v="2101"/>
    <n v="45580986.57"/>
    <x v="268"/>
    <x v="0"/>
    <s v="pagado"/>
    <s v="pagado"/>
    <x v="0"/>
  </r>
  <r>
    <n v="3000003281"/>
    <d v="2026-06-16T00:00:00"/>
    <n v="15785035.92"/>
    <s v="Rosso Hnos SA MONTEROS 14"/>
    <x v="2102"/>
    <n v="15785035.92"/>
    <x v="269"/>
    <x v="0"/>
    <s v="pagado"/>
    <s v="pagado"/>
    <x v="0"/>
  </r>
  <r>
    <n v="3000003580"/>
    <d v="2026-06-16T00:00:00"/>
    <n v="7261652.4000000004"/>
    <s v="DUN Y BRADSTREET S.A CIUDAD AUTONOMA DE BUENOS AIRES 01"/>
    <x v="2103"/>
    <n v="7261652.4000000004"/>
    <x v="270"/>
    <x v="0"/>
    <s v="pagado"/>
    <s v="pagado"/>
    <x v="0"/>
  </r>
  <r>
    <n v="3000003580"/>
    <d v="2026-06-16T00:00:00"/>
    <n v="7261380"/>
    <s v="DUN Y BRADSTREET S.A CIUDAD AUTONOMA DE BUENOS AIRES 01"/>
    <x v="2104"/>
    <n v="7261380"/>
    <x v="271"/>
    <x v="0"/>
    <s v="pagado"/>
    <s v="pagado"/>
    <x v="0"/>
  </r>
  <r>
    <n v="3000003580"/>
    <d v="2026-06-16T00:00:00"/>
    <n v="7261380"/>
    <s v="DUN Y BRADSTREET S.A CIUDAD AUTONOMA DE BUENOS AIRES 01"/>
    <x v="2105"/>
    <n v="7261380"/>
    <x v="272"/>
    <x v="0"/>
    <s v="pagado"/>
    <s v="pagado"/>
    <x v="0"/>
  </r>
  <r>
    <n v="3000003576"/>
    <d v="2026-06-16T00:00:00"/>
    <n v="62528420"/>
    <s v="EDET S.A. SAN MIGUEL DE TUCUMAN 14"/>
    <x v="2106"/>
    <n v="62528420"/>
    <x v="257"/>
    <x v="0"/>
    <s v="pagado"/>
    <s v="pagado"/>
    <x v="0"/>
  </r>
  <r>
    <n v="3000003577"/>
    <d v="2026-06-16T00:00:00"/>
    <n v="6618152.2199999997"/>
    <s v="LUCENA ANGEL OMAR LOS VALLISTOS 13"/>
    <x v="2107"/>
    <n v="6618152.2199999997"/>
    <x v="270"/>
    <x v="0"/>
    <s v="pagado"/>
    <s v="pagado"/>
    <x v="0"/>
  </r>
  <r>
    <n v="3000003578"/>
    <d v="2026-06-16T00:00:00"/>
    <n v="7277623.4000000004"/>
    <s v="PABLO Y FERNANDO TACCHELLA S.RSAN MIGUEL DE TUCUMAN 14"/>
    <x v="2108"/>
    <n v="7277623.4000000004"/>
    <x v="270"/>
    <x v="0"/>
    <s v="pagado"/>
    <s v="pagado"/>
    <x v="0"/>
  </r>
  <r>
    <n v="3000003579"/>
    <d v="2026-06-16T00:00:00"/>
    <n v="10179271.609999999"/>
    <s v="JLA ARGENTINA S A GENERAL CABRERA 03"/>
    <x v="2109"/>
    <n v="10179271.609999999"/>
    <x v="270"/>
    <x v="0"/>
    <s v="pagado"/>
    <s v="pagado"/>
    <x v="0"/>
  </r>
  <r>
    <n v="3000003581"/>
    <d v="2026-06-16T00:00:00"/>
    <n v="10047463.720000001"/>
    <s v="LA 10 SRL SAN MIGUEL DE TUCUMAN 14"/>
    <x v="2110"/>
    <n v="10047463.720000001"/>
    <x v="270"/>
    <x v="0"/>
    <s v="pagado"/>
    <s v="pagado"/>
    <x v="0"/>
  </r>
  <r>
    <n v="3000003582"/>
    <d v="2026-06-16T00:00:00"/>
    <n v="32823360"/>
    <s v="BONSUR SA CAPITAL FEDERAL 00"/>
    <x v="2111"/>
    <n v="32823360"/>
    <x v="236"/>
    <x v="0"/>
    <s v="pagado"/>
    <s v="pagado"/>
    <x v="0"/>
  </r>
  <r>
    <n v="3000003583"/>
    <d v="2026-06-16T00:00:00"/>
    <n v="5283180.76"/>
    <s v="MAC DONALD MIGUEL ALEJANDRO BANDA DEL RIO SALI 14"/>
    <x v="2112"/>
    <n v="5283180.76"/>
    <x v="270"/>
    <x v="0"/>
    <s v="pagado"/>
    <s v="pagado"/>
    <x v="0"/>
  </r>
  <r>
    <n v="3000003584"/>
    <d v="2026-06-16T00:00:00"/>
    <n v="6111688.4100000001"/>
    <s v="JACQUET NORBERTO SALVADOR SAN JOSE 05"/>
    <x v="2113"/>
    <n v="6111688.4100000001"/>
    <x v="270"/>
    <x v="0"/>
    <s v="pagado"/>
    <s v="pagado"/>
    <x v="0"/>
  </r>
  <r>
    <n v="3000003585"/>
    <d v="2026-06-16T00:00:00"/>
    <n v="24602267.329999998"/>
    <s v="TRANSPORTE FRIOS DEL NORTE S.RSAN MIGUEL DE TUCUMAN 14"/>
    <x v="2114"/>
    <n v="24602267.329999998"/>
    <x v="236"/>
    <x v="0"/>
    <s v="pagado"/>
    <s v="pagado"/>
    <x v="0"/>
  </r>
  <r>
    <n v="3000003586"/>
    <d v="2026-06-16T00:00:00"/>
    <n v="30540503.539999999"/>
    <s v="CAPETTA ANTONELLA ANAHI SAN MIGUEL DE TUCUMAN 14"/>
    <x v="2115"/>
    <n v="30540503.539999999"/>
    <x v="236"/>
    <x v="0"/>
    <s v="pagado"/>
    <s v="pagado"/>
    <x v="0"/>
  </r>
  <r>
    <n v="3000003587"/>
    <d v="2026-06-16T00:00:00"/>
    <n v="5249785.18"/>
    <s v="VILLAGRA VELEZ ROQUE RICARDO SAN MIGUEL DE TUCUMAN 14"/>
    <x v="2116"/>
    <n v="5249785.18"/>
    <x v="270"/>
    <x v="0"/>
    <s v="pagado"/>
    <s v="pagado"/>
    <x v="0"/>
  </r>
  <r>
    <n v="3000003588"/>
    <d v="2026-06-16T00:00:00"/>
    <n v="9356502.7200000007"/>
    <s v="LANCHELA HECTOR ROLANDO CONCEPCION 14"/>
    <x v="2117"/>
    <n v="9356502.7200000007"/>
    <x v="270"/>
    <x v="0"/>
    <s v="pagado"/>
    <s v="pagado"/>
    <x v="0"/>
  </r>
  <r>
    <n v="3000003589"/>
    <d v="2026-06-16T00:00:00"/>
    <n v="5461022.1500000004"/>
    <s v="PERATO LUIS ALBERTO BANDA DEL RIO SALI 14"/>
    <x v="2118"/>
    <n v="5461022.1500000004"/>
    <x v="270"/>
    <x v="0"/>
    <s v="pagado"/>
    <s v="pagado"/>
    <x v="0"/>
  </r>
  <r>
    <n v="3000003590"/>
    <d v="2026-06-16T00:00:00"/>
    <n v="16082126"/>
    <s v="TORRES JUAN RAMON ALDERETES 14"/>
    <x v="2119"/>
    <n v="16082126"/>
    <x v="236"/>
    <x v="0"/>
    <s v="pagado"/>
    <s v="pagado"/>
    <x v="0"/>
  </r>
  <r>
    <n v="3000003591"/>
    <d v="2026-06-16T00:00:00"/>
    <n v="6004293.6399999997"/>
    <s v="Vaquera Francisco Alfredo Monteros 14"/>
    <x v="2120"/>
    <n v="6004293.6399999997"/>
    <x v="270"/>
    <x v="0"/>
    <s v="pagado"/>
    <s v="pagado"/>
    <x v="0"/>
  </r>
  <r>
    <n v="3000003592"/>
    <d v="2026-06-16T00:00:00"/>
    <n v="6362321.5999999996"/>
    <s v="TRANSPORTE MARIANITA S.R.L SAN MIGUEL DE TUCUMAN 14"/>
    <x v="2121"/>
    <n v="6362321.5999999996"/>
    <x v="270"/>
    <x v="0"/>
    <s v="pagado"/>
    <s v="pagado"/>
    <x v="0"/>
  </r>
  <r>
    <n v="3000003593"/>
    <d v="2026-06-16T00:00:00"/>
    <n v="10780103.529999999"/>
    <s v="Pedro Angel Michael Alderetes 14"/>
    <x v="2122"/>
    <n v="10780103.529999999"/>
    <x v="270"/>
    <x v="0"/>
    <s v="pagado"/>
    <s v="pagado"/>
    <x v="0"/>
  </r>
  <r>
    <n v="3000003594"/>
    <d v="2026-06-16T00:00:00"/>
    <n v="20988908.399999999"/>
    <s v="ACOSTA ROQUE RAMON SAN MIGUEL DE TUCUMAN 14"/>
    <x v="2123"/>
    <n v="20988908.399999999"/>
    <x v="236"/>
    <x v="0"/>
    <s v="pagado"/>
    <s v="pagado"/>
    <x v="0"/>
  </r>
  <r>
    <n v="3000003634"/>
    <d v="2026-06-17T00:00:00"/>
    <n v="11000000"/>
    <s v="Norviguet S.R.L. SAN MIGUEL DE TUCUMAN 14"/>
    <x v="2124"/>
    <n v="11000000"/>
    <x v="268"/>
    <x v="0"/>
    <s v="pagado"/>
    <s v="pagado"/>
    <x v="0"/>
  </r>
  <r>
    <n v="3000003634"/>
    <d v="2026-06-17T00:00:00"/>
    <n v="11000000"/>
    <s v="Norviguet S.R.L. SAN MIGUEL DE TUCUMAN 14"/>
    <x v="2125"/>
    <n v="11000000"/>
    <x v="273"/>
    <x v="0"/>
    <s v="pagado"/>
    <s v="pagado"/>
    <x v="0"/>
  </r>
  <r>
    <n v="3000003634"/>
    <d v="2026-06-17T00:00:00"/>
    <n v="11000000"/>
    <s v="Norviguet S.R.L. SAN MIGUEL DE TUCUMAN 14"/>
    <x v="2126"/>
    <n v="11000000"/>
    <x v="274"/>
    <x v="0"/>
    <s v="no pagado"/>
    <s v="en periodo de pago"/>
    <x v="1"/>
  </r>
  <r>
    <n v="3000003634"/>
    <d v="2026-06-17T00:00:00"/>
    <n v="11000000"/>
    <s v="Norviguet S.R.L. SAN MIGUEL DE TUCUMAN 14"/>
    <x v="2127"/>
    <n v="11000000"/>
    <x v="275"/>
    <x v="0"/>
    <s v="no pagado"/>
    <s v="en periodo de pago"/>
    <x v="1"/>
  </r>
  <r>
    <n v="3000003634"/>
    <d v="2026-06-17T00:00:00"/>
    <n v="11093885"/>
    <s v="Norviguet S.R.L. SAN MIGUEL DE TUCUMAN 14"/>
    <x v="2128"/>
    <n v="11093885"/>
    <x v="276"/>
    <x v="0"/>
    <s v="no pagado"/>
    <s v="en periodo de pago"/>
    <x v="1"/>
  </r>
  <r>
    <n v="3000003633"/>
    <d v="2026-06-17T00:00:00"/>
    <n v="3234870.66"/>
    <s v="BESTANI JUAN JOSE SAN MIGUEL DE TUCUMAN 14"/>
    <x v="2129"/>
    <n v="3234870.66"/>
    <x v="236"/>
    <x v="0"/>
    <s v="pagado"/>
    <s v="pagado"/>
    <x v="0"/>
  </r>
  <r>
    <n v="3000003751"/>
    <d v="2026-06-22T00:00:00"/>
    <n v="5367617.3499999996"/>
    <s v="Hierronort Salta S.R.L. SAN MIGUEL DE TUCUMAN 14"/>
    <x v="2130"/>
    <n v="5367617.3499999996"/>
    <x v="277"/>
    <x v="0"/>
    <s v="pagado"/>
    <s v="pagado"/>
    <x v="0"/>
  </r>
  <r>
    <n v="3000003752"/>
    <d v="2026-06-22T00:00:00"/>
    <n v="5678260"/>
    <s v="LUGUIMAC S.R.L VILLA LYNCH 01"/>
    <x v="2131"/>
    <n v="5678260"/>
    <x v="277"/>
    <x v="0"/>
    <s v="pagado"/>
    <s v="pagado"/>
    <x v="0"/>
  </r>
  <r>
    <n v="3000003754"/>
    <d v="2026-06-22T00:00:00"/>
    <n v="10088492.9"/>
    <s v="SUAREZ MANUEL RODOLFO ALDERETES 14"/>
    <x v="2132"/>
    <n v="10088492.9"/>
    <x v="277"/>
    <x v="0"/>
    <s v="pagado"/>
    <s v="pagado"/>
    <x v="0"/>
  </r>
  <r>
    <n v="3000003755"/>
    <d v="2026-06-22T00:00:00"/>
    <n v="7878185.2599999998"/>
    <s v="Transporte CDC S.A. CAPITAL FEDERAL 00"/>
    <x v="2133"/>
    <n v="7878185.2599999998"/>
    <x v="277"/>
    <x v="0"/>
    <s v="pagado"/>
    <s v="pagado"/>
    <x v="0"/>
  </r>
  <r>
    <n v="3000003757"/>
    <d v="2026-06-22T00:00:00"/>
    <n v="8247800"/>
    <s v="PABLO Y FERNANDO TACCHELLA S.RSAN MIGUEL DE TUCUMAN 14"/>
    <x v="2134"/>
    <n v="8247800"/>
    <x v="277"/>
    <x v="0"/>
    <s v="pagado"/>
    <s v="pagado"/>
    <x v="0"/>
  </r>
  <r>
    <n v="3000003758"/>
    <d v="2026-06-22T00:00:00"/>
    <n v="5283180.76"/>
    <s v="MAC DONALD MIGUEL ALEJANDRO BANDA DEL RIO SALI 14"/>
    <x v="2135"/>
    <n v="5283180.76"/>
    <x v="277"/>
    <x v="0"/>
    <s v="pagado"/>
    <s v="pagado"/>
    <x v="0"/>
  </r>
  <r>
    <n v="3000003759"/>
    <d v="2026-06-22T00:00:00"/>
    <n v="13233931.23"/>
    <s v="FERNANDEZ HECTOR JOSE SIMOCA 14"/>
    <x v="2136"/>
    <n v="13233931.23"/>
    <x v="277"/>
    <x v="0"/>
    <s v="pagado"/>
    <s v="pagado"/>
    <x v="0"/>
  </r>
  <r>
    <n v="3000003760"/>
    <d v="2026-06-22T00:00:00"/>
    <n v="18907877.879999999"/>
    <s v="RL SOLUCIONES S. A. S. SAN MIGUEL DE TUCUMAN 14"/>
    <x v="2137"/>
    <n v="18907877.879999999"/>
    <x v="277"/>
    <x v="0"/>
    <s v="pagado"/>
    <s v="pagado"/>
    <x v="0"/>
  </r>
  <r>
    <n v="3000003761"/>
    <d v="2026-06-22T00:00:00"/>
    <n v="6855862.4800000004"/>
    <s v="Arias Gonzalo Alejandro San Miguel de Tucumán 14"/>
    <x v="2138"/>
    <n v="6855862.4800000004"/>
    <x v="277"/>
    <x v="0"/>
    <s v="pagado"/>
    <s v="pagado"/>
    <x v="0"/>
  </r>
  <r>
    <n v="3000003762"/>
    <d v="2026-06-22T00:00:00"/>
    <n v="6971555.1299999999"/>
    <s v="Pedro Ivan Marcelo ALDERETES 14"/>
    <x v="2139"/>
    <n v="6971555.1299999999"/>
    <x v="277"/>
    <x v="0"/>
    <s v="pagado"/>
    <s v="pagado"/>
    <x v="0"/>
  </r>
  <r>
    <n v="3000003763"/>
    <d v="2026-06-22T00:00:00"/>
    <n v="5294031.25"/>
    <s v="Consultoria en Tecnologia de IBUENOS AIRES 00"/>
    <x v="2140"/>
    <n v="5294031.25"/>
    <x v="277"/>
    <x v="0"/>
    <s v="pagado"/>
    <s v="pagado"/>
    <x v="0"/>
  </r>
  <r>
    <n v="3000003756"/>
    <d v="2026-06-22T00:00:00"/>
    <n v="21526983.920000002"/>
    <s v="TRANSPORTE FRIOS DEL NORTE S.RSAN MIGUEL DE TUCUMAN 14"/>
    <x v="2141"/>
    <n v="21526983.920000002"/>
    <x v="277"/>
    <x v="0"/>
    <s v="pagado"/>
    <s v="pagado"/>
    <x v="0"/>
  </r>
  <r>
    <n v="3000003764"/>
    <d v="2026-06-23T00:00:00"/>
    <n v="20000000"/>
    <s v="KENTEC ARGENTINA SA CAPITAL FEDERAL 00"/>
    <x v="2142"/>
    <n v="20000000"/>
    <x v="203"/>
    <x v="0"/>
    <s v="pagado"/>
    <s v="pagado"/>
    <x v="0"/>
  </r>
  <r>
    <n v="3000003764"/>
    <d v="2026-06-23T00:00:00"/>
    <n v="20391102.609999999"/>
    <s v="KENTEC ARGENTINA SA CAPITAL FEDERAL 00"/>
    <x v="2143"/>
    <n v="20391102.609999999"/>
    <x v="278"/>
    <x v="0"/>
    <s v="pagado"/>
    <s v="pagado"/>
    <x v="0"/>
  </r>
  <r>
    <n v="3000003787"/>
    <d v="2026-06-23T00:00:00"/>
    <n v="0"/>
    <s v="invalidado med.EOLIVERA -Destruido/ Sin uso"/>
    <x v="2144"/>
    <n v="0"/>
    <x v="277"/>
    <x v="0"/>
    <s v="no pagado"/>
    <s v="fuera de fecha"/>
    <x v="0"/>
  </r>
  <r>
    <n v="3000001950"/>
    <d v="2026-06-23T00:00:00"/>
    <n v="7416248.1600000001"/>
    <s v="VIDES GUSTAVO ENRIQUE LA TRINIDAD 14"/>
    <x v="2145"/>
    <n v="7416248.1600000001"/>
    <x v="277"/>
    <x v="0"/>
    <s v="pagado"/>
    <s v="pagado"/>
    <x v="0"/>
  </r>
  <r>
    <n v="3000003788"/>
    <d v="2026-06-23T00:00:00"/>
    <n v="17820092.859999999"/>
    <s v="PERATO CRISTIAN LUIS BANDA DEL RIO SALI 14"/>
    <x v="2146"/>
    <n v="17820092.859999999"/>
    <x v="277"/>
    <x v="0"/>
    <s v="pagado"/>
    <s v="pagado"/>
    <x v="0"/>
  </r>
  <r>
    <n v="3000003789"/>
    <d v="2026-06-23T00:00:00"/>
    <n v="25294855.75"/>
    <s v="GAR S.A SAN MIGUEL DE TUCUMAN 14"/>
    <x v="2147"/>
    <n v="25294855.75"/>
    <x v="277"/>
    <x v="0"/>
    <s v="pagado"/>
    <s v="pagado"/>
    <x v="0"/>
  </r>
  <r>
    <n v="3000003790"/>
    <d v="2026-06-23T00:00:00"/>
    <n v="11099595.26"/>
    <s v="Gonzalez Jose Luis Lastenia 14"/>
    <x v="2148"/>
    <n v="11099595.26"/>
    <x v="277"/>
    <x v="0"/>
    <s v="pagado"/>
    <s v="pagado"/>
    <x v="0"/>
  </r>
  <r>
    <n v="3000003791"/>
    <d v="2026-06-23T00:00:00"/>
    <n v="16217357.949999999"/>
    <s v="CAPETTA ANTONELLA ANAHI SAN MIGUEL DE TUCUMAN 14"/>
    <x v="2149"/>
    <n v="16217357.949999999"/>
    <x v="277"/>
    <x v="0"/>
    <s v="pagado"/>
    <s v="pagado"/>
    <x v="0"/>
  </r>
  <r>
    <n v="3000003792"/>
    <d v="2026-06-23T00:00:00"/>
    <n v="8716543.6500000004"/>
    <s v="RL SOLUCIONES S. A. S. SAN MIGUEL DE TUCUMAN 14"/>
    <x v="2150"/>
    <n v="8716543.6500000004"/>
    <x v="277"/>
    <x v="0"/>
    <s v="pagado"/>
    <s v="pagado"/>
    <x v="0"/>
  </r>
  <r>
    <n v="3000003793"/>
    <d v="2026-06-23T00:00:00"/>
    <n v="6150566.8300000001"/>
    <s v="TRANSPORTE FRIOS DEL NORTE S.RSAN MIGUEL DE TUCUMAN 14"/>
    <x v="2151"/>
    <n v="6150566.8300000001"/>
    <x v="277"/>
    <x v="0"/>
    <s v="pagado"/>
    <s v="pagado"/>
    <x v="0"/>
  </r>
  <r>
    <n v="3000003794"/>
    <d v="2026-06-23T00:00:00"/>
    <n v="7798056.5999999996"/>
    <s v="M DODERO COMPANIA GRAL DE SERVCIUDAD AUTONOMA DE BUENOS AIRES 01"/>
    <x v="2152"/>
    <n v="7798056.5999999996"/>
    <x v="277"/>
    <x v="0"/>
    <s v="pagado"/>
    <s v="pagado"/>
    <x v="0"/>
  </r>
  <r>
    <n v="3000003795"/>
    <d v="2026-06-23T00:00:00"/>
    <n v="46999521.079999998"/>
    <s v="ROMERO SERVICIOS S. A. S. ALPACHIRI 14"/>
    <x v="2153"/>
    <n v="46999521.079999998"/>
    <x v="277"/>
    <x v="0"/>
    <s v="pagado"/>
    <s v="pagado"/>
    <x v="0"/>
  </r>
  <r>
    <n v="3000003787"/>
    <d v="2026-06-23T00:00:00"/>
    <n v="7669554.5300000003"/>
    <s v="TRANSPORTE MEDINA S.H. CRUZ ALTA 14"/>
    <x v="2154"/>
    <n v="7669554.5300000003"/>
    <x v="277"/>
    <x v="0"/>
    <s v="pagado"/>
    <s v="pagado"/>
    <x v="0"/>
  </r>
  <r>
    <n v="3000003936"/>
    <d v="2026-06-29T00:00:00"/>
    <n v="8663897.5399999991"/>
    <s v="Bureau Veritas Arg.S.A. CIUDAD AUTONOMA DE BUENOS AIRES 01"/>
    <x v="2155"/>
    <n v="8663897.5399999991"/>
    <x v="279"/>
    <x v="0"/>
    <s v="pagado"/>
    <s v="pagado"/>
    <x v="0"/>
  </r>
  <r>
    <n v="3000003937"/>
    <d v="2026-06-29T00:00:00"/>
    <n v="5688358.96"/>
    <s v="Saiko S.A Tucumàn 14"/>
    <x v="2156"/>
    <n v="5688358.96"/>
    <x v="279"/>
    <x v="0"/>
    <s v="pagado"/>
    <s v="pagado"/>
    <x v="0"/>
  </r>
  <r>
    <n v="3000003938"/>
    <d v="2026-06-29T00:00:00"/>
    <n v="6760635"/>
    <s v="CAÑA Y SEMILLA SRL Capital Federal 00"/>
    <x v="2157"/>
    <n v="6760635"/>
    <x v="279"/>
    <x v="0"/>
    <s v="pagado"/>
    <s v="pagado"/>
    <x v="0"/>
  </r>
  <r>
    <n v="3000003939"/>
    <d v="2026-06-29T00:00:00"/>
    <n v="8319224.5899999999"/>
    <s v="ROMERO SERVICIOS S. A. S. ALPACHIRI 14"/>
    <x v="2158"/>
    <n v="8319224.5899999999"/>
    <x v="279"/>
    <x v="0"/>
    <s v="pagado"/>
    <s v="pagado"/>
    <x v="0"/>
  </r>
  <r>
    <n v="3000003940"/>
    <d v="2026-06-29T00:00:00"/>
    <n v="14077087.5"/>
    <s v="M.A.D Serv y mant eléctri SAN MIGUEL DE TUCUMAN 14"/>
    <x v="2159"/>
    <n v="14077087.5"/>
    <x v="279"/>
    <x v="0"/>
    <s v="pagado"/>
    <s v="pagado"/>
    <x v="0"/>
  </r>
  <r>
    <n v="3000003941"/>
    <d v="2026-06-29T00:00:00"/>
    <n v="18241440"/>
    <s v="LA 10 SRL SAN MIGUEL DE TUCUMAN 14"/>
    <x v="2160"/>
    <n v="18241440"/>
    <x v="279"/>
    <x v="0"/>
    <s v="pagado"/>
    <s v="pagado"/>
    <x v="0"/>
  </r>
  <r>
    <n v="3000003942"/>
    <d v="2026-06-29T00:00:00"/>
    <n v="9022835.9399999995"/>
    <s v="TRANSPORTE MARIANITA S.R.L SAN MIGUEL DE TUCUMAN 14"/>
    <x v="2161"/>
    <n v="9022835.9399999995"/>
    <x v="279"/>
    <x v="0"/>
    <s v="pagado"/>
    <s v="pagado"/>
    <x v="0"/>
  </r>
  <r>
    <n v="3000003943"/>
    <d v="2026-06-29T00:00:00"/>
    <n v="15376417.08"/>
    <s v="TRANSPORTE FRIOS DEL NORTE S.RSAN MIGUEL DE TUCUMAN 14"/>
    <x v="2162"/>
    <n v="15376417.08"/>
    <x v="279"/>
    <x v="0"/>
    <s v="pagado"/>
    <s v="pagado"/>
    <x v="0"/>
  </r>
  <r>
    <n v="3000003944"/>
    <d v="2026-06-29T00:00:00"/>
    <n v="14331346.609999999"/>
    <s v="ACOSTA ROQUE RAMON SAN MIGUEL DE TUCUMAN 14"/>
    <x v="2163"/>
    <n v="14331346.609999999"/>
    <x v="279"/>
    <x v="0"/>
    <s v="pagado"/>
    <s v="pagado"/>
    <x v="0"/>
  </r>
  <r>
    <n v="3000003945"/>
    <d v="2026-06-29T00:00:00"/>
    <n v="5329201.8099999996"/>
    <s v="HERRERA RICARDO ALBERTO BANDA DEL RIO SALI 14"/>
    <x v="2164"/>
    <n v="5329201.8099999996"/>
    <x v="279"/>
    <x v="0"/>
    <s v="pagado"/>
    <s v="pagado"/>
    <x v="0"/>
  </r>
  <r>
    <n v="3000003946"/>
    <d v="2026-06-29T00:00:00"/>
    <n v="11000054.550000001"/>
    <s v="CEMEVA SAS YERBA BUENA 14"/>
    <x v="2165"/>
    <n v="11000054.550000001"/>
    <x v="279"/>
    <x v="0"/>
    <s v="pagado"/>
    <s v="pagado"/>
    <x v="0"/>
  </r>
  <r>
    <n v="3000003947"/>
    <d v="2026-06-29T00:00:00"/>
    <n v="15882937.85"/>
    <s v="CAPETTA ANTONELLA ANAHI SAN MIGUEL DE TUCUMAN 14"/>
    <x v="2166"/>
    <n v="15882937.85"/>
    <x v="279"/>
    <x v="0"/>
    <s v="pagado"/>
    <s v="pagado"/>
    <x v="0"/>
  </r>
  <r>
    <n v="3000003948"/>
    <d v="2026-06-29T00:00:00"/>
    <n v="8285592.0300000003"/>
    <s v="RL SOLUCIONES S. A. S. SAN MIGUEL DE TUCUMAN 14"/>
    <x v="2167"/>
    <n v="8285592.0300000003"/>
    <x v="279"/>
    <x v="0"/>
    <s v="pagado"/>
    <s v="pagado"/>
    <x v="0"/>
  </r>
  <r>
    <n v="3000003949"/>
    <d v="2026-06-29T00:00:00"/>
    <n v="18754918.239999998"/>
    <s v="LA MARTINA SERV. AGRICOLAS S.RSAN PABLO 14"/>
    <x v="2168"/>
    <n v="18754918.239999998"/>
    <x v="279"/>
    <x v="0"/>
    <s v="pagado"/>
    <s v="pagado"/>
    <x v="0"/>
  </r>
  <r>
    <n v="3000003950"/>
    <d v="2026-06-29T00:00:00"/>
    <n v="8016210.29"/>
    <s v="CAMPOAGRO SRL YERBA BUENA 14"/>
    <x v="2169"/>
    <n v="8016210.29"/>
    <x v="279"/>
    <x v="0"/>
    <s v="pagado"/>
    <s v="pagado"/>
    <x v="0"/>
  </r>
  <r>
    <n v="3000004005"/>
    <d v="2026-07-01T00:00:00"/>
    <n v="20000000"/>
    <s v="GAR S.A SAN MIGUEL DE TUCUMAN 14"/>
    <x v="2170"/>
    <n v="20000000"/>
    <x v="280"/>
    <x v="0"/>
    <s v="pagado"/>
    <s v="pagado"/>
    <x v="0"/>
  </r>
  <r>
    <n v="3000004005"/>
    <d v="2026-07-01T00:00:00"/>
    <n v="14615988.960000001"/>
    <s v="GAR S.A SAN MIGUEL DE TUCUMAN 14"/>
    <x v="2171"/>
    <n v="14615988.960000001"/>
    <x v="268"/>
    <x v="0"/>
    <s v="pagado"/>
    <s v="pagado"/>
    <x v="0"/>
  </r>
  <r>
    <n v="3000003999"/>
    <d v="2026-07-01T00:00:00"/>
    <n v="13555582.49"/>
    <s v="RL SOLUCIONES S. A. S. SAN MIGUEL DE TUCUMAN 14"/>
    <x v="2172"/>
    <n v="13555582.49"/>
    <x v="268"/>
    <x v="0"/>
    <s v="pagado"/>
    <s v="pagado"/>
    <x v="0"/>
  </r>
  <r>
    <n v="3000004000"/>
    <d v="2026-07-01T00:00:00"/>
    <n v="11361641.51"/>
    <s v="JACQUET NORBERTO SALVADOR SAN JOSE 05"/>
    <x v="2173"/>
    <n v="11361641.51"/>
    <x v="268"/>
    <x v="0"/>
    <s v="pagado"/>
    <s v="pagado"/>
    <x v="0"/>
  </r>
  <r>
    <n v="3000004001"/>
    <d v="2026-07-01T00:00:00"/>
    <n v="13988677.369999999"/>
    <s v="CEMEVA SAS YERBA BUENA 14"/>
    <x v="2174"/>
    <n v="13988677.369999999"/>
    <x v="268"/>
    <x v="0"/>
    <s v="pagado"/>
    <s v="pagado"/>
    <x v="0"/>
  </r>
  <r>
    <n v="3000004002"/>
    <d v="2026-07-01T00:00:00"/>
    <n v="14974376.84"/>
    <s v="CAPETTA ANTONELLA ANAHI SAN MIGUEL DE TUCUMAN 14"/>
    <x v="2175"/>
    <n v="14974376.84"/>
    <x v="268"/>
    <x v="0"/>
    <s v="pagado"/>
    <s v="pagado"/>
    <x v="0"/>
  </r>
  <r>
    <n v="3000004003"/>
    <d v="2026-07-01T00:00:00"/>
    <n v="10773587.92"/>
    <s v="LATCOMEX SA CAPITAL FEDERAL 00"/>
    <x v="2176"/>
    <n v="10773587.92"/>
    <x v="268"/>
    <x v="0"/>
    <s v="pagado"/>
    <s v="pagado"/>
    <x v="0"/>
  </r>
  <r>
    <n v="3000004004"/>
    <d v="2026-07-01T00:00:00"/>
    <n v="12131294.33"/>
    <s v="Transportes La Sevillanita S.RALDERETES 14"/>
    <x v="2177"/>
    <n v="12131294.33"/>
    <x v="268"/>
    <x v="0"/>
    <s v="pagado"/>
    <s v="pagado"/>
    <x v="0"/>
  </r>
  <r>
    <n v="3000004128"/>
    <d v="2026-07-06T00:00:00"/>
    <n v="5704781.5599999996"/>
    <s v="TRANSPORTE MEDINA S.H. CRUZ ALTA 14"/>
    <x v="2178"/>
    <n v="5704781.5599999996"/>
    <x v="266"/>
    <x v="0"/>
    <s v="pagado"/>
    <s v="pagado"/>
    <x v="0"/>
  </r>
  <r>
    <n v="3000004129"/>
    <d v="2026-07-06T00:00:00"/>
    <n v="7054113.21"/>
    <s v="Marchese Grandi Meson y Asoc SAN MIGUEL DE TUCUMAN 14"/>
    <x v="2179"/>
    <n v="7054113.21"/>
    <x v="266"/>
    <x v="0"/>
    <s v="pagado"/>
    <s v="pagado"/>
    <x v="0"/>
  </r>
  <r>
    <n v="3000004130"/>
    <d v="2026-07-06T00:00:00"/>
    <n v="13890730"/>
    <s v="Agricola Garcia S.A. SAN MIGUEL DE TUCUMAN 14"/>
    <x v="2180"/>
    <n v="13890730"/>
    <x v="266"/>
    <x v="0"/>
    <s v="pagado"/>
    <s v="pagado"/>
    <x v="0"/>
  </r>
  <r>
    <n v="3000004131"/>
    <d v="2026-07-06T00:00:00"/>
    <n v="7347164.3899999997"/>
    <s v="EXCELENCIA OPERACIONAL SRL CIUDAD AUTONOMA DE BUENOS AIRES 00"/>
    <x v="2181"/>
    <n v="7347164.3899999997"/>
    <x v="266"/>
    <x v="0"/>
    <s v="pagado"/>
    <s v="pagado"/>
    <x v="0"/>
  </r>
  <r>
    <n v="3000004132"/>
    <d v="2026-07-06T00:00:00"/>
    <n v="9962077.7799999993"/>
    <s v="SEGURIDAD OMEGA SRL SAN FERNANDO DEL VALLE DE CATAMARCA 02"/>
    <x v="2182"/>
    <n v="9962077.7799999993"/>
    <x v="266"/>
    <x v="0"/>
    <s v="pagado"/>
    <s v="pagado"/>
    <x v="0"/>
  </r>
  <r>
    <n v="3000004133"/>
    <d v="2026-07-06T00:00:00"/>
    <n v="6800786.4000000004"/>
    <s v="M.A.D Serv y mant eléctri SAN MIGUEL DE TUCUMAN 14"/>
    <x v="2183"/>
    <n v="6800786.4000000004"/>
    <x v="266"/>
    <x v="0"/>
    <s v="pagado"/>
    <s v="pagado"/>
    <x v="0"/>
  </r>
  <r>
    <n v="3000004134"/>
    <d v="2026-07-06T00:00:00"/>
    <n v="8455481.1400000006"/>
    <s v="ALVAREZ RENE JOSE MARIA BELLA VISTA 14"/>
    <x v="2184"/>
    <n v="8455481.1400000006"/>
    <x v="266"/>
    <x v="0"/>
    <s v="pagado"/>
    <s v="pagado"/>
    <x v="0"/>
  </r>
  <r>
    <n v="3000004135"/>
    <d v="2026-07-06T00:00:00"/>
    <n v="8462338.5199999996"/>
    <s v="JACQUET NORBERTO SALVADOR SAN JOSE 05"/>
    <x v="2185"/>
    <n v="8462338.5199999996"/>
    <x v="266"/>
    <x v="0"/>
    <s v="pagado"/>
    <s v="pagado"/>
    <x v="0"/>
  </r>
  <r>
    <n v="3000004136"/>
    <d v="2026-07-06T00:00:00"/>
    <n v="21526983.91"/>
    <s v="TRANSPORTE FRIOS DEL NORTE S.RSAN MIGUEL DE TUCUMAN 14"/>
    <x v="2186"/>
    <n v="21526983.91"/>
    <x v="266"/>
    <x v="0"/>
    <s v="pagado"/>
    <s v="pagado"/>
    <x v="0"/>
  </r>
  <r>
    <n v="3000004137"/>
    <d v="2026-07-06T00:00:00"/>
    <n v="5283180.76"/>
    <s v="MAC DONALD MIGUEL ALEJANDRO BANDA DEL RIO SALI 14"/>
    <x v="2187"/>
    <n v="5283180.76"/>
    <x v="266"/>
    <x v="0"/>
    <s v="pagado"/>
    <s v="pagado"/>
    <x v="0"/>
  </r>
  <r>
    <n v="3000004138"/>
    <d v="2026-07-06T00:00:00"/>
    <n v="38653005.789999999"/>
    <s v="BARBARISI JUAREZ PABLO EMANUELSAN JUAN 10"/>
    <x v="2188"/>
    <n v="38653005.789999999"/>
    <x v="266"/>
    <x v="0"/>
    <s v="pagado"/>
    <s v="pagado"/>
    <x v="0"/>
  </r>
  <r>
    <n v="3000004139"/>
    <d v="2026-07-06T00:00:00"/>
    <n v="18530094.16"/>
    <s v="CAPETTA ANTONELLA ANAHI SAN MIGUEL DE TUCUMAN 14"/>
    <x v="2189"/>
    <n v="18530094.16"/>
    <x v="266"/>
    <x v="0"/>
    <s v="pagado"/>
    <s v="pagado"/>
    <x v="0"/>
  </r>
  <r>
    <n v="3000004140"/>
    <d v="2026-07-06T00:00:00"/>
    <n v="17629871.120000001"/>
    <s v="RL SOLUCIONES S. A. S. SAN MIGUEL DE TUCUMAN 14"/>
    <x v="2190"/>
    <n v="17629871.120000001"/>
    <x v="266"/>
    <x v="0"/>
    <s v="pagado"/>
    <s v="pagado"/>
    <x v="0"/>
  </r>
  <r>
    <n v="3000004141"/>
    <d v="2026-07-06T00:00:00"/>
    <n v="6378951.2199999997"/>
    <s v="Pedro Ivan Marcelo ALDERETES 14"/>
    <x v="2191"/>
    <n v="6378951.2199999997"/>
    <x v="266"/>
    <x v="0"/>
    <s v="pagado"/>
    <s v="pagado"/>
    <x v="0"/>
  </r>
  <r>
    <n v="3000004142"/>
    <d v="2026-07-06T00:00:00"/>
    <n v="7255671.1699999999"/>
    <s v="Verde y Sol S.R.L. SAN MIGUEL DE TUCUMAN 14"/>
    <x v="2192"/>
    <n v="7255671.1699999999"/>
    <x v="266"/>
    <x v="0"/>
    <s v="pagado"/>
    <s v="pagado"/>
    <x v="0"/>
  </r>
  <r>
    <n v="3000004143"/>
    <d v="2026-07-06T00:00:00"/>
    <n v="41951984.049999997"/>
    <s v="M DODERO COMPANIA GRAL DE SERVCIUDAD AUTONOMA DE BUENOS AIRES 01"/>
    <x v="2193"/>
    <n v="41951984.049999997"/>
    <x v="266"/>
    <x v="0"/>
    <s v="pagado"/>
    <s v="pagado"/>
    <x v="0"/>
  </r>
  <r>
    <n v="3000004144"/>
    <d v="2026-07-06T00:00:00"/>
    <n v="8845604.0800000001"/>
    <s v="CAMPOAGRO SRL YERBA BUENA 14"/>
    <x v="2194"/>
    <n v="8845604.0800000001"/>
    <x v="266"/>
    <x v="0"/>
    <s v="pagado"/>
    <s v="pagado"/>
    <x v="0"/>
  </r>
  <r>
    <n v="3000004145"/>
    <d v="2026-07-06T00:00:00"/>
    <n v="27044550.27"/>
    <s v="GAR S.A SAN MIGUEL DE TUCUMAN 14"/>
    <x v="2195"/>
    <n v="27044550.27"/>
    <x v="266"/>
    <x v="0"/>
    <s v="pagado"/>
    <s v="pagado"/>
    <x v="0"/>
  </r>
  <r>
    <n v="3000004146"/>
    <d v="2026-07-06T00:00:00"/>
    <n v="19896630.829999998"/>
    <s v="VIDES GUSTAVO ENRIQUE LA TRINIDAD 14"/>
    <x v="2196"/>
    <n v="19896630.829999998"/>
    <x v="281"/>
    <x v="0"/>
    <s v="pagado"/>
    <s v="pagado"/>
    <x v="0"/>
  </r>
  <r>
    <n v="3000004284"/>
    <d v="2026-07-13T00:00:00"/>
    <n v="15000000"/>
    <s v="MOLINA JUAN F. Y MOLINA ROQUE Lastenia 14"/>
    <x v="2197"/>
    <n v="15000000"/>
    <x v="282"/>
    <x v="0"/>
    <s v="pagado"/>
    <s v="pagado"/>
    <x v="0"/>
  </r>
  <r>
    <n v="3000004284"/>
    <d v="2026-07-13T00:00:00"/>
    <n v="15000000"/>
    <s v="MOLINA JUAN F. Y MOLINA ROQUE Lastenia 14"/>
    <x v="2198"/>
    <n v="15000000"/>
    <x v="282"/>
    <x v="0"/>
    <s v="pagado"/>
    <s v="pagado"/>
    <x v="0"/>
  </r>
  <r>
    <n v="3000004284"/>
    <d v="2026-07-13T00:00:00"/>
    <n v="10880378.08"/>
    <s v="MOLINA JUAN F. Y MOLINA ROQUE Lastenia 14"/>
    <x v="2199"/>
    <n v="10880378.08"/>
    <x v="282"/>
    <x v="0"/>
    <s v="pagado"/>
    <s v="pagado"/>
    <x v="0"/>
  </r>
  <r>
    <n v="3000004280"/>
    <d v="2026-07-13T00:00:00"/>
    <n v="8236487.5199999996"/>
    <s v="Hierronort Salta S.R.L. SAN MIGUEL DE TUCUMAN 14"/>
    <x v="2200"/>
    <n v="8236487.5199999996"/>
    <x v="282"/>
    <x v="0"/>
    <s v="pagado"/>
    <s v="pagado"/>
    <x v="0"/>
  </r>
  <r>
    <n v="3000004281"/>
    <d v="2026-07-13T00:00:00"/>
    <n v="11741181.529999999"/>
    <s v="SUAREZ MANUEL RODOLFO ALDERETES 14"/>
    <x v="2201"/>
    <n v="11741181.529999999"/>
    <x v="282"/>
    <x v="0"/>
    <s v="pagado"/>
    <s v="pagado"/>
    <x v="0"/>
  </r>
  <r>
    <n v="3000004282"/>
    <d v="2026-07-13T00:00:00"/>
    <n v="5220309.6900000004"/>
    <s v="PERATO LUIS ALBERTO BANDA DEL RIO SALI 14"/>
    <x v="2202"/>
    <n v="5220309.6900000004"/>
    <x v="282"/>
    <x v="0"/>
    <s v="pagado"/>
    <s v="pagado"/>
    <x v="0"/>
  </r>
  <r>
    <n v="3000004283"/>
    <d v="2026-07-13T00:00:00"/>
    <n v="15170268.42"/>
    <s v="PERATO CRISTIAN LUIS BANDA DEL RIO SALI 14"/>
    <x v="2203"/>
    <n v="15170268.42"/>
    <x v="282"/>
    <x v="0"/>
    <s v="pagado"/>
    <s v="pagado"/>
    <x v="0"/>
  </r>
  <r>
    <n v="3000004286"/>
    <d v="2026-07-13T00:00:00"/>
    <n v="13391321.01"/>
    <s v="FERNANDEZ HECTOR JOSE SIMOCA 14"/>
    <x v="2204"/>
    <n v="13391321.01"/>
    <x v="282"/>
    <x v="0"/>
    <s v="pagado"/>
    <s v="pagado"/>
    <x v="0"/>
  </r>
  <r>
    <n v="3000004288"/>
    <d v="2026-07-13T00:00:00"/>
    <n v="15010301.109999999"/>
    <s v="BARBARISI JUAREZ PABLO EMANUELSAN JUAN 10"/>
    <x v="2205"/>
    <n v="15010301.109999999"/>
    <x v="282"/>
    <x v="0"/>
    <s v="pagado"/>
    <s v="pagado"/>
    <x v="0"/>
  </r>
  <r>
    <n v="3000004289"/>
    <d v="2026-07-13T00:00:00"/>
    <n v="7314226.79"/>
    <s v="Sanchez Jose Mauricio San Miguel de Tucuman 14"/>
    <x v="2206"/>
    <n v="7314226.79"/>
    <x v="282"/>
    <x v="0"/>
    <s v="pagado"/>
    <s v="pagado"/>
    <x v="0"/>
  </r>
  <r>
    <n v="3000004290"/>
    <d v="2026-07-13T00:00:00"/>
    <n v="6003269"/>
    <s v="Arias Gonzalo Alejandro San Miguel de Tucumán 14"/>
    <x v="2207"/>
    <n v="6003269"/>
    <x v="282"/>
    <x v="0"/>
    <s v="pagado"/>
    <s v="pagado"/>
    <x v="0"/>
  </r>
  <r>
    <n v="3000004291"/>
    <d v="2026-07-13T00:00:00"/>
    <n v="5643449.7599999998"/>
    <s v="Rojas Antonio Domingo ALDERETES 14"/>
    <x v="2208"/>
    <n v="5643449.7599999998"/>
    <x v="282"/>
    <x v="0"/>
    <s v="pagado"/>
    <s v="pagado"/>
    <x v="0"/>
  </r>
  <r>
    <n v="3000004292"/>
    <d v="2026-07-13T00:00:00"/>
    <n v="12361745.539999999"/>
    <s v="Poda Verde SRL SAN MIGUEL DE TUCUMAN 14"/>
    <x v="2209"/>
    <n v="12361745.539999999"/>
    <x v="282"/>
    <x v="0"/>
    <s v="pagado"/>
    <s v="pagado"/>
    <x v="0"/>
  </r>
  <r>
    <n v="3000004293"/>
    <d v="2026-07-13T00:00:00"/>
    <n v="7812681.4100000001"/>
    <s v="LA MARTINA SERV. AGRICOLAS S.RSAN PABLO 14"/>
    <x v="2210"/>
    <n v="7812681.4100000001"/>
    <x v="282"/>
    <x v="0"/>
    <s v="pagado"/>
    <s v="pagado"/>
    <x v="0"/>
  </r>
  <r>
    <n v="3000004294"/>
    <d v="2026-07-13T00:00:00"/>
    <n v="5471093.4000000004"/>
    <s v="GEOTECNOLOGIA S.R.L SAN MIGUEL DE TUCUMAN 14"/>
    <x v="2211"/>
    <n v="5471093.4000000004"/>
    <x v="282"/>
    <x v="0"/>
    <s v="pagado"/>
    <s v="pagado"/>
    <x v="0"/>
  </r>
  <r>
    <n v="3000004295"/>
    <d v="2026-07-13T00:00:00"/>
    <n v="22700807.460000001"/>
    <s v="CAMPOAGRO SRL YERBA BUENA 14"/>
    <x v="2212"/>
    <n v="22700807.460000001"/>
    <x v="282"/>
    <x v="0"/>
    <s v="pagado"/>
    <s v="pagado"/>
    <x v="0"/>
  </r>
  <r>
    <n v="3000004299"/>
    <d v="2026-07-13T00:00:00"/>
    <n v="667589.18000000005"/>
    <s v="FERPASI S.R.L SAN MIGUEL DE TUCUMAN 14"/>
    <x v="2213"/>
    <n v="667589.18000000005"/>
    <x v="283"/>
    <x v="0"/>
    <s v="pagado"/>
    <s v="pagado"/>
    <x v="0"/>
  </r>
  <r>
    <n v="3000002708"/>
    <d v="2026-07-13T00:00:00"/>
    <n v="4364576.5999999996"/>
    <s v="BESTANI JUAN JOSE SAN MIGUEL DE TUCUMAN 14"/>
    <x v="2214"/>
    <n v="4364576.5999999996"/>
    <x v="282"/>
    <x v="0"/>
    <s v="pagado"/>
    <s v="pagado"/>
    <x v="0"/>
  </r>
  <r>
    <n v="3000003045"/>
    <d v="2026-07-13T00:00:00"/>
    <n v="6132962.7300000004"/>
    <s v="BESTANI JUAN JOSE SAN MIGUEL DE TUCUMAN 14"/>
    <x v="2215"/>
    <n v="6132962.7300000004"/>
    <x v="282"/>
    <x v="0"/>
    <s v="pagado"/>
    <s v="pagado"/>
    <x v="0"/>
  </r>
  <r>
    <n v="3000004341"/>
    <d v="2026-07-15T00:00:00"/>
    <n v="20000000"/>
    <s v="GAR S.A SAN MIGUEL DE TUCUMAN 14"/>
    <x v="2216"/>
    <n v="20000000"/>
    <x v="271"/>
    <x v="0"/>
    <s v="pagado"/>
    <s v="pagado"/>
    <x v="0"/>
  </r>
  <r>
    <n v="3000004341"/>
    <d v="2026-07-15T00:00:00"/>
    <n v="16379416.83"/>
    <s v="GAR S.A SAN MIGUEL DE TUCUMAN 14"/>
    <x v="2217"/>
    <n v="16379416.83"/>
    <x v="284"/>
    <x v="0"/>
    <s v="pagado"/>
    <s v="pagado"/>
    <x v="0"/>
  </r>
  <r>
    <n v="3000004340"/>
    <d v="2026-07-15T00:00:00"/>
    <n v="5236393.82"/>
    <s v="CAPITAN CORTES SACIFIYA Puerto Nuevo 01"/>
    <x v="2218"/>
    <n v="5236393.82"/>
    <x v="284"/>
    <x v="0"/>
    <s v="pagado"/>
    <s v="pagado"/>
    <x v="0"/>
  </r>
  <r>
    <n v="3000004342"/>
    <d v="2026-07-15T00:00:00"/>
    <n v="20916741.260000002"/>
    <s v="CONTROL UNION NORTE S.A YERBA BUENA 14"/>
    <x v="2219"/>
    <n v="20916741.260000002"/>
    <x v="284"/>
    <x v="0"/>
    <s v="pagado"/>
    <s v="pagado"/>
    <x v="0"/>
  </r>
  <r>
    <n v="3000004343"/>
    <d v="2026-07-15T00:00:00"/>
    <n v="8539093.4000000004"/>
    <s v="LANCHELA HECTOR ROLANDO CONCEPCION 14"/>
    <x v="2220"/>
    <n v="8539093.4000000004"/>
    <x v="284"/>
    <x v="0"/>
    <s v="pagado"/>
    <s v="pagado"/>
    <x v="0"/>
  </r>
  <r>
    <n v="3000004344"/>
    <d v="2026-07-15T00:00:00"/>
    <n v="11518182.73"/>
    <s v="JACQUET NORBERTO SALVADOR SAN JOSE 05"/>
    <x v="2221"/>
    <n v="11518182.73"/>
    <x v="284"/>
    <x v="0"/>
    <s v="pagado"/>
    <s v="pagado"/>
    <x v="0"/>
  </r>
  <r>
    <n v="3000004345"/>
    <d v="2026-07-15T00:00:00"/>
    <n v="16235667.48"/>
    <s v="TRANSPORTE FRIOS DEL NORTE S.RSAN MIGUEL DE TUCUMAN 14"/>
    <x v="2222"/>
    <n v="16235667.48"/>
    <x v="284"/>
    <x v="0"/>
    <s v="pagado"/>
    <s v="pagado"/>
    <x v="0"/>
  </r>
  <r>
    <n v="3000004346"/>
    <d v="2026-07-15T00:00:00"/>
    <n v="13166941.689999999"/>
    <s v="ACOSTA ROQUE RAMON SAN MIGUEL DE TUCUMAN 14"/>
    <x v="2223"/>
    <n v="13166941.689999999"/>
    <x v="284"/>
    <x v="0"/>
    <s v="pagado"/>
    <s v="pagado"/>
    <x v="0"/>
  </r>
  <r>
    <n v="3000004347"/>
    <d v="2026-07-15T00:00:00"/>
    <n v="10566361.52"/>
    <s v="MAC DONALD MIGUEL ALEJANDRO BANDA DEL RIO SALI 14"/>
    <x v="2224"/>
    <n v="10566361.52"/>
    <x v="284"/>
    <x v="0"/>
    <s v="pagado"/>
    <s v="pagado"/>
    <x v="0"/>
  </r>
  <r>
    <n v="3000004348"/>
    <d v="2026-07-15T00:00:00"/>
    <n v="19087807.280000001"/>
    <s v="TORRES JUAN RAMON ALDERETES 14"/>
    <x v="2225"/>
    <n v="19087807.280000001"/>
    <x v="284"/>
    <x v="0"/>
    <s v="pagado"/>
    <s v="pagado"/>
    <x v="0"/>
  </r>
  <r>
    <n v="3000004349"/>
    <d v="2026-07-15T00:00:00"/>
    <n v="5256841.4000000004"/>
    <s v="HERRERA RICARDO ALBERTO BANDA DEL RIO SALI 14"/>
    <x v="2226"/>
    <n v="5256841.4000000004"/>
    <x v="284"/>
    <x v="0"/>
    <s v="pagado"/>
    <s v="pagado"/>
    <x v="0"/>
  </r>
  <r>
    <n v="3000004350"/>
    <d v="2026-07-15T00:00:00"/>
    <n v="5749016.1100000003"/>
    <s v="GONZALEZ JOSE LUIS CONCEPCION 14"/>
    <x v="2227"/>
    <n v="5749016.1100000003"/>
    <x v="284"/>
    <x v="0"/>
    <s v="pagado"/>
    <s v="pagado"/>
    <x v="0"/>
  </r>
  <r>
    <n v="3000004351"/>
    <d v="2026-07-15T00:00:00"/>
    <n v="20100625.23"/>
    <s v="CAPETTA ANTONELLA ANAHI SAN MIGUEL DE TUCUMAN 14"/>
    <x v="2228"/>
    <n v="20100625.23"/>
    <x v="284"/>
    <x v="0"/>
    <s v="pagado"/>
    <s v="pagado"/>
    <x v="0"/>
  </r>
  <r>
    <n v="3000004352"/>
    <d v="2026-07-15T00:00:00"/>
    <n v="17042210.379999999"/>
    <s v="RL SOLUCIONES S. A. S. SAN MIGUEL DE TUCUMAN 14"/>
    <x v="2229"/>
    <n v="17042210.379999999"/>
    <x v="284"/>
    <x v="0"/>
    <s v="pagado"/>
    <s v="pagado"/>
    <x v="0"/>
  </r>
  <r>
    <n v="3000004353"/>
    <d v="2026-07-15T00:00:00"/>
    <n v="5520914.6299999999"/>
    <s v="Vaquera Francisco Alfredo Monteros 14"/>
    <x v="2230"/>
    <n v="5520914.6299999999"/>
    <x v="284"/>
    <x v="0"/>
    <s v="pagado"/>
    <s v="pagado"/>
    <x v="0"/>
  </r>
  <r>
    <n v="3000004354"/>
    <d v="2026-07-15T00:00:00"/>
    <n v="6419237.9100000001"/>
    <s v="Gonzalez Jose Luis Lastenia 14"/>
    <x v="2231"/>
    <n v="6419237.9100000001"/>
    <x v="284"/>
    <x v="0"/>
    <s v="pagado"/>
    <s v="pagado"/>
    <x v="0"/>
  </r>
  <r>
    <n v="3000004355"/>
    <d v="2026-07-15T00:00:00"/>
    <n v="5945350.1200000001"/>
    <s v="Robles Angel Gabriel San Miguel de Tucuman 14"/>
    <x v="2232"/>
    <n v="5945350.1200000001"/>
    <x v="284"/>
    <x v="0"/>
    <s v="pagado"/>
    <s v="pagado"/>
    <x v="0"/>
  </r>
  <r>
    <n v="3000004391"/>
    <d v="2026-07-17T00:00:00"/>
    <n v="4500000"/>
    <s v=". TUCUMAN"/>
    <x v="2233"/>
    <n v="4500000"/>
    <x v="284"/>
    <x v="0"/>
    <s v="pagado"/>
    <s v="pagado"/>
    <x v="0"/>
  </r>
  <r>
    <n v="3000004392"/>
    <d v="2026-07-17T00:00:00"/>
    <n v="1233278"/>
    <s v="Fondo Fijo Administracion CitrNO TIENE"/>
    <x v="2234"/>
    <n v="1233278"/>
    <x v="284"/>
    <x v="0"/>
    <s v="pagado"/>
    <s v="pagado"/>
    <x v="0"/>
  </r>
  <r>
    <n v="3000004469"/>
    <d v="2026-07-20T00:00:00"/>
    <n v="22733841.359999999"/>
    <s v="CAPETTA ANTONELLA ANAHI SAN MIGUEL DE TUCUMAN 14"/>
    <x v="2235"/>
    <n v="22733841.359999999"/>
    <x v="285"/>
    <x v="0"/>
    <s v="pagado"/>
    <s v="pagado"/>
    <x v="0"/>
  </r>
  <r>
    <n v="3000004470"/>
    <d v="2026-07-20T00:00:00"/>
    <n v="19156407.719999999"/>
    <s v="Consultoria en Tecnologia de IBUENOS AIRES 00"/>
    <x v="2236"/>
    <n v="19156407.719999999"/>
    <x v="285"/>
    <x v="0"/>
    <s v="pagado"/>
    <s v="pagado"/>
    <x v="0"/>
  </r>
  <r>
    <n v="3000004471"/>
    <d v="2026-07-20T00:00:00"/>
    <n v="20646345.800000001"/>
    <s v="ANTONELLI Hnos. S.H SAN MIGUEL DE TUCUMAN 14"/>
    <x v="2237"/>
    <n v="20646345.800000001"/>
    <x v="285"/>
    <x v="0"/>
    <s v="pagado"/>
    <s v="pagado"/>
    <x v="0"/>
  </r>
  <r>
    <n v="3000004472"/>
    <d v="2026-07-20T00:00:00"/>
    <n v="11461364.26"/>
    <s v="SMART SEGURIDAD SA YERBA BUENA 14"/>
    <x v="2238"/>
    <n v="11461364.26"/>
    <x v="285"/>
    <x v="0"/>
    <s v="pagado"/>
    <s v="pagado"/>
    <x v="0"/>
  </r>
  <r>
    <n v="3000004473"/>
    <d v="2026-07-20T00:00:00"/>
    <n v="7353600.2999999998"/>
    <s v="ROMERO SERVICIOS S. A. S. ALPACHIRI 14"/>
    <x v="2239"/>
    <n v="7353600.2999999998"/>
    <x v="285"/>
    <x v="0"/>
    <s v="pagado"/>
    <s v="pagado"/>
    <x v="0"/>
  </r>
  <r>
    <n v="3000004474"/>
    <d v="2026-07-20T00:00:00"/>
    <n v="6408915.9000000004"/>
    <s v="FERRO JOSE NICOLAS FAMAILLA 14"/>
    <x v="2240"/>
    <n v="6408915.9000000004"/>
    <x v="285"/>
    <x v="0"/>
    <s v="pagado"/>
    <s v="pagado"/>
    <x v="0"/>
  </r>
  <r>
    <n v="3000004475"/>
    <d v="2026-07-20T00:00:00"/>
    <n v="11405380"/>
    <s v="LA 10 SRL SAN MIGUEL DE TUCUMAN 14"/>
    <x v="2241"/>
    <n v="11405380"/>
    <x v="285"/>
    <x v="0"/>
    <s v="pagado"/>
    <s v="pagado"/>
    <x v="0"/>
  </r>
  <r>
    <n v="3000004476"/>
    <d v="2026-07-20T00:00:00"/>
    <n v="14694000"/>
    <s v="SANCHEZ MOLINA CAMILA INES HIPOLITO YRIGOYEN 09"/>
    <x v="2242"/>
    <n v="14694000"/>
    <x v="285"/>
    <x v="0"/>
    <s v="pagado"/>
    <s v="pagado"/>
    <x v="0"/>
  </r>
  <r>
    <n v="3000004477"/>
    <d v="2026-07-20T00:00:00"/>
    <n v="15376417.08"/>
    <s v="TRANSPORTE FRIOS DEL NORTE S.RSAN MIGUEL DE TUCUMAN 14"/>
    <x v="2243"/>
    <n v="15376417.08"/>
    <x v="285"/>
    <x v="0"/>
    <s v="pagado"/>
    <s v="pagado"/>
    <x v="0"/>
  </r>
  <r>
    <n v="3000004478"/>
    <d v="2026-07-20T00:00:00"/>
    <n v="5234927.92"/>
    <s v="MANLLA LEANDRO GERMAN TERMAS DE RIO HONDO 13"/>
    <x v="2244"/>
    <n v="5234927.92"/>
    <x v="285"/>
    <x v="0"/>
    <s v="pagado"/>
    <s v="pagado"/>
    <x v="0"/>
  </r>
  <r>
    <n v="3000004479"/>
    <d v="2026-07-20T00:00:00"/>
    <n v="5777004.5099999998"/>
    <s v="FERNANDEZ HECTOR JOSE SIMOCA 14"/>
    <x v="2245"/>
    <n v="5777004.5099999998"/>
    <x v="285"/>
    <x v="0"/>
    <s v="pagado"/>
    <s v="pagado"/>
    <x v="0"/>
  </r>
  <r>
    <n v="3000004480"/>
    <d v="2026-07-20T00:00:00"/>
    <n v="20659765.75"/>
    <s v="MAGNONE S. A. CIUDAD AUTONOMA BUENOS AIRES 00"/>
    <x v="2246"/>
    <n v="20659765.75"/>
    <x v="285"/>
    <x v="0"/>
    <s v="pagado"/>
    <s v="pagado"/>
    <x v="0"/>
  </r>
  <r>
    <n v="3000004481"/>
    <d v="2026-07-20T00:00:00"/>
    <n v="33765919.299999997"/>
    <s v="LA MARTINA SERV. AGRICOLAS S.RSAN PABLO 14"/>
    <x v="2247"/>
    <n v="33765919.299999997"/>
    <x v="285"/>
    <x v="0"/>
    <s v="pagado"/>
    <s v="pagado"/>
    <x v="0"/>
  </r>
  <r>
    <n v="3000004482"/>
    <d v="2026-07-20T00:00:00"/>
    <n v="11739889.42"/>
    <s v="AGROPECUARIA MUNDO NUEVO SRL SAN PABLO 14"/>
    <x v="2248"/>
    <n v="11739889.42"/>
    <x v="285"/>
    <x v="0"/>
    <s v="pagado"/>
    <s v="pagado"/>
    <x v="0"/>
  </r>
  <r>
    <n v="3000004483"/>
    <d v="2026-07-21T00:00:00"/>
    <n v="11000000"/>
    <s v="NUVE AGRO S.A.S. SAN MIGUEL DE TUCUMAN 14"/>
    <x v="2249"/>
    <n v="11000000"/>
    <x v="286"/>
    <x v="0"/>
    <s v="no pagado"/>
    <s v="en periodo de pago"/>
    <x v="1"/>
  </r>
  <r>
    <n v="3000004483"/>
    <d v="2026-07-21T00:00:00"/>
    <n v="10124650.75"/>
    <s v="NUVE AGRO S.A.S. SAN MIGUEL DE TUCUMAN 14"/>
    <x v="2250"/>
    <n v="10124650.75"/>
    <x v="287"/>
    <x v="0"/>
    <s v="no pagado"/>
    <s v="en periodo de pago"/>
    <x v="1"/>
  </r>
  <r>
    <n v="3000004484"/>
    <d v="2026-07-21T00:00:00"/>
    <n v="25899764.850000001"/>
    <s v="PAMPLONA SRL SAN MIGUEL DE TUCUMAN 14"/>
    <x v="2251"/>
    <n v="25899764.850000001"/>
    <x v="288"/>
    <x v="0"/>
    <s v="pagado"/>
    <s v="pagado"/>
    <x v="0"/>
  </r>
  <r>
    <n v="3000004524"/>
    <d v="2026-07-21T00:00:00"/>
    <n v="11087231.119999999"/>
    <s v="JACQUET NORBERTO SALVADOR SAN JOSE 05"/>
    <x v="2252"/>
    <n v="11087231.119999999"/>
    <x v="288"/>
    <x v="0"/>
    <s v="pagado"/>
    <s v="pagado"/>
    <x v="0"/>
  </r>
  <r>
    <n v="3000004525"/>
    <d v="2026-07-21T00:00:00"/>
    <n v="39978684.420000002"/>
    <s v="TRANSPORTE FRIOS DEL NORTE S.RSAN MIGUEL DE TUCUMAN 14"/>
    <x v="2253"/>
    <n v="39978684.420000002"/>
    <x v="288"/>
    <x v="0"/>
    <s v="pagado"/>
    <s v="pagado"/>
    <x v="0"/>
  </r>
  <r>
    <n v="3000004526"/>
    <d v="2026-07-21T00:00:00"/>
    <n v="18202167.920000002"/>
    <s v="TRUSARELLI CARLOS ALBERTO BANDA DEL RIO SALI 14"/>
    <x v="2254"/>
    <n v="18202167.920000002"/>
    <x v="288"/>
    <x v="0"/>
    <s v="pagado"/>
    <s v="pagado"/>
    <x v="0"/>
  </r>
  <r>
    <n v="3000004527"/>
    <d v="2026-07-21T00:00:00"/>
    <n v="7920167.9199999999"/>
    <s v="BUSTOS GUILLERMO DARIO ALDERETES 14"/>
    <x v="2255"/>
    <n v="7920167.9199999999"/>
    <x v="288"/>
    <x v="0"/>
    <s v="pagado"/>
    <s v="pagado"/>
    <x v="0"/>
  </r>
  <r>
    <n v="3000004528"/>
    <d v="2026-07-21T00:00:00"/>
    <n v="33109439.16"/>
    <s v="GAR S.A SAN MIGUEL DE TUCUMAN 14"/>
    <x v="2256"/>
    <n v="33109439.16"/>
    <x v="288"/>
    <x v="0"/>
    <s v="pagado"/>
    <s v="pagado"/>
    <x v="0"/>
  </r>
  <r>
    <n v="3000004529"/>
    <d v="2026-07-21T00:00:00"/>
    <n v="10067805.58"/>
    <s v="PERATO CRISTIAN LUIS BANDA DEL RIO SALI 14"/>
    <x v="2257"/>
    <n v="10067805.58"/>
    <x v="288"/>
    <x v="0"/>
    <s v="pagado"/>
    <s v="pagado"/>
    <x v="0"/>
  </r>
  <r>
    <n v="3000004530"/>
    <d v="2026-07-21T00:00:00"/>
    <n v="11350142.369999999"/>
    <s v="RL SOLUCIONES S. A. S. SAN MIGUEL DE TUCUMAN 14"/>
    <x v="2258"/>
    <n v="11350142.369999999"/>
    <x v="288"/>
    <x v="0"/>
    <s v="pagado"/>
    <s v="pagado"/>
    <x v="0"/>
  </r>
  <r>
    <n v="3000004537"/>
    <d v="2026-07-22T00:00:00"/>
    <n v="43955280"/>
    <s v="EDET S.A. SAN MIGUEL DE TUCUMAN 14"/>
    <x v="2259"/>
    <n v="43955280"/>
    <x v="278"/>
    <x v="0"/>
    <s v="pagado"/>
    <s v="pagado"/>
    <x v="0"/>
  </r>
  <r>
    <n v="3000004672"/>
    <d v="2026-07-27T00:00:00"/>
    <n v="4099325.68"/>
    <s v="TRANSPORTE MEDINA S.H. CRUZ ALTA 14"/>
    <x v="2260"/>
    <n v="4099325.68"/>
    <x v="289"/>
    <x v="0"/>
    <s v="pagado"/>
    <s v="pagado"/>
    <x v="0"/>
  </r>
  <r>
    <n v="3000004661"/>
    <d v="2026-07-28T00:00:00"/>
    <n v="10488239.15"/>
    <s v="VILLAGRA VELEZ ROQUE RICARDO SAN MIGUEL DE TUCUMAN 14"/>
    <x v="2261"/>
    <n v="10488239.15"/>
    <x v="289"/>
    <x v="0"/>
    <s v="pagado"/>
    <s v="pagado"/>
    <x v="0"/>
  </r>
  <r>
    <n v="3000004662"/>
    <d v="2026-07-28T00:00:00"/>
    <n v="5042700.57"/>
    <s v="MG SERVICIOS AGROPECUARIOS SASTAFI VIEJO 14"/>
    <x v="2262"/>
    <n v="5042700.57"/>
    <x v="289"/>
    <x v="0"/>
    <s v="pagado"/>
    <s v="pagado"/>
    <x v="0"/>
  </r>
  <r>
    <n v="3000004663"/>
    <d v="2026-07-28T00:00:00"/>
    <n v="8354146"/>
    <s v="ASOCIACION TECNOLOGICA CORDOBACORDOBA 03"/>
    <x v="2263"/>
    <n v="8354146"/>
    <x v="289"/>
    <x v="0"/>
    <s v="pagado"/>
    <s v="pagado"/>
    <x v="0"/>
  </r>
  <r>
    <n v="3000004664"/>
    <d v="2026-07-28T00:00:00"/>
    <n v="7500000"/>
    <s v="Muñoz Silvia Liliana Capital Federal 00"/>
    <x v="2264"/>
    <n v="7500000"/>
    <x v="289"/>
    <x v="0"/>
    <s v="pagado"/>
    <s v="pagado"/>
    <x v="0"/>
  </r>
  <r>
    <n v="3000004665"/>
    <d v="2026-07-28T00:00:00"/>
    <n v="45669992.840000004"/>
    <s v="ROMERO SERVICIOS S. A. S. ALPACHIRI 14"/>
    <x v="2265"/>
    <n v="45669992.840000004"/>
    <x v="289"/>
    <x v="0"/>
    <s v="pagado"/>
    <s v="pagado"/>
    <x v="0"/>
  </r>
  <r>
    <n v="3000004666"/>
    <d v="2026-07-28T00:00:00"/>
    <n v="6316433.0099999998"/>
    <s v="SUAREZ MANUEL RODOLFO ALDERETES 14"/>
    <x v="2266"/>
    <n v="6316433.0099999998"/>
    <x v="289"/>
    <x v="0"/>
    <s v="pagado"/>
    <s v="pagado"/>
    <x v="0"/>
  </r>
  <r>
    <n v="3000004667"/>
    <d v="2026-07-28T00:00:00"/>
    <n v="11501432.369999999"/>
    <s v="Expreso Bisonte S.R.L. BANDA DEL RIO SALI 14"/>
    <x v="2267"/>
    <n v="11501432.369999999"/>
    <x v="289"/>
    <x v="0"/>
    <s v="pagado"/>
    <s v="pagado"/>
    <x v="0"/>
  </r>
  <r>
    <n v="3000004668"/>
    <d v="2026-07-28T00:00:00"/>
    <n v="15516146.66"/>
    <s v="BARBARISI JUAREZ PABLO EMANUELSAN JUAN 10"/>
    <x v="2268"/>
    <n v="15516146.66"/>
    <x v="289"/>
    <x v="0"/>
    <s v="pagado"/>
    <s v="pagado"/>
    <x v="0"/>
  </r>
  <r>
    <n v="3000004669"/>
    <d v="2026-07-28T00:00:00"/>
    <n v="37344496.280000001"/>
    <s v="CAPETTA ANTONELLA ANAHI SAN MIGUEL DE TUCUMAN 14"/>
    <x v="2269"/>
    <n v="37344496.280000001"/>
    <x v="289"/>
    <x v="0"/>
    <s v="pagado"/>
    <s v="pagado"/>
    <x v="0"/>
  </r>
  <r>
    <n v="3000004670"/>
    <d v="2026-07-28T00:00:00"/>
    <n v="11831043.35"/>
    <s v="RL SOLUCIONES S. A. S. SAN MIGUEL DE TUCUMAN 14"/>
    <x v="2270"/>
    <n v="11831043.35"/>
    <x v="289"/>
    <x v="0"/>
    <s v="pagado"/>
    <s v="pagado"/>
    <x v="0"/>
  </r>
  <r>
    <n v="3000004671"/>
    <d v="2026-07-28T00:00:00"/>
    <n v="7650430.1399999997"/>
    <s v="Pedro Carolina Alejandra ALDERETES 14"/>
    <x v="2271"/>
    <n v="7650430.1399999997"/>
    <x v="289"/>
    <x v="0"/>
    <s v="pagado"/>
    <s v="pagado"/>
    <x v="0"/>
  </r>
  <r>
    <n v="3000004700"/>
    <d v="2026-07-28T00:00:00"/>
    <n v="7283525.3799999999"/>
    <s v="Sanchez Jose Mauricio San Miguel de Tucuman 14"/>
    <x v="2272"/>
    <n v="7283525.3799999999"/>
    <x v="290"/>
    <x v="0"/>
    <s v="pagado"/>
    <s v="pagado"/>
    <x v="0"/>
  </r>
  <r>
    <n v="3000004701"/>
    <d v="2026-07-28T00:00:00"/>
    <n v="6709593.46"/>
    <s v="Pedro Carolina Alejandra ALDERETES 14"/>
    <x v="2273"/>
    <n v="6709593.46"/>
    <x v="290"/>
    <x v="0"/>
    <s v="pagado"/>
    <s v="pagado"/>
    <x v="0"/>
  </r>
  <r>
    <n v="3000004702"/>
    <d v="2026-07-28T00:00:00"/>
    <n v="8044675.6399999997"/>
    <s v="SANTILLI CARLOS MIGUEL SAN MIGUEL DE TUCUMAN 14"/>
    <x v="2274"/>
    <n v="8044675.6399999997"/>
    <x v="290"/>
    <x v="0"/>
    <s v="pagado"/>
    <s v="pagado"/>
    <x v="0"/>
  </r>
  <r>
    <n v="3000004703"/>
    <d v="2026-07-28T00:00:00"/>
    <n v="20407800"/>
    <s v="LATCOMEX SA CAPITAL FEDERAL 00"/>
    <x v="2275"/>
    <n v="20407800"/>
    <x v="290"/>
    <x v="0"/>
    <s v="pagado"/>
    <s v="pagado"/>
    <x v="0"/>
  </r>
  <r>
    <n v="3000004704"/>
    <d v="2026-07-28T00:00:00"/>
    <n v="27129969.649999999"/>
    <s v="M DODERO COMPANIA GRAL DE SERVCIUDAD AUTONOMA DE BUENOS AIRES 01"/>
    <x v="2276"/>
    <n v="27129969.649999999"/>
    <x v="290"/>
    <x v="0"/>
    <s v="pagado"/>
    <s v="pagado"/>
    <x v="0"/>
  </r>
  <r>
    <n v="3000004705"/>
    <d v="2026-07-28T00:00:00"/>
    <n v="18868422.68"/>
    <s v="ALDO A. MILITELLO GRUAS Y TRANMaipu 07"/>
    <x v="2277"/>
    <n v="18868422.68"/>
    <x v="290"/>
    <x v="0"/>
    <s v="pagado"/>
    <s v="pagado"/>
    <x v="0"/>
  </r>
  <r>
    <n v="3000004706"/>
    <d v="2026-07-28T00:00:00"/>
    <n v="27158985"/>
    <s v="TRANSPORTE FRIOS DEL NORTE S.RSAN MIGUEL DE TUCUMAN 14"/>
    <x v="2278"/>
    <n v="27158985"/>
    <x v="290"/>
    <x v="0"/>
    <s v="pagado"/>
    <s v="pagado"/>
    <x v="0"/>
  </r>
  <r>
    <n v="3000004707"/>
    <d v="2026-07-28T00:00:00"/>
    <n v="16283235.300000001"/>
    <s v="CEMEVA SAS YERBA BUENA 14"/>
    <x v="2279"/>
    <n v="16283235.300000001"/>
    <x v="290"/>
    <x v="0"/>
    <s v="pagado"/>
    <s v="pagado"/>
    <x v="0"/>
  </r>
  <r>
    <n v="3000004708"/>
    <d v="2026-07-28T00:00:00"/>
    <n v="10504023.1"/>
    <s v="Transporte CDC S.A. CAPITAL FEDERAL 00"/>
    <x v="2280"/>
    <n v="10504023.1"/>
    <x v="290"/>
    <x v="0"/>
    <s v="pagado"/>
    <s v="pagado"/>
    <x v="0"/>
  </r>
  <r>
    <n v="3000004709"/>
    <d v="2026-07-28T00:00:00"/>
    <n v="21831600"/>
    <s v="Rutas Servicios Integrales SRLCapital Federal 00"/>
    <x v="2281"/>
    <n v="21831600"/>
    <x v="290"/>
    <x v="0"/>
    <s v="pagado"/>
    <s v="pagado"/>
    <x v="0"/>
  </r>
  <r>
    <n v="3000004710"/>
    <d v="2026-07-28T00:00:00"/>
    <n v="8400733.9900000002"/>
    <s v="GONZALEZ JOSE LUIS CONCEPCION 14"/>
    <x v="2282"/>
    <n v="8400733.9900000002"/>
    <x v="290"/>
    <x v="0"/>
    <s v="pagado"/>
    <s v="pagado"/>
    <x v="0"/>
  </r>
  <r>
    <n v="3000004711"/>
    <d v="2026-07-28T00:00:00"/>
    <n v="30083865.960000001"/>
    <s v="GAR S.A SAN MIGUEL DE TUCUMAN 14"/>
    <x v="2283"/>
    <n v="30083865.960000001"/>
    <x v="290"/>
    <x v="0"/>
    <s v="pagado"/>
    <s v="pagado"/>
    <x v="0"/>
  </r>
  <r>
    <n v="3000004712"/>
    <d v="2026-07-28T00:00:00"/>
    <n v="16006021.18"/>
    <s v="FERNANDEZ HECTOR JOSE SIMOCA 14"/>
    <x v="2284"/>
    <n v="16006021.18"/>
    <x v="290"/>
    <x v="0"/>
    <s v="pagado"/>
    <s v="pagado"/>
    <x v="0"/>
  </r>
  <r>
    <n v="3000004713"/>
    <d v="2026-07-28T00:00:00"/>
    <n v="6841482.0199999996"/>
    <s v="LANCHELA HECTOR ROLANDO CONCEPCION 14"/>
    <x v="2285"/>
    <n v="6841482.0199999996"/>
    <x v="290"/>
    <x v="0"/>
    <s v="pagado"/>
    <s v="pagado"/>
    <x v="0"/>
  </r>
  <r>
    <n v="3000004714"/>
    <d v="2026-07-28T00:00:00"/>
    <n v="13769881.73"/>
    <s v="JACQUET NORBERTO SALVADOR SAN JOSE 05"/>
    <x v="2286"/>
    <n v="13769881.73"/>
    <x v="290"/>
    <x v="0"/>
    <s v="pagado"/>
    <s v="pagado"/>
    <x v="0"/>
  </r>
  <r>
    <n v="3000004765"/>
    <d v="2026-07-29T00:00:00"/>
    <n v="1005781.98"/>
    <s v="Fondo Fijo Administracion CitrNO TIENE"/>
    <x v="2287"/>
    <n v="1005781.98"/>
    <x v="290"/>
    <x v="0"/>
    <s v="pagado"/>
    <s v="pagado"/>
    <x v="0"/>
  </r>
  <r>
    <n v="3000004837"/>
    <d v="2026-08-03T00:00:00"/>
    <n v="5762882.5300000003"/>
    <s v="LOGISTICA INTERNACIONAL S.A SAN MIGUEL DE TUCUMAN 14"/>
    <x v="2288"/>
    <n v="5762882.5300000003"/>
    <x v="267"/>
    <x v="0"/>
    <s v="pagado"/>
    <s v="pagado"/>
    <x v="0"/>
  </r>
  <r>
    <n v="3000004838"/>
    <d v="2026-08-03T00:00:00"/>
    <n v="7479389.4400000004"/>
    <s v="EXCELENCIA OPERACIONAL SRL CIUDAD AUTONOMA DE BUENOS AIRES 00"/>
    <x v="2289"/>
    <n v="7479389.4400000004"/>
    <x v="267"/>
    <x v="0"/>
    <s v="pagado"/>
    <s v="pagado"/>
    <x v="0"/>
  </r>
  <r>
    <n v="3000004839"/>
    <d v="2026-08-03T00:00:00"/>
    <n v="6873096"/>
    <s v="BERCOVICH COMERCIAL SAS SAN MIGUEL DE TUCUMAN 14"/>
    <x v="2290"/>
    <n v="6873096"/>
    <x v="267"/>
    <x v="0"/>
    <s v="pagado"/>
    <s v="pagado"/>
    <x v="0"/>
  </r>
  <r>
    <n v="3000004840"/>
    <d v="2026-08-03T00:00:00"/>
    <n v="7558680"/>
    <s v="GIL ISABEL CRISTINA SAN MIGUEL DE TUCUMAN 14"/>
    <x v="2291"/>
    <n v="7558680"/>
    <x v="267"/>
    <x v="0"/>
    <s v="pagado"/>
    <s v="pagado"/>
    <x v="0"/>
  </r>
  <r>
    <n v="3000004841"/>
    <d v="2026-08-03T00:00:00"/>
    <n v="5265058.3"/>
    <s v="PERATO LUIS ALBERTO BANDA DEL RIO SALI 14"/>
    <x v="2292"/>
    <n v="5265058.3"/>
    <x v="267"/>
    <x v="0"/>
    <s v="pagado"/>
    <s v="pagado"/>
    <x v="0"/>
  </r>
  <r>
    <n v="3000004842"/>
    <d v="2026-08-03T00:00:00"/>
    <n v="12753742.130000001"/>
    <s v="Transportes La Sevillanita S.RALDERETES 14"/>
    <x v="2293"/>
    <n v="12753742.130000001"/>
    <x v="267"/>
    <x v="0"/>
    <s v="pagado"/>
    <s v="pagado"/>
    <x v="0"/>
  </r>
  <r>
    <n v="3000004843"/>
    <d v="2026-08-03T00:00:00"/>
    <n v="8188952.9199999999"/>
    <s v="MANLLA LEANDRO GERMAN TERMAS DE RIO HONDO 13"/>
    <x v="2294"/>
    <n v="8188952.9199999999"/>
    <x v="267"/>
    <x v="0"/>
    <s v="pagado"/>
    <s v="pagado"/>
    <x v="0"/>
  </r>
  <r>
    <n v="3000004844"/>
    <d v="2026-08-03T00:00:00"/>
    <n v="7959566.8600000003"/>
    <s v="BARBARISI JUAREZ PABLO EMANUELSAN JUAN 10"/>
    <x v="2295"/>
    <n v="7959566.8600000003"/>
    <x v="267"/>
    <x v="0"/>
    <s v="pagado"/>
    <s v="pagado"/>
    <x v="0"/>
  </r>
  <r>
    <n v="3000004845"/>
    <d v="2026-08-03T00:00:00"/>
    <n v="5005080"/>
    <s v="HERRERA RICARDO ALBERTO BANDA DEL RIO SALI 14"/>
    <x v="2296"/>
    <n v="5005080"/>
    <x v="267"/>
    <x v="0"/>
    <s v="pagado"/>
    <s v="pagado"/>
    <x v="0"/>
  </r>
  <r>
    <n v="3000004846"/>
    <d v="2026-08-03T00:00:00"/>
    <n v="6656402.4299999997"/>
    <s v="MULET WALTER HUMBERTO SAN MIGUEL DE TUCUMAN 14"/>
    <x v="2297"/>
    <n v="6656402.4299999997"/>
    <x v="267"/>
    <x v="0"/>
    <s v="pagado"/>
    <s v="pagado"/>
    <x v="0"/>
  </r>
  <r>
    <n v="3000004847"/>
    <d v="2026-08-03T00:00:00"/>
    <n v="14053560.390000001"/>
    <s v="CEMEVA SAS YERBA BUENA 14"/>
    <x v="2298"/>
    <n v="14053560.390000001"/>
    <x v="267"/>
    <x v="0"/>
    <s v="pagado"/>
    <s v="pagado"/>
    <x v="0"/>
  </r>
  <r>
    <n v="3000004848"/>
    <d v="2026-08-03T00:00:00"/>
    <n v="5646389.5700000003"/>
    <s v="PAEZ LEONEL EXEQUIEL MACIO 14"/>
    <x v="2299"/>
    <n v="5646389.5700000003"/>
    <x v="267"/>
    <x v="0"/>
    <s v="pagado"/>
    <s v="pagado"/>
    <x v="0"/>
  </r>
  <r>
    <n v="3000004849"/>
    <d v="2026-08-03T00:00:00"/>
    <n v="5473337.9199999999"/>
    <s v="RL SOLUCIONES S. A. S. SAN MIGUEL DE TUCUMAN 14"/>
    <x v="2300"/>
    <n v="5473337.9199999999"/>
    <x v="267"/>
    <x v="0"/>
    <s v="pagado"/>
    <s v="pagado"/>
    <x v="0"/>
  </r>
  <r>
    <n v="3000004850"/>
    <d v="2026-08-03T00:00:00"/>
    <n v="34271130.200000003"/>
    <s v="CONTROL UNION NORTE S.A YERBA BUENA 14"/>
    <x v="2301"/>
    <n v="34271130.200000003"/>
    <x v="267"/>
    <x v="0"/>
    <s v="pagado"/>
    <s v="pagado"/>
    <x v="0"/>
  </r>
  <r>
    <n v="3000004902"/>
    <d v="2026-08-05T00:00:00"/>
    <n v="2764712.92"/>
    <s v="MAC DONALD MIGUEL ALEJANDRO BANDA DEL RIO SALI 14"/>
    <x v="2302"/>
    <n v="2764712.92"/>
    <x v="267"/>
    <x v="0"/>
    <s v="pagado"/>
    <s v="pagado"/>
    <x v="0"/>
  </r>
  <r>
    <n v="3000004903"/>
    <d v="2026-08-05T00:00:00"/>
    <n v="35305119.100000001"/>
    <s v="GAR S.A SAN MIGUEL DE TUCUMAN 14"/>
    <x v="2303"/>
    <n v="35305119.100000001"/>
    <x v="291"/>
    <x v="0"/>
    <s v="pagado"/>
    <s v="pagado"/>
    <x v="0"/>
  </r>
  <r>
    <n v="3000004904"/>
    <d v="2026-08-05T00:00:00"/>
    <n v="29587417.920000002"/>
    <s v="Excer S.R.L. Buenos Aires 01"/>
    <x v="2304"/>
    <n v="29587417.920000002"/>
    <x v="291"/>
    <x v="0"/>
    <s v="pagado"/>
    <s v="pagado"/>
    <x v="0"/>
  </r>
  <r>
    <n v="3000004905"/>
    <d v="2026-08-05T00:00:00"/>
    <n v="5252179.4800000004"/>
    <s v="Transporte CDC S.A. CAPITAL FEDERAL 00"/>
    <x v="2305"/>
    <n v="5252179.4800000004"/>
    <x v="291"/>
    <x v="0"/>
    <s v="pagado"/>
    <s v="pagado"/>
    <x v="0"/>
  </r>
  <r>
    <n v="3000004906"/>
    <d v="2026-08-05T00:00:00"/>
    <n v="9432842.9199999999"/>
    <s v="TRANSPORTE FRIOS DEL NORTE S.RSAN MIGUEL DE TUCUMAN 14"/>
    <x v="2306"/>
    <n v="9432842.9199999999"/>
    <x v="291"/>
    <x v="0"/>
    <s v="pagado"/>
    <s v="pagado"/>
    <x v="0"/>
  </r>
  <r>
    <n v="3000004907"/>
    <d v="2026-08-05T00:00:00"/>
    <n v="13036315.41"/>
    <s v="TORRES JUAN RAMON ALDERETES 14"/>
    <x v="2307"/>
    <n v="13036315.41"/>
    <x v="291"/>
    <x v="0"/>
    <s v="pagado"/>
    <s v="pagado"/>
    <x v="0"/>
  </r>
  <r>
    <n v="3000004908"/>
    <d v="2026-08-05T00:00:00"/>
    <n v="8691757.9199999999"/>
    <s v="CAPETTA ANTONELLA ANAHI SAN MIGUEL DE TUCUMAN 14"/>
    <x v="2308"/>
    <n v="8691757.9199999999"/>
    <x v="291"/>
    <x v="0"/>
    <s v="pagado"/>
    <s v="pagado"/>
    <x v="0"/>
  </r>
  <r>
    <n v="3000004909"/>
    <d v="2026-08-05T00:00:00"/>
    <n v="11742840"/>
    <s v="RL SOLUCIONES S. A. S. SAN MIGUEL DE TUCUMAN 14"/>
    <x v="2309"/>
    <n v="11742840"/>
    <x v="291"/>
    <x v="0"/>
    <s v="pagado"/>
    <s v="pagado"/>
    <x v="0"/>
  </r>
  <r>
    <n v="3000004910"/>
    <d v="2026-08-05T00:00:00"/>
    <n v="8224211.8899999997"/>
    <s v="Pedro Ivan Marcelo ALDERETES 14"/>
    <x v="2310"/>
    <n v="8224211.8899999997"/>
    <x v="291"/>
    <x v="0"/>
    <s v="pagado"/>
    <s v="pagado"/>
    <x v="0"/>
  </r>
  <r>
    <n v="3000004911"/>
    <d v="2026-08-05T00:00:00"/>
    <n v="30460905.370000001"/>
    <s v="M DODERO COMPANIA GRAL DE SERVCIUDAD AUTONOMA DE BUENOS AIRES 01"/>
    <x v="2311"/>
    <n v="30460905.370000001"/>
    <x v="291"/>
    <x v="0"/>
    <s v="pagado"/>
    <s v="pagado"/>
    <x v="0"/>
  </r>
  <r>
    <n v="3000004912"/>
    <d v="2026-08-05T00:00:00"/>
    <n v="5025398.29"/>
    <s v="BONSUR SA CAPITAL FEDERAL 00"/>
    <x v="2312"/>
    <n v="5025398.29"/>
    <x v="291"/>
    <x v="0"/>
    <s v="pagado"/>
    <s v="pagado"/>
    <x v="0"/>
  </r>
  <r>
    <n v="3000004996"/>
    <d v="2026-08-10T00:00:00"/>
    <n v="25000000"/>
    <s v="MG SERVICIOS AGROPECUARIOS SASTAFI VIEJO 14"/>
    <x v="2313"/>
    <n v="25000000"/>
    <x v="292"/>
    <x v="0"/>
    <s v="pagado"/>
    <s v="pagado"/>
    <x v="0"/>
  </r>
  <r>
    <n v="3000004996"/>
    <d v="2026-08-10T00:00:00"/>
    <n v="27112251.559999999"/>
    <s v="MG SERVICIOS AGROPECUARIOS SASTAFI VIEJO 14"/>
    <x v="2314"/>
    <n v="27112251.559999999"/>
    <x v="293"/>
    <x v="0"/>
    <s v="pagado"/>
    <s v="pagado"/>
    <x v="0"/>
  </r>
  <r>
    <n v="3000005019"/>
    <d v="2026-08-10T00:00:00"/>
    <n v="25000000"/>
    <s v="PAMPLONA SRL SAN MIGUEL DE TUCUMAN 14"/>
    <x v="2315"/>
    <n v="25000000"/>
    <x v="292"/>
    <x v="0"/>
    <s v="pagado"/>
    <s v="pagado"/>
    <x v="0"/>
  </r>
  <r>
    <n v="3000005019"/>
    <d v="2026-08-10T00:00:00"/>
    <n v="28113073.309999999"/>
    <s v="PAMPLONA SRL SAN MIGUEL DE TUCUMAN 14"/>
    <x v="2316"/>
    <n v="28113073.309999999"/>
    <x v="293"/>
    <x v="0"/>
    <s v="pagado"/>
    <s v="pagado"/>
    <x v="0"/>
  </r>
  <r>
    <n v="3000005023"/>
    <d v="2026-08-10T00:00:00"/>
    <n v="22000000"/>
    <s v="SAKKANA S.R.L SAN MIGUEL DE TUCUMAN 14"/>
    <x v="2317"/>
    <n v="22000000"/>
    <x v="293"/>
    <x v="0"/>
    <s v="pagado"/>
    <s v="pagado"/>
    <x v="0"/>
  </r>
  <r>
    <n v="3000005023"/>
    <d v="2026-08-10T00:00:00"/>
    <n v="21466972.52"/>
    <s v="SAKKANA S.R.L SAN MIGUEL DE TUCUMAN 14"/>
    <x v="2318"/>
    <n v="21466972.52"/>
    <x v="286"/>
    <x v="0"/>
    <s v="no pagado"/>
    <s v="en periodo de pago"/>
    <x v="1"/>
  </r>
  <r>
    <n v="3000005024"/>
    <d v="2026-08-10T00:00:00"/>
    <n v="2500000"/>
    <s v="ALBARRACIN MIGUEL SAN MIGUEL DE TUCUMAN 14"/>
    <x v="2319"/>
    <n v="2500000"/>
    <x v="293"/>
    <x v="0"/>
    <s v="pagado"/>
    <s v="pagado"/>
    <x v="0"/>
  </r>
  <r>
    <n v="3000005024"/>
    <d v="2026-08-10T00:00:00"/>
    <n v="2500000"/>
    <s v="ALBARRACIN MIGUEL SAN MIGUEL DE TUCUMAN 14"/>
    <x v="2320"/>
    <n v="2500000"/>
    <x v="294"/>
    <x v="0"/>
    <s v="pagado"/>
    <s v="pagado"/>
    <x v="0"/>
  </r>
  <r>
    <n v="3000005024"/>
    <d v="2026-08-10T00:00:00"/>
    <n v="2500000"/>
    <s v="ALBARRACIN MIGUEL SAN MIGUEL DE TUCUMAN 14"/>
    <x v="2321"/>
    <n v="2500000"/>
    <x v="275"/>
    <x v="0"/>
    <s v="no pagado"/>
    <s v="en periodo de pago"/>
    <x v="1"/>
  </r>
  <r>
    <n v="3000005024"/>
    <d v="2026-08-10T00:00:00"/>
    <n v="2265052.4900000002"/>
    <s v="ALBARRACIN MIGUEL SAN MIGUEL DE TUCUMAN 14"/>
    <x v="2322"/>
    <n v="2265052.4900000002"/>
    <x v="276"/>
    <x v="0"/>
    <s v="no pagado"/>
    <s v="en periodo de pago"/>
    <x v="1"/>
  </r>
  <r>
    <n v="3000004990"/>
    <d v="2026-08-10T00:00:00"/>
    <n v="10380401.630000001"/>
    <s v="Marchese Grandi Meson y Asoc SAN MIGUEL DE TUCUMAN 14"/>
    <x v="2323"/>
    <n v="10380401.630000001"/>
    <x v="292"/>
    <x v="0"/>
    <s v="pagado"/>
    <s v="pagado"/>
    <x v="0"/>
  </r>
  <r>
    <n v="3000004991"/>
    <d v="2026-08-10T00:00:00"/>
    <n v="7964741.1100000003"/>
    <s v="RODRIGO HEREDIA PUIG LASTENIA 14"/>
    <x v="2324"/>
    <n v="7964741.1100000003"/>
    <x v="292"/>
    <x v="0"/>
    <s v="pagado"/>
    <s v="pagado"/>
    <x v="0"/>
  </r>
  <r>
    <n v="3000004992"/>
    <d v="2026-08-10T00:00:00"/>
    <n v="16066665.800000001"/>
    <s v="CAFELI S.R.L. SAN MIGUEL DE TUCUMAN 14"/>
    <x v="2325"/>
    <n v="16066665.800000001"/>
    <x v="292"/>
    <x v="0"/>
    <s v="pagado"/>
    <s v="pagado"/>
    <x v="0"/>
  </r>
  <r>
    <n v="3000004993"/>
    <d v="2026-08-10T00:00:00"/>
    <n v="15667425.939999999"/>
    <s v="Saiko S.A Tucumàn 14"/>
    <x v="2326"/>
    <n v="15667425.939999999"/>
    <x v="292"/>
    <x v="0"/>
    <s v="pagado"/>
    <s v="pagado"/>
    <x v="0"/>
  </r>
  <r>
    <n v="3000004994"/>
    <d v="2026-08-10T00:00:00"/>
    <n v="16061443.869999999"/>
    <s v="LANCHELA HECTOR ROLANDO CONCEPCION 14"/>
    <x v="2327"/>
    <n v="16061443.869999999"/>
    <x v="292"/>
    <x v="0"/>
    <s v="pagado"/>
    <s v="pagado"/>
    <x v="0"/>
  </r>
  <r>
    <n v="3000004995"/>
    <d v="2026-08-10T00:00:00"/>
    <n v="6800607.8799999999"/>
    <s v="ADLER HASENCLEVER Y ASOCIADOS BUENOS AIRES 01"/>
    <x v="2328"/>
    <n v="6800607.8799999999"/>
    <x v="292"/>
    <x v="0"/>
    <s v="pagado"/>
    <s v="pagado"/>
    <x v="0"/>
  </r>
  <r>
    <n v="3000004997"/>
    <d v="2026-08-10T00:00:00"/>
    <n v="6952984.0099999998"/>
    <s v="VISMA ARGENTINA SA CAPITAL FEDERAL 14"/>
    <x v="2329"/>
    <n v="6952984.0099999998"/>
    <x v="292"/>
    <x v="0"/>
    <s v="pagado"/>
    <s v="pagado"/>
    <x v="0"/>
  </r>
  <r>
    <n v="3000004998"/>
    <d v="2026-08-10T00:00:00"/>
    <n v="12285246.16"/>
    <s v="SMART SEGURIDAD SA YERBA BUENA 14"/>
    <x v="2330"/>
    <n v="12285246.16"/>
    <x v="292"/>
    <x v="0"/>
    <s v="pagado"/>
    <s v="pagado"/>
    <x v="0"/>
  </r>
  <r>
    <n v="3000004999"/>
    <d v="2026-08-10T00:00:00"/>
    <n v="48746138.609999999"/>
    <s v="ROMERO SERVICIOS S. A. S. ALPACHIRI 14"/>
    <x v="2331"/>
    <n v="48746138.609999999"/>
    <x v="292"/>
    <x v="0"/>
    <s v="pagado"/>
    <s v="pagado"/>
    <x v="0"/>
  </r>
  <r>
    <n v="3000005000"/>
    <d v="2026-08-10T00:00:00"/>
    <n v="19398076.25"/>
    <s v="LA 10 SRL SAN MIGUEL DE TUCUMAN 14"/>
    <x v="2332"/>
    <n v="19398076.25"/>
    <x v="293"/>
    <x v="0"/>
    <s v="pagado"/>
    <s v="pagado"/>
    <x v="0"/>
  </r>
  <r>
    <n v="3000005001"/>
    <d v="2026-08-10T00:00:00"/>
    <n v="13476107.789999999"/>
    <s v="SUAREZ MANUEL RODOLFO ALDERETES 14"/>
    <x v="2333"/>
    <n v="13476107.789999999"/>
    <x v="292"/>
    <x v="0"/>
    <s v="pagado"/>
    <s v="pagado"/>
    <x v="0"/>
  </r>
  <r>
    <n v="3000005002"/>
    <d v="2026-08-10T00:00:00"/>
    <n v="5042931.2699999996"/>
    <s v="Arias Carlos Alberto SAN MIGUEL DE TUCUMAN 14"/>
    <x v="2334"/>
    <n v="5042931.2699999996"/>
    <x v="292"/>
    <x v="0"/>
    <s v="pagado"/>
    <s v="pagado"/>
    <x v="0"/>
  </r>
  <r>
    <n v="3000005003"/>
    <d v="2026-08-10T00:00:00"/>
    <n v="6884068.3499999996"/>
    <s v="PERATO LUIS ALBERTO BANDA DEL RIO SALI 14"/>
    <x v="2335"/>
    <n v="6884068.3499999996"/>
    <x v="292"/>
    <x v="0"/>
    <s v="pagado"/>
    <s v="pagado"/>
    <x v="0"/>
  </r>
  <r>
    <n v="3000005004"/>
    <d v="2026-08-10T00:00:00"/>
    <n v="20701260.280000001"/>
    <s v="PERATO CRISTIAN LUIS BANDA DEL RIO SALI 14"/>
    <x v="2336"/>
    <n v="20701260.280000001"/>
    <x v="292"/>
    <x v="0"/>
    <s v="pagado"/>
    <s v="pagado"/>
    <x v="0"/>
  </r>
  <r>
    <n v="3000005005"/>
    <d v="2026-08-10T00:00:00"/>
    <n v="19556107.18"/>
    <s v="JACQUET NORBERTO SALVADOR SAN JOSE 05"/>
    <x v="2337"/>
    <n v="19556107.18"/>
    <x v="292"/>
    <x v="0"/>
    <s v="pagado"/>
    <s v="pagado"/>
    <x v="0"/>
  </r>
  <r>
    <n v="3000005006"/>
    <d v="2026-08-10T00:00:00"/>
    <n v="15721125"/>
    <s v="TRANSPORTE FRIOS DEL NORTE S.RSAN MIGUEL DE TUCUMAN 14"/>
    <x v="2338"/>
    <n v="15721125"/>
    <x v="292"/>
    <x v="0"/>
    <s v="pagado"/>
    <s v="pagado"/>
    <x v="0"/>
  </r>
  <r>
    <n v="3000005007"/>
    <d v="2026-08-10T00:00:00"/>
    <n v="10340277.960000001"/>
    <s v="ACOSTA ROQUE RAMON SAN MIGUEL DE TUCUMAN 14"/>
    <x v="2339"/>
    <n v="10340277.960000001"/>
    <x v="292"/>
    <x v="0"/>
    <s v="pagado"/>
    <s v="pagado"/>
    <x v="0"/>
  </r>
  <r>
    <n v="3000005008"/>
    <d v="2026-08-10T00:00:00"/>
    <n v="21699792.690000001"/>
    <s v="FERNANDEZ HECTOR JOSE SIMOCA 14"/>
    <x v="2340"/>
    <n v="21699792.690000001"/>
    <x v="292"/>
    <x v="0"/>
    <s v="pagado"/>
    <s v="pagado"/>
    <x v="0"/>
  </r>
  <r>
    <n v="3000005009"/>
    <d v="2026-08-10T00:00:00"/>
    <n v="15212171.48"/>
    <s v="BUSTOS GUILLERMO DARIO ALDERETES 14"/>
    <x v="2341"/>
    <n v="15212171.48"/>
    <x v="292"/>
    <x v="0"/>
    <s v="pagado"/>
    <s v="pagado"/>
    <x v="0"/>
  </r>
  <r>
    <n v="3000005010"/>
    <d v="2026-08-10T00:00:00"/>
    <n v="9900419.2300000004"/>
    <s v="GONZALEZ JOSE LUIS CONCEPCION 14"/>
    <x v="2342"/>
    <n v="9900419.2300000004"/>
    <x v="292"/>
    <x v="0"/>
    <s v="pagado"/>
    <s v="pagado"/>
    <x v="0"/>
  </r>
  <r>
    <n v="3000005011"/>
    <d v="2026-08-10T00:00:00"/>
    <n v="8201247.2300000004"/>
    <s v="Sanchez Jose Mauricio San Miguel de Tucuman 14"/>
    <x v="2343"/>
    <n v="8201247.2300000004"/>
    <x v="292"/>
    <x v="0"/>
    <s v="pagado"/>
    <s v="pagado"/>
    <x v="0"/>
  </r>
  <r>
    <n v="3000005012"/>
    <d v="2026-08-10T00:00:00"/>
    <n v="6261579.71"/>
    <s v="Pedro Angel Michael Alderetes 14"/>
    <x v="2344"/>
    <n v="6261579.71"/>
    <x v="292"/>
    <x v="0"/>
    <s v="pagado"/>
    <s v="pagado"/>
    <x v="0"/>
  </r>
  <r>
    <n v="3000005013"/>
    <d v="2026-08-10T00:00:00"/>
    <n v="11223714.42"/>
    <s v="Arias Gonzalo Alejandro San Miguel de Tucumán 14"/>
    <x v="2345"/>
    <n v="11223714.42"/>
    <x v="292"/>
    <x v="0"/>
    <s v="pagado"/>
    <s v="pagado"/>
    <x v="0"/>
  </r>
  <r>
    <n v="3000005014"/>
    <d v="2026-08-10T00:00:00"/>
    <n v="6117737.4000000004"/>
    <s v="Verde y Sol S.R.L. SAN MIGUEL DE TUCUMAN 14"/>
    <x v="2346"/>
    <n v="6117737.4000000004"/>
    <x v="292"/>
    <x v="0"/>
    <s v="pagado"/>
    <s v="pagado"/>
    <x v="0"/>
  </r>
  <r>
    <n v="3000005015"/>
    <d v="2026-08-10T00:00:00"/>
    <n v="32683016.219999999"/>
    <s v="LA MARTINA SERV. AGRICOLAS S.RSAN PABLO 14"/>
    <x v="2347"/>
    <n v="32683016.219999999"/>
    <x v="292"/>
    <x v="0"/>
    <s v="pagado"/>
    <s v="pagado"/>
    <x v="0"/>
  </r>
  <r>
    <n v="3000005016"/>
    <d v="2026-08-10T00:00:00"/>
    <n v="21978587.09"/>
    <s v="DUBANIS ANA JOSEFINA SAN MIGUEL DE TUCUMAN 14"/>
    <x v="2348"/>
    <n v="21978587.09"/>
    <x v="293"/>
    <x v="0"/>
    <s v="pagado"/>
    <s v="pagado"/>
    <x v="0"/>
  </r>
  <r>
    <n v="3000005017"/>
    <d v="2026-08-10T00:00:00"/>
    <n v="40622666.259999998"/>
    <s v="AGROPECUARIA MUNDO NUEVO SRL SAN PABLO 14"/>
    <x v="2349"/>
    <n v="40622666.259999998"/>
    <x v="292"/>
    <x v="0"/>
    <s v="pagado"/>
    <s v="pagado"/>
    <x v="0"/>
  </r>
  <r>
    <n v="3000005018"/>
    <d v="2026-08-10T00:00:00"/>
    <n v="22756182.469999999"/>
    <s v="INSITU S.R.L SAN MIGUEL DE TUCUMAN 14"/>
    <x v="2350"/>
    <n v="22756182.469999999"/>
    <x v="292"/>
    <x v="0"/>
    <s v="pagado"/>
    <s v="pagado"/>
    <x v="0"/>
  </r>
  <r>
    <n v="3000005020"/>
    <d v="2026-08-10T00:00:00"/>
    <n v="21192379.57"/>
    <s v="CAMPOAGRO SRL YERBA BUENA 14"/>
    <x v="2351"/>
    <n v="21192379.57"/>
    <x v="292"/>
    <x v="0"/>
    <s v="pagado"/>
    <s v="pagado"/>
    <x v="0"/>
  </r>
  <r>
    <n v="3000005021"/>
    <d v="2026-08-10T00:00:00"/>
    <n v="2930136.51"/>
    <s v="MAC DONALD MIGUEL ALEJANDRO BANDA DEL RIO SALI 14"/>
    <x v="2352"/>
    <n v="2930136.51"/>
    <x v="293"/>
    <x v="0"/>
    <s v="pagado"/>
    <s v="pagado"/>
    <x v="0"/>
  </r>
  <r>
    <n v="3000005022"/>
    <d v="2026-08-10T00:00:00"/>
    <n v="8875287.4700000007"/>
    <s v="TRANSPORTE MEDINA S.H. CRUZ ALTA 14"/>
    <x v="2353"/>
    <n v="8875287.4700000007"/>
    <x v="292"/>
    <x v="0"/>
    <s v="pagado"/>
    <s v="pagado"/>
    <x v="0"/>
  </r>
  <r>
    <n v="3000005099"/>
    <d v="2026-08-12T00:00:00"/>
    <n v="41856340.350000001"/>
    <s v="GAR S.A SAN MIGUEL DE TUCUMAN 14"/>
    <x v="2354"/>
    <n v="41856340.350000001"/>
    <x v="293"/>
    <x v="0"/>
    <s v="pagado"/>
    <s v="pagado"/>
    <x v="0"/>
  </r>
  <r>
    <n v="3000005100"/>
    <d v="2026-08-12T00:00:00"/>
    <n v="7753970.7000000002"/>
    <s v="CONTROL UNION NORTE S.A YERBA BUENA 14"/>
    <x v="2355"/>
    <n v="7753970.7000000002"/>
    <x v="272"/>
    <x v="0"/>
    <s v="pagado"/>
    <s v="pagado"/>
    <x v="0"/>
  </r>
  <r>
    <n v="3000005101"/>
    <d v="2026-08-12T00:00:00"/>
    <n v="5673531.8799999999"/>
    <s v="ALVAREZ RENE JOSE MARIA BELLA VISTA 14"/>
    <x v="2356"/>
    <n v="5673531.8799999999"/>
    <x v="272"/>
    <x v="0"/>
    <s v="pagado"/>
    <s v="pagado"/>
    <x v="0"/>
  </r>
  <r>
    <n v="3000005102"/>
    <d v="2026-08-12T00:00:00"/>
    <n v="16052308"/>
    <s v="TRANSPORTE FRIOS DEL NORTE S.RSAN MIGUEL DE TUCUMAN 14"/>
    <x v="2357"/>
    <n v="16052308"/>
    <x v="272"/>
    <x v="0"/>
    <s v="pagado"/>
    <s v="pagado"/>
    <x v="0"/>
  </r>
  <r>
    <n v="3000005103"/>
    <d v="2026-08-12T00:00:00"/>
    <n v="5529090"/>
    <s v="MAC DONALD MIGUEL ALEJANDRO BANDA DEL RIO SALI 14"/>
    <x v="2358"/>
    <n v="5529090"/>
    <x v="272"/>
    <x v="0"/>
    <s v="pagado"/>
    <s v="pagado"/>
    <x v="0"/>
  </r>
  <r>
    <n v="3000005104"/>
    <d v="2026-08-12T00:00:00"/>
    <n v="8411614.8000000007"/>
    <s v="TORRES JUAN RAMON ALDERETES 14"/>
    <x v="2359"/>
    <n v="8411614.8000000007"/>
    <x v="272"/>
    <x v="0"/>
    <s v="pagado"/>
    <s v="pagado"/>
    <x v="0"/>
  </r>
  <r>
    <n v="3000005105"/>
    <d v="2026-08-12T00:00:00"/>
    <n v="14737546.800000001"/>
    <s v="CAPETTA ANTONELLA ANAHI SAN MIGUEL DE TUCUMAN 14"/>
    <x v="2360"/>
    <n v="14737546.800000001"/>
    <x v="272"/>
    <x v="0"/>
    <s v="pagado"/>
    <s v="pagado"/>
    <x v="0"/>
  </r>
  <r>
    <n v="3000005106"/>
    <d v="2026-08-12T00:00:00"/>
    <n v="11742840"/>
    <s v="RL SOLUCIONES S. A. S. SAN MIGUEL DE TUCUMAN 14"/>
    <x v="2361"/>
    <n v="11742840"/>
    <x v="272"/>
    <x v="0"/>
    <s v="pagado"/>
    <s v="pagado"/>
    <x v="0"/>
  </r>
  <r>
    <n v="3000005107"/>
    <d v="2026-08-12T00:00:00"/>
    <n v="7079595.6399999997"/>
    <s v="Vaquera Francisco Alfredo Monteros 14"/>
    <x v="2362"/>
    <n v="7079595.6399999997"/>
    <x v="272"/>
    <x v="0"/>
    <s v="pagado"/>
    <s v="pagado"/>
    <x v="0"/>
  </r>
  <r>
    <n v="3000005108"/>
    <d v="2026-08-12T00:00:00"/>
    <n v="6083967.8399999999"/>
    <s v="Gonzalez Jose Luis Lastenia 14"/>
    <x v="2363"/>
    <n v="6083967.8399999999"/>
    <x v="272"/>
    <x v="0"/>
    <s v="pagado"/>
    <s v="pagado"/>
    <x v="0"/>
  </r>
  <r>
    <n v="3000005109"/>
    <d v="2026-08-12T00:00:00"/>
    <n v="10785916.880000001"/>
    <s v="Robles Angel Gabriel San Miguel de Tucuman 14"/>
    <x v="2364"/>
    <n v="10785916.880000001"/>
    <x v="272"/>
    <x v="0"/>
    <s v="pagado"/>
    <s v="pagado"/>
    <x v="0"/>
  </r>
  <r>
    <n v="3000005110"/>
    <d v="2026-08-12T00:00:00"/>
    <n v="9219580.7699999996"/>
    <s v="Pedro Carolina Alejandra ALDERETES 14"/>
    <x v="2365"/>
    <n v="9219580.7699999996"/>
    <x v="272"/>
    <x v="0"/>
    <s v="pagado"/>
    <s v="pagado"/>
    <x v="0"/>
  </r>
  <r>
    <n v="3000005111"/>
    <d v="2026-08-12T00:00:00"/>
    <n v="7363889.0800000001"/>
    <s v="Garcia Pablo Nicolas San Miguel de Tucuman 14"/>
    <x v="2366"/>
    <n v="7363889.0800000001"/>
    <x v="272"/>
    <x v="0"/>
    <s v="pagado"/>
    <s v="pagado"/>
    <x v="0"/>
  </r>
  <r>
    <n v="3000005112"/>
    <d v="2026-08-12T00:00:00"/>
    <n v="8182825.7599999998"/>
    <s v="CLOVER LOGISTICS SRL CAPITAL FEDERAL 00"/>
    <x v="2367"/>
    <n v="8182825.7599999998"/>
    <x v="272"/>
    <x v="0"/>
    <s v="pagado"/>
    <s v="pagado"/>
    <x v="0"/>
  </r>
  <r>
    <n v="3000005153"/>
    <d v="2026-08-13T00:00:00"/>
    <n v="215909.12"/>
    <s v="LA SOLANITA SRL SAN MIGUEL DE TUCUMAN 14"/>
    <x v="2368"/>
    <n v="215909.12"/>
    <x v="293"/>
    <x v="0"/>
    <s v="pagado"/>
    <s v="pagado"/>
    <x v="0"/>
  </r>
  <r>
    <n v="3000005235"/>
    <d v="2026-08-18T00:00:00"/>
    <n v="12208463.75"/>
    <s v="LA 10 SRL SAN MIGUEL DE TUCUMAN 14"/>
    <x v="2369"/>
    <n v="12208463.75"/>
    <x v="295"/>
    <x v="0"/>
    <s v="pagado"/>
    <s v="pagado"/>
    <x v="0"/>
  </r>
  <r>
    <n v="3000005236"/>
    <d v="2026-08-18T00:00:00"/>
    <n v="7198980.8799999999"/>
    <s v="BARBARISI JUAREZ PABLO EMANUELSAN JUAN 10"/>
    <x v="2370"/>
    <n v="7198980.8799999999"/>
    <x v="295"/>
    <x v="0"/>
    <s v="pagado"/>
    <s v="pagado"/>
    <x v="0"/>
  </r>
  <r>
    <n v="3000005237"/>
    <d v="2026-08-18T00:00:00"/>
    <n v="10427887.130000001"/>
    <s v="SEGURIDAD OMEGA SRL SAN FERNANDO DEL VALLE DE CATAMARCA 02"/>
    <x v="2371"/>
    <n v="10427887.130000001"/>
    <x v="295"/>
    <x v="0"/>
    <s v="pagado"/>
    <s v="pagado"/>
    <x v="0"/>
  </r>
  <r>
    <n v="3000005238"/>
    <d v="2026-08-18T00:00:00"/>
    <n v="14723459.039999999"/>
    <s v="NORTE DISTRIBUCIONES S.R.L SAN MIGUEL DE TUCUMAN 14"/>
    <x v="2372"/>
    <n v="14723459.039999999"/>
    <x v="295"/>
    <x v="0"/>
    <s v="pagado"/>
    <s v="pagado"/>
    <x v="0"/>
  </r>
  <r>
    <n v="3000005239"/>
    <d v="2026-08-18T00:00:00"/>
    <n v="6608817.7199999997"/>
    <s v="Bureau Veritas Arg.S.A. CIUDAD AUTONOMA DE BUENOS AIRES 01"/>
    <x v="2373"/>
    <n v="6608817.7199999997"/>
    <x v="295"/>
    <x v="0"/>
    <s v="pagado"/>
    <s v="pagado"/>
    <x v="0"/>
  </r>
  <r>
    <n v="3000005240"/>
    <d v="2026-08-18T00:00:00"/>
    <n v="5529090"/>
    <s v="CEMEVA SAS YERBA BUENA 14"/>
    <x v="2374"/>
    <n v="5529090"/>
    <x v="295"/>
    <x v="0"/>
    <s v="pagado"/>
    <s v="pagado"/>
    <x v="0"/>
  </r>
  <r>
    <n v="3000005241"/>
    <d v="2026-08-18T00:00:00"/>
    <n v="8231290"/>
    <s v="JACQUET NORBERTO SALVADOR SAN JOSE 05"/>
    <x v="2375"/>
    <n v="8231290"/>
    <x v="295"/>
    <x v="0"/>
    <s v="pagado"/>
    <s v="pagado"/>
    <x v="0"/>
  </r>
  <r>
    <n v="3000005242"/>
    <d v="2026-08-18T00:00:00"/>
    <n v="8220240"/>
    <s v="RL SOLUCIONES S. A. S. SAN MIGUEL DE TUCUMAN 14"/>
    <x v="2376"/>
    <n v="8220240"/>
    <x v="295"/>
    <x v="0"/>
    <s v="pagado"/>
    <s v="pagado"/>
    <x v="0"/>
  </r>
  <r>
    <n v="3000005243"/>
    <d v="2026-08-18T00:00:00"/>
    <n v="6222653.0800000001"/>
    <s v="TRANSPORTE MARIANITA S.R.L SAN MIGUEL DE TUCUMAN 14"/>
    <x v="2377"/>
    <n v="6222653.0800000001"/>
    <x v="295"/>
    <x v="0"/>
    <s v="pagado"/>
    <s v="pagado"/>
    <x v="0"/>
  </r>
  <r>
    <n v="3000005244"/>
    <d v="2026-08-18T00:00:00"/>
    <n v="11006871.609999999"/>
    <s v="Transportes La Sevillanita S.RALDERETES 14"/>
    <x v="2378"/>
    <n v="11006871.609999999"/>
    <x v="295"/>
    <x v="0"/>
    <s v="pagado"/>
    <s v="pagado"/>
    <x v="0"/>
  </r>
  <r>
    <n v="3000005266"/>
    <d v="2026-08-19T00:00:00"/>
    <n v="13948499"/>
    <s v="GAR S.A SAN MIGUEL DE TUCUMAN 14"/>
    <x v="2379"/>
    <n v="13948499"/>
    <x v="205"/>
    <x v="0"/>
    <s v="pagado"/>
    <s v="pagado"/>
    <x v="0"/>
  </r>
  <r>
    <n v="3000005267"/>
    <d v="2026-08-19T00:00:00"/>
    <n v="2516000"/>
    <s v="FUNDACION UNIVERSIDAD TORCUATOCIUDAD AUTONOMA DE BUENOS AIRES 01"/>
    <x v="2380"/>
    <n v="2516000"/>
    <x v="296"/>
    <x v="0"/>
    <s v="pagado"/>
    <s v="pagado"/>
    <x v="0"/>
  </r>
  <r>
    <n v="3000005268"/>
    <d v="2026-08-19T00:00:00"/>
    <n v="3285959.9"/>
    <s v="LOBO BENICIO MARTIN ALDERETES 14"/>
    <x v="2381"/>
    <n v="3285959.9"/>
    <x v="296"/>
    <x v="0"/>
    <s v="pagado"/>
    <s v="pagado"/>
    <x v="0"/>
  </r>
  <r>
    <n v="3000005269"/>
    <d v="2026-08-19T00:00:00"/>
    <n v="3767425.94"/>
    <s v="IKIGAI SAS LA BANDA 13"/>
    <x v="2382"/>
    <n v="3767425.94"/>
    <x v="296"/>
    <x v="0"/>
    <s v="pagado"/>
    <s v="pagado"/>
    <x v="0"/>
  </r>
  <r>
    <n v="3000005270"/>
    <d v="2026-08-19T00:00:00"/>
    <n v="2514200"/>
    <s v="TEKNOS TECHNOLOGY GROUP SA CAPITAL FEDERAL 00"/>
    <x v="2383"/>
    <n v="2514200"/>
    <x v="296"/>
    <x v="0"/>
    <s v="pagado"/>
    <s v="pagado"/>
    <x v="0"/>
  </r>
  <r>
    <n v="3000005271"/>
    <d v="2026-08-19T00:00:00"/>
    <n v="4707675.99"/>
    <s v="BERCOVICH COMERCIAL SAS SAN MIGUEL DE TUCUMAN 14"/>
    <x v="2384"/>
    <n v="4707675.99"/>
    <x v="296"/>
    <x v="0"/>
    <s v="pagado"/>
    <s v="pagado"/>
    <x v="0"/>
  </r>
  <r>
    <n v="3000005272"/>
    <d v="2026-08-19T00:00:00"/>
    <n v="3576314.4"/>
    <s v="VSG S.R.L CIUDAD AUTONOMA BUENOS AIRES 00"/>
    <x v="2385"/>
    <n v="3576314.4"/>
    <x v="296"/>
    <x v="0"/>
    <s v="no pagado"/>
    <s v="en periodo de pago"/>
    <x v="2"/>
  </r>
  <r>
    <n v="3000005273"/>
    <d v="2026-08-19T00:00:00"/>
    <n v="2651575.5"/>
    <s v="M.A.D Serv y mant eléctri SAN MIGUEL DE TUCUMAN 14"/>
    <x v="2386"/>
    <n v="2651575.5"/>
    <x v="296"/>
    <x v="0"/>
    <s v="pagado"/>
    <s v="pagado"/>
    <x v="0"/>
  </r>
  <r>
    <n v="3000005274"/>
    <d v="2026-08-19T00:00:00"/>
    <n v="4577865"/>
    <s v="ACOSTA ROSA MERCEDES BANDA DEL RIO SALI 14"/>
    <x v="2387"/>
    <n v="4577865"/>
    <x v="296"/>
    <x v="0"/>
    <s v="pagado"/>
    <s v="pagado"/>
    <x v="0"/>
  </r>
  <r>
    <n v="3000005275"/>
    <d v="2026-08-19T00:00:00"/>
    <n v="2084351.67"/>
    <s v="JG FITNESS GROUP S. A. S. SAN MIGUEL DE TUCUMAN 14"/>
    <x v="2388"/>
    <n v="2084351.67"/>
    <x v="296"/>
    <x v="0"/>
    <s v="pagado"/>
    <s v="pagado"/>
    <x v="0"/>
  </r>
  <r>
    <n v="3000005276"/>
    <d v="2026-08-19T00:00:00"/>
    <n v="3212127"/>
    <s v="Expreso San Jose S.A. SAN MIGUEL DE TUCUMAN 14"/>
    <x v="2389"/>
    <n v="3212127"/>
    <x v="296"/>
    <x v="0"/>
    <s v="pagado"/>
    <s v="pagado"/>
    <x v="0"/>
  </r>
  <r>
    <n v="3000005277"/>
    <d v="2026-08-19T00:00:00"/>
    <n v="9420989"/>
    <s v="BUSTOS GUILLERMO DARIO ALDERETES 14"/>
    <x v="2390"/>
    <n v="9420989"/>
    <x v="296"/>
    <x v="0"/>
    <s v="pagado"/>
    <s v="pagado"/>
    <x v="0"/>
  </r>
  <r>
    <n v="3000005278"/>
    <d v="2026-08-19T00:00:00"/>
    <n v="8231032.1699999999"/>
    <s v="MAGNONE S. A. CIUDAD AUTONOMA BUENOS AIRES 00"/>
    <x v="2391"/>
    <n v="8231032.1699999999"/>
    <x v="296"/>
    <x v="0"/>
    <s v="pagado"/>
    <s v="pagado"/>
    <x v="0"/>
  </r>
  <r>
    <n v="3000005279"/>
    <d v="2026-08-19T00:00:00"/>
    <n v="5529090"/>
    <s v="CEMEVA SAS YERBA BUENA 14"/>
    <x v="2392"/>
    <n v="5529090"/>
    <x v="296"/>
    <x v="0"/>
    <s v="pagado"/>
    <s v="pagado"/>
    <x v="0"/>
  </r>
  <r>
    <n v="3000005280"/>
    <d v="2026-08-19T00:00:00"/>
    <n v="13809910"/>
    <s v="CAPETTA ANTONELLA ANAHI SAN MIGUEL DE TUCUMAN 14"/>
    <x v="2393"/>
    <n v="13809910"/>
    <x v="296"/>
    <x v="0"/>
    <s v="pagado"/>
    <s v="pagado"/>
    <x v="0"/>
  </r>
  <r>
    <n v="3000005281"/>
    <d v="2026-08-19T00:00:00"/>
    <n v="3910060.28"/>
    <s v="PALAVECINO LUIS IGNACIO San Miguel De Tucuman 14"/>
    <x v="2394"/>
    <n v="3910060.28"/>
    <x v="296"/>
    <x v="0"/>
    <s v="no pagado"/>
    <s v="en periodo de pago"/>
    <x v="2"/>
  </r>
  <r>
    <n v="3000005282"/>
    <d v="2026-08-19T00:00:00"/>
    <n v="3124350"/>
    <s v="RL SOLUCIONES S. A. S. SAN MIGUEL DE TUCUMAN 14"/>
    <x v="2395"/>
    <n v="3124350"/>
    <x v="296"/>
    <x v="0"/>
    <s v="pagado"/>
    <s v="pagado"/>
    <x v="0"/>
  </r>
  <r>
    <n v="3000005283"/>
    <d v="2026-08-19T00:00:00"/>
    <n v="4072503.18"/>
    <s v="GANBATTE SA CAPITAL FEDERAL 01"/>
    <x v="2396"/>
    <n v="4072503.18"/>
    <x v="296"/>
    <x v="0"/>
    <s v="pagado"/>
    <s v="pagado"/>
    <x v="0"/>
  </r>
  <r>
    <n v="3000005284"/>
    <d v="2026-08-19T00:00:00"/>
    <n v="2943381.06"/>
    <s v="Rojas Antonio Domingo ALDERETES 14"/>
    <x v="2397"/>
    <n v="2943381.06"/>
    <x v="296"/>
    <x v="0"/>
    <s v="pagado"/>
    <s v="pagado"/>
    <x v="0"/>
  </r>
  <r>
    <n v="3000005285"/>
    <d v="2026-08-19T00:00:00"/>
    <n v="4464734.33"/>
    <s v="Robles Angel Gabriel San Miguel de Tucuman 14"/>
    <x v="2398"/>
    <n v="4464734.33"/>
    <x v="296"/>
    <x v="0"/>
    <s v="no pagado"/>
    <s v="en periodo de pago"/>
    <x v="2"/>
  </r>
  <r>
    <n v="3000005286"/>
    <d v="2026-08-19T00:00:00"/>
    <n v="9247413.9900000002"/>
    <s v="Pedro Ivan Marcelo ALDERETES 14"/>
    <x v="2399"/>
    <n v="9247413.9900000002"/>
    <x v="296"/>
    <x v="0"/>
    <s v="pagado"/>
    <s v="pagado"/>
    <x v="0"/>
  </r>
  <r>
    <n v="3000005287"/>
    <d v="2026-08-19T00:00:00"/>
    <n v="11870543.4"/>
    <s v="ALDO A. MILITELLO GRUAS Y TRANMaipu 07"/>
    <x v="2400"/>
    <n v="11870543.4"/>
    <x v="296"/>
    <x v="0"/>
    <s v="pagado"/>
    <s v="pagado"/>
    <x v="0"/>
  </r>
  <r>
    <n v="3000005288"/>
    <d v="2026-08-19T00:00:00"/>
    <n v="29872126.079999998"/>
    <s v="M DODERO COMPANIA GRAL DE SERVCIUDAD AUTONOMA DE BUENOS AIRES 01"/>
    <x v="2401"/>
    <n v="29872126.079999998"/>
    <x v="296"/>
    <x v="0"/>
    <s v="pagado"/>
    <s v="pagado"/>
    <x v="0"/>
  </r>
  <r>
    <n v="3000005289"/>
    <d v="2026-08-19T00:00:00"/>
    <n v="2825723.4"/>
    <s v="GEOTECNOLOGIA S.R.L SAN MIGUEL DE TUCUMAN 14"/>
    <x v="2402"/>
    <n v="2825723.4"/>
    <x v="296"/>
    <x v="0"/>
    <s v="pagado"/>
    <s v="pagado"/>
    <x v="0"/>
  </r>
  <r>
    <n v="3000005290"/>
    <d v="2026-08-19T00:00:00"/>
    <n v="2165486"/>
    <s v="AGUIAR MARTEAU MAIA JULIANA SAN MIGUEL DE TUCUMAN 14"/>
    <x v="2403"/>
    <n v="2165486"/>
    <x v="296"/>
    <x v="0"/>
    <s v="no pagado"/>
    <s v="en periodo de pago"/>
    <x v="2"/>
  </r>
  <r>
    <n v="3000005291"/>
    <d v="2026-08-19T00:00:00"/>
    <n v="4384701.4000000004"/>
    <s v="COOPTRAR LTDA SAN MIGUEL DE TUCUMAN 14"/>
    <x v="2404"/>
    <n v="4384701.4000000004"/>
    <x v="296"/>
    <x v="0"/>
    <s v="pagado"/>
    <s v="pagado"/>
    <x v="0"/>
  </r>
  <r>
    <n v="3000005292"/>
    <d v="2026-08-19T00:00:00"/>
    <n v="4286064.24"/>
    <s v="CAMPOAGRO SRL YERBA BUENA 14"/>
    <x v="2405"/>
    <n v="4286064.24"/>
    <x v="296"/>
    <x v="0"/>
    <s v="pagado"/>
    <s v="pagado"/>
    <x v="0"/>
  </r>
  <r>
    <n v="3000005293"/>
    <d v="2026-08-19T00:00:00"/>
    <n v="3708400"/>
    <s v="Instituto Arg. de NormalizacioCIUDAD AUTONOMA DE BUENOS AIRES 01"/>
    <x v="2406"/>
    <n v="3708400"/>
    <x v="296"/>
    <x v="0"/>
    <s v="pagado"/>
    <s v="pagado"/>
    <x v="0"/>
  </r>
  <r>
    <n v="3000005326"/>
    <d v="2026-08-20T00:00:00"/>
    <n v="38997160"/>
    <s v="EDET S.A. SAN MIGUEL DE TUCUMAN 14"/>
    <x v="2407"/>
    <n v="38997160"/>
    <x v="297"/>
    <x v="0"/>
    <s v="pagado"/>
    <s v="pagado"/>
    <x v="0"/>
  </r>
  <r>
    <n v="3000005386"/>
    <d v="2026-08-24T00:00:00"/>
    <n v="8397402.3100000005"/>
    <s v="TRANSPORTE MEDINA S.H. CRUZ ALTA 14"/>
    <x v="2408"/>
    <n v="8397402.3100000005"/>
    <x v="296"/>
    <x v="0"/>
    <s v="no pagado"/>
    <s v="en periodo de pago"/>
    <x v="2"/>
  </r>
  <r>
    <n v="3000005387"/>
    <d v="2026-08-24T00:00:00"/>
    <n v="458463870"/>
    <s v="EDET S.A. SAN MIGUEL DE TUCUMAN 14"/>
    <x v="2409"/>
    <n v="458463870"/>
    <x v="205"/>
    <x v="0"/>
    <s v="pagado"/>
    <s v="pagado"/>
    <x v="0"/>
  </r>
  <r>
    <n v="3000005388"/>
    <d v="2026-08-24T00:00:00"/>
    <n v="8385787.0700000003"/>
    <s v="LUBRE S.R.L. LOS NOGALES 14"/>
    <x v="2410"/>
    <n v="8385787.0700000003"/>
    <x v="298"/>
    <x v="0"/>
    <s v="pagado"/>
    <s v="pagado"/>
    <x v="0"/>
  </r>
  <r>
    <n v="3000005389"/>
    <d v="2026-08-24T00:00:00"/>
    <n v="6303157"/>
    <s v="TODOS RETENES SA CORDOBA 03"/>
    <x v="2411"/>
    <n v="6303157"/>
    <x v="298"/>
    <x v="0"/>
    <s v="pagado"/>
    <s v="pagado"/>
    <x v="0"/>
  </r>
  <r>
    <n v="3000005390"/>
    <d v="2026-08-24T00:00:00"/>
    <n v="22340293.399999999"/>
    <s v="CAD SOLUTIONS S.A. CAPITAL FEDERAL 00"/>
    <x v="2412"/>
    <n v="22340293.399999999"/>
    <x v="298"/>
    <x v="0"/>
    <s v="pagado"/>
    <s v="pagado"/>
    <x v="0"/>
  </r>
  <r>
    <n v="3000005391"/>
    <d v="2026-08-24T00:00:00"/>
    <n v="7688930.2699999996"/>
    <s v="EMPRESA MAYORISTA INDUSTRIAL SSAN MIGUEL DE TUCUMAN 14"/>
    <x v="2413"/>
    <n v="7688930.2699999996"/>
    <x v="298"/>
    <x v="0"/>
    <s v="pagado"/>
    <s v="pagado"/>
    <x v="0"/>
  </r>
  <r>
    <n v="3000005392"/>
    <d v="2026-08-24T00:00:00"/>
    <n v="8510227.1899999995"/>
    <s v="ROMERO SERVICIOS S. A. S. ALPACHIRI 14"/>
    <x v="2414"/>
    <n v="8510227.1899999995"/>
    <x v="298"/>
    <x v="0"/>
    <s v="pagado"/>
    <s v="pagado"/>
    <x v="0"/>
  </r>
  <r>
    <n v="3000005393"/>
    <d v="2026-08-24T00:00:00"/>
    <n v="6029748.1699999999"/>
    <s v="PERATO LUIS ALBERTO BANDA DEL RIO SALI 14"/>
    <x v="2415"/>
    <n v="6029748.1699999999"/>
    <x v="298"/>
    <x v="0"/>
    <s v="pagado"/>
    <s v="pagado"/>
    <x v="0"/>
  </r>
  <r>
    <n v="3000005394"/>
    <d v="2026-08-24T00:00:00"/>
    <n v="18603636.140000001"/>
    <s v="PERATO CRISTIAN LUIS BANDA DEL RIO SALI 14"/>
    <x v="2416"/>
    <n v="18603636.140000001"/>
    <x v="298"/>
    <x v="0"/>
    <s v="pagado"/>
    <s v="pagado"/>
    <x v="0"/>
  </r>
  <r>
    <n v="3000005395"/>
    <d v="2026-08-24T00:00:00"/>
    <n v="21895924.300000001"/>
    <s v="FERNANDEZ HECTOR JOSE SIMOCA 14"/>
    <x v="2417"/>
    <n v="21895924.300000001"/>
    <x v="298"/>
    <x v="0"/>
    <s v="pagado"/>
    <s v="pagado"/>
    <x v="0"/>
  </r>
  <r>
    <n v="3000005396"/>
    <d v="2026-08-24T00:00:00"/>
    <n v="8088204.1100000003"/>
    <s v="BARBARISI JUAREZ PABLO EMANUELSAN JUAN 10"/>
    <x v="2418"/>
    <n v="8088204.1100000003"/>
    <x v="298"/>
    <x v="0"/>
    <s v="pagado"/>
    <s v="pagado"/>
    <x v="0"/>
  </r>
  <r>
    <n v="3000005397"/>
    <d v="2026-08-24T00:00:00"/>
    <n v="12522622.35"/>
    <s v="GONZALEZ JOSE LUIS CONCEPCION 14"/>
    <x v="2419"/>
    <n v="12522622.35"/>
    <x v="298"/>
    <x v="0"/>
    <s v="pagado"/>
    <s v="pagado"/>
    <x v="0"/>
  </r>
  <r>
    <n v="3000005398"/>
    <d v="2026-08-24T00:00:00"/>
    <n v="7289316.6500000004"/>
    <s v="Sanchez Jose Mauricio San Miguel de Tucuman 14"/>
    <x v="2420"/>
    <n v="7289316.6500000004"/>
    <x v="298"/>
    <x v="0"/>
    <s v="pagado"/>
    <s v="pagado"/>
    <x v="0"/>
  </r>
  <r>
    <n v="3000005399"/>
    <d v="2026-08-24T00:00:00"/>
    <n v="6310818.3099999996"/>
    <s v="Vaquera Francisco Alfredo Monteros 14"/>
    <x v="2421"/>
    <n v="6310818.3099999996"/>
    <x v="298"/>
    <x v="0"/>
    <s v="pagado"/>
    <s v="pagado"/>
    <x v="0"/>
  </r>
  <r>
    <n v="3000005400"/>
    <d v="2026-08-24T00:00:00"/>
    <n v="5866810.9299999997"/>
    <s v="Pedro Angel Michael Alderetes 14"/>
    <x v="2422"/>
    <n v="5866810.9299999997"/>
    <x v="298"/>
    <x v="0"/>
    <s v="pagado"/>
    <s v="pagado"/>
    <x v="0"/>
  </r>
  <r>
    <n v="3000005401"/>
    <d v="2026-08-24T00:00:00"/>
    <n v="7749760.04"/>
    <s v="Gonzalez Jose Luis Lastenia 14"/>
    <x v="2423"/>
    <n v="7749760.04"/>
    <x v="298"/>
    <x v="0"/>
    <s v="pagado"/>
    <s v="pagado"/>
    <x v="0"/>
  </r>
  <r>
    <n v="3000005402"/>
    <d v="2026-08-24T00:00:00"/>
    <n v="39270743.020000003"/>
    <s v="LA MARTINA SERV. AGRICOLAS S.RSAN PABLO 14"/>
    <x v="2424"/>
    <n v="39270743.020000003"/>
    <x v="298"/>
    <x v="0"/>
    <s v="pagado"/>
    <s v="pagado"/>
    <x v="0"/>
  </r>
  <r>
    <n v="3000005403"/>
    <d v="2026-08-24T00:00:00"/>
    <n v="42777430.670000002"/>
    <s v="AGROPECUARIA MUNDO NUEVO SRL SAN PABLO 14"/>
    <x v="2425"/>
    <n v="42777430.670000002"/>
    <x v="298"/>
    <x v="0"/>
    <s v="pagado"/>
    <s v="pagado"/>
    <x v="0"/>
  </r>
  <r>
    <n v="3000005404"/>
    <d v="2026-08-24T00:00:00"/>
    <n v="8995080.8599999994"/>
    <s v="CASTRO MATIAS JOSE SAN MIGUEL DE TUCUMAN 14"/>
    <x v="2426"/>
    <n v="8995080.8599999994"/>
    <x v="298"/>
    <x v="0"/>
    <s v="pagado"/>
    <s v="pagado"/>
    <x v="0"/>
  </r>
  <r>
    <n v="3000005405"/>
    <d v="2026-08-24T00:00:00"/>
    <n v="6654193.9699999997"/>
    <s v="SUAREZ MANUEL RODOLFO ALDERETES 14"/>
    <x v="2427"/>
    <n v="6654193.9699999997"/>
    <x v="298"/>
    <x v="0"/>
    <s v="pagado"/>
    <s v="pagado"/>
    <x v="0"/>
  </r>
  <r>
    <n v="3000005406"/>
    <d v="2026-08-25T00:00:00"/>
    <n v="10000"/>
    <s v="EDET S.A. SAN MIGUEL DE TUCUMAN 14"/>
    <x v="2428"/>
    <n v="10000"/>
    <x v="295"/>
    <x v="0"/>
    <s v="pagado"/>
    <s v="pagado"/>
    <x v="0"/>
  </r>
  <r>
    <n v="3000005430"/>
    <d v="2026-08-25T00:00:00"/>
    <n v="7012764.0899999999"/>
    <s v="ALVAREZ RENE JOSE MARIA BELLA VISTA 14"/>
    <x v="2429"/>
    <n v="7012764.0899999999"/>
    <x v="299"/>
    <x v="0"/>
    <s v="pagado"/>
    <s v="pagado"/>
    <x v="0"/>
  </r>
  <r>
    <n v="3000005431"/>
    <d v="2026-08-25T00:00:00"/>
    <n v="16012232"/>
    <s v="LA MARTINA SERV. AGRICOLAS S.RSAN PABLO 14"/>
    <x v="2430"/>
    <n v="16012232"/>
    <x v="299"/>
    <x v="0"/>
    <s v="pagado"/>
    <s v="pagado"/>
    <x v="0"/>
  </r>
  <r>
    <n v="3000005432"/>
    <d v="2026-08-25T00:00:00"/>
    <n v="7610257.6900000004"/>
    <s v="ALDERETE GASTON ALBERTO TERMAS DE RIO HONDO 13"/>
    <x v="2431"/>
    <n v="7610257.6900000004"/>
    <x v="299"/>
    <x v="0"/>
    <s v="no pagado"/>
    <s v="en periodo de pago"/>
    <x v="2"/>
  </r>
  <r>
    <n v="3000005433"/>
    <d v="2026-08-25T00:00:00"/>
    <n v="11204469.970000001"/>
    <s v="Arias Gonzalo Alejandro San Miguel de Tucumán 14"/>
    <x v="2432"/>
    <n v="11204469.970000001"/>
    <x v="299"/>
    <x v="0"/>
    <s v="pagado"/>
    <s v="pagado"/>
    <x v="0"/>
  </r>
  <r>
    <n v="3000005434"/>
    <d v="2026-08-25T00:00:00"/>
    <n v="6689354.1399999997"/>
    <s v="SANTILLI CARLOS MIGUEL SAN MIGUEL DE TUCUMAN 14"/>
    <x v="2433"/>
    <n v="6689354.1399999997"/>
    <x v="299"/>
    <x v="0"/>
    <s v="pagado"/>
    <s v="pagado"/>
    <x v="0"/>
  </r>
  <r>
    <n v="3000005435"/>
    <d v="2026-08-25T00:00:00"/>
    <n v="15721125"/>
    <s v="TRANSPORTE FRIOS DEL NORTE S.RSAN MIGUEL DE TUCUMAN 14"/>
    <x v="2434"/>
    <n v="15721125"/>
    <x v="299"/>
    <x v="0"/>
    <s v="pagado"/>
    <s v="pagado"/>
    <x v="0"/>
  </r>
  <r>
    <n v="3000005436"/>
    <d v="2026-08-25T00:00:00"/>
    <n v="8293635"/>
    <s v="MAC DONALD MIGUEL ALEJANDRO BANDA DEL RIO SALI 14"/>
    <x v="2435"/>
    <n v="8293635"/>
    <x v="299"/>
    <x v="0"/>
    <s v="pagado"/>
    <s v="pagado"/>
    <x v="0"/>
  </r>
  <r>
    <n v="3000005437"/>
    <d v="2026-08-25T00:00:00"/>
    <n v="17002700"/>
    <s v="CAPETTA ANTONELLA ANAHI SAN MIGUEL DE TUCUMAN 14"/>
    <x v="2436"/>
    <n v="17002700"/>
    <x v="299"/>
    <x v="0"/>
    <s v="pagado"/>
    <s v="pagado"/>
    <x v="0"/>
  </r>
  <r>
    <n v="3000005567"/>
    <d v="2026-08-31T00:00:00"/>
    <n v="27505450.899999999"/>
    <s v="CONTROL UNION NORTE S.A YERBA BUENA 14"/>
    <x v="2437"/>
    <n v="27505450.899999999"/>
    <x v="294"/>
    <x v="0"/>
    <s v="no pagado"/>
    <s v="en periodo de pago"/>
    <x v="2"/>
  </r>
  <r>
    <n v="3000005568"/>
    <d v="2026-08-31T00:00:00"/>
    <n v="33776131.770000003"/>
    <s v="AGRICOLA MARES S.A FAMAILLA 14"/>
    <x v="2438"/>
    <n v="33776131.770000003"/>
    <x v="300"/>
    <x v="0"/>
    <s v="pagado"/>
    <s v="pagado"/>
    <x v="0"/>
  </r>
  <r>
    <n v="3000005569"/>
    <d v="2026-08-31T00:00:00"/>
    <n v="42236088.270000003"/>
    <s v="AGRO ALIANZA SA TAFI VIEJO 14"/>
    <x v="2439"/>
    <n v="42236088.270000003"/>
    <x v="300"/>
    <x v="0"/>
    <s v="no pagado"/>
    <s v="en periodo de pago"/>
    <x v="2"/>
  </r>
  <r>
    <n v="3000005570"/>
    <d v="2026-08-31T00:00:00"/>
    <n v="10473653.380000001"/>
    <s v="SEGURIDAD OMEGA SRL SAN FERNANDO DEL VALLE DE CATAMARCA 02"/>
    <x v="2440"/>
    <n v="10473653.380000001"/>
    <x v="301"/>
    <x v="0"/>
    <s v="no pagado"/>
    <s v="en periodo de pago"/>
    <x v="2"/>
  </r>
  <r>
    <n v="3000005571"/>
    <d v="2026-08-31T00:00:00"/>
    <n v="5357588.45"/>
    <s v="RASUK JORGE LUIS YERBA BUENA 14"/>
    <x v="2441"/>
    <n v="5357588.45"/>
    <x v="294"/>
    <x v="0"/>
    <s v="no pagado"/>
    <s v="en periodo de pago"/>
    <x v="2"/>
  </r>
  <r>
    <n v="3000005573"/>
    <d v="2026-08-31T00:00:00"/>
    <n v="9474131.5199999996"/>
    <s v="FERRO JOSE NICOLAS FAMAILLA 14"/>
    <x v="2442"/>
    <n v="9474131.5199999996"/>
    <x v="294"/>
    <x v="0"/>
    <s v="no pagado"/>
    <s v="en periodo de pago"/>
    <x v="2"/>
  </r>
  <r>
    <n v="3000005574"/>
    <d v="2026-08-31T00:00:00"/>
    <n v="2764712.92"/>
    <s v="FERPASI S.R.L SAN MIGUEL DE TUCUMAN 14"/>
    <x v="2443"/>
    <n v="2764712.92"/>
    <x v="294"/>
    <x v="0"/>
    <s v="no pagado"/>
    <s v="en periodo de pago"/>
    <x v="2"/>
  </r>
  <r>
    <n v="3000005577"/>
    <d v="2026-08-31T00:00:00"/>
    <n v="11817540"/>
    <s v="CEMEVA SAS YERBA BUENA 14"/>
    <x v="2444"/>
    <n v="11817540"/>
    <x v="294"/>
    <x v="0"/>
    <s v="no pagado"/>
    <s v="en periodo de pago"/>
    <x v="2"/>
  </r>
  <r>
    <n v="3000005579"/>
    <d v="2026-08-31T00:00:00"/>
    <n v="15450713.76"/>
    <s v="CAPETTA ANTONELLA ANAHI SAN MIGUEL DE TUCUMAN 14"/>
    <x v="2445"/>
    <n v="15450713.76"/>
    <x v="294"/>
    <x v="0"/>
    <s v="no pagado"/>
    <s v="en periodo de pago"/>
    <x v="2"/>
  </r>
  <r>
    <n v="3000005581"/>
    <d v="2026-08-31T00:00:00"/>
    <n v="11365560"/>
    <s v="RL SOLUCIONES S. A. S. SAN MIGUEL DE TUCUMAN 14"/>
    <x v="2446"/>
    <n v="11365560"/>
    <x v="294"/>
    <x v="0"/>
    <s v="no pagado"/>
    <s v="en periodo de pago"/>
    <x v="2"/>
  </r>
  <r>
    <n v="3000005583"/>
    <d v="2026-08-31T00:00:00"/>
    <n v="39228520.280000001"/>
    <s v="Martinez Zuccardi Emma CeciliaSAN MIGUEL DE TUCUMAN 14"/>
    <x v="2447"/>
    <n v="39228520.280000001"/>
    <x v="300"/>
    <x v="0"/>
    <s v="pagado"/>
    <s v="pagado"/>
    <x v="0"/>
  </r>
  <r>
    <n v="3000005584"/>
    <d v="2026-08-31T00:00:00"/>
    <n v="7359300"/>
    <s v="GEOTECNOLOGIA S.R.L SAN MIGUEL DE TUCUMAN 14"/>
    <x v="2448"/>
    <n v="7359300"/>
    <x v="294"/>
    <x v="0"/>
    <s v="no pagado"/>
    <s v="en periodo de pago"/>
    <x v="2"/>
  </r>
  <r>
    <n v="3000005585"/>
    <d v="2026-08-31T00:00:00"/>
    <n v="12576900.01"/>
    <s v="TRANSPORTE FRIOS DEL NORTE S.RSAN MIGUEL DE TUCUMAN 14"/>
    <x v="2449"/>
    <n v="12576900.01"/>
    <x v="294"/>
    <x v="0"/>
    <s v="no pagado"/>
    <s v="en periodo de pago"/>
    <x v="2"/>
  </r>
  <r>
    <n v="3000005572"/>
    <d v="2026-09-01T00:00:00"/>
    <n v="6801576.04"/>
    <s v="CARRASCO JUAN CARLOS BANDA DEL RIO SALI 14"/>
    <x v="2450"/>
    <n v="6801576.04"/>
    <x v="294"/>
    <x v="0"/>
    <s v="no pagado"/>
    <s v="en periodo de pago"/>
    <x v="2"/>
  </r>
  <r>
    <n v="3000005637"/>
    <d v="2026-09-02T00:00:00"/>
    <n v="1713032.21"/>
    <s v="Fondo Fijo Administracion CitrNO TIENE"/>
    <x v="2451"/>
    <n v="1713032.21"/>
    <x v="301"/>
    <x v="0"/>
    <s v="pagado"/>
    <s v="pagado"/>
    <x v="0"/>
  </r>
  <r>
    <n v="3000005638"/>
    <d v="2026-09-02T00:00:00"/>
    <n v="38917367.920000002"/>
    <s v="Rutas Servicios Integrales SRLCapital Federal 00"/>
    <x v="2452"/>
    <n v="38917367.920000002"/>
    <x v="274"/>
    <x v="0"/>
    <s v="no pagado"/>
    <s v="en periodo de pago"/>
    <x v="1"/>
  </r>
  <r>
    <n v="3000005639"/>
    <d v="2026-09-02T00:00:00"/>
    <n v="5935943.4000000004"/>
    <s v="ALDO A. MILITELLO GRUAS Y TRANMaipu 07"/>
    <x v="2453"/>
    <n v="5935943.4000000004"/>
    <x v="274"/>
    <x v="0"/>
    <s v="no pagado"/>
    <s v="en periodo de pago"/>
    <x v="1"/>
  </r>
  <r>
    <n v="3000005640"/>
    <d v="2026-09-02T00:00:00"/>
    <n v="5305667.92"/>
    <s v="FLETES Y SERVICIOS PUJATO S.A PUJATO 12"/>
    <x v="2454"/>
    <n v="5305667.92"/>
    <x v="274"/>
    <x v="0"/>
    <s v="no pagado"/>
    <s v="en periodo de pago"/>
    <x v="1"/>
  </r>
  <r>
    <n v="3000005641"/>
    <d v="2026-09-02T00:00:00"/>
    <n v="11555762.869999999"/>
    <s v="CAPETTA ANTONELLA ANAHI SAN MIGUEL DE TUCUMAN 14"/>
    <x v="2455"/>
    <n v="11555762.869999999"/>
    <x v="274"/>
    <x v="0"/>
    <s v="no pagado"/>
    <s v="en periodo de pago"/>
    <x v="1"/>
  </r>
  <r>
    <n v="3000005642"/>
    <d v="2026-09-02T00:00:00"/>
    <n v="16859867.920000002"/>
    <s v="RL SOLUCIONES S. A. S. SAN MIGUEL DE TUCUMAN 14"/>
    <x v="2456"/>
    <n v="16859867.920000002"/>
    <x v="274"/>
    <x v="0"/>
    <s v="no pagado"/>
    <s v="en periodo de pago"/>
    <x v="1"/>
  </r>
  <r>
    <n v="3000005643"/>
    <d v="2026-09-02T00:00:00"/>
    <n v="17393857.059999999"/>
    <s v="JACQUET NORBERTO SALVADOR SAN JOSE 05"/>
    <x v="2457"/>
    <n v="17393857.059999999"/>
    <x v="274"/>
    <x v="0"/>
    <s v="no pagado"/>
    <s v="en periodo de pago"/>
    <x v="1"/>
  </r>
  <r>
    <m/>
    <m/>
    <m/>
    <m/>
    <x v="2458"/>
    <m/>
    <x v="302"/>
    <x v="0"/>
    <s v="no pagado"/>
    <s v="fuera de fecha"/>
    <x v="0"/>
  </r>
  <r>
    <m/>
    <m/>
    <m/>
    <m/>
    <x v="2458"/>
    <m/>
    <x v="302"/>
    <x v="3"/>
    <s v="no pagado"/>
    <s v="fuera de fecha"/>
    <x v="0"/>
  </r>
  <r>
    <m/>
    <m/>
    <m/>
    <m/>
    <x v="2458"/>
    <m/>
    <x v="302"/>
    <x v="3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1000000}" name="TablaDinámica5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Q12:T21" firstHeaderRow="1" firstDataRow="2" firstDataCol="2" rowPageCount="1" colPageCount="1"/>
  <pivotFields count="13">
    <pivotField showAll="0"/>
    <pivotField showAll="0"/>
    <pivotField showAll="0"/>
    <pivotField showAll="0"/>
    <pivotField axis="axisRow" outline="0" showAll="0" defaultSubtotal="0">
      <items count="8000">
        <item m="1" x="4590"/>
        <item m="1" x="4591"/>
        <item m="1" x="4618"/>
        <item m="1" x="4619"/>
        <item m="1" x="4620"/>
        <item m="1" x="4621"/>
        <item m="1" x="4622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732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44"/>
        <item m="1" x="4845"/>
        <item m="1" x="4846"/>
        <item m="1" x="4847"/>
        <item m="1" x="4848"/>
        <item m="1" x="4849"/>
        <item m="1" x="4850"/>
        <item m="1" x="4851"/>
        <item m="1" x="4867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5009"/>
        <item m="1" x="5010"/>
        <item m="1" x="5011"/>
        <item m="1" x="5012"/>
        <item m="1" x="5013"/>
        <item m="1" x="5014"/>
        <item m="1" x="5015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129"/>
        <item m="1" x="5130"/>
        <item m="1" x="5131"/>
        <item m="1" x="5132"/>
        <item m="1" x="5133"/>
        <item m="1" x="5134"/>
        <item m="1" x="5135"/>
        <item m="1" x="5152"/>
        <item m="1" x="5153"/>
        <item m="1" x="5154"/>
        <item m="1" x="5155"/>
        <item m="1" x="5167"/>
        <item m="1" x="5168"/>
        <item m="1" x="5169"/>
        <item m="1" x="5170"/>
        <item m="1" x="5171"/>
        <item m="1" x="5173"/>
        <item m="1" x="5176"/>
        <item m="1" x="5172"/>
        <item m="1" x="5225"/>
        <item m="1" x="5222"/>
        <item m="1" x="5223"/>
        <item m="1" x="5224"/>
        <item m="1" x="5227"/>
        <item m="1" x="5228"/>
        <item m="1" x="5226"/>
        <item m="1" x="5229"/>
        <item m="1" x="5230"/>
        <item m="1" x="5231"/>
        <item m="1" x="5232"/>
        <item m="1" x="5233"/>
        <item m="1" x="5247"/>
        <item m="1" x="5248"/>
        <item m="1" x="5234"/>
        <item m="1" x="5249"/>
        <item m="1" x="5250"/>
        <item m="1" x="5251"/>
        <item m="1" x="5252"/>
        <item m="1" x="5253"/>
        <item m="1" x="5254"/>
        <item m="1" x="5255"/>
        <item m="1" x="5259"/>
        <item m="1" x="5260"/>
        <item m="1" x="5262"/>
        <item m="1" x="5263"/>
        <item m="1" x="5264"/>
        <item m="1" x="5265"/>
        <item m="1" x="5269"/>
        <item m="1" x="5267"/>
        <item m="1" x="5268"/>
        <item m="1" x="5266"/>
        <item m="1" x="5270"/>
        <item m="1" x="5271"/>
        <item m="1" x="5272"/>
        <item m="1" x="5273"/>
        <item m="1" x="5261"/>
        <item m="1" x="5274"/>
        <item m="1" x="5275"/>
        <item m="1" x="5258"/>
        <item m="1" x="5257"/>
        <item m="1" x="5256"/>
        <item m="1" x="5276"/>
        <item m="1" x="5311"/>
        <item m="1" x="5312"/>
        <item m="1" x="5277"/>
        <item m="1" x="5313"/>
        <item m="1" x="5317"/>
        <item m="1" x="5315"/>
        <item m="1" x="5316"/>
        <item m="1" x="5318"/>
        <item m="1" x="5314"/>
        <item m="1" x="5319"/>
        <item m="1" x="5320"/>
        <item m="1" x="5321"/>
        <item m="1" x="5322"/>
        <item m="1" x="5326"/>
        <item m="1" x="5327"/>
        <item m="1" x="5328"/>
        <item m="1" x="5329"/>
        <item m="1" x="5333"/>
        <item m="1" x="5332"/>
        <item m="1" x="5331"/>
        <item m="1" x="5330"/>
        <item m="1" x="5335"/>
        <item m="1" x="5334"/>
        <item m="1" x="5336"/>
        <item m="1" x="5337"/>
        <item m="1" x="5338"/>
        <item m="1" x="5372"/>
        <item m="1" x="5373"/>
        <item m="1" x="5374"/>
        <item m="1" x="5370"/>
        <item m="1" x="5371"/>
        <item m="1" x="5368"/>
        <item m="1" x="5369"/>
        <item m="1" x="5375"/>
        <item m="1" x="5376"/>
        <item m="1" x="5377"/>
        <item m="1" x="5378"/>
        <item m="1" x="5379"/>
        <item m="1" x="5380"/>
        <item m="1" x="5381"/>
        <item m="1" x="5382"/>
        <item m="1" x="5385"/>
        <item m="1" x="5383"/>
        <item m="1" x="5384"/>
        <item m="1" x="5386"/>
        <item m="1" x="5388"/>
        <item m="1" x="5387"/>
        <item m="1" x="5392"/>
        <item m="1" x="5393"/>
        <item m="1" x="5394"/>
        <item m="1" x="5389"/>
        <item m="1" x="5390"/>
        <item m="1" x="5391"/>
        <item m="1" x="5395"/>
        <item m="1" x="5396"/>
        <item m="1" x="5441"/>
        <item m="1" x="5442"/>
        <item m="1" x="5446"/>
        <item m="1" x="5444"/>
        <item m="1" x="5445"/>
        <item m="1" x="5449"/>
        <item m="1" x="5443"/>
        <item m="1" x="5451"/>
        <item m="1" x="5450"/>
        <item m="1" x="5447"/>
        <item m="1" x="5448"/>
        <item m="1" x="5452"/>
        <item m="1" x="5453"/>
        <item m="1" x="5454"/>
        <item m="1" x="5455"/>
        <item m="1" x="5464"/>
        <item m="1" x="5463"/>
        <item m="1" x="5462"/>
        <item m="1" x="5461"/>
        <item m="1" x="5512"/>
        <item m="1" x="5456"/>
        <item m="1" x="5457"/>
        <item m="1" x="5458"/>
        <item m="1" x="5460"/>
        <item m="1" x="5465"/>
        <item m="1" x="5510"/>
        <item m="1" x="5513"/>
        <item m="1" x="5459"/>
        <item m="1" x="5511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51"/>
        <item m="1" x="5558"/>
        <item m="1" x="5559"/>
        <item m="1" x="5545"/>
        <item m="1" x="5546"/>
        <item m="1" x="5547"/>
        <item m="1" x="5548"/>
        <item m="1" x="5549"/>
        <item m="1" x="5556"/>
        <item m="1" x="5557"/>
        <item m="1" x="5552"/>
        <item m="1" x="5554"/>
        <item m="1" x="5550"/>
        <item m="1" x="5555"/>
        <item m="1" x="5553"/>
        <item m="1" x="5563"/>
        <item m="1" x="5565"/>
        <item m="1" x="5564"/>
        <item m="1" x="5561"/>
        <item m="1" x="5562"/>
        <item m="1" x="5560"/>
        <item m="1" x="5566"/>
        <item m="1" x="5576"/>
        <item m="1" x="5575"/>
        <item m="1" x="5577"/>
        <item m="1" x="5578"/>
        <item m="1" x="5567"/>
        <item m="1" x="5568"/>
        <item m="1" x="5569"/>
        <item m="1" x="5570"/>
        <item m="1" x="5571"/>
        <item m="1" x="5572"/>
        <item m="1" x="5573"/>
        <item m="1" x="5574"/>
        <item m="1" x="5579"/>
        <item m="1" x="5606"/>
        <item m="1" x="5607"/>
        <item m="1" x="5608"/>
        <item m="1" x="5609"/>
        <item m="1" x="5614"/>
        <item m="1" x="5615"/>
        <item m="1" x="5616"/>
        <item m="1" x="5617"/>
        <item m="1" x="5618"/>
        <item m="1" x="5620"/>
        <item m="1" x="5619"/>
        <item m="1" x="5613"/>
        <item m="1" x="5610"/>
        <item m="1" x="5611"/>
        <item m="1" x="5612"/>
        <item m="1" x="5621"/>
        <item m="1" x="5630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4"/>
        <item m="1" x="5653"/>
        <item m="1" x="5655"/>
        <item m="1" x="5656"/>
        <item m="1" x="5657"/>
        <item m="1" x="5658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82"/>
        <item m="1" x="5683"/>
        <item m="1" x="5684"/>
        <item m="1" x="5685"/>
        <item m="1" x="5686"/>
        <item m="1" x="5687"/>
        <item m="1" x="5695"/>
        <item m="1" x="5696"/>
        <item m="1" x="5697"/>
        <item m="1" x="5698"/>
        <item m="1" x="5699"/>
        <item m="1" x="5700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40"/>
        <item m="1" x="5741"/>
        <item m="1" x="5742"/>
        <item m="1" x="5743"/>
        <item m="1" x="5744"/>
        <item m="1" x="5738"/>
        <item m="1" x="5739"/>
        <item m="1" x="5745"/>
        <item m="1" x="5746"/>
        <item m="1" x="5759"/>
        <item m="1" x="5760"/>
        <item m="1" x="5761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90"/>
        <item m="1" x="5791"/>
        <item m="1" x="5796"/>
        <item m="1" x="5797"/>
        <item m="1" x="5798"/>
        <item m="1" x="5799"/>
        <item m="1" x="5800"/>
        <item m="1" x="5801"/>
        <item m="1" x="5802"/>
        <item m="1" x="5803"/>
        <item m="1" x="5879"/>
        <item m="1" x="5880"/>
        <item m="1" x="5881"/>
        <item m="1" x="5882"/>
        <item m="1" x="5883"/>
        <item m="1" x="5887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6001"/>
        <item m="1" x="6002"/>
        <item m="1" x="6003"/>
        <item m="1" x="6004"/>
        <item m="1" x="6005"/>
        <item m="1" x="6006"/>
        <item m="1" x="6007"/>
        <item m="1" x="6024"/>
        <item m="1" x="6025"/>
        <item m="1" x="6026"/>
        <item m="1" x="6027"/>
        <item m="1" x="6028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7"/>
        <item m="1" x="6298"/>
        <item m="1" x="6299"/>
        <item m="1" x="6301"/>
        <item m="1" x="6303"/>
        <item m="1" x="6300"/>
        <item m="1" x="6302"/>
        <item m="1" x="6304"/>
        <item m="1" x="6305"/>
        <item m="1" x="6306"/>
        <item m="1" x="6307"/>
        <item m="1" x="6308"/>
        <item m="1" x="6309"/>
        <item m="1" x="6310"/>
        <item m="1" x="6311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577"/>
        <item m="1" x="6627"/>
        <item m="1" x="6628"/>
        <item m="1" x="6629"/>
        <item m="1" x="6630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9"/>
        <item m="1" x="6680"/>
        <item m="1" x="6681"/>
        <item m="1" x="6682"/>
        <item m="1" x="6683"/>
        <item m="1" x="6684"/>
        <item m="1" x="6673"/>
        <item m="1" x="6674"/>
        <item m="1" x="6675"/>
        <item m="1" x="6676"/>
        <item m="1" x="6677"/>
        <item m="1" x="6678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60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80"/>
        <item m="1" x="6781"/>
        <item m="1" x="6778"/>
        <item m="1" x="6779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901"/>
        <item m="1" x="7117"/>
        <item m="1" x="7118"/>
        <item m="1" x="7119"/>
        <item m="1" x="7120"/>
        <item m="1" x="7121"/>
        <item m="1" x="7122"/>
        <item m="1" x="7123"/>
        <item m="1" x="7124"/>
        <item m="1" x="7128"/>
        <item m="1" x="5792"/>
        <item m="1" x="5793"/>
        <item m="1" x="5794"/>
        <item m="1" x="5804"/>
        <item m="1" x="5805"/>
        <item m="1" x="5806"/>
        <item m="1" x="5807"/>
        <item m="1" x="5808"/>
        <item m="1" x="5809"/>
        <item m="1" x="5810"/>
        <item m="1" x="5811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928"/>
        <item m="1" x="5929"/>
        <item m="1" x="5930"/>
        <item m="1" x="5931"/>
        <item m="1" x="5932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156"/>
        <item m="1" x="6157"/>
        <item m="1" x="6333"/>
        <item m="1" x="6334"/>
        <item m="1" x="6335"/>
        <item m="1" x="6336"/>
        <item m="1" x="6337"/>
        <item m="1" x="6338"/>
        <item m="1" x="6624"/>
        <item m="1" x="6625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7"/>
        <item m="1" x="6917"/>
        <item m="1" x="6918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5"/>
        <item m="1" x="6996"/>
        <item m="1" x="6997"/>
        <item m="1" x="6998"/>
        <item m="1" x="7000"/>
        <item m="1" x="7001"/>
        <item m="1" x="7003"/>
        <item m="1" x="7004"/>
        <item m="1" x="7005"/>
        <item m="1" x="7161"/>
        <item m="1" x="7033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25"/>
        <item m="1" x="7126"/>
        <item m="1" x="7127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6"/>
        <item m="1" x="7157"/>
        <item m="1" x="7158"/>
        <item m="1" x="7159"/>
        <item m="1" x="7160"/>
        <item m="1" x="7162"/>
        <item m="1" x="7163"/>
        <item m="1" x="7164"/>
        <item m="1" x="7167"/>
        <item m="1" x="7168"/>
        <item m="1" x="7169"/>
        <item m="1" x="7170"/>
        <item m="1" x="7171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31"/>
        <item m="1" x="7237"/>
        <item m="1" x="7238"/>
        <item m="1" x="7239"/>
        <item m="1" x="7240"/>
        <item m="1" x="7241"/>
        <item m="1" x="7243"/>
        <item m="1" x="7244"/>
        <item m="1" x="724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3"/>
        <item m="1" x="7294"/>
        <item m="1" x="7295"/>
        <item m="1" x="7301"/>
        <item m="1" x="7302"/>
        <item m="1" x="7303"/>
        <item m="1" x="7304"/>
        <item m="1" x="7305"/>
        <item m="1" x="7306"/>
        <item m="1" x="7307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94"/>
        <item m="1" x="7398"/>
        <item m="1" x="7399"/>
        <item m="1" x="7400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35"/>
        <item m="1" x="7436"/>
        <item m="1" x="7437"/>
        <item m="1" x="7438"/>
        <item m="1" x="7439"/>
        <item m="1" x="7440"/>
        <item m="1" x="7441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607"/>
        <item m="1" x="7608"/>
        <item m="1" x="7609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40"/>
        <item m="1" x="7641"/>
        <item m="1" x="7642"/>
        <item m="1" x="7643"/>
        <item m="1" x="7644"/>
        <item m="1" x="7645"/>
        <item m="1" x="7646"/>
        <item m="1" x="7637"/>
        <item m="1" x="7638"/>
        <item m="1" x="7639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4"/>
        <item m="1" x="7755"/>
        <item m="1" x="7756"/>
        <item m="1" x="7757"/>
        <item m="1" x="7758"/>
        <item m="1" x="7759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3"/>
        <item m="1" x="7904"/>
        <item m="1" x="7905"/>
        <item m="1" x="7906"/>
        <item m="1" x="7907"/>
        <item m="1" x="7908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35"/>
        <item m="1" x="7936"/>
        <item m="1" x="7937"/>
        <item m="1" x="7938"/>
        <item m="1" x="7939"/>
        <item m="1" x="7947"/>
        <item m="1" x="7948"/>
        <item m="1" x="7949"/>
        <item m="1" x="7950"/>
        <item m="1" x="7951"/>
        <item m="1" x="7952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444"/>
        <item m="1" x="7445"/>
        <item m="1" x="7446"/>
        <item m="1" x="3443"/>
        <item m="1" x="3620"/>
        <item m="1" x="3621"/>
        <item m="1" x="3623"/>
        <item m="1" x="3624"/>
        <item m="1" x="3625"/>
        <item m="1" x="3626"/>
        <item m="1" x="3627"/>
        <item m="1" x="3628"/>
        <item m="1" x="3629"/>
        <item m="1" x="3630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6366"/>
        <item m="1" x="6367"/>
        <item m="1" x="6464"/>
        <item m="1" x="6465"/>
        <item m="1" x="6623"/>
        <item m="1" x="6636"/>
        <item m="1" x="690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94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2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23"/>
        <item m="1" x="4624"/>
        <item m="1" x="4625"/>
        <item m="1" x="4657"/>
        <item m="1" x="4658"/>
        <item m="1" x="4659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60"/>
        <item m="1" x="4661"/>
        <item m="1" x="4662"/>
        <item m="1" x="4663"/>
        <item m="1" x="4664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74"/>
        <item m="1" x="5175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23"/>
        <item m="1" x="5324"/>
        <item m="1" x="5325"/>
        <item m="1" x="5339"/>
        <item m="1" x="5340"/>
        <item m="1" x="5341"/>
        <item m="1" x="5342"/>
        <item m="1" x="5343"/>
        <item m="1" x="5344"/>
        <item m="1" x="5345"/>
        <item m="1" x="5346"/>
        <item m="1" x="5417"/>
        <item m="1" x="5418"/>
        <item m="1" x="5431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22"/>
        <item m="1" x="5623"/>
        <item m="1" x="5624"/>
        <item m="1" x="5625"/>
        <item m="1" x="5626"/>
        <item m="1" x="5627"/>
        <item m="1" x="5628"/>
        <item m="1" x="5629"/>
        <item m="1" x="5631"/>
        <item m="1" x="5659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8"/>
        <item m="1" x="5689"/>
        <item m="1" x="5690"/>
        <item m="1" x="5691"/>
        <item m="1" x="5692"/>
        <item m="1" x="5693"/>
        <item m="1" x="5694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73"/>
        <item m="1" x="5774"/>
        <item m="1" x="5775"/>
        <item m="1" x="5776"/>
        <item m="1" x="5789"/>
        <item m="1" x="5795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84"/>
        <item m="1" x="5885"/>
        <item m="1" x="5886"/>
        <item m="1" x="5888"/>
        <item m="1" x="5889"/>
        <item m="1" x="5890"/>
        <item m="1" x="5891"/>
        <item m="1" x="5892"/>
        <item m="1" x="5893"/>
        <item m="1" x="5894"/>
        <item m="1" x="5895"/>
        <item m="1" x="5927"/>
        <item m="1" x="5933"/>
        <item m="1" x="5934"/>
        <item m="1" x="5935"/>
        <item m="1" x="5936"/>
        <item m="1" x="5937"/>
        <item m="1" x="5938"/>
        <item m="1" x="5939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97"/>
        <item m="1" x="5998"/>
        <item m="1" x="5999"/>
        <item m="1" x="6000"/>
        <item m="1" x="6056"/>
        <item m="1" x="6057"/>
        <item m="1" x="6058"/>
        <item m="1" x="6059"/>
        <item m="1" x="6091"/>
        <item m="1" x="6092"/>
        <item m="1" x="6093"/>
        <item m="1" x="6094"/>
        <item m="1" x="6095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96"/>
        <item m="1" x="6312"/>
        <item m="1" x="6313"/>
        <item m="1" x="6314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458"/>
        <item m="1" x="6459"/>
        <item m="1" x="6460"/>
        <item m="1" x="6461"/>
        <item m="1" x="6462"/>
        <item m="1" x="6463"/>
        <item m="1" x="6466"/>
        <item m="1" x="6487"/>
        <item m="1" x="6488"/>
        <item m="1" x="6489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626"/>
        <item m="1" x="6631"/>
        <item m="1" x="6632"/>
        <item m="1" x="6633"/>
        <item m="1" x="6634"/>
        <item m="1" x="6635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71"/>
        <item m="1" x="6672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59"/>
        <item m="1" x="6761"/>
        <item m="1" x="6762"/>
        <item m="1" x="6763"/>
        <item m="1" x="6782"/>
        <item m="1" x="6783"/>
        <item m="1" x="6784"/>
        <item m="1" x="6785"/>
        <item m="1" x="6786"/>
        <item m="1" x="678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96"/>
        <item m="1" x="6898"/>
        <item m="1" x="6899"/>
        <item m="1" x="6900"/>
        <item m="1" x="6902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94"/>
        <item m="1" x="6999"/>
        <item m="1" x="7002"/>
        <item m="1" x="7006"/>
        <item m="1" x="7034"/>
        <item m="1" x="7044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129"/>
        <item m="1" x="7155"/>
        <item m="1" x="7165"/>
        <item m="1" x="7166"/>
        <item m="1" x="7172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2"/>
        <item m="1" x="7233"/>
        <item m="1" x="7234"/>
        <item m="1" x="7235"/>
        <item m="1" x="7236"/>
        <item m="1" x="7242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91"/>
        <item m="1" x="7292"/>
        <item m="1" x="7296"/>
        <item m="1" x="7297"/>
        <item m="1" x="7298"/>
        <item m="1" x="7299"/>
        <item m="1" x="7300"/>
        <item m="1" x="7308"/>
        <item m="1" x="7309"/>
        <item m="1" x="7310"/>
        <item m="1" x="732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5"/>
        <item m="1" x="7396"/>
        <item m="1" x="7397"/>
        <item m="1" x="7401"/>
        <item m="1" x="7402"/>
        <item m="1" x="7403"/>
        <item m="1" x="7404"/>
        <item m="1" x="7405"/>
        <item m="1" x="7406"/>
        <item m="1" x="7427"/>
        <item m="1" x="7428"/>
        <item m="1" x="7429"/>
        <item m="1" x="7430"/>
        <item m="1" x="7431"/>
        <item m="1" x="7432"/>
        <item m="1" x="7433"/>
        <item m="1" x="7434"/>
        <item m="1" x="7442"/>
        <item m="1" x="7443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502"/>
        <item m="1" x="7503"/>
        <item m="1" x="7534"/>
        <item m="1" x="7535"/>
        <item m="1" x="7536"/>
        <item m="1" x="7537"/>
        <item m="1" x="753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10"/>
        <item m="1" x="7636"/>
        <item m="1" x="7647"/>
        <item m="1" x="7648"/>
        <item m="1" x="7649"/>
        <item m="1" x="7650"/>
        <item m="1" x="7651"/>
        <item m="1" x="7652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12"/>
        <item m="1" x="7713"/>
        <item m="1" x="7714"/>
        <item m="1" x="7715"/>
        <item m="1" x="7716"/>
        <item m="1" x="7717"/>
        <item m="1" x="7718"/>
        <item m="1" x="7719"/>
        <item m="1" x="7734"/>
        <item m="1" x="7735"/>
        <item m="1" x="7736"/>
        <item m="1" x="7737"/>
        <item m="1" x="7753"/>
        <item m="1" x="7760"/>
        <item m="1" x="7761"/>
        <item m="1" x="7762"/>
        <item m="1" x="7763"/>
        <item m="1" x="7764"/>
        <item m="1" x="7765"/>
        <item m="1" x="7766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23"/>
        <item m="1" x="7824"/>
        <item m="1" x="7825"/>
        <item m="1" x="7826"/>
        <item m="1" x="7827"/>
        <item m="1" x="7828"/>
        <item m="1" x="7829"/>
        <item m="1" x="7830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901"/>
        <item m="1" x="7902"/>
        <item m="1" x="7909"/>
        <item m="1" x="7928"/>
        <item m="1" x="7929"/>
        <item m="1" x="7930"/>
        <item m="1" x="7931"/>
        <item m="1" x="7932"/>
        <item m="1" x="7933"/>
        <item m="1" x="7934"/>
        <item m="1" x="7940"/>
        <item m="1" x="7941"/>
        <item m="1" x="7942"/>
        <item m="1" x="7943"/>
        <item m="1" x="7944"/>
        <item m="1" x="7945"/>
        <item m="1" x="7946"/>
        <item m="1" x="7953"/>
        <item m="1" x="7975"/>
        <item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8"/>
        <item m="1" x="3409"/>
        <item m="1" x="3410"/>
        <item m="1" x="3411"/>
        <item m="1" x="3404"/>
        <item m="1" x="3405"/>
        <item m="1" x="3406"/>
        <item m="1" x="340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</items>
    </pivotField>
    <pivotField dataField="1" showAll="0"/>
    <pivotField axis="axisRow" showAll="0">
      <items count="304">
        <item x="302"/>
        <item x="1"/>
        <item x="18"/>
        <item x="28"/>
        <item x="5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32"/>
        <item x="244"/>
        <item x="223"/>
        <item x="222"/>
        <item x="220"/>
        <item x="221"/>
        <item x="225"/>
        <item x="226"/>
        <item x="230"/>
        <item x="247"/>
        <item x="227"/>
        <item x="228"/>
        <item x="237"/>
        <item x="234"/>
        <item x="238"/>
        <item x="239"/>
        <item x="224"/>
        <item x="229"/>
        <item x="231"/>
        <item x="233"/>
        <item x="235"/>
        <item x="236"/>
        <item x="240"/>
        <item x="241"/>
        <item x="242"/>
        <item x="243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0"/>
        <item x="69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axis="axisCol" showAll="0">
      <items count="16">
        <item n="GALICIA +" x="1"/>
        <item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x="0"/>
        <item x="2"/>
        <item t="default"/>
      </items>
    </pivotField>
    <pivotField showAll="0"/>
    <pivotField showAll="0"/>
    <pivotField multipleItemSelectionAllowed="1" showAll="0"/>
    <pivotField outline="0" showAll="0" insertBlankRow="1"/>
    <pivotField axis="axisPage" multipleItemSelectionAllowed="1" showAll="0" defaultSubtotal="0">
      <items count="3">
        <item x="1"/>
        <item h="1" x="0"/>
        <item h="1" x="2"/>
      </items>
    </pivotField>
  </pivotFields>
  <rowFields count="2">
    <field x="4"/>
    <field x="6"/>
  </rowFields>
  <rowItems count="8">
    <i>
      <x v="7979"/>
      <x v="295"/>
    </i>
    <i>
      <x v="7982"/>
      <x v="302"/>
    </i>
    <i>
      <x v="7984"/>
      <x v="295"/>
    </i>
    <i>
      <x v="7986"/>
      <x v="295"/>
    </i>
    <i>
      <x v="7987"/>
      <x v="295"/>
    </i>
    <i>
      <x v="7988"/>
      <x v="295"/>
    </i>
    <i>
      <x v="7991"/>
      <x v="295"/>
    </i>
    <i t="grand">
      <x/>
    </i>
  </rowItems>
  <colFields count="1">
    <field x="7"/>
  </colFields>
  <colItems count="2">
    <i>
      <x v="13"/>
    </i>
    <i t="grand">
      <x/>
    </i>
  </colItems>
  <pageFields count="1">
    <pageField fld="12" hier="-1"/>
  </pageFields>
  <dataFields count="1">
    <dataField name="Suma de importe" fld="5" baseField="4" baseItem="0" numFmtId="4"/>
  </dataFields>
  <formats count="3">
    <format dxfId="2">
      <pivotArea field="6" type="button" dataOnly="0" labelOnly="1" outline="0" axis="axisRow" fieldPosition="1"/>
    </format>
    <format dxfId="1">
      <pivotArea dataOnly="0" labelOnly="1" grandRow="1" outline="0" fieldPosition="0"/>
    </format>
    <format dxfId="0">
      <pivotArea dataOnly="0" labelOnly="1" fieldPosition="0">
        <references count="2">
          <reference field="4" count="1" selected="0">
            <x v="4578"/>
          </reference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3000000}" name="TablaDinámica3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J12:M30" firstHeaderRow="1" firstDataRow="2" firstDataCol="2" rowPageCount="2" colPageCount="1"/>
  <pivotFields count="12">
    <pivotField showAll="0"/>
    <pivotField showAll="0"/>
    <pivotField showAll="0"/>
    <pivotField showAll="0"/>
    <pivotField axis="axisRow" outline="0" showAll="0" sortType="ascending" defaultSubtotal="0">
      <items count="8000">
        <item m="1" x="4590"/>
        <item m="1" x="4591"/>
        <item m="1" x="4618"/>
        <item m="1" x="4619"/>
        <item m="1" x="4620"/>
        <item m="1" x="4621"/>
        <item m="1" x="4622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732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44"/>
        <item m="1" x="4845"/>
        <item m="1" x="4846"/>
        <item m="1" x="4847"/>
        <item m="1" x="4848"/>
        <item m="1" x="4849"/>
        <item m="1" x="4850"/>
        <item m="1" x="4851"/>
        <item m="1" x="4867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5009"/>
        <item m="1" x="5010"/>
        <item m="1" x="5011"/>
        <item m="1" x="5012"/>
        <item m="1" x="5013"/>
        <item m="1" x="5014"/>
        <item m="1" x="5015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129"/>
        <item m="1" x="5130"/>
        <item m="1" x="5131"/>
        <item m="1" x="5132"/>
        <item m="1" x="5133"/>
        <item m="1" x="5134"/>
        <item m="1" x="5135"/>
        <item m="1" x="5152"/>
        <item m="1" x="5153"/>
        <item m="1" x="5154"/>
        <item m="1" x="5155"/>
        <item m="1" x="5167"/>
        <item m="1" x="5168"/>
        <item m="1" x="5169"/>
        <item m="1" x="5170"/>
        <item m="1" x="5171"/>
        <item m="1" x="5173"/>
        <item m="1" x="5176"/>
        <item m="1" x="5172"/>
        <item m="1" x="5225"/>
        <item m="1" x="5222"/>
        <item m="1" x="5223"/>
        <item m="1" x="5224"/>
        <item m="1" x="5227"/>
        <item m="1" x="5228"/>
        <item m="1" x="5226"/>
        <item m="1" x="5229"/>
        <item m="1" x="5230"/>
        <item m="1" x="5231"/>
        <item m="1" x="5232"/>
        <item m="1" x="5233"/>
        <item m="1" x="5247"/>
        <item m="1" x="5248"/>
        <item m="1" x="5234"/>
        <item m="1" x="5249"/>
        <item m="1" x="5250"/>
        <item m="1" x="5251"/>
        <item m="1" x="5252"/>
        <item m="1" x="5253"/>
        <item m="1" x="5254"/>
        <item m="1" x="5255"/>
        <item m="1" x="5259"/>
        <item m="1" x="5260"/>
        <item m="1" x="5262"/>
        <item m="1" x="5263"/>
        <item m="1" x="5264"/>
        <item m="1" x="5265"/>
        <item m="1" x="5269"/>
        <item m="1" x="5267"/>
        <item m="1" x="5268"/>
        <item m="1" x="5266"/>
        <item m="1" x="5270"/>
        <item m="1" x="5271"/>
        <item m="1" x="5272"/>
        <item m="1" x="5273"/>
        <item m="1" x="5261"/>
        <item m="1" x="5274"/>
        <item m="1" x="5275"/>
        <item m="1" x="5258"/>
        <item m="1" x="5257"/>
        <item m="1" x="5256"/>
        <item m="1" x="5276"/>
        <item m="1" x="5311"/>
        <item m="1" x="5312"/>
        <item m="1" x="5277"/>
        <item m="1" x="5313"/>
        <item m="1" x="5317"/>
        <item m="1" x="5315"/>
        <item m="1" x="5316"/>
        <item m="1" x="5318"/>
        <item m="1" x="5314"/>
        <item m="1" x="5319"/>
        <item m="1" x="5320"/>
        <item m="1" x="5321"/>
        <item m="1" x="5322"/>
        <item m="1" x="5326"/>
        <item m="1" x="5327"/>
        <item m="1" x="5328"/>
        <item m="1" x="5329"/>
        <item m="1" x="5333"/>
        <item m="1" x="5332"/>
        <item m="1" x="5331"/>
        <item m="1" x="5330"/>
        <item m="1" x="5335"/>
        <item m="1" x="5334"/>
        <item m="1" x="5336"/>
        <item m="1" x="5337"/>
        <item m="1" x="5338"/>
        <item m="1" x="5372"/>
        <item m="1" x="5373"/>
        <item m="1" x="5374"/>
        <item m="1" x="5370"/>
        <item m="1" x="5371"/>
        <item m="1" x="5368"/>
        <item m="1" x="5369"/>
        <item m="1" x="5375"/>
        <item m="1" x="5376"/>
        <item m="1" x="5377"/>
        <item m="1" x="5378"/>
        <item m="1" x="5379"/>
        <item m="1" x="5380"/>
        <item m="1" x="5381"/>
        <item m="1" x="5382"/>
        <item m="1" x="5385"/>
        <item m="1" x="5383"/>
        <item m="1" x="5384"/>
        <item m="1" x="5386"/>
        <item m="1" x="5388"/>
        <item m="1" x="5387"/>
        <item m="1" x="5392"/>
        <item m="1" x="5393"/>
        <item m="1" x="5394"/>
        <item m="1" x="5389"/>
        <item m="1" x="5390"/>
        <item m="1" x="5391"/>
        <item m="1" x="5395"/>
        <item m="1" x="5396"/>
        <item m="1" x="5441"/>
        <item m="1" x="5442"/>
        <item m="1" x="5446"/>
        <item m="1" x="5444"/>
        <item m="1" x="5445"/>
        <item m="1" x="5449"/>
        <item m="1" x="5443"/>
        <item m="1" x="5451"/>
        <item m="1" x="5450"/>
        <item m="1" x="5447"/>
        <item m="1" x="5448"/>
        <item m="1" x="5452"/>
        <item m="1" x="5453"/>
        <item m="1" x="5454"/>
        <item m="1" x="5455"/>
        <item m="1" x="5464"/>
        <item m="1" x="5463"/>
        <item m="1" x="5462"/>
        <item m="1" x="5461"/>
        <item m="1" x="5512"/>
        <item m="1" x="5456"/>
        <item m="1" x="5457"/>
        <item m="1" x="5458"/>
        <item m="1" x="5460"/>
        <item m="1" x="5465"/>
        <item m="1" x="5510"/>
        <item m="1" x="5513"/>
        <item m="1" x="5459"/>
        <item m="1" x="5511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51"/>
        <item m="1" x="5558"/>
        <item m="1" x="5559"/>
        <item m="1" x="5545"/>
        <item m="1" x="5546"/>
        <item m="1" x="5547"/>
        <item m="1" x="5548"/>
        <item m="1" x="5549"/>
        <item m="1" x="5556"/>
        <item m="1" x="5557"/>
        <item m="1" x="5552"/>
        <item m="1" x="5554"/>
        <item m="1" x="5550"/>
        <item m="1" x="5555"/>
        <item m="1" x="5553"/>
        <item m="1" x="5563"/>
        <item m="1" x="5565"/>
        <item m="1" x="5564"/>
        <item m="1" x="5561"/>
        <item m="1" x="5562"/>
        <item m="1" x="5560"/>
        <item m="1" x="5566"/>
        <item m="1" x="5576"/>
        <item m="1" x="5575"/>
        <item m="1" x="5577"/>
        <item m="1" x="5578"/>
        <item m="1" x="5567"/>
        <item m="1" x="5568"/>
        <item m="1" x="5569"/>
        <item m="1" x="5570"/>
        <item m="1" x="5571"/>
        <item m="1" x="5572"/>
        <item m="1" x="5573"/>
        <item m="1" x="5574"/>
        <item m="1" x="5579"/>
        <item m="1" x="5606"/>
        <item m="1" x="5607"/>
        <item m="1" x="5608"/>
        <item m="1" x="5609"/>
        <item m="1" x="5614"/>
        <item m="1" x="5615"/>
        <item m="1" x="5616"/>
        <item m="1" x="5617"/>
        <item m="1" x="5618"/>
        <item m="1" x="5620"/>
        <item m="1" x="5619"/>
        <item m="1" x="5613"/>
        <item m="1" x="5610"/>
        <item m="1" x="5611"/>
        <item m="1" x="5612"/>
        <item m="1" x="5621"/>
        <item m="1" x="5630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4"/>
        <item m="1" x="5653"/>
        <item m="1" x="5655"/>
        <item m="1" x="5656"/>
        <item m="1" x="5657"/>
        <item m="1" x="5658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82"/>
        <item m="1" x="5683"/>
        <item m="1" x="5684"/>
        <item m="1" x="5685"/>
        <item m="1" x="5686"/>
        <item m="1" x="5687"/>
        <item m="1" x="5695"/>
        <item m="1" x="5696"/>
        <item m="1" x="5697"/>
        <item m="1" x="5698"/>
        <item m="1" x="5699"/>
        <item m="1" x="5700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40"/>
        <item m="1" x="5741"/>
        <item m="1" x="5742"/>
        <item m="1" x="5743"/>
        <item m="1" x="5744"/>
        <item m="1" x="5738"/>
        <item m="1" x="5739"/>
        <item m="1" x="5745"/>
        <item m="1" x="5746"/>
        <item m="1" x="5759"/>
        <item m="1" x="5760"/>
        <item m="1" x="5761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90"/>
        <item m="1" x="5791"/>
        <item m="1" x="5796"/>
        <item m="1" x="5797"/>
        <item m="1" x="5798"/>
        <item m="1" x="5799"/>
        <item m="1" x="5800"/>
        <item m="1" x="5801"/>
        <item m="1" x="5802"/>
        <item m="1" x="5803"/>
        <item m="1" x="5879"/>
        <item m="1" x="5880"/>
        <item m="1" x="5881"/>
        <item m="1" x="5882"/>
        <item m="1" x="5883"/>
        <item m="1" x="5887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6001"/>
        <item m="1" x="6002"/>
        <item m="1" x="6003"/>
        <item m="1" x="6004"/>
        <item m="1" x="6005"/>
        <item m="1" x="6006"/>
        <item m="1" x="6007"/>
        <item m="1" x="6024"/>
        <item m="1" x="6025"/>
        <item m="1" x="6026"/>
        <item m="1" x="6027"/>
        <item m="1" x="6028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7"/>
        <item m="1" x="6298"/>
        <item m="1" x="6299"/>
        <item m="1" x="6301"/>
        <item m="1" x="6303"/>
        <item m="1" x="6300"/>
        <item m="1" x="6302"/>
        <item m="1" x="6304"/>
        <item m="1" x="6305"/>
        <item m="1" x="6306"/>
        <item m="1" x="6307"/>
        <item m="1" x="6308"/>
        <item m="1" x="6309"/>
        <item m="1" x="6310"/>
        <item m="1" x="6311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577"/>
        <item m="1" x="6627"/>
        <item m="1" x="6628"/>
        <item m="1" x="6629"/>
        <item m="1" x="6630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9"/>
        <item m="1" x="6680"/>
        <item m="1" x="6681"/>
        <item m="1" x="6682"/>
        <item m="1" x="6683"/>
        <item m="1" x="6684"/>
        <item m="1" x="6673"/>
        <item m="1" x="6674"/>
        <item m="1" x="6675"/>
        <item m="1" x="6676"/>
        <item m="1" x="6677"/>
        <item m="1" x="6678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60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80"/>
        <item m="1" x="6781"/>
        <item m="1" x="6778"/>
        <item m="1" x="6779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901"/>
        <item m="1" x="7117"/>
        <item m="1" x="7118"/>
        <item m="1" x="7119"/>
        <item m="1" x="7120"/>
        <item m="1" x="7121"/>
        <item m="1" x="7122"/>
        <item m="1" x="7123"/>
        <item m="1" x="7124"/>
        <item m="1" x="7128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3"/>
        <item x="294"/>
        <item x="295"/>
        <item x="296"/>
        <item x="297"/>
        <item x="298"/>
        <item x="299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41"/>
        <item x="342"/>
        <item x="343"/>
        <item x="344"/>
        <item x="345"/>
        <item x="346"/>
        <item x="347"/>
        <item x="348"/>
        <item x="353"/>
        <item x="354"/>
        <item x="355"/>
        <item x="356"/>
        <item x="357"/>
        <item x="358"/>
        <item x="359"/>
        <item x="360"/>
        <item x="361"/>
        <item x="349"/>
        <item x="350"/>
        <item x="362"/>
        <item x="351"/>
        <item x="352"/>
        <item x="370"/>
        <item x="371"/>
        <item x="372"/>
        <item x="373"/>
        <item x="374"/>
        <item x="363"/>
        <item x="364"/>
        <item x="375"/>
        <item x="376"/>
        <item x="365"/>
        <item x="366"/>
        <item x="367"/>
        <item x="368"/>
        <item x="369"/>
        <item x="377"/>
        <item x="378"/>
        <item x="379"/>
        <item x="380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38"/>
        <item x="439"/>
        <item x="444"/>
        <item x="440"/>
        <item x="441"/>
        <item x="445"/>
        <item x="446"/>
        <item x="442"/>
        <item x="443"/>
        <item x="447"/>
        <item x="448"/>
        <item x="449"/>
        <item x="436"/>
        <item x="437"/>
        <item x="455"/>
        <item x="450"/>
        <item x="451"/>
        <item x="452"/>
        <item x="456"/>
        <item x="457"/>
        <item x="458"/>
        <item x="459"/>
        <item x="453"/>
        <item x="454"/>
        <item x="460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99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4"/>
        <item x="845"/>
        <item x="846"/>
        <item x="847"/>
        <item x="840"/>
        <item x="841"/>
        <item x="842"/>
        <item x="843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31"/>
        <item x="911"/>
        <item x="912"/>
        <item x="913"/>
        <item x="914"/>
        <item x="915"/>
        <item x="916"/>
        <item x="917"/>
        <item x="918"/>
        <item x="919"/>
        <item x="920"/>
        <item x="932"/>
        <item x="933"/>
        <item x="934"/>
        <item x="935"/>
        <item x="936"/>
        <item x="937"/>
        <item x="938"/>
        <item x="921"/>
        <item x="922"/>
        <item x="923"/>
        <item x="924"/>
        <item x="939"/>
        <item x="925"/>
        <item x="926"/>
        <item x="940"/>
        <item x="941"/>
        <item x="942"/>
        <item x="943"/>
        <item x="927"/>
        <item x="928"/>
        <item x="929"/>
        <item x="930"/>
        <item x="958"/>
        <item x="957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84"/>
        <item x="1285"/>
        <item x="1286"/>
        <item x="1287"/>
        <item x="1288"/>
        <item x="1289"/>
        <item x="1290"/>
        <item x="1291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36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94"/>
        <item x="1412"/>
        <item x="1413"/>
        <item x="1414"/>
        <item x="1415"/>
        <item x="1451"/>
        <item x="1452"/>
        <item x="1453"/>
        <item x="1454"/>
        <item x="1455"/>
        <item x="1456"/>
        <item x="145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550"/>
        <item x="1551"/>
        <item x="1552"/>
        <item x="1553"/>
        <item x="1554"/>
        <item x="1555"/>
        <item x="1556"/>
        <item x="1557"/>
        <item x="1546"/>
        <item x="1547"/>
        <item x="1548"/>
        <item x="1549"/>
        <item x="1558"/>
        <item x="1559"/>
        <item x="1560"/>
        <item x="1561"/>
        <item x="1562"/>
        <item x="1563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731"/>
        <item x="1780"/>
        <item x="1805"/>
        <item m="1" x="5792"/>
        <item m="1" x="5793"/>
        <item m="1" x="5794"/>
        <item m="1" x="5804"/>
        <item m="1" x="5805"/>
        <item m="1" x="5806"/>
        <item m="1" x="5807"/>
        <item m="1" x="5808"/>
        <item m="1" x="5809"/>
        <item m="1" x="5810"/>
        <item m="1" x="5811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928"/>
        <item m="1" x="5929"/>
        <item m="1" x="5930"/>
        <item m="1" x="5931"/>
        <item m="1" x="5932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156"/>
        <item m="1" x="6157"/>
        <item m="1" x="6333"/>
        <item m="1" x="6334"/>
        <item m="1" x="6335"/>
        <item m="1" x="6336"/>
        <item m="1" x="6337"/>
        <item m="1" x="6338"/>
        <item m="1" x="6624"/>
        <item m="1" x="6625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7"/>
        <item m="1" x="6917"/>
        <item m="1" x="6918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5"/>
        <item m="1" x="6996"/>
        <item m="1" x="6997"/>
        <item m="1" x="6998"/>
        <item m="1" x="7000"/>
        <item m="1" x="7001"/>
        <item m="1" x="7003"/>
        <item m="1" x="7004"/>
        <item m="1" x="7005"/>
        <item m="1" x="7161"/>
        <item m="1" x="7033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25"/>
        <item m="1" x="7126"/>
        <item m="1" x="7127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6"/>
        <item m="1" x="7157"/>
        <item m="1" x="7158"/>
        <item m="1" x="7159"/>
        <item m="1" x="7160"/>
        <item m="1" x="7162"/>
        <item m="1" x="7163"/>
        <item m="1" x="7164"/>
        <item m="1" x="7167"/>
        <item m="1" x="7168"/>
        <item m="1" x="7169"/>
        <item m="1" x="7170"/>
        <item m="1" x="7171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31"/>
        <item m="1" x="7237"/>
        <item m="1" x="7238"/>
        <item m="1" x="7239"/>
        <item m="1" x="7240"/>
        <item m="1" x="7241"/>
        <item m="1" x="7243"/>
        <item m="1" x="7244"/>
        <item m="1" x="724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3"/>
        <item m="1" x="7294"/>
        <item m="1" x="7295"/>
        <item m="1" x="7301"/>
        <item m="1" x="7302"/>
        <item m="1" x="7303"/>
        <item m="1" x="7304"/>
        <item m="1" x="7305"/>
        <item m="1" x="7306"/>
        <item m="1" x="7307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94"/>
        <item m="1" x="7398"/>
        <item m="1" x="7399"/>
        <item m="1" x="7400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35"/>
        <item m="1" x="7436"/>
        <item m="1" x="7437"/>
        <item m="1" x="7438"/>
        <item m="1" x="7439"/>
        <item m="1" x="7440"/>
        <item m="1" x="7441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607"/>
        <item m="1" x="7608"/>
        <item m="1" x="7609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40"/>
        <item m="1" x="7641"/>
        <item m="1" x="7642"/>
        <item m="1" x="7643"/>
        <item m="1" x="7644"/>
        <item m="1" x="7645"/>
        <item m="1" x="7646"/>
        <item m="1" x="7637"/>
        <item m="1" x="7638"/>
        <item m="1" x="7639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4"/>
        <item m="1" x="7755"/>
        <item m="1" x="7756"/>
        <item m="1" x="7757"/>
        <item m="1" x="7758"/>
        <item m="1" x="7759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3"/>
        <item m="1" x="7904"/>
        <item m="1" x="7905"/>
        <item m="1" x="7906"/>
        <item m="1" x="7907"/>
        <item m="1" x="7908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35"/>
        <item m="1" x="7936"/>
        <item m="1" x="7937"/>
        <item m="1" x="7938"/>
        <item m="1" x="7939"/>
        <item m="1" x="7947"/>
        <item m="1" x="7948"/>
        <item m="1" x="7949"/>
        <item m="1" x="7950"/>
        <item m="1" x="7951"/>
        <item m="1" x="7952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x="5"/>
        <item x="6"/>
        <item x="7"/>
        <item x="18"/>
        <item x="19"/>
        <item x="22"/>
        <item x="23"/>
        <item x="20"/>
        <item x="21"/>
        <item x="24"/>
        <item x="25"/>
        <item x="35"/>
        <item x="36"/>
        <item x="37"/>
        <item x="32"/>
        <item x="33"/>
        <item x="38"/>
        <item x="39"/>
        <item x="40"/>
        <item x="41"/>
        <item x="42"/>
        <item x="43"/>
        <item x="44"/>
        <item x="59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95"/>
        <item x="96"/>
        <item x="97"/>
        <item x="100"/>
        <item x="101"/>
        <item x="102"/>
        <item x="98"/>
        <item x="99"/>
        <item x="103"/>
        <item x="104"/>
        <item x="105"/>
        <item x="106"/>
        <item x="107"/>
        <item x="112"/>
        <item x="113"/>
        <item x="114"/>
        <item x="115"/>
        <item x="116"/>
        <item x="110"/>
        <item x="111"/>
        <item x="133"/>
        <item x="131"/>
        <item x="132"/>
        <item x="254"/>
        <item m="1" x="2465"/>
        <item m="1" x="2459"/>
        <item m="1" x="2460"/>
        <item m="1" x="2461"/>
        <item m="1" x="2462"/>
        <item m="1" x="2463"/>
        <item m="1" x="2464"/>
        <item m="1" x="2474"/>
        <item m="1" x="2475"/>
        <item m="1" x="2476"/>
        <item m="1" x="2477"/>
        <item m="1" x="2478"/>
        <item m="1" x="2479"/>
        <item m="1" x="2480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71"/>
        <item m="1" x="2572"/>
        <item m="1" x="2573"/>
        <item m="1" x="2574"/>
        <item m="1" x="2606"/>
        <item m="1" x="2607"/>
        <item m="1" x="2609"/>
        <item m="1" x="2610"/>
        <item m="1" x="2611"/>
        <item m="1" x="2612"/>
        <item m="1" x="3408"/>
        <item m="1" x="3409"/>
        <item m="1" x="3410"/>
        <item m="1" x="3411"/>
        <item m="1" x="2608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444"/>
        <item m="1" x="7445"/>
        <item m="1" x="7446"/>
        <item m="1" x="3443"/>
        <item m="1" x="3620"/>
        <item m="1" x="3621"/>
        <item m="1" x="3623"/>
        <item m="1" x="3624"/>
        <item m="1" x="3625"/>
        <item m="1" x="3626"/>
        <item m="1" x="3627"/>
        <item m="1" x="3628"/>
        <item m="1" x="3629"/>
        <item m="1" x="3630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6366"/>
        <item m="1" x="6367"/>
        <item m="1" x="6464"/>
        <item m="1" x="6465"/>
        <item m="1" x="6623"/>
        <item m="1" x="6636"/>
        <item m="1" x="6903"/>
        <item x="575"/>
        <item x="576"/>
        <item x="577"/>
        <item x="708"/>
        <item x="699"/>
        <item x="700"/>
        <item x="701"/>
        <item x="702"/>
        <item x="703"/>
        <item x="704"/>
        <item x="705"/>
        <item x="706"/>
        <item x="707"/>
        <item x="803"/>
        <item x="804"/>
        <item x="805"/>
        <item x="806"/>
        <item x="807"/>
        <item x="808"/>
        <item x="944"/>
        <item x="1022"/>
        <item x="1023"/>
        <item x="1024"/>
        <item x="1025"/>
        <item x="1026"/>
        <item x="1027"/>
        <item x="1028"/>
        <item x="1029"/>
        <item x="1030"/>
        <item x="1107"/>
        <item x="1108"/>
        <item x="1109"/>
        <item x="1129"/>
        <item x="1130"/>
        <item x="1131"/>
        <item x="1226"/>
        <item x="1227"/>
        <item x="1236"/>
        <item x="1261"/>
        <item x="1273"/>
        <item x="1274"/>
        <item x="1314"/>
        <item x="1315"/>
        <item x="1337"/>
        <item x="1338"/>
        <item x="1339"/>
        <item x="1340"/>
        <item x="1341"/>
        <item x="1411"/>
        <item x="1450"/>
        <item x="1458"/>
        <item x="1459"/>
        <item x="1460"/>
        <item x="1518"/>
        <item x="1519"/>
        <item x="1520"/>
        <item x="1521"/>
        <item x="1522"/>
        <item x="1523"/>
        <item x="1524"/>
        <item x="1525"/>
        <item x="1564"/>
        <item x="1565"/>
        <item x="1630"/>
        <item x="1650"/>
        <item x="1686"/>
        <item x="1755"/>
        <item x="1756"/>
        <item x="1757"/>
        <item x="1758"/>
        <item x="1759"/>
        <item m="1" x="2512"/>
        <item m="1" x="2513"/>
        <item m="1" x="2514"/>
        <item m="1" x="2515"/>
        <item m="1" x="2813"/>
        <item m="1" x="2831"/>
        <item m="1" x="2895"/>
        <item m="1" x="3008"/>
        <item m="1" x="3032"/>
        <item m="1" x="3075"/>
        <item m="1" x="3091"/>
        <item m="1" x="3092"/>
        <item m="1" x="3113"/>
        <item m="1" x="3150"/>
        <item x="1807"/>
        <item x="1823"/>
        <item x="1824"/>
        <item x="1876"/>
        <item x="1880"/>
        <item x="1881"/>
        <item x="1882"/>
        <item x="1883"/>
        <item x="1884"/>
        <item x="1901"/>
        <item x="1904"/>
        <item x="1927"/>
        <item x="1929"/>
        <item x="1930"/>
        <item x="1980"/>
        <item x="1981"/>
        <item x="2005"/>
        <item x="2006"/>
        <item x="2037"/>
        <item x="2063"/>
        <item x="2064"/>
        <item x="2065"/>
        <item x="2066"/>
        <item x="2067"/>
        <item x="2068"/>
        <item x="2098"/>
        <item x="2099"/>
        <item x="2100"/>
        <item x="2129"/>
        <item x="2144"/>
        <item x="2145"/>
        <item x="2154"/>
        <item x="2178"/>
        <item x="2196"/>
        <item x="2214"/>
        <item x="2215"/>
        <item x="2233"/>
        <item x="2234"/>
        <item x="2235"/>
        <item x="2260"/>
        <item x="2287"/>
        <item x="2302"/>
        <item x="2352"/>
        <item x="2353"/>
        <item x="2317"/>
        <item x="2318"/>
        <item x="2319"/>
        <item x="2320"/>
        <item x="2321"/>
        <item x="2322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94"/>
        <item x="2368"/>
        <item x="2408"/>
        <item x="2451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8"/>
        <item m="1" x="3067"/>
        <item m="1" x="3069"/>
        <item m="1" x="3070"/>
        <item m="1" x="3071"/>
        <item m="1" x="3072"/>
        <item m="1" x="3073"/>
        <item m="1" x="3074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400"/>
        <item m="1" x="3401"/>
        <item m="1" x="3402"/>
        <item m="1" x="3403"/>
        <item m="1" x="3404"/>
        <item m="1" x="3405"/>
        <item m="1" x="3406"/>
        <item m="1" x="3407"/>
        <item m="1" x="3198"/>
        <item m="1" x="3288"/>
        <item m="1" x="3331"/>
        <item m="1" x="3398"/>
        <item m="1" x="3289"/>
        <item m="1" x="3399"/>
        <item x="0"/>
        <item x="1"/>
        <item x="2"/>
        <item x="3"/>
        <item x="4"/>
        <item x="10"/>
        <item x="8"/>
        <item x="9"/>
        <item x="48"/>
        <item x="49"/>
        <item x="50"/>
        <item x="51"/>
        <item x="52"/>
        <item x="53"/>
        <item x="54"/>
        <item x="55"/>
        <item x="56"/>
        <item x="67"/>
        <item x="68"/>
        <item x="61"/>
        <item x="62"/>
        <item x="69"/>
        <item x="63"/>
        <item x="64"/>
        <item x="70"/>
        <item x="71"/>
        <item x="65"/>
        <item x="66"/>
        <item x="72"/>
        <item x="119"/>
        <item x="120"/>
        <item x="121"/>
        <item x="122"/>
        <item x="123"/>
        <item x="117"/>
        <item x="118"/>
        <item x="124"/>
        <item x="125"/>
        <item x="126"/>
        <item x="127"/>
        <item x="128"/>
        <item x="129"/>
        <item x="130"/>
        <item x="136"/>
        <item x="137"/>
        <item x="138"/>
        <item x="134"/>
        <item x="135"/>
        <item x="139"/>
        <item x="140"/>
        <item x="141"/>
        <item x="142"/>
        <item x="143"/>
        <item x="144"/>
        <item x="145"/>
        <item x="146"/>
        <item x="147"/>
        <item x="152"/>
        <item x="148"/>
        <item x="149"/>
        <item x="150"/>
        <item x="151"/>
        <item x="153"/>
        <item x="154"/>
        <item x="155"/>
        <item x="167"/>
        <item x="159"/>
        <item x="160"/>
        <item x="161"/>
        <item x="162"/>
        <item x="163"/>
        <item x="164"/>
        <item x="168"/>
        <item x="169"/>
        <item x="170"/>
        <item x="171"/>
        <item x="172"/>
        <item x="173"/>
        <item x="174"/>
        <item x="175"/>
        <item x="165"/>
        <item x="166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207"/>
        <item x="208"/>
        <item x="193"/>
        <item x="194"/>
        <item x="195"/>
        <item x="196"/>
        <item x="209"/>
        <item x="197"/>
        <item x="198"/>
        <item x="199"/>
        <item x="200"/>
        <item x="210"/>
        <item x="211"/>
        <item x="212"/>
        <item x="201"/>
        <item x="202"/>
        <item x="213"/>
        <item x="214"/>
        <item x="215"/>
        <item x="216"/>
        <item x="203"/>
        <item x="204"/>
        <item x="205"/>
        <item x="206"/>
        <item x="217"/>
        <item x="227"/>
        <item x="228"/>
        <item x="245"/>
        <item x="229"/>
        <item x="230"/>
        <item x="231"/>
        <item x="232"/>
        <item x="246"/>
        <item x="233"/>
        <item x="234"/>
        <item x="235"/>
        <item x="236"/>
        <item x="237"/>
        <item x="238"/>
        <item x="239"/>
        <item x="240"/>
        <item x="247"/>
        <item x="248"/>
        <item x="241"/>
        <item x="242"/>
        <item x="243"/>
        <item x="244"/>
        <item x="251"/>
        <item x="253"/>
        <item x="252"/>
        <item x="258"/>
        <item x="259"/>
        <item x="260"/>
        <item x="261"/>
        <item x="262"/>
        <item x="263"/>
        <item x="256"/>
        <item x="25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01"/>
        <item x="302"/>
        <item x="318"/>
        <item x="303"/>
        <item x="304"/>
        <item x="331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1031"/>
        <item x="1032"/>
        <item x="1033"/>
        <item x="1046"/>
        <item x="1034"/>
        <item x="1035"/>
        <item x="1036"/>
        <item x="1037"/>
        <item x="1038"/>
        <item x="1039"/>
        <item x="1047"/>
        <item x="1048"/>
        <item x="1049"/>
        <item x="1050"/>
        <item x="1051"/>
        <item x="1052"/>
        <item x="1053"/>
        <item x="1054"/>
        <item x="1040"/>
        <item x="1041"/>
        <item x="1042"/>
        <item x="1043"/>
        <item x="1055"/>
        <item x="1044"/>
        <item x="104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228"/>
        <item x="1229"/>
        <item x="1230"/>
        <item x="1231"/>
        <item x="1232"/>
        <item x="1233"/>
        <item x="1234"/>
        <item x="1235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5"/>
        <item x="1276"/>
        <item x="1277"/>
        <item x="1278"/>
        <item x="1279"/>
        <item x="1280"/>
        <item x="1281"/>
        <item x="1282"/>
        <item x="1283"/>
        <item x="1292"/>
        <item x="1293"/>
        <item x="1294"/>
        <item x="1295"/>
        <item x="1296"/>
        <item x="1297"/>
        <item x="1298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82"/>
        <item x="1383"/>
        <item x="1380"/>
        <item x="1381"/>
        <item x="1384"/>
        <item x="1385"/>
        <item x="1386"/>
        <item x="1387"/>
        <item x="1388"/>
        <item x="1389"/>
        <item x="1390"/>
        <item x="1391"/>
        <item x="1392"/>
        <item x="1393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61"/>
        <item x="1462"/>
        <item x="1463"/>
        <item x="1464"/>
        <item x="1465"/>
        <item x="1466"/>
        <item x="1467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11"/>
        <item x="1612"/>
        <item x="1613"/>
        <item x="1605"/>
        <item x="1606"/>
        <item x="1607"/>
        <item x="1608"/>
        <item x="1609"/>
        <item x="1610"/>
        <item x="1614"/>
        <item x="1615"/>
        <item x="1616"/>
        <item x="1617"/>
        <item x="1618"/>
        <item x="1619"/>
        <item x="1620"/>
        <item x="1621"/>
        <item x="1622"/>
        <item x="1623"/>
        <item x="1631"/>
        <item x="1632"/>
        <item x="1633"/>
        <item x="1634"/>
        <item x="1635"/>
        <item x="1636"/>
        <item x="1637"/>
        <item x="1638"/>
        <item x="1639"/>
        <item x="1640"/>
        <item x="1624"/>
        <item x="1625"/>
        <item x="1626"/>
        <item x="1627"/>
        <item x="1628"/>
        <item x="1629"/>
        <item x="1646"/>
        <item x="1644"/>
        <item x="1645"/>
        <item x="1647"/>
        <item x="1648"/>
        <item x="1649"/>
        <item x="1641"/>
        <item x="1642"/>
        <item x="1643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80"/>
        <item x="1681"/>
        <item x="1682"/>
        <item x="1683"/>
        <item x="1684"/>
        <item x="1685"/>
        <item x="1670"/>
        <item x="1671"/>
        <item x="1672"/>
        <item x="1673"/>
        <item x="1674"/>
        <item x="1675"/>
        <item x="1676"/>
        <item x="1677"/>
        <item x="1678"/>
        <item x="1679"/>
        <item x="1701"/>
        <item x="1702"/>
        <item x="1687"/>
        <item x="1688"/>
        <item x="1703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2"/>
        <item x="1733"/>
        <item x="1734"/>
        <item x="1735"/>
        <item x="1736"/>
        <item x="1737"/>
        <item x="1738"/>
        <item x="1739"/>
        <item x="1740"/>
        <item x="1741"/>
        <item x="1746"/>
        <item x="1747"/>
        <item x="1742"/>
        <item x="1743"/>
        <item x="1748"/>
        <item x="1744"/>
        <item x="1745"/>
        <item x="1749"/>
        <item x="1750"/>
        <item x="1751"/>
        <item x="1752"/>
        <item x="1753"/>
        <item x="1754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6"/>
        <item x="1787"/>
        <item x="1790"/>
        <item x="1791"/>
        <item x="1792"/>
        <item x="1793"/>
        <item x="1788"/>
        <item x="1789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6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5"/>
        <item x="1877"/>
        <item x="1878"/>
        <item x="1879"/>
        <item x="1885"/>
        <item x="1886"/>
        <item x="1887"/>
        <item x="1888"/>
        <item x="1889"/>
        <item x="1890"/>
        <item x="1891"/>
        <item x="1892"/>
        <item x="1900"/>
        <item x="1893"/>
        <item x="1894"/>
        <item x="1895"/>
        <item x="1896"/>
        <item x="1897"/>
        <item x="1898"/>
        <item x="1899"/>
        <item x="1902"/>
        <item x="1903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48"/>
        <item x="1949"/>
        <item x="1971"/>
        <item x="1972"/>
        <item x="1973"/>
        <item x="1974"/>
        <item x="1975"/>
        <item x="1976"/>
        <item x="1977"/>
        <item x="1978"/>
        <item x="1979"/>
        <item x="1950"/>
        <item x="1951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7"/>
        <item x="1998"/>
        <item x="1999"/>
        <item x="2000"/>
        <item x="2001"/>
        <item x="2002"/>
        <item x="2003"/>
        <item x="2004"/>
        <item x="1995"/>
        <item x="1996"/>
        <item x="2035"/>
        <item x="203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8"/>
        <item x="2039"/>
        <item x="2040"/>
        <item x="2041"/>
        <item x="2042"/>
        <item x="2043"/>
        <item x="2046"/>
        <item x="2047"/>
        <item x="2048"/>
        <item x="2049"/>
        <item x="2044"/>
        <item x="2045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6"/>
        <item x="2087"/>
        <item x="2088"/>
        <item x="2084"/>
        <item x="2085"/>
        <item x="2089"/>
        <item x="2090"/>
        <item x="2091"/>
        <item x="2092"/>
        <item x="2093"/>
        <item x="2094"/>
        <item x="2095"/>
        <item x="2096"/>
        <item x="2097"/>
        <item x="2101"/>
        <item x="2102"/>
        <item x="2107"/>
        <item x="2108"/>
        <item x="2109"/>
        <item x="2103"/>
        <item x="2104"/>
        <item x="2105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30"/>
        <item x="2131"/>
        <item x="2132"/>
        <item x="2133"/>
        <item x="2141"/>
        <item x="2134"/>
        <item x="2135"/>
        <item x="2136"/>
        <item x="2137"/>
        <item x="2138"/>
        <item x="2139"/>
        <item x="2140"/>
        <item x="2142"/>
        <item x="2143"/>
        <item x="2146"/>
        <item x="2147"/>
        <item x="2148"/>
        <item x="2149"/>
        <item x="2150"/>
        <item x="2151"/>
        <item x="2152"/>
        <item x="2153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2"/>
        <item x="2173"/>
        <item x="2174"/>
        <item x="2175"/>
        <item x="2176"/>
        <item x="2177"/>
        <item x="2170"/>
        <item x="2171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200"/>
        <item x="2201"/>
        <item x="2202"/>
        <item x="2203"/>
        <item x="2197"/>
        <item x="2198"/>
        <item x="2199"/>
        <item x="2204"/>
        <item x="2205"/>
        <item x="2206"/>
        <item x="2207"/>
        <item x="2208"/>
        <item x="2209"/>
        <item x="2210"/>
        <item x="2211"/>
        <item x="2212"/>
        <item x="2213"/>
        <item x="2218"/>
        <item x="2216"/>
        <item x="2217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3"/>
        <item x="2304"/>
        <item x="2305"/>
        <item x="2306"/>
        <item x="2307"/>
        <item x="2308"/>
        <item x="2309"/>
        <item x="2310"/>
        <item x="2311"/>
        <item x="2312"/>
        <item x="2323"/>
        <item x="2324"/>
        <item x="2325"/>
        <item x="2326"/>
        <item x="2327"/>
        <item x="2328"/>
        <item x="2313"/>
        <item x="2314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15"/>
        <item x="2316"/>
        <item x="2351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2"/>
        <item x="2453"/>
        <item x="2454"/>
        <item x="2455"/>
        <item x="2456"/>
        <item x="2457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2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23"/>
        <item m="1" x="4624"/>
        <item m="1" x="4625"/>
        <item m="1" x="4657"/>
        <item m="1" x="4658"/>
        <item m="1" x="4659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60"/>
        <item m="1" x="4661"/>
        <item m="1" x="4662"/>
        <item m="1" x="4663"/>
        <item m="1" x="4664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74"/>
        <item m="1" x="5175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23"/>
        <item m="1" x="5324"/>
        <item m="1" x="5325"/>
        <item m="1" x="5339"/>
        <item m="1" x="5340"/>
        <item m="1" x="5341"/>
        <item m="1" x="5342"/>
        <item m="1" x="5343"/>
        <item m="1" x="5344"/>
        <item m="1" x="5345"/>
        <item m="1" x="5346"/>
        <item m="1" x="5417"/>
        <item m="1" x="5418"/>
        <item m="1" x="5431"/>
        <item m="1" x="2466"/>
        <item m="1" x="2467"/>
        <item m="1" x="2468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22"/>
        <item m="1" x="5623"/>
        <item m="1" x="5624"/>
        <item m="1" x="5625"/>
        <item m="1" x="5626"/>
        <item m="1" x="5627"/>
        <item m="1" x="5628"/>
        <item m="1" x="5629"/>
        <item m="1" x="5631"/>
        <item m="1" x="5659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8"/>
        <item m="1" x="5689"/>
        <item m="1" x="5690"/>
        <item m="1" x="5691"/>
        <item m="1" x="5692"/>
        <item m="1" x="5693"/>
        <item m="1" x="5694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73"/>
        <item m="1" x="5774"/>
        <item m="1" x="5775"/>
        <item m="1" x="5776"/>
        <item m="1" x="5789"/>
        <item m="1" x="5795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84"/>
        <item m="1" x="5885"/>
        <item m="1" x="5886"/>
        <item m="1" x="5888"/>
        <item m="1" x="5889"/>
        <item m="1" x="5890"/>
        <item m="1" x="5891"/>
        <item m="1" x="5892"/>
        <item m="1" x="5893"/>
        <item m="1" x="5894"/>
        <item m="1" x="5895"/>
        <item m="1" x="5927"/>
        <item m="1" x="5933"/>
        <item m="1" x="5934"/>
        <item m="1" x="5935"/>
        <item m="1" x="5936"/>
        <item m="1" x="5937"/>
        <item m="1" x="5938"/>
        <item m="1" x="5939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97"/>
        <item m="1" x="5998"/>
        <item m="1" x="5999"/>
        <item m="1" x="6000"/>
        <item m="1" x="6056"/>
        <item m="1" x="6057"/>
        <item m="1" x="6058"/>
        <item m="1" x="6059"/>
        <item m="1" x="6091"/>
        <item m="1" x="6092"/>
        <item m="1" x="6093"/>
        <item m="1" x="6094"/>
        <item m="1" x="6095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96"/>
        <item m="1" x="6312"/>
        <item m="1" x="6313"/>
        <item m="1" x="6314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458"/>
        <item m="1" x="6459"/>
        <item m="1" x="6460"/>
        <item m="1" x="6461"/>
        <item m="1" x="6462"/>
        <item m="1" x="6463"/>
        <item m="1" x="6466"/>
        <item m="1" x="6487"/>
        <item m="1" x="6488"/>
        <item m="1" x="6489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626"/>
        <item m="1" x="6631"/>
        <item m="1" x="6632"/>
        <item m="1" x="6633"/>
        <item m="1" x="6634"/>
        <item m="1" x="6635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71"/>
        <item m="1" x="6672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59"/>
        <item m="1" x="6761"/>
        <item m="1" x="6762"/>
        <item m="1" x="6763"/>
        <item m="1" x="6782"/>
        <item m="1" x="6783"/>
        <item m="1" x="6784"/>
        <item m="1" x="6785"/>
        <item m="1" x="6786"/>
        <item m="1" x="678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96"/>
        <item m="1" x="6898"/>
        <item m="1" x="6899"/>
        <item m="1" x="6900"/>
        <item m="1" x="6902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94"/>
        <item m="1" x="6999"/>
        <item m="1" x="7002"/>
        <item m="1" x="7006"/>
        <item m="1" x="7034"/>
        <item m="1" x="7044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129"/>
        <item m="1" x="7155"/>
        <item m="1" x="7165"/>
        <item m="1" x="7166"/>
        <item m="1" x="7172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2"/>
        <item m="1" x="7233"/>
        <item m="1" x="7234"/>
        <item m="1" x="7235"/>
        <item m="1" x="7236"/>
        <item m="1" x="7242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91"/>
        <item m="1" x="7292"/>
        <item m="1" x="7296"/>
        <item m="1" x="7297"/>
        <item m="1" x="7298"/>
        <item m="1" x="7299"/>
        <item m="1" x="7300"/>
        <item m="1" x="7308"/>
        <item m="1" x="7309"/>
        <item m="1" x="7310"/>
        <item m="1" x="732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5"/>
        <item m="1" x="7396"/>
        <item m="1" x="7397"/>
        <item m="1" x="7401"/>
        <item m="1" x="7402"/>
        <item m="1" x="7403"/>
        <item m="1" x="7404"/>
        <item m="1" x="7405"/>
        <item m="1" x="7406"/>
        <item m="1" x="7427"/>
        <item m="1" x="7428"/>
        <item m="1" x="7429"/>
        <item m="1" x="7430"/>
        <item m="1" x="7431"/>
        <item m="1" x="7432"/>
        <item m="1" x="7433"/>
        <item m="1" x="7434"/>
        <item m="1" x="7442"/>
        <item m="1" x="7443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502"/>
        <item m="1" x="7503"/>
        <item m="1" x="7534"/>
        <item m="1" x="7535"/>
        <item m="1" x="7536"/>
        <item m="1" x="7537"/>
        <item m="1" x="753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10"/>
        <item m="1" x="7636"/>
        <item m="1" x="7647"/>
        <item m="1" x="7648"/>
        <item m="1" x="7649"/>
        <item m="1" x="7650"/>
        <item m="1" x="7651"/>
        <item m="1" x="7652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12"/>
        <item m="1" x="7713"/>
        <item m="1" x="7714"/>
        <item m="1" x="7715"/>
        <item m="1" x="7716"/>
        <item m="1" x="7717"/>
        <item m="1" x="7718"/>
        <item m="1" x="7719"/>
        <item m="1" x="7734"/>
        <item m="1" x="7735"/>
        <item m="1" x="7736"/>
        <item m="1" x="7737"/>
        <item m="1" x="7753"/>
        <item m="1" x="7760"/>
        <item m="1" x="7761"/>
        <item m="1" x="7762"/>
        <item m="1" x="7763"/>
        <item m="1" x="7764"/>
        <item m="1" x="7765"/>
        <item m="1" x="7766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23"/>
        <item m="1" x="7824"/>
        <item m="1" x="7825"/>
        <item m="1" x="7826"/>
        <item m="1" x="7827"/>
        <item m="1" x="7828"/>
        <item m="1" x="7829"/>
        <item m="1" x="7830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901"/>
        <item m="1" x="7902"/>
        <item m="1" x="7909"/>
        <item m="1" x="7928"/>
        <item m="1" x="7929"/>
        <item m="1" x="7930"/>
        <item m="1" x="7931"/>
        <item m="1" x="7932"/>
        <item m="1" x="7933"/>
        <item m="1" x="7934"/>
        <item m="1" x="7940"/>
        <item m="1" x="7941"/>
        <item m="1" x="7942"/>
        <item m="1" x="7943"/>
        <item m="1" x="7944"/>
        <item m="1" x="7945"/>
        <item m="1" x="7946"/>
        <item m="1" x="7953"/>
        <item m="1" x="7975"/>
        <item x="11"/>
        <item x="12"/>
        <item x="13"/>
        <item x="14"/>
        <item x="15"/>
        <item x="16"/>
        <item x="17"/>
        <item x="26"/>
        <item x="27"/>
        <item x="28"/>
        <item x="29"/>
        <item x="30"/>
        <item x="31"/>
        <item x="34"/>
        <item x="45"/>
        <item x="46"/>
        <item x="47"/>
        <item x="57"/>
        <item x="58"/>
        <item x="60"/>
        <item x="88"/>
        <item x="89"/>
        <item x="90"/>
        <item x="91"/>
        <item x="92"/>
        <item x="93"/>
        <item x="94"/>
        <item x="77"/>
        <item x="108"/>
        <item x="109"/>
        <item x="156"/>
        <item x="157"/>
        <item x="158"/>
        <item x="180"/>
        <item x="192"/>
        <item x="218"/>
        <item x="219"/>
        <item x="220"/>
        <item x="221"/>
        <item x="222"/>
        <item x="223"/>
        <item x="224"/>
        <item x="225"/>
        <item x="226"/>
        <item x="249"/>
        <item x="250"/>
        <item x="255"/>
        <item x="292"/>
        <item x="300"/>
        <item x="332"/>
        <item x="333"/>
        <item x="334"/>
        <item x="335"/>
        <item x="336"/>
        <item x="337"/>
        <item x="338"/>
        <item x="339"/>
        <item x="340"/>
        <item x="381"/>
        <item x="382"/>
        <item x="428"/>
        <item x="429"/>
        <item x="430"/>
        <item x="431"/>
        <item x="432"/>
        <item x="433"/>
        <item x="434"/>
        <item x="435"/>
        <item x="461"/>
        <item x="462"/>
        <item x="519"/>
        <item x="558"/>
        <item m="1" x="2544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649"/>
        <item m="1" x="2650"/>
        <item m="1" x="2651"/>
        <item m="1" x="2652"/>
        <item m="1" x="2704"/>
        <item m="1" x="2754"/>
        <item m="1" x="2771"/>
        <item m="1" x="2469"/>
        <item m="1" x="2470"/>
        <item m="1" x="2471"/>
        <item m="1" x="2472"/>
        <item m="1" x="2473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507"/>
        <item m="1" x="2508"/>
        <item m="1" x="2509"/>
        <item m="1" x="2510"/>
        <item m="1" x="2511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66"/>
        <item m="1" x="2567"/>
        <item m="1" x="2568"/>
        <item m="1" x="2569"/>
        <item m="1" x="2570"/>
        <item m="1" x="2575"/>
        <item m="1" x="2576"/>
        <item m="1" x="2577"/>
        <item m="1" x="2578"/>
        <item m="1" x="2579"/>
        <item m="1" x="2580"/>
        <item m="1" x="2581"/>
        <item m="1" x="2598"/>
        <item m="1" x="2599"/>
        <item m="1" x="2600"/>
        <item m="1" x="2601"/>
        <item m="1" x="2602"/>
        <item m="1" x="2603"/>
        <item m="1" x="2604"/>
        <item m="1" x="2605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5"/>
        <item m="1" x="2756"/>
        <item m="1" x="2757"/>
        <item m="1" x="2758"/>
        <item m="1" x="2759"/>
        <item m="1" x="2760"/>
        <item m="1" x="2761"/>
        <item x="1874"/>
        <item x="1928"/>
        <item x="1982"/>
        <item x="2106"/>
        <item x="2259"/>
        <item x="2407"/>
        <item x="2409"/>
        <item x="2428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87"/>
        <item m="1" x="2888"/>
        <item m="1" x="2889"/>
        <item m="1" x="2890"/>
        <item m="1" x="2891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92"/>
        <item m="1" x="2893"/>
        <item m="1" x="2894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x="2458"/>
      </items>
    </pivotField>
    <pivotField dataField="1" showAll="0"/>
    <pivotField axis="axisRow" outline="0" showAll="0" sortType="ascending" defaultSubtotal="0">
      <items count="303">
        <item x="0"/>
        <item x="1"/>
        <item x="2"/>
        <item x="6"/>
        <item x="5"/>
        <item x="3"/>
        <item x="4"/>
        <item x="7"/>
        <item x="8"/>
        <item x="9"/>
        <item x="12"/>
        <item x="10"/>
        <item x="11"/>
        <item x="13"/>
        <item x="14"/>
        <item x="15"/>
        <item x="16"/>
        <item x="17"/>
        <item x="18"/>
        <item x="19"/>
        <item x="20"/>
        <item x="21"/>
        <item x="23"/>
        <item x="24"/>
        <item x="22"/>
        <item x="25"/>
        <item x="26"/>
        <item x="27"/>
        <item x="28"/>
        <item x="29"/>
        <item x="30"/>
        <item x="31"/>
        <item x="32"/>
        <item x="33"/>
        <item x="39"/>
        <item x="34"/>
        <item x="36"/>
        <item x="40"/>
        <item x="35"/>
        <item x="37"/>
        <item x="3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56"/>
        <item x="60"/>
        <item x="61"/>
        <item x="63"/>
        <item x="62"/>
        <item x="64"/>
        <item x="65"/>
        <item x="68"/>
        <item x="66"/>
        <item x="67"/>
        <item x="69"/>
        <item x="70"/>
        <item x="71"/>
        <item x="73"/>
        <item x="77"/>
        <item x="76"/>
        <item x="74"/>
        <item x="75"/>
        <item x="78"/>
        <item x="79"/>
        <item x="80"/>
        <item x="81"/>
        <item x="84"/>
        <item x="82"/>
        <item x="7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2"/>
        <item x="100"/>
        <item x="101"/>
        <item x="103"/>
        <item x="104"/>
        <item x="105"/>
        <item x="106"/>
        <item x="107"/>
        <item x="108"/>
        <item x="109"/>
        <item x="112"/>
        <item x="113"/>
        <item x="114"/>
        <item x="115"/>
        <item x="110"/>
        <item x="116"/>
        <item x="117"/>
        <item x="118"/>
        <item x="119"/>
        <item x="125"/>
        <item x="120"/>
        <item x="124"/>
        <item x="130"/>
        <item x="126"/>
        <item x="121"/>
        <item x="131"/>
        <item x="133"/>
        <item x="132"/>
        <item x="111"/>
        <item x="135"/>
        <item x="122"/>
        <item x="134"/>
        <item x="136"/>
        <item x="137"/>
        <item x="138"/>
        <item x="140"/>
        <item x="139"/>
        <item x="144"/>
        <item x="145"/>
        <item x="123"/>
        <item x="146"/>
        <item x="147"/>
        <item x="148"/>
        <item x="149"/>
        <item x="150"/>
        <item x="143"/>
        <item x="152"/>
        <item x="151"/>
        <item x="127"/>
        <item x="155"/>
        <item x="156"/>
        <item x="157"/>
        <item x="141"/>
        <item x="159"/>
        <item x="158"/>
        <item x="160"/>
        <item x="153"/>
        <item x="163"/>
        <item x="164"/>
        <item x="165"/>
        <item x="128"/>
        <item x="166"/>
        <item x="142"/>
        <item x="169"/>
        <item x="167"/>
        <item x="154"/>
        <item x="172"/>
        <item x="173"/>
        <item x="174"/>
        <item x="168"/>
        <item x="178"/>
        <item x="182"/>
        <item x="129"/>
        <item x="179"/>
        <item x="180"/>
        <item x="183"/>
        <item x="161"/>
        <item x="184"/>
        <item x="175"/>
        <item x="185"/>
        <item x="186"/>
        <item x="181"/>
        <item x="187"/>
        <item x="188"/>
        <item x="191"/>
        <item x="189"/>
        <item x="190"/>
        <item x="170"/>
        <item x="193"/>
        <item x="192"/>
        <item x="162"/>
        <item x="176"/>
        <item x="194"/>
        <item x="195"/>
        <item x="196"/>
        <item x="197"/>
        <item x="209"/>
        <item x="198"/>
        <item x="199"/>
        <item x="208"/>
        <item x="210"/>
        <item x="211"/>
        <item x="171"/>
        <item x="213"/>
        <item x="214"/>
        <item x="177"/>
        <item x="215"/>
        <item x="212"/>
        <item x="216"/>
        <item x="217"/>
        <item x="218"/>
        <item x="219"/>
        <item x="220"/>
        <item x="221"/>
        <item x="222"/>
        <item x="223"/>
        <item x="224"/>
        <item x="225"/>
        <item x="200"/>
        <item x="226"/>
        <item x="227"/>
        <item x="228"/>
        <item x="229"/>
        <item x="230"/>
        <item x="231"/>
        <item x="232"/>
        <item x="233"/>
        <item x="234"/>
        <item x="237"/>
        <item x="238"/>
        <item x="201"/>
        <item x="239"/>
        <item x="240"/>
        <item x="241"/>
        <item x="242"/>
        <item x="245"/>
        <item x="243"/>
        <item x="244"/>
        <item x="248"/>
        <item x="249"/>
        <item x="247"/>
        <item x="250"/>
        <item x="251"/>
        <item x="252"/>
        <item x="253"/>
        <item x="235"/>
        <item x="202"/>
        <item x="254"/>
        <item x="255"/>
        <item x="246"/>
        <item x="258"/>
        <item x="259"/>
        <item x="262"/>
        <item x="256"/>
        <item x="264"/>
        <item x="265"/>
        <item x="257"/>
        <item x="270"/>
        <item x="236"/>
        <item x="203"/>
        <item x="277"/>
        <item x="260"/>
        <item x="279"/>
        <item x="280"/>
        <item x="263"/>
        <item x="268"/>
        <item x="269"/>
        <item x="266"/>
        <item x="281"/>
        <item x="283"/>
        <item x="282"/>
        <item x="271"/>
        <item x="284"/>
        <item x="278"/>
        <item x="285"/>
        <item x="288"/>
        <item x="204"/>
        <item x="289"/>
        <item x="290"/>
        <item x="261"/>
        <item x="273"/>
        <item x="267"/>
        <item x="291"/>
        <item x="292"/>
        <item x="293"/>
        <item x="272"/>
        <item x="297"/>
        <item x="205"/>
        <item x="295"/>
        <item x="296"/>
        <item x="298"/>
        <item x="299"/>
        <item x="300"/>
        <item x="301"/>
        <item x="294"/>
        <item x="274"/>
        <item x="286"/>
        <item x="206"/>
        <item x="275"/>
        <item x="287"/>
        <item x="207"/>
        <item x="276"/>
        <item x="302"/>
      </items>
    </pivotField>
    <pivotField axis="axisCol" showAll="0">
      <items count="8">
        <item m="1" x="5"/>
        <item x="2"/>
        <item n="GALICIA +" x="1"/>
        <item m="1" x="4"/>
        <item x="3"/>
        <item m="1" x="6"/>
        <item x="0"/>
        <item t="default"/>
      </items>
    </pivotField>
    <pivotField showAll="0"/>
    <pivotField showAll="0"/>
    <pivotField axis="axisPage" multipleItemSelectionAllowed="1" showAll="0">
      <items count="5">
        <item h="1" x="2"/>
        <item h="1" x="0"/>
        <item h="1" x="3"/>
        <item x="1"/>
        <item t="default"/>
      </items>
    </pivotField>
    <pivotField axis="axisPage" outline="0" multipleItemSelectionAllowed="1" showAll="0" insertBlankRow="1">
      <items count="4">
        <item x="0"/>
        <item x="1"/>
        <item x="2"/>
        <item t="default"/>
      </items>
    </pivotField>
  </pivotFields>
  <rowFields count="2">
    <field x="6"/>
    <field x="4"/>
  </rowFields>
  <rowItems count="17">
    <i>
      <x v="295"/>
      <x v="4765"/>
    </i>
    <i r="1">
      <x v="5062"/>
    </i>
    <i r="1">
      <x v="5063"/>
    </i>
    <i r="1">
      <x v="5064"/>
    </i>
    <i r="1">
      <x v="5065"/>
    </i>
    <i r="1">
      <x v="5066"/>
    </i>
    <i r="1">
      <x v="5067"/>
    </i>
    <i>
      <x v="296"/>
      <x v="3271"/>
    </i>
    <i r="1">
      <x v="4877"/>
    </i>
    <i>
      <x v="297"/>
      <x v="4364"/>
    </i>
    <i>
      <x v="298"/>
      <x v="3274"/>
    </i>
    <i r="1">
      <x v="4766"/>
    </i>
    <i>
      <x v="299"/>
      <x v="4878"/>
    </i>
    <i>
      <x v="300"/>
      <x v="4365"/>
    </i>
    <i>
      <x v="301"/>
      <x v="3275"/>
    </i>
    <i r="1">
      <x v="4767"/>
    </i>
    <i t="grand">
      <x/>
    </i>
  </rowItems>
  <colFields count="1">
    <field x="7"/>
  </colFields>
  <colItems count="2">
    <i>
      <x v="6"/>
    </i>
    <i t="grand">
      <x/>
    </i>
  </colItems>
  <pageFields count="2">
    <pageField fld="10" hier="-1"/>
    <pageField fld="11" hier="-1"/>
  </pageFields>
  <dataFields count="1">
    <dataField name="Suma de importe" fld="5" baseField="4" baseItem="0" numFmtId="4"/>
  </dataFields>
  <formats count="3">
    <format dxfId="5">
      <pivotArea field="6" type="button" dataOnly="0" labelOnly="1" outline="0" axis="axisRow" fieldPosition="0"/>
    </format>
    <format dxfId="4">
      <pivotArea dataOnly="0" labelOnly="1" grandRow="1" outline="0" fieldPosition="0"/>
    </format>
    <format dxfId="3">
      <pivotArea dataOnly="0" labelOnly="1" fieldPosition="0">
        <references count="2">
          <reference field="4" count="1" selected="0">
            <x v="7999"/>
          </reference>
          <reference field="6" count="1">
            <x v="30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2000000}" name="TablaDinámica2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13:D33" firstHeaderRow="1" firstDataRow="2" firstDataCol="2" rowPageCount="1" colPageCount="1"/>
  <pivotFields count="11">
    <pivotField showAll="0"/>
    <pivotField showAll="0"/>
    <pivotField showAll="0"/>
    <pivotField showAll="0"/>
    <pivotField axis="axisRow" outline="0" showAll="0" defaultSubtotal="0">
      <items count="8000">
        <item m="1" x="4590"/>
        <item m="1" x="4591"/>
        <item m="1" x="4618"/>
        <item m="1" x="4619"/>
        <item m="1" x="4620"/>
        <item m="1" x="4621"/>
        <item m="1" x="4622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732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44"/>
        <item m="1" x="4845"/>
        <item m="1" x="4846"/>
        <item m="1" x="4847"/>
        <item m="1" x="4848"/>
        <item m="1" x="4849"/>
        <item m="1" x="4850"/>
        <item m="1" x="4851"/>
        <item m="1" x="4867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5009"/>
        <item m="1" x="5010"/>
        <item m="1" x="5011"/>
        <item m="1" x="5012"/>
        <item m="1" x="5013"/>
        <item m="1" x="5014"/>
        <item m="1" x="5015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129"/>
        <item m="1" x="5130"/>
        <item m="1" x="5131"/>
        <item m="1" x="5132"/>
        <item m="1" x="5133"/>
        <item m="1" x="5134"/>
        <item m="1" x="5135"/>
        <item m="1" x="5152"/>
        <item m="1" x="5153"/>
        <item m="1" x="5154"/>
        <item m="1" x="5155"/>
        <item m="1" x="5167"/>
        <item m="1" x="5168"/>
        <item m="1" x="5169"/>
        <item m="1" x="5170"/>
        <item m="1" x="5171"/>
        <item m="1" x="5173"/>
        <item m="1" x="5176"/>
        <item m="1" x="5172"/>
        <item m="1" x="5225"/>
        <item m="1" x="5222"/>
        <item m="1" x="5223"/>
        <item m="1" x="5224"/>
        <item m="1" x="5227"/>
        <item m="1" x="5228"/>
        <item m="1" x="5226"/>
        <item m="1" x="5229"/>
        <item m="1" x="5230"/>
        <item m="1" x="5231"/>
        <item m="1" x="5232"/>
        <item m="1" x="5233"/>
        <item m="1" x="5247"/>
        <item m="1" x="5248"/>
        <item m="1" x="5234"/>
        <item m="1" x="5249"/>
        <item m="1" x="5250"/>
        <item m="1" x="5251"/>
        <item m="1" x="5252"/>
        <item m="1" x="5253"/>
        <item m="1" x="5254"/>
        <item m="1" x="5255"/>
        <item m="1" x="5259"/>
        <item m="1" x="5260"/>
        <item m="1" x="5262"/>
        <item m="1" x="5263"/>
        <item m="1" x="5264"/>
        <item m="1" x="5265"/>
        <item m="1" x="5269"/>
        <item m="1" x="5267"/>
        <item m="1" x="5268"/>
        <item m="1" x="5266"/>
        <item m="1" x="5270"/>
        <item m="1" x="5271"/>
        <item m="1" x="5272"/>
        <item m="1" x="5273"/>
        <item m="1" x="5261"/>
        <item m="1" x="5274"/>
        <item m="1" x="5275"/>
        <item m="1" x="5258"/>
        <item m="1" x="5257"/>
        <item m="1" x="5256"/>
        <item m="1" x="5276"/>
        <item m="1" x="5311"/>
        <item m="1" x="5312"/>
        <item m="1" x="5277"/>
        <item m="1" x="5313"/>
        <item m="1" x="5317"/>
        <item m="1" x="5315"/>
        <item m="1" x="5316"/>
        <item m="1" x="5318"/>
        <item m="1" x="5314"/>
        <item m="1" x="5319"/>
        <item m="1" x="5320"/>
        <item m="1" x="5321"/>
        <item m="1" x="5322"/>
        <item m="1" x="5326"/>
        <item m="1" x="5327"/>
        <item m="1" x="5328"/>
        <item m="1" x="5329"/>
        <item m="1" x="5333"/>
        <item m="1" x="5332"/>
        <item m="1" x="5331"/>
        <item m="1" x="5330"/>
        <item m="1" x="5335"/>
        <item m="1" x="5334"/>
        <item m="1" x="5336"/>
        <item m="1" x="5337"/>
        <item m="1" x="5338"/>
        <item m="1" x="5372"/>
        <item m="1" x="5373"/>
        <item m="1" x="5374"/>
        <item m="1" x="5370"/>
        <item m="1" x="5371"/>
        <item m="1" x="5368"/>
        <item m="1" x="5369"/>
        <item m="1" x="5375"/>
        <item m="1" x="5376"/>
        <item m="1" x="5377"/>
        <item m="1" x="5378"/>
        <item m="1" x="5379"/>
        <item m="1" x="5380"/>
        <item m="1" x="5381"/>
        <item m="1" x="5382"/>
        <item m="1" x="5385"/>
        <item m="1" x="5383"/>
        <item m="1" x="5384"/>
        <item m="1" x="5386"/>
        <item m="1" x="5388"/>
        <item m="1" x="5387"/>
        <item m="1" x="5392"/>
        <item m="1" x="5393"/>
        <item m="1" x="5394"/>
        <item m="1" x="5389"/>
        <item m="1" x="5390"/>
        <item m="1" x="5391"/>
        <item m="1" x="5395"/>
        <item m="1" x="5396"/>
        <item m="1" x="5441"/>
        <item m="1" x="5442"/>
        <item m="1" x="5446"/>
        <item m="1" x="5444"/>
        <item m="1" x="5445"/>
        <item m="1" x="5449"/>
        <item m="1" x="5443"/>
        <item m="1" x="5451"/>
        <item m="1" x="5450"/>
        <item m="1" x="5447"/>
        <item m="1" x="5448"/>
        <item m="1" x="5452"/>
        <item m="1" x="5453"/>
        <item m="1" x="5454"/>
        <item m="1" x="5455"/>
        <item m="1" x="5464"/>
        <item m="1" x="5463"/>
        <item m="1" x="5462"/>
        <item m="1" x="5461"/>
        <item m="1" x="5512"/>
        <item m="1" x="5456"/>
        <item m="1" x="5457"/>
        <item m="1" x="5458"/>
        <item m="1" x="5460"/>
        <item m="1" x="5465"/>
        <item m="1" x="5510"/>
        <item m="1" x="5513"/>
        <item m="1" x="5459"/>
        <item m="1" x="5511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51"/>
        <item m="1" x="5558"/>
        <item m="1" x="5559"/>
        <item m="1" x="5545"/>
        <item m="1" x="5546"/>
        <item m="1" x="5547"/>
        <item m="1" x="5548"/>
        <item m="1" x="5549"/>
        <item m="1" x="5556"/>
        <item m="1" x="5557"/>
        <item m="1" x="5552"/>
        <item m="1" x="5554"/>
        <item m="1" x="5550"/>
        <item m="1" x="5555"/>
        <item m="1" x="5553"/>
        <item m="1" x="5563"/>
        <item m="1" x="5565"/>
        <item m="1" x="5564"/>
        <item m="1" x="5561"/>
        <item m="1" x="5562"/>
        <item m="1" x="5560"/>
        <item m="1" x="5566"/>
        <item m="1" x="5576"/>
        <item m="1" x="5575"/>
        <item m="1" x="5577"/>
        <item m="1" x="5578"/>
        <item m="1" x="5567"/>
        <item m="1" x="5568"/>
        <item m="1" x="5569"/>
        <item m="1" x="5570"/>
        <item m="1" x="5571"/>
        <item m="1" x="5572"/>
        <item m="1" x="5573"/>
        <item m="1" x="5574"/>
        <item m="1" x="5579"/>
        <item m="1" x="5606"/>
        <item m="1" x="5607"/>
        <item m="1" x="5608"/>
        <item m="1" x="5609"/>
        <item m="1" x="5614"/>
        <item m="1" x="5615"/>
        <item m="1" x="5616"/>
        <item m="1" x="5617"/>
        <item m="1" x="5618"/>
        <item m="1" x="5620"/>
        <item m="1" x="5619"/>
        <item m="1" x="5613"/>
        <item m="1" x="5610"/>
        <item m="1" x="5611"/>
        <item m="1" x="5612"/>
        <item m="1" x="5621"/>
        <item m="1" x="5630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4"/>
        <item m="1" x="5653"/>
        <item m="1" x="5655"/>
        <item m="1" x="5656"/>
        <item m="1" x="5657"/>
        <item m="1" x="5658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82"/>
        <item m="1" x="5683"/>
        <item m="1" x="5684"/>
        <item m="1" x="5685"/>
        <item m="1" x="5686"/>
        <item m="1" x="5687"/>
        <item m="1" x="5695"/>
        <item m="1" x="5696"/>
        <item m="1" x="5697"/>
        <item m="1" x="5698"/>
        <item m="1" x="5699"/>
        <item m="1" x="5700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40"/>
        <item m="1" x="5741"/>
        <item m="1" x="5742"/>
        <item m="1" x="5743"/>
        <item m="1" x="5744"/>
        <item m="1" x="5738"/>
        <item m="1" x="5739"/>
        <item m="1" x="5745"/>
        <item m="1" x="5746"/>
        <item m="1" x="5759"/>
        <item m="1" x="5760"/>
        <item m="1" x="5761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90"/>
        <item m="1" x="5791"/>
        <item m="1" x="5796"/>
        <item m="1" x="5797"/>
        <item m="1" x="5798"/>
        <item m="1" x="5799"/>
        <item m="1" x="5800"/>
        <item m="1" x="5801"/>
        <item m="1" x="5802"/>
        <item m="1" x="5803"/>
        <item m="1" x="5879"/>
        <item m="1" x="5880"/>
        <item m="1" x="5881"/>
        <item m="1" x="5882"/>
        <item m="1" x="5883"/>
        <item m="1" x="5887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6001"/>
        <item m="1" x="6002"/>
        <item m="1" x="6003"/>
        <item m="1" x="6004"/>
        <item m="1" x="6005"/>
        <item m="1" x="6006"/>
        <item m="1" x="6007"/>
        <item m="1" x="6024"/>
        <item m="1" x="6025"/>
        <item m="1" x="6026"/>
        <item m="1" x="6027"/>
        <item m="1" x="6028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7"/>
        <item m="1" x="6298"/>
        <item m="1" x="6299"/>
        <item m="1" x="6301"/>
        <item m="1" x="6303"/>
        <item m="1" x="6300"/>
        <item m="1" x="6302"/>
        <item m="1" x="6304"/>
        <item m="1" x="6305"/>
        <item m="1" x="6306"/>
        <item m="1" x="6307"/>
        <item m="1" x="6308"/>
        <item m="1" x="6309"/>
        <item m="1" x="6310"/>
        <item m="1" x="6311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577"/>
        <item m="1" x="6627"/>
        <item m="1" x="6628"/>
        <item m="1" x="6629"/>
        <item m="1" x="6630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9"/>
        <item m="1" x="6680"/>
        <item m="1" x="6681"/>
        <item m="1" x="6682"/>
        <item m="1" x="6683"/>
        <item m="1" x="6684"/>
        <item m="1" x="6673"/>
        <item m="1" x="6674"/>
        <item m="1" x="6675"/>
        <item m="1" x="6676"/>
        <item m="1" x="6677"/>
        <item m="1" x="6678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60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80"/>
        <item m="1" x="6781"/>
        <item m="1" x="6778"/>
        <item m="1" x="6779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901"/>
        <item m="1" x="7117"/>
        <item m="1" x="7118"/>
        <item m="1" x="7119"/>
        <item m="1" x="7120"/>
        <item m="1" x="7121"/>
        <item m="1" x="7122"/>
        <item m="1" x="7123"/>
        <item m="1" x="7124"/>
        <item m="1" x="7128"/>
        <item m="1" x="5792"/>
        <item m="1" x="5793"/>
        <item m="1" x="5794"/>
        <item m="1" x="5804"/>
        <item m="1" x="5805"/>
        <item m="1" x="5806"/>
        <item m="1" x="5807"/>
        <item m="1" x="5808"/>
        <item m="1" x="5809"/>
        <item m="1" x="5810"/>
        <item m="1" x="5811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928"/>
        <item m="1" x="5929"/>
        <item m="1" x="5930"/>
        <item m="1" x="5931"/>
        <item m="1" x="5932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156"/>
        <item m="1" x="6157"/>
        <item m="1" x="6333"/>
        <item m="1" x="6334"/>
        <item m="1" x="6335"/>
        <item m="1" x="6336"/>
        <item m="1" x="6337"/>
        <item m="1" x="6338"/>
        <item m="1" x="6624"/>
        <item m="1" x="6625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7"/>
        <item m="1" x="6917"/>
        <item m="1" x="6918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5"/>
        <item m="1" x="6996"/>
        <item m="1" x="6997"/>
        <item m="1" x="6998"/>
        <item m="1" x="7000"/>
        <item m="1" x="7001"/>
        <item m="1" x="7003"/>
        <item m="1" x="7004"/>
        <item m="1" x="7005"/>
        <item m="1" x="7161"/>
        <item m="1" x="7033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25"/>
        <item m="1" x="7126"/>
        <item m="1" x="7127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6"/>
        <item m="1" x="7157"/>
        <item m="1" x="7158"/>
        <item m="1" x="7159"/>
        <item m="1" x="7160"/>
        <item m="1" x="7162"/>
        <item m="1" x="7163"/>
        <item m="1" x="7164"/>
        <item m="1" x="7167"/>
        <item m="1" x="7168"/>
        <item m="1" x="7169"/>
        <item m="1" x="7170"/>
        <item m="1" x="7171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31"/>
        <item m="1" x="7237"/>
        <item m="1" x="7238"/>
        <item m="1" x="7239"/>
        <item m="1" x="7240"/>
        <item m="1" x="7241"/>
        <item m="1" x="7243"/>
        <item m="1" x="7244"/>
        <item m="1" x="724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3"/>
        <item m="1" x="7294"/>
        <item m="1" x="7295"/>
        <item m="1" x="7301"/>
        <item m="1" x="7302"/>
        <item m="1" x="7303"/>
        <item m="1" x="7304"/>
        <item m="1" x="7305"/>
        <item m="1" x="7306"/>
        <item m="1" x="7307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94"/>
        <item m="1" x="7398"/>
        <item m="1" x="7399"/>
        <item m="1" x="7400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35"/>
        <item m="1" x="7436"/>
        <item m="1" x="7437"/>
        <item m="1" x="7438"/>
        <item m="1" x="7439"/>
        <item m="1" x="7440"/>
        <item m="1" x="7441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607"/>
        <item m="1" x="7608"/>
        <item m="1" x="7609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40"/>
        <item m="1" x="7641"/>
        <item m="1" x="7642"/>
        <item m="1" x="7643"/>
        <item m="1" x="7644"/>
        <item m="1" x="7645"/>
        <item m="1" x="7646"/>
        <item m="1" x="7637"/>
        <item m="1" x="7638"/>
        <item m="1" x="7639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4"/>
        <item m="1" x="7755"/>
        <item m="1" x="7756"/>
        <item m="1" x="7757"/>
        <item m="1" x="7758"/>
        <item m="1" x="7759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3"/>
        <item m="1" x="7904"/>
        <item m="1" x="7905"/>
        <item m="1" x="7906"/>
        <item m="1" x="7907"/>
        <item m="1" x="7908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35"/>
        <item m="1" x="7936"/>
        <item m="1" x="7937"/>
        <item m="1" x="7938"/>
        <item m="1" x="7939"/>
        <item m="1" x="7947"/>
        <item m="1" x="7948"/>
        <item m="1" x="7949"/>
        <item m="1" x="7950"/>
        <item m="1" x="7951"/>
        <item m="1" x="7952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444"/>
        <item m="1" x="7445"/>
        <item m="1" x="7446"/>
        <item m="1" x="3443"/>
        <item m="1" x="3620"/>
        <item m="1" x="3621"/>
        <item m="1" x="3623"/>
        <item m="1" x="3624"/>
        <item m="1" x="3625"/>
        <item m="1" x="3626"/>
        <item m="1" x="3627"/>
        <item m="1" x="3628"/>
        <item m="1" x="3629"/>
        <item m="1" x="3630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6366"/>
        <item m="1" x="6367"/>
        <item m="1" x="6464"/>
        <item m="1" x="6465"/>
        <item m="1" x="6623"/>
        <item m="1" x="6636"/>
        <item m="1" x="690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94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2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23"/>
        <item m="1" x="4624"/>
        <item m="1" x="4625"/>
        <item m="1" x="4657"/>
        <item m="1" x="4658"/>
        <item m="1" x="4659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60"/>
        <item m="1" x="4661"/>
        <item m="1" x="4662"/>
        <item m="1" x="4663"/>
        <item m="1" x="4664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74"/>
        <item m="1" x="5175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23"/>
        <item m="1" x="5324"/>
        <item m="1" x="5325"/>
        <item m="1" x="5339"/>
        <item m="1" x="5340"/>
        <item m="1" x="5341"/>
        <item m="1" x="5342"/>
        <item m="1" x="5343"/>
        <item m="1" x="5344"/>
        <item m="1" x="5345"/>
        <item m="1" x="5346"/>
        <item m="1" x="5417"/>
        <item m="1" x="5418"/>
        <item m="1" x="5431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22"/>
        <item m="1" x="5623"/>
        <item m="1" x="5624"/>
        <item m="1" x="5625"/>
        <item m="1" x="5626"/>
        <item m="1" x="5627"/>
        <item m="1" x="5628"/>
        <item m="1" x="5629"/>
        <item m="1" x="5631"/>
        <item m="1" x="5659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8"/>
        <item m="1" x="5689"/>
        <item m="1" x="5690"/>
        <item m="1" x="5691"/>
        <item m="1" x="5692"/>
        <item m="1" x="5693"/>
        <item m="1" x="5694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73"/>
        <item m="1" x="5774"/>
        <item m="1" x="5775"/>
        <item m="1" x="5776"/>
        <item m="1" x="5789"/>
        <item m="1" x="5795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84"/>
        <item m="1" x="5885"/>
        <item m="1" x="5886"/>
        <item m="1" x="5888"/>
        <item m="1" x="5889"/>
        <item m="1" x="5890"/>
        <item m="1" x="5891"/>
        <item m="1" x="5892"/>
        <item m="1" x="5893"/>
        <item m="1" x="5894"/>
        <item m="1" x="5895"/>
        <item m="1" x="5927"/>
        <item m="1" x="5933"/>
        <item m="1" x="5934"/>
        <item m="1" x="5935"/>
        <item m="1" x="5936"/>
        <item m="1" x="5937"/>
        <item m="1" x="5938"/>
        <item m="1" x="5939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97"/>
        <item m="1" x="5998"/>
        <item m="1" x="5999"/>
        <item m="1" x="6000"/>
        <item m="1" x="6056"/>
        <item m="1" x="6057"/>
        <item m="1" x="6058"/>
        <item m="1" x="6059"/>
        <item m="1" x="6091"/>
        <item m="1" x="6092"/>
        <item m="1" x="6093"/>
        <item m="1" x="6094"/>
        <item m="1" x="6095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96"/>
        <item m="1" x="6312"/>
        <item m="1" x="6313"/>
        <item m="1" x="6314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458"/>
        <item m="1" x="6459"/>
        <item m="1" x="6460"/>
        <item m="1" x="6461"/>
        <item m="1" x="6462"/>
        <item m="1" x="6463"/>
        <item m="1" x="6466"/>
        <item m="1" x="6487"/>
        <item m="1" x="6488"/>
        <item m="1" x="6489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626"/>
        <item m="1" x="6631"/>
        <item m="1" x="6632"/>
        <item m="1" x="6633"/>
        <item m="1" x="6634"/>
        <item m="1" x="6635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71"/>
        <item m="1" x="6672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59"/>
        <item m="1" x="6761"/>
        <item m="1" x="6762"/>
        <item m="1" x="6763"/>
        <item m="1" x="6782"/>
        <item m="1" x="6783"/>
        <item m="1" x="6784"/>
        <item m="1" x="6785"/>
        <item m="1" x="6786"/>
        <item m="1" x="678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96"/>
        <item m="1" x="6898"/>
        <item m="1" x="6899"/>
        <item m="1" x="6900"/>
        <item m="1" x="6902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94"/>
        <item m="1" x="6999"/>
        <item m="1" x="7002"/>
        <item m="1" x="7006"/>
        <item m="1" x="7034"/>
        <item m="1" x="7044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129"/>
        <item m="1" x="7155"/>
        <item m="1" x="7165"/>
        <item m="1" x="7166"/>
        <item m="1" x="7172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2"/>
        <item m="1" x="7233"/>
        <item m="1" x="7234"/>
        <item m="1" x="7235"/>
        <item m="1" x="7236"/>
        <item m="1" x="7242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91"/>
        <item m="1" x="7292"/>
        <item m="1" x="7296"/>
        <item m="1" x="7297"/>
        <item m="1" x="7298"/>
        <item m="1" x="7299"/>
        <item m="1" x="7300"/>
        <item m="1" x="7308"/>
        <item m="1" x="7309"/>
        <item m="1" x="7310"/>
        <item m="1" x="732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5"/>
        <item m="1" x="7396"/>
        <item m="1" x="7397"/>
        <item m="1" x="7401"/>
        <item m="1" x="7402"/>
        <item m="1" x="7403"/>
        <item m="1" x="7404"/>
        <item m="1" x="7405"/>
        <item m="1" x="7406"/>
        <item m="1" x="7427"/>
        <item m="1" x="7428"/>
        <item m="1" x="7429"/>
        <item m="1" x="7430"/>
        <item m="1" x="7431"/>
        <item m="1" x="7432"/>
        <item m="1" x="7433"/>
        <item m="1" x="7434"/>
        <item m="1" x="7442"/>
        <item m="1" x="7443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502"/>
        <item m="1" x="7503"/>
        <item m="1" x="7534"/>
        <item m="1" x="7535"/>
        <item m="1" x="7536"/>
        <item m="1" x="7537"/>
        <item m="1" x="753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10"/>
        <item m="1" x="7636"/>
        <item m="1" x="7647"/>
        <item m="1" x="7648"/>
        <item m="1" x="7649"/>
        <item m="1" x="7650"/>
        <item m="1" x="7651"/>
        <item m="1" x="7652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12"/>
        <item m="1" x="7713"/>
        <item m="1" x="7714"/>
        <item m="1" x="7715"/>
        <item m="1" x="7716"/>
        <item m="1" x="7717"/>
        <item m="1" x="7718"/>
        <item m="1" x="7719"/>
        <item m="1" x="7734"/>
        <item m="1" x="7735"/>
        <item m="1" x="7736"/>
        <item m="1" x="7737"/>
        <item m="1" x="7753"/>
        <item m="1" x="7760"/>
        <item m="1" x="7761"/>
        <item m="1" x="7762"/>
        <item m="1" x="7763"/>
        <item m="1" x="7764"/>
        <item m="1" x="7765"/>
        <item m="1" x="7766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23"/>
        <item m="1" x="7824"/>
        <item m="1" x="7825"/>
        <item m="1" x="7826"/>
        <item m="1" x="7827"/>
        <item m="1" x="7828"/>
        <item m="1" x="7829"/>
        <item m="1" x="7830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901"/>
        <item m="1" x="7902"/>
        <item m="1" x="7909"/>
        <item m="1" x="7928"/>
        <item m="1" x="7929"/>
        <item m="1" x="7930"/>
        <item m="1" x="7931"/>
        <item m="1" x="7932"/>
        <item m="1" x="7933"/>
        <item m="1" x="7934"/>
        <item m="1" x="7940"/>
        <item m="1" x="7941"/>
        <item m="1" x="7942"/>
        <item m="1" x="7943"/>
        <item m="1" x="7944"/>
        <item m="1" x="7945"/>
        <item m="1" x="7946"/>
        <item m="1" x="7953"/>
        <item m="1" x="7975"/>
        <item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8"/>
        <item m="1" x="3409"/>
        <item m="1" x="3410"/>
        <item m="1" x="3411"/>
        <item m="1" x="3404"/>
        <item m="1" x="3405"/>
        <item m="1" x="3406"/>
        <item m="1" x="340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</items>
    </pivotField>
    <pivotField dataField="1" showAll="0"/>
    <pivotField axis="axisRow" showAll="0">
      <items count="304">
        <item x="302"/>
        <item x="1"/>
        <item x="18"/>
        <item x="28"/>
        <item x="5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32"/>
        <item x="244"/>
        <item x="223"/>
        <item x="222"/>
        <item x="220"/>
        <item x="221"/>
        <item x="225"/>
        <item x="226"/>
        <item x="230"/>
        <item x="247"/>
        <item x="227"/>
        <item x="228"/>
        <item x="237"/>
        <item x="234"/>
        <item x="238"/>
        <item x="239"/>
        <item x="224"/>
        <item x="229"/>
        <item x="231"/>
        <item x="233"/>
        <item x="235"/>
        <item x="236"/>
        <item x="240"/>
        <item x="241"/>
        <item x="242"/>
        <item x="243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0"/>
        <item x="69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axis="axisCol" showAll="0">
      <items count="16">
        <item n="GALICIA +" x="1"/>
        <item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x="0"/>
        <item x="2"/>
        <item t="default"/>
      </items>
    </pivotField>
    <pivotField showAll="0"/>
    <pivotField showAll="0"/>
    <pivotField axis="axisPage" multipleItemSelectionAllowed="1" showAll="0">
      <items count="5">
        <item x="2"/>
        <item h="1" x="0"/>
        <item h="1" x="3"/>
        <item h="1" x="1"/>
        <item t="default"/>
      </items>
    </pivotField>
  </pivotFields>
  <rowFields count="2">
    <field x="4"/>
    <field x="6"/>
  </rowFields>
  <rowItems count="19">
    <i>
      <x v="7927"/>
      <x v="297"/>
    </i>
    <i>
      <x v="7936"/>
      <x v="297"/>
    </i>
    <i>
      <x v="7940"/>
      <x v="297"/>
    </i>
    <i>
      <x v="7945"/>
      <x v="297"/>
    </i>
    <i>
      <x v="7950"/>
      <x v="297"/>
    </i>
    <i>
      <x v="7973"/>
      <x v="300"/>
    </i>
    <i>
      <x v="7979"/>
      <x v="295"/>
    </i>
    <i>
      <x v="7981"/>
      <x v="301"/>
    </i>
    <i>
      <x v="7982"/>
      <x v="302"/>
    </i>
    <i>
      <x v="7983"/>
      <x v="295"/>
    </i>
    <i>
      <x v="7984"/>
      <x v="295"/>
    </i>
    <i>
      <x v="7985"/>
      <x v="295"/>
    </i>
    <i>
      <x v="7986"/>
      <x v="295"/>
    </i>
    <i>
      <x v="7987"/>
      <x v="295"/>
    </i>
    <i>
      <x v="7988"/>
      <x v="295"/>
    </i>
    <i>
      <x v="7990"/>
      <x v="295"/>
    </i>
    <i>
      <x v="7991"/>
      <x v="295"/>
    </i>
    <i>
      <x v="7992"/>
      <x v="295"/>
    </i>
    <i t="grand">
      <x/>
    </i>
  </rowItems>
  <colFields count="1">
    <field x="7"/>
  </colFields>
  <colItems count="2">
    <i>
      <x v="13"/>
    </i>
    <i t="grand">
      <x/>
    </i>
  </colItems>
  <pageFields count="1">
    <pageField fld="10" hier="-1"/>
  </pageFields>
  <dataFields count="1">
    <dataField name="Suma de importe" fld="5" baseField="4" baseItem="0" numFmtId="4"/>
  </dataFields>
  <formats count="3">
    <format dxfId="8">
      <pivotArea field="6" type="button" dataOnly="0" labelOnly="1" outline="0" axis="axisRow" fieldPosition="1"/>
    </format>
    <format dxfId="7">
      <pivotArea dataOnly="0" labelOnly="1" grandRow="1" outline="0" fieldPosition="0"/>
    </format>
    <format dxfId="6">
      <pivotArea dataOnly="0" labelOnly="1" fieldPosition="0">
        <references count="2">
          <reference field="4" count="1" selected="0">
            <x v="4578"/>
          </reference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4D1C77-29CA-40EA-9C09-5C31FF5434F7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462"/>
  <sheetViews>
    <sheetView topLeftCell="D2446" zoomScaleNormal="100" workbookViewId="0">
      <selection activeCell="D2461" sqref="D2461"/>
    </sheetView>
  </sheetViews>
  <sheetFormatPr baseColWidth="10" defaultColWidth="11.42578125" defaultRowHeight="15" x14ac:dyDescent="0.25"/>
  <cols>
    <col min="1" max="1" width="12" style="37" bestFit="1" customWidth="1"/>
    <col min="2" max="2" width="11.7109375" style="37" bestFit="1" customWidth="1"/>
    <col min="3" max="3" width="14.85546875" style="39" bestFit="1" customWidth="1"/>
    <col min="4" max="4" width="72.85546875" style="37" bestFit="1" customWidth="1"/>
    <col min="5" max="5" width="11.7109375" style="37" bestFit="1" customWidth="1"/>
    <col min="6" max="6" width="15.5703125" style="39" bestFit="1" customWidth="1"/>
    <col min="7" max="7" width="11.7109375" style="38" bestFit="1" customWidth="1"/>
    <col min="8" max="8" width="10.85546875"/>
    <col min="9" max="9" width="11.85546875" style="37" bestFit="1" customWidth="1"/>
    <col min="10" max="10" width="18.28515625" style="37" bestFit="1" customWidth="1"/>
    <col min="11" max="12" width="11.42578125" style="37" customWidth="1"/>
    <col min="13" max="13" width="11.42578125" style="37"/>
    <col min="14" max="16" width="11.7109375" style="37" bestFit="1" customWidth="1"/>
    <col min="17" max="17" width="22.5703125" style="37" bestFit="1" customWidth="1"/>
    <col min="18" max="18" width="14" style="37" bestFit="1" customWidth="1"/>
    <col min="19" max="19" width="11.85546875" style="37" customWidth="1"/>
    <col min="20" max="20" width="11.7109375" style="37" bestFit="1" customWidth="1"/>
    <col min="21" max="21" width="13.42578125" style="37" bestFit="1" customWidth="1"/>
    <col min="22" max="22" width="16.7109375" style="37" bestFit="1" customWidth="1"/>
    <col min="23" max="23" width="14.5703125" style="37" customWidth="1"/>
    <col min="24" max="24" width="11.42578125" style="37"/>
    <col min="25" max="25" width="11.5703125" style="37" bestFit="1" customWidth="1"/>
    <col min="26" max="26" width="11.42578125" style="37"/>
    <col min="27" max="27" width="11.5703125" style="37" bestFit="1" customWidth="1"/>
    <col min="28" max="29" width="0" style="37" hidden="1" customWidth="1"/>
    <col min="30" max="16384" width="11.42578125" style="37"/>
  </cols>
  <sheetData>
    <row r="1" spans="1:27" ht="25.5" x14ac:dyDescent="0.25">
      <c r="A1" s="34" t="s">
        <v>2</v>
      </c>
      <c r="B1" s="34" t="s">
        <v>3</v>
      </c>
      <c r="C1" s="35" t="s">
        <v>4</v>
      </c>
      <c r="D1" s="34" t="s">
        <v>5</v>
      </c>
      <c r="E1" s="34" t="s">
        <v>46</v>
      </c>
      <c r="F1" s="35" t="s">
        <v>47</v>
      </c>
      <c r="G1" s="36" t="s">
        <v>6</v>
      </c>
      <c r="H1" t="s">
        <v>18</v>
      </c>
      <c r="I1" s="43" t="s">
        <v>48</v>
      </c>
      <c r="J1" s="43" t="s">
        <v>49</v>
      </c>
      <c r="K1" s="43" t="s">
        <v>50</v>
      </c>
      <c r="L1" s="43" t="s">
        <v>53</v>
      </c>
      <c r="M1" s="43" t="s">
        <v>54</v>
      </c>
      <c r="N1" s="44" t="s">
        <v>63</v>
      </c>
      <c r="O1" s="44" t="s">
        <v>60</v>
      </c>
      <c r="P1" s="44" t="s">
        <v>64</v>
      </c>
      <c r="Q1" s="44" t="s">
        <v>61</v>
      </c>
      <c r="R1" s="44" t="s">
        <v>62</v>
      </c>
      <c r="S1" s="44"/>
      <c r="T1" s="45" t="s">
        <v>55</v>
      </c>
      <c r="U1" s="46" t="s">
        <v>56</v>
      </c>
      <c r="V1" s="47">
        <f ca="1">+IF(U1="HOY",Y1,AA1)</f>
        <v>46272</v>
      </c>
      <c r="X1" s="48" t="s">
        <v>56</v>
      </c>
      <c r="Y1" s="49">
        <f ca="1">+TODAY()</f>
        <v>46272</v>
      </c>
      <c r="Z1" s="48" t="s">
        <v>57</v>
      </c>
      <c r="AA1" s="49">
        <v>44629</v>
      </c>
    </row>
    <row r="2" spans="1:27" customFormat="1" x14ac:dyDescent="0.25">
      <c r="A2" s="21">
        <v>3000000030</v>
      </c>
      <c r="B2" s="22">
        <v>45659</v>
      </c>
      <c r="C2" s="54">
        <v>0</v>
      </c>
      <c r="D2" s="21" t="s">
        <v>584</v>
      </c>
      <c r="E2" s="21">
        <v>91002228</v>
      </c>
      <c r="F2" s="54">
        <v>0</v>
      </c>
      <c r="G2" s="22">
        <v>45659</v>
      </c>
      <c r="H2" t="s">
        <v>79</v>
      </c>
      <c r="I2" s="51" t="str">
        <f>IFERROR(IF(VLOOKUP(E2,extracto!C:C,1,FALSE)=E2,"pagado","no pagado"),"no pagado")</f>
        <v>no pagado</v>
      </c>
      <c r="J2" s="52" t="str">
        <f t="shared" ref="J2:J6" ca="1" si="0">IF(I2="pagado","pagado",IF(G2&lt;$V$1-30,"fuera de fecha","en periodo de pago"))</f>
        <v>fuera de fecha</v>
      </c>
      <c r="K2" s="51" t="str">
        <f t="shared" ref="K2:K6" ca="1" si="1">+IF(B2&gt;$V$1,"excluir",IF(J2="en periodo de pago",IF($V$1&gt;G2,"a pagar","proximo a vencer"),"excluir"))</f>
        <v>excluir</v>
      </c>
      <c r="L2" s="51" t="str">
        <f t="shared" ref="L2:L6" ca="1" si="2">+IF(K2="proximo a vencer",IF($V$1+5&gt;G2,"para la semana","no semana"),"no semana")</f>
        <v>no semana</v>
      </c>
      <c r="M2" s="51" t="str">
        <f>IFERROR(VLOOKUP(E2,'cheques a conf'!A:D,4,FALSE),"no clearing")</f>
        <v>no clearing</v>
      </c>
      <c r="N2" s="51">
        <f t="shared" ref="N2:N6" si="3">+WEEKNUM(G2,2)</f>
        <v>1</v>
      </c>
      <c r="O2" s="53">
        <f t="shared" ref="O2:O6" si="4">+MONTH(G2)</f>
        <v>1</v>
      </c>
      <c r="P2" s="53">
        <f t="shared" ref="P2:P6" si="5">+YEAR(G2)</f>
        <v>2025</v>
      </c>
    </row>
    <row r="3" spans="1:27" customFormat="1" x14ac:dyDescent="0.25">
      <c r="A3" s="21">
        <v>3000000031</v>
      </c>
      <c r="B3" s="22">
        <v>45659</v>
      </c>
      <c r="C3" s="54">
        <v>4656543.4000000004</v>
      </c>
      <c r="D3" s="21" t="s">
        <v>585</v>
      </c>
      <c r="E3" s="21">
        <v>91002229</v>
      </c>
      <c r="F3" s="54">
        <v>4656543.4000000004</v>
      </c>
      <c r="G3" s="22">
        <v>45663</v>
      </c>
      <c r="H3" t="s">
        <v>79</v>
      </c>
      <c r="I3" s="51" t="str">
        <f>IFERROR(IF(VLOOKUP(E3,extracto!C:C,1,FALSE)=E3,"pagado","no pagado"),"no pagado")</f>
        <v>pagado</v>
      </c>
      <c r="J3" s="52" t="str">
        <f t="shared" si="0"/>
        <v>pagado</v>
      </c>
      <c r="K3" s="51" t="str">
        <f t="shared" ca="1" si="1"/>
        <v>excluir</v>
      </c>
      <c r="L3" s="51" t="str">
        <f t="shared" ca="1" si="2"/>
        <v>no semana</v>
      </c>
      <c r="M3" s="51" t="str">
        <f>IFERROR(VLOOKUP(E3,'cheques a conf'!A:D,4,FALSE),"no clearing")</f>
        <v>no clearing</v>
      </c>
      <c r="N3" s="51">
        <f t="shared" si="3"/>
        <v>2</v>
      </c>
      <c r="O3" s="53">
        <f t="shared" si="4"/>
        <v>1</v>
      </c>
      <c r="P3" s="53">
        <f t="shared" si="5"/>
        <v>2025</v>
      </c>
    </row>
    <row r="4" spans="1:27" customFormat="1" x14ac:dyDescent="0.25">
      <c r="A4" s="21">
        <v>3000000032</v>
      </c>
      <c r="B4" s="22">
        <v>45659</v>
      </c>
      <c r="C4" s="54">
        <v>4183758.4</v>
      </c>
      <c r="D4" s="21" t="s">
        <v>586</v>
      </c>
      <c r="E4" s="21">
        <v>91002230</v>
      </c>
      <c r="F4" s="54">
        <v>4183758.4</v>
      </c>
      <c r="G4" s="22">
        <v>45663</v>
      </c>
      <c r="H4" t="s">
        <v>79</v>
      </c>
      <c r="I4" s="51" t="str">
        <f>IFERROR(IF(VLOOKUP(E4,extracto!C:C,1,FALSE)=E4,"pagado","no pagado"),"no pagado")</f>
        <v>pagado</v>
      </c>
      <c r="J4" s="52" t="str">
        <f t="shared" si="0"/>
        <v>pagado</v>
      </c>
      <c r="K4" s="51" t="str">
        <f t="shared" ca="1" si="1"/>
        <v>excluir</v>
      </c>
      <c r="L4" s="51" t="str">
        <f t="shared" ca="1" si="2"/>
        <v>no semana</v>
      </c>
      <c r="M4" s="51" t="str">
        <f>IFERROR(VLOOKUP(E4,'cheques a conf'!A:D,4,FALSE),"no clearing")</f>
        <v>no clearing</v>
      </c>
      <c r="N4" s="51">
        <f t="shared" si="3"/>
        <v>2</v>
      </c>
      <c r="O4" s="53">
        <f t="shared" si="4"/>
        <v>1</v>
      </c>
      <c r="P4" s="53">
        <f t="shared" si="5"/>
        <v>2025</v>
      </c>
    </row>
    <row r="5" spans="1:27" customFormat="1" x14ac:dyDescent="0.25">
      <c r="A5" s="21">
        <v>3000000033</v>
      </c>
      <c r="B5" s="22">
        <v>45659</v>
      </c>
      <c r="C5" s="54">
        <v>9873403.4000000004</v>
      </c>
      <c r="D5" s="21" t="s">
        <v>587</v>
      </c>
      <c r="E5" s="21">
        <v>91002231</v>
      </c>
      <c r="F5" s="54">
        <v>9873403.4000000004</v>
      </c>
      <c r="G5" s="22">
        <v>45664</v>
      </c>
      <c r="H5" t="s">
        <v>79</v>
      </c>
      <c r="I5" s="51" t="str">
        <f>IFERROR(IF(VLOOKUP(E5,extracto!C:C,1,FALSE)=E5,"pagado","no pagado"),"no pagado")</f>
        <v>pagado</v>
      </c>
      <c r="J5" s="52" t="str">
        <f t="shared" si="0"/>
        <v>pagado</v>
      </c>
      <c r="K5" s="51" t="str">
        <f t="shared" ca="1" si="1"/>
        <v>excluir</v>
      </c>
      <c r="L5" s="51" t="str">
        <f t="shared" ca="1" si="2"/>
        <v>no semana</v>
      </c>
      <c r="M5" s="51" t="str">
        <f>IFERROR(VLOOKUP(E5,'cheques a conf'!A:D,4,FALSE),"no clearing")</f>
        <v>no clearing</v>
      </c>
      <c r="N5" s="51">
        <f t="shared" si="3"/>
        <v>2</v>
      </c>
      <c r="O5" s="53">
        <f t="shared" si="4"/>
        <v>1</v>
      </c>
      <c r="P5" s="53">
        <f t="shared" si="5"/>
        <v>2025</v>
      </c>
    </row>
    <row r="6" spans="1:27" customFormat="1" x14ac:dyDescent="0.25">
      <c r="A6" s="21">
        <v>3000000034</v>
      </c>
      <c r="B6" s="22">
        <v>45659</v>
      </c>
      <c r="C6" s="54">
        <v>6665838.2699999996</v>
      </c>
      <c r="D6" s="21" t="s">
        <v>588</v>
      </c>
      <c r="E6" s="21">
        <v>91002232</v>
      </c>
      <c r="F6" s="54">
        <v>6665838.2699999996</v>
      </c>
      <c r="G6" s="22">
        <v>45664</v>
      </c>
      <c r="H6" t="s">
        <v>79</v>
      </c>
      <c r="I6" s="51" t="str">
        <f>IFERROR(IF(VLOOKUP(E6,extracto!C:C,1,FALSE)=E6,"pagado","no pagado"),"no pagado")</f>
        <v>pagado</v>
      </c>
      <c r="J6" s="52" t="str">
        <f t="shared" si="0"/>
        <v>pagado</v>
      </c>
      <c r="K6" s="51" t="str">
        <f t="shared" ca="1" si="1"/>
        <v>excluir</v>
      </c>
      <c r="L6" s="51" t="str">
        <f t="shared" ca="1" si="2"/>
        <v>no semana</v>
      </c>
      <c r="M6" s="51" t="str">
        <f>IFERROR(VLOOKUP(E6,'cheques a conf'!A:D,4,FALSE),"no clearing")</f>
        <v>no clearing</v>
      </c>
      <c r="N6" s="51">
        <f t="shared" si="3"/>
        <v>2</v>
      </c>
      <c r="O6" s="53">
        <f t="shared" si="4"/>
        <v>1</v>
      </c>
      <c r="P6" s="53">
        <f t="shared" si="5"/>
        <v>2025</v>
      </c>
    </row>
    <row r="7" spans="1:27" customFormat="1" x14ac:dyDescent="0.25">
      <c r="A7" s="21">
        <v>3000000083</v>
      </c>
      <c r="B7" s="22">
        <v>45663</v>
      </c>
      <c r="C7" s="54">
        <v>6715811.7999999998</v>
      </c>
      <c r="D7" s="21" t="s">
        <v>589</v>
      </c>
      <c r="E7" s="21">
        <v>2927344</v>
      </c>
      <c r="F7" s="54">
        <v>6715811.7999999998</v>
      </c>
      <c r="G7" s="22">
        <v>45663</v>
      </c>
      <c r="H7" t="s">
        <v>13</v>
      </c>
      <c r="I7" s="51" t="str">
        <f>IFERROR(IF(VLOOKUP(E7,extracto!C:C,1,FALSE)=E7,"pagado","no pagado"),"no pagado")</f>
        <v>pagado</v>
      </c>
      <c r="J7" s="52" t="str">
        <f t="shared" ref="J7:J19" si="6">IF(I7="pagado","pagado",IF(G7&lt;$V$1-30,"fuera de fecha","en periodo de pago"))</f>
        <v>pagado</v>
      </c>
      <c r="K7" s="51" t="str">
        <f t="shared" ref="K7:K19" ca="1" si="7">+IF(B7&gt;$V$1,"excluir",IF(J7="en periodo de pago",IF($V$1&gt;G7,"a pagar","proximo a vencer"),"excluir"))</f>
        <v>excluir</v>
      </c>
      <c r="L7" s="51" t="str">
        <f t="shared" ref="L7:L19" ca="1" si="8">+IF(K7="proximo a vencer",IF($V$1+5&gt;G7,"para la semana","no semana"),"no semana")</f>
        <v>no semana</v>
      </c>
      <c r="M7" s="51" t="str">
        <f>IFERROR(VLOOKUP(E7,'cheques a conf'!A:D,4,FALSE),"no clearing")</f>
        <v>no clearing</v>
      </c>
      <c r="N7" s="51">
        <f t="shared" ref="N7:N19" si="9">+WEEKNUM(G7,2)</f>
        <v>2</v>
      </c>
      <c r="O7" s="53">
        <f t="shared" ref="O7:O19" si="10">+MONTH(G7)</f>
        <v>1</v>
      </c>
      <c r="P7" s="53">
        <f t="shared" ref="P7:P19" si="11">+YEAR(G7)</f>
        <v>2025</v>
      </c>
    </row>
    <row r="8" spans="1:27" customFormat="1" x14ac:dyDescent="0.25">
      <c r="A8" s="21">
        <v>3000000109</v>
      </c>
      <c r="B8" s="22">
        <v>45664</v>
      </c>
      <c r="C8" s="54">
        <v>37609623.539999999</v>
      </c>
      <c r="D8" s="21" t="s">
        <v>590</v>
      </c>
      <c r="E8" s="21">
        <v>2927345</v>
      </c>
      <c r="F8" s="54">
        <v>37609623.539999999</v>
      </c>
      <c r="G8" s="22">
        <v>45664</v>
      </c>
      <c r="H8" t="s">
        <v>13</v>
      </c>
      <c r="I8" s="51" t="str">
        <f>IFERROR(IF(VLOOKUP(E8,extracto!C:C,1,FALSE)=E8,"pagado","no pagado"),"no pagado")</f>
        <v>pagado</v>
      </c>
      <c r="J8" s="52" t="str">
        <f t="shared" si="6"/>
        <v>pagado</v>
      </c>
      <c r="K8" s="51" t="str">
        <f t="shared" ca="1" si="7"/>
        <v>excluir</v>
      </c>
      <c r="L8" s="51" t="str">
        <f t="shared" ca="1" si="8"/>
        <v>no semana</v>
      </c>
      <c r="M8" s="51" t="str">
        <f>IFERROR(VLOOKUP(E8,'cheques a conf'!A:D,4,FALSE),"no clearing")</f>
        <v>no clearing</v>
      </c>
      <c r="N8" s="51">
        <f t="shared" si="9"/>
        <v>2</v>
      </c>
      <c r="O8" s="53">
        <f t="shared" si="10"/>
        <v>1</v>
      </c>
      <c r="P8" s="53">
        <f t="shared" si="11"/>
        <v>2025</v>
      </c>
    </row>
    <row r="9" spans="1:27" customFormat="1" x14ac:dyDescent="0.25">
      <c r="A9" s="21">
        <v>3000000110</v>
      </c>
      <c r="B9" s="22">
        <v>45664</v>
      </c>
      <c r="C9" s="54">
        <v>18230418.23</v>
      </c>
      <c r="D9" s="21" t="s">
        <v>591</v>
      </c>
      <c r="E9" s="21">
        <v>2927346</v>
      </c>
      <c r="F9" s="54">
        <v>18230418.23</v>
      </c>
      <c r="G9" s="22">
        <v>45664</v>
      </c>
      <c r="H9" t="s">
        <v>13</v>
      </c>
      <c r="I9" s="51" t="str">
        <f>IFERROR(IF(VLOOKUP(E9,extracto!C:C,1,FALSE)=E9,"pagado","no pagado"),"no pagado")</f>
        <v>pagado</v>
      </c>
      <c r="J9" s="52" t="str">
        <f t="shared" si="6"/>
        <v>pagado</v>
      </c>
      <c r="K9" s="51" t="str">
        <f t="shared" ca="1" si="7"/>
        <v>excluir</v>
      </c>
      <c r="L9" s="51" t="str">
        <f t="shared" ca="1" si="8"/>
        <v>no semana</v>
      </c>
      <c r="M9" s="51" t="str">
        <f>IFERROR(VLOOKUP(E9,'cheques a conf'!A:D,4,FALSE),"no clearing")</f>
        <v>no clearing</v>
      </c>
      <c r="N9" s="51">
        <f t="shared" si="9"/>
        <v>2</v>
      </c>
      <c r="O9" s="53">
        <f t="shared" si="10"/>
        <v>1</v>
      </c>
      <c r="P9" s="53">
        <f t="shared" si="11"/>
        <v>2025</v>
      </c>
    </row>
    <row r="10" spans="1:27" customFormat="1" x14ac:dyDescent="0.25">
      <c r="A10" s="21">
        <v>3000000149</v>
      </c>
      <c r="B10" s="22">
        <v>45665</v>
      </c>
      <c r="C10" s="54">
        <v>20000000</v>
      </c>
      <c r="D10" s="21" t="s">
        <v>592</v>
      </c>
      <c r="E10" s="21">
        <v>91002234</v>
      </c>
      <c r="F10" s="54">
        <v>20000000</v>
      </c>
      <c r="G10" s="22">
        <v>45670</v>
      </c>
      <c r="H10" t="s">
        <v>79</v>
      </c>
      <c r="I10" s="51" t="str">
        <f>IFERROR(IF(VLOOKUP(E10,extracto!C:C,1,FALSE)=E10,"pagado","no pagado"),"no pagado")</f>
        <v>pagado</v>
      </c>
      <c r="J10" s="52" t="str">
        <f t="shared" si="6"/>
        <v>pagado</v>
      </c>
      <c r="K10" s="51" t="str">
        <f t="shared" ca="1" si="7"/>
        <v>excluir</v>
      </c>
      <c r="L10" s="51" t="str">
        <f t="shared" ca="1" si="8"/>
        <v>no semana</v>
      </c>
      <c r="M10" s="51" t="str">
        <f>IFERROR(VLOOKUP(E10,'cheques a conf'!A:D,4,FALSE),"no clearing")</f>
        <v>no clearing</v>
      </c>
      <c r="N10" s="51">
        <f t="shared" si="9"/>
        <v>3</v>
      </c>
      <c r="O10" s="53">
        <f t="shared" si="10"/>
        <v>1</v>
      </c>
      <c r="P10" s="53">
        <f t="shared" si="11"/>
        <v>2025</v>
      </c>
    </row>
    <row r="11" spans="1:27" customFormat="1" x14ac:dyDescent="0.25">
      <c r="A11" s="21">
        <v>3000000149</v>
      </c>
      <c r="B11" s="22">
        <v>45665</v>
      </c>
      <c r="C11" s="54">
        <v>19850367.920000002</v>
      </c>
      <c r="D11" s="21" t="s">
        <v>592</v>
      </c>
      <c r="E11" s="21">
        <v>91002235</v>
      </c>
      <c r="F11" s="54">
        <v>19850367.920000002</v>
      </c>
      <c r="G11" s="22">
        <v>45671</v>
      </c>
      <c r="H11" t="s">
        <v>79</v>
      </c>
      <c r="I11" s="51" t="str">
        <f>IFERROR(IF(VLOOKUP(E11,extracto!C:C,1,FALSE)=E11,"pagado","no pagado"),"no pagado")</f>
        <v>pagado</v>
      </c>
      <c r="J11" s="52" t="str">
        <f t="shared" si="6"/>
        <v>pagado</v>
      </c>
      <c r="K11" s="51" t="str">
        <f t="shared" ca="1" si="7"/>
        <v>excluir</v>
      </c>
      <c r="L11" s="51" t="str">
        <f t="shared" ca="1" si="8"/>
        <v>no semana</v>
      </c>
      <c r="M11" s="51" t="str">
        <f>IFERROR(VLOOKUP(E11,'cheques a conf'!A:D,4,FALSE),"no clearing")</f>
        <v>no clearing</v>
      </c>
      <c r="N11" s="51">
        <f t="shared" si="9"/>
        <v>3</v>
      </c>
      <c r="O11" s="53">
        <f t="shared" si="10"/>
        <v>1</v>
      </c>
      <c r="P11" s="53">
        <f t="shared" si="11"/>
        <v>2025</v>
      </c>
    </row>
    <row r="12" spans="1:27" customFormat="1" x14ac:dyDescent="0.25">
      <c r="A12" s="21">
        <v>3000000148</v>
      </c>
      <c r="B12" s="22">
        <v>45665</v>
      </c>
      <c r="C12" s="54">
        <v>22860153.16</v>
      </c>
      <c r="D12" s="21" t="s">
        <v>593</v>
      </c>
      <c r="E12" s="21">
        <v>91002233</v>
      </c>
      <c r="F12" s="54">
        <v>22860153.16</v>
      </c>
      <c r="G12" s="22">
        <v>45667</v>
      </c>
      <c r="H12" t="s">
        <v>79</v>
      </c>
      <c r="I12" s="51" t="str">
        <f>IFERROR(IF(VLOOKUP(E12,extracto!C:C,1,FALSE)=E12,"pagado","no pagado"),"no pagado")</f>
        <v>pagado</v>
      </c>
      <c r="J12" s="52" t="str">
        <f t="shared" si="6"/>
        <v>pagado</v>
      </c>
      <c r="K12" s="51" t="str">
        <f t="shared" ca="1" si="7"/>
        <v>excluir</v>
      </c>
      <c r="L12" s="51" t="str">
        <f t="shared" ca="1" si="8"/>
        <v>no semana</v>
      </c>
      <c r="M12" s="51" t="str">
        <f>IFERROR(VLOOKUP(E12,'cheques a conf'!A:D,4,FALSE),"no clearing")</f>
        <v>no clearing</v>
      </c>
      <c r="N12" s="51">
        <f t="shared" si="9"/>
        <v>2</v>
      </c>
      <c r="O12" s="53">
        <f t="shared" si="10"/>
        <v>1</v>
      </c>
      <c r="P12" s="53">
        <f t="shared" si="11"/>
        <v>2025</v>
      </c>
    </row>
    <row r="13" spans="1:27" customFormat="1" x14ac:dyDescent="0.25">
      <c r="A13" s="21">
        <v>3000000150</v>
      </c>
      <c r="B13" s="22">
        <v>45666</v>
      </c>
      <c r="C13" s="54">
        <v>2000000</v>
      </c>
      <c r="D13" s="21" t="s">
        <v>594</v>
      </c>
      <c r="E13" s="21">
        <v>94326781</v>
      </c>
      <c r="F13" s="54">
        <v>2000000</v>
      </c>
      <c r="G13" s="22">
        <v>45666</v>
      </c>
      <c r="H13" t="s">
        <v>13</v>
      </c>
      <c r="I13" s="51" t="str">
        <f>IFERROR(IF(VLOOKUP(E13,extracto!C:C,1,FALSE)=E13,"pagado","no pagado"),"no pagado")</f>
        <v>pagado</v>
      </c>
      <c r="J13" s="52" t="str">
        <f t="shared" si="6"/>
        <v>pagado</v>
      </c>
      <c r="K13" s="51" t="str">
        <f t="shared" ca="1" si="7"/>
        <v>excluir</v>
      </c>
      <c r="L13" s="51" t="str">
        <f t="shared" ca="1" si="8"/>
        <v>no semana</v>
      </c>
      <c r="M13" s="51" t="str">
        <f>IFERROR(VLOOKUP(E13,'cheques a conf'!A:D,4,FALSE),"no clearing")</f>
        <v>no clearing</v>
      </c>
      <c r="N13" s="51">
        <f t="shared" si="9"/>
        <v>2</v>
      </c>
      <c r="O13" s="53">
        <f t="shared" si="10"/>
        <v>1</v>
      </c>
      <c r="P13" s="53">
        <f t="shared" si="11"/>
        <v>2025</v>
      </c>
    </row>
    <row r="14" spans="1:27" customFormat="1" x14ac:dyDescent="0.25">
      <c r="A14" s="21">
        <v>3000000226</v>
      </c>
      <c r="B14" s="22">
        <v>45670</v>
      </c>
      <c r="C14" s="54">
        <v>120000000</v>
      </c>
      <c r="D14" s="21" t="s">
        <v>595</v>
      </c>
      <c r="E14" s="21">
        <v>94326782</v>
      </c>
      <c r="F14" s="54">
        <v>120000000</v>
      </c>
      <c r="G14" s="22">
        <v>45672</v>
      </c>
      <c r="H14" t="s">
        <v>13</v>
      </c>
      <c r="I14" s="51" t="str">
        <f>IFERROR(IF(VLOOKUP(E14,extracto!C:C,1,FALSE)=E14,"pagado","no pagado"),"no pagado")</f>
        <v>pagado</v>
      </c>
      <c r="J14" s="52" t="str">
        <f t="shared" si="6"/>
        <v>pagado</v>
      </c>
      <c r="K14" s="51" t="str">
        <f t="shared" ca="1" si="7"/>
        <v>excluir</v>
      </c>
      <c r="L14" s="51" t="str">
        <f t="shared" ca="1" si="8"/>
        <v>no semana</v>
      </c>
      <c r="M14" s="51" t="str">
        <f>IFERROR(VLOOKUP(E14,'cheques a conf'!A:D,4,FALSE),"no clearing")</f>
        <v>no clearing</v>
      </c>
      <c r="N14" s="51">
        <f t="shared" si="9"/>
        <v>3</v>
      </c>
      <c r="O14" s="53">
        <f t="shared" si="10"/>
        <v>1</v>
      </c>
      <c r="P14" s="53">
        <f t="shared" si="11"/>
        <v>2025</v>
      </c>
    </row>
    <row r="15" spans="1:27" customFormat="1" x14ac:dyDescent="0.25">
      <c r="A15" s="21">
        <v>3000000226</v>
      </c>
      <c r="B15" s="22">
        <v>45670</v>
      </c>
      <c r="C15" s="54">
        <v>22000000</v>
      </c>
      <c r="D15" s="21" t="s">
        <v>595</v>
      </c>
      <c r="E15" s="21">
        <v>94326783</v>
      </c>
      <c r="F15" s="54">
        <v>22000000</v>
      </c>
      <c r="G15" s="22">
        <v>45672</v>
      </c>
      <c r="H15" t="s">
        <v>13</v>
      </c>
      <c r="I15" s="51" t="str">
        <f>IFERROR(IF(VLOOKUP(E15,extracto!C:C,1,FALSE)=E15,"pagado","no pagado"),"no pagado")</f>
        <v>pagado</v>
      </c>
      <c r="J15" s="52" t="str">
        <f t="shared" si="6"/>
        <v>pagado</v>
      </c>
      <c r="K15" s="51" t="str">
        <f t="shared" ca="1" si="7"/>
        <v>excluir</v>
      </c>
      <c r="L15" s="51" t="str">
        <f t="shared" ca="1" si="8"/>
        <v>no semana</v>
      </c>
      <c r="M15" s="51" t="str">
        <f>IFERROR(VLOOKUP(E15,'cheques a conf'!A:D,4,FALSE),"no clearing")</f>
        <v>no clearing</v>
      </c>
      <c r="N15" s="51">
        <f t="shared" si="9"/>
        <v>3</v>
      </c>
      <c r="O15" s="53">
        <f t="shared" si="10"/>
        <v>1</v>
      </c>
      <c r="P15" s="53">
        <f t="shared" si="11"/>
        <v>2025</v>
      </c>
    </row>
    <row r="16" spans="1:27" customFormat="1" x14ac:dyDescent="0.25">
      <c r="A16" s="21">
        <v>3000000226</v>
      </c>
      <c r="B16" s="22">
        <v>45670</v>
      </c>
      <c r="C16" s="54">
        <v>6127000</v>
      </c>
      <c r="D16" s="21" t="s">
        <v>595</v>
      </c>
      <c r="E16" s="21">
        <v>94326784</v>
      </c>
      <c r="F16" s="54">
        <v>6127000</v>
      </c>
      <c r="G16" s="22">
        <v>45672</v>
      </c>
      <c r="H16" t="s">
        <v>13</v>
      </c>
      <c r="I16" s="51" t="str">
        <f>IFERROR(IF(VLOOKUP(E16,extracto!C:C,1,FALSE)=E16,"pagado","no pagado"),"no pagado")</f>
        <v>pagado</v>
      </c>
      <c r="J16" s="52" t="str">
        <f t="shared" si="6"/>
        <v>pagado</v>
      </c>
      <c r="K16" s="51" t="str">
        <f t="shared" ca="1" si="7"/>
        <v>excluir</v>
      </c>
      <c r="L16" s="51" t="str">
        <f t="shared" ca="1" si="8"/>
        <v>no semana</v>
      </c>
      <c r="M16" s="51" t="str">
        <f>IFERROR(VLOOKUP(E16,'cheques a conf'!A:D,4,FALSE),"no clearing")</f>
        <v>no clearing</v>
      </c>
      <c r="N16" s="51">
        <f t="shared" si="9"/>
        <v>3</v>
      </c>
      <c r="O16" s="53">
        <f t="shared" si="10"/>
        <v>1</v>
      </c>
      <c r="P16" s="53">
        <f t="shared" si="11"/>
        <v>2025</v>
      </c>
    </row>
    <row r="17" spans="1:16" customFormat="1" x14ac:dyDescent="0.25">
      <c r="A17" s="21">
        <v>3000000226</v>
      </c>
      <c r="B17" s="22">
        <v>45670</v>
      </c>
      <c r="C17" s="54">
        <v>2387500</v>
      </c>
      <c r="D17" s="21" t="s">
        <v>595</v>
      </c>
      <c r="E17">
        <v>94326785</v>
      </c>
      <c r="F17" s="54">
        <v>2387500</v>
      </c>
      <c r="G17" s="22">
        <v>45673</v>
      </c>
      <c r="H17" t="s">
        <v>13</v>
      </c>
      <c r="I17" s="51" t="str">
        <f>IFERROR(IF(VLOOKUP(E17,extracto!C:C,1,FALSE)=E17,"pagado","no pagado"),"no pagado")</f>
        <v>pagado</v>
      </c>
      <c r="J17" s="52" t="str">
        <f t="shared" si="6"/>
        <v>pagado</v>
      </c>
      <c r="K17" s="51" t="str">
        <f t="shared" ca="1" si="7"/>
        <v>excluir</v>
      </c>
      <c r="L17" s="51" t="str">
        <f t="shared" ca="1" si="8"/>
        <v>no semana</v>
      </c>
      <c r="M17" s="51" t="str">
        <f>IFERROR(VLOOKUP(E17,'cheques a conf'!A:D,4,FALSE),"no clearing")</f>
        <v>no clearing</v>
      </c>
      <c r="N17" s="51">
        <f t="shared" si="9"/>
        <v>3</v>
      </c>
      <c r="O17" s="53">
        <f t="shared" si="10"/>
        <v>1</v>
      </c>
      <c r="P17" s="53">
        <f t="shared" si="11"/>
        <v>2025</v>
      </c>
    </row>
    <row r="18" spans="1:16" customFormat="1" x14ac:dyDescent="0.25">
      <c r="A18" s="21">
        <v>3000000226</v>
      </c>
      <c r="B18" s="22">
        <v>45670</v>
      </c>
      <c r="C18" s="54">
        <v>2633358</v>
      </c>
      <c r="D18" s="21" t="s">
        <v>595</v>
      </c>
      <c r="E18" s="21">
        <v>94326786</v>
      </c>
      <c r="F18" s="54">
        <v>2633358</v>
      </c>
      <c r="G18" s="22">
        <v>45673</v>
      </c>
      <c r="H18" t="s">
        <v>13</v>
      </c>
      <c r="I18" s="51" t="str">
        <f>IFERROR(IF(VLOOKUP(E18,extracto!C:C,1,FALSE)=E18,"pagado","no pagado"),"no pagado")</f>
        <v>pagado</v>
      </c>
      <c r="J18" s="52" t="str">
        <f t="shared" si="6"/>
        <v>pagado</v>
      </c>
      <c r="K18" s="51" t="str">
        <f t="shared" ca="1" si="7"/>
        <v>excluir</v>
      </c>
      <c r="L18" s="51" t="str">
        <f t="shared" ca="1" si="8"/>
        <v>no semana</v>
      </c>
      <c r="M18" s="51" t="str">
        <f>IFERROR(VLOOKUP(E18,'cheques a conf'!A:D,4,FALSE),"no clearing")</f>
        <v>no clearing</v>
      </c>
      <c r="N18" s="51">
        <f t="shared" si="9"/>
        <v>3</v>
      </c>
      <c r="O18" s="53">
        <f t="shared" si="10"/>
        <v>1</v>
      </c>
      <c r="P18" s="53">
        <f t="shared" si="11"/>
        <v>2025</v>
      </c>
    </row>
    <row r="19" spans="1:16" customFormat="1" x14ac:dyDescent="0.25">
      <c r="A19" s="21">
        <v>3000000226</v>
      </c>
      <c r="B19" s="22">
        <v>45670</v>
      </c>
      <c r="C19" s="54">
        <v>12398389.27</v>
      </c>
      <c r="D19" s="21" t="s">
        <v>595</v>
      </c>
      <c r="E19" s="21">
        <v>94326787</v>
      </c>
      <c r="F19" s="54">
        <v>12398389.27</v>
      </c>
      <c r="G19" s="22">
        <v>45673</v>
      </c>
      <c r="H19" t="s">
        <v>13</v>
      </c>
      <c r="I19" s="51" t="str">
        <f>IFERROR(IF(VLOOKUP(E19,extracto!C:C,1,FALSE)=E19,"pagado","no pagado"),"no pagado")</f>
        <v>pagado</v>
      </c>
      <c r="J19" s="52" t="str">
        <f t="shared" si="6"/>
        <v>pagado</v>
      </c>
      <c r="K19" s="51" t="str">
        <f t="shared" ca="1" si="7"/>
        <v>excluir</v>
      </c>
      <c r="L19" s="51" t="str">
        <f t="shared" ca="1" si="8"/>
        <v>no semana</v>
      </c>
      <c r="M19" s="51" t="str">
        <f>IFERROR(VLOOKUP(E19,'cheques a conf'!A:D,4,FALSE),"no clearing")</f>
        <v>no clearing</v>
      </c>
      <c r="N19" s="51">
        <f t="shared" si="9"/>
        <v>3</v>
      </c>
      <c r="O19" s="53">
        <f t="shared" si="10"/>
        <v>1</v>
      </c>
      <c r="P19" s="53">
        <f t="shared" si="11"/>
        <v>2025</v>
      </c>
    </row>
    <row r="20" spans="1:16" customFormat="1" x14ac:dyDescent="0.25">
      <c r="A20" s="21">
        <v>3000000227</v>
      </c>
      <c r="B20" s="22">
        <v>45670</v>
      </c>
      <c r="C20" s="54">
        <v>21000000</v>
      </c>
      <c r="D20" s="21" t="s">
        <v>596</v>
      </c>
      <c r="E20" s="21">
        <v>2927347</v>
      </c>
      <c r="F20" s="54">
        <v>21000000</v>
      </c>
      <c r="G20" s="22">
        <v>45672</v>
      </c>
      <c r="H20" t="s">
        <v>13</v>
      </c>
      <c r="I20" s="51" t="str">
        <f>IFERROR(IF(VLOOKUP(E20,extracto!C:C,1,FALSE)=E20,"pagado","no pagado"),"no pagado")</f>
        <v>pagado</v>
      </c>
      <c r="J20" s="52" t="str">
        <f t="shared" ref="J20:J27" si="12">IF(I20="pagado","pagado",IF(G20&lt;$V$1-30,"fuera de fecha","en periodo de pago"))</f>
        <v>pagado</v>
      </c>
      <c r="K20" s="51" t="str">
        <f t="shared" ref="K20:K27" ca="1" si="13">+IF(B20&gt;$V$1,"excluir",IF(J20="en periodo de pago",IF($V$1&gt;G20,"a pagar","proximo a vencer"),"excluir"))</f>
        <v>excluir</v>
      </c>
      <c r="L20" s="51" t="str">
        <f t="shared" ref="L20:L27" ca="1" si="14">+IF(K20="proximo a vencer",IF($V$1+5&gt;G20,"para la semana","no semana"),"no semana")</f>
        <v>no semana</v>
      </c>
      <c r="M20" s="51" t="str">
        <f>IFERROR(VLOOKUP(E20,'cheques a conf'!A:D,4,FALSE),"no clearing")</f>
        <v>no clearing</v>
      </c>
      <c r="N20" s="51">
        <f t="shared" ref="N20:N27" si="15">+WEEKNUM(G20,2)</f>
        <v>3</v>
      </c>
      <c r="O20" s="53">
        <f t="shared" ref="O20:O27" si="16">+MONTH(G20)</f>
        <v>1</v>
      </c>
      <c r="P20" s="53">
        <f t="shared" ref="P20:P27" si="17">+YEAR(G20)</f>
        <v>2025</v>
      </c>
    </row>
    <row r="21" spans="1:16" customFormat="1" x14ac:dyDescent="0.25">
      <c r="A21" s="21">
        <v>3000000227</v>
      </c>
      <c r="B21" s="22">
        <v>45670</v>
      </c>
      <c r="C21" s="54">
        <v>20261104.68</v>
      </c>
      <c r="D21" s="21" t="s">
        <v>596</v>
      </c>
      <c r="E21" s="21">
        <v>2927348</v>
      </c>
      <c r="F21" s="54">
        <v>20261104.68</v>
      </c>
      <c r="G21" s="22">
        <v>45673</v>
      </c>
      <c r="H21" t="s">
        <v>13</v>
      </c>
      <c r="I21" s="51" t="str">
        <f>IFERROR(IF(VLOOKUP(E21,extracto!C:C,1,FALSE)=E21,"pagado","no pagado"),"no pagado")</f>
        <v>pagado</v>
      </c>
      <c r="J21" s="52" t="str">
        <f t="shared" si="12"/>
        <v>pagado</v>
      </c>
      <c r="K21" s="51" t="str">
        <f t="shared" ca="1" si="13"/>
        <v>excluir</v>
      </c>
      <c r="L21" s="51" t="str">
        <f t="shared" ca="1" si="14"/>
        <v>no semana</v>
      </c>
      <c r="M21" s="51" t="str">
        <f>IFERROR(VLOOKUP(E21,'cheques a conf'!A:D,4,FALSE),"no clearing")</f>
        <v>no clearing</v>
      </c>
      <c r="N21" s="51">
        <f t="shared" si="15"/>
        <v>3</v>
      </c>
      <c r="O21" s="53">
        <f t="shared" si="16"/>
        <v>1</v>
      </c>
      <c r="P21" s="53">
        <f t="shared" si="17"/>
        <v>2025</v>
      </c>
    </row>
    <row r="22" spans="1:16" customFormat="1" x14ac:dyDescent="0.25">
      <c r="A22" s="21">
        <v>3000000230</v>
      </c>
      <c r="B22" s="22">
        <v>45670</v>
      </c>
      <c r="C22" s="54">
        <v>23000000</v>
      </c>
      <c r="D22" s="21" t="s">
        <v>597</v>
      </c>
      <c r="E22" s="21">
        <v>2927351</v>
      </c>
      <c r="F22" s="54">
        <v>23000000</v>
      </c>
      <c r="G22" s="22">
        <v>45672</v>
      </c>
      <c r="H22" t="s">
        <v>13</v>
      </c>
      <c r="I22" s="51" t="str">
        <f>IFERROR(IF(VLOOKUP(E22,extracto!C:C,1,FALSE)=E22,"pagado","no pagado"),"no pagado")</f>
        <v>pagado</v>
      </c>
      <c r="J22" s="52" t="str">
        <f t="shared" si="12"/>
        <v>pagado</v>
      </c>
      <c r="K22" s="51" t="str">
        <f t="shared" ca="1" si="13"/>
        <v>excluir</v>
      </c>
      <c r="L22" s="51" t="str">
        <f t="shared" ca="1" si="14"/>
        <v>no semana</v>
      </c>
      <c r="M22" s="51" t="str">
        <f>IFERROR(VLOOKUP(E22,'cheques a conf'!A:D,4,FALSE),"no clearing")</f>
        <v>no clearing</v>
      </c>
      <c r="N22" s="51">
        <f t="shared" si="15"/>
        <v>3</v>
      </c>
      <c r="O22" s="53">
        <f t="shared" si="16"/>
        <v>1</v>
      </c>
      <c r="P22" s="53">
        <f t="shared" si="17"/>
        <v>2025</v>
      </c>
    </row>
    <row r="23" spans="1:16" customFormat="1" x14ac:dyDescent="0.25">
      <c r="A23" s="21">
        <v>3000000230</v>
      </c>
      <c r="B23" s="22">
        <v>45670</v>
      </c>
      <c r="C23" s="54">
        <v>22928224.420000002</v>
      </c>
      <c r="D23" s="21" t="s">
        <v>597</v>
      </c>
      <c r="E23" s="21">
        <v>2927352</v>
      </c>
      <c r="F23" s="54">
        <v>22928224.420000002</v>
      </c>
      <c r="G23" s="22">
        <v>45673</v>
      </c>
      <c r="H23" t="s">
        <v>13</v>
      </c>
      <c r="I23" s="51" t="str">
        <f>IFERROR(IF(VLOOKUP(E23,extracto!C:C,1,FALSE)=E23,"pagado","no pagado"),"no pagado")</f>
        <v>pagado</v>
      </c>
      <c r="J23" s="52" t="str">
        <f t="shared" si="12"/>
        <v>pagado</v>
      </c>
      <c r="K23" s="51" t="str">
        <f t="shared" ca="1" si="13"/>
        <v>excluir</v>
      </c>
      <c r="L23" s="51" t="str">
        <f t="shared" ca="1" si="14"/>
        <v>no semana</v>
      </c>
      <c r="M23" s="51" t="str">
        <f>IFERROR(VLOOKUP(E23,'cheques a conf'!A:D,4,FALSE),"no clearing")</f>
        <v>no clearing</v>
      </c>
      <c r="N23" s="51">
        <f t="shared" si="15"/>
        <v>3</v>
      </c>
      <c r="O23" s="53">
        <f t="shared" si="16"/>
        <v>1</v>
      </c>
      <c r="P23" s="53">
        <f t="shared" si="17"/>
        <v>2025</v>
      </c>
    </row>
    <row r="24" spans="1:16" customFormat="1" x14ac:dyDescent="0.25">
      <c r="A24" s="21">
        <v>3000000228</v>
      </c>
      <c r="B24" s="22">
        <v>45670</v>
      </c>
      <c r="C24" s="54">
        <v>5222989.75</v>
      </c>
      <c r="D24" s="21" t="s">
        <v>598</v>
      </c>
      <c r="E24" s="21">
        <v>2927349</v>
      </c>
      <c r="F24" s="54">
        <v>5222989.75</v>
      </c>
      <c r="G24" s="22">
        <v>45672</v>
      </c>
      <c r="H24" t="s">
        <v>13</v>
      </c>
      <c r="I24" s="51" t="str">
        <f>IFERROR(IF(VLOOKUP(E24,extracto!C:C,1,FALSE)=E24,"pagado","no pagado"),"no pagado")</f>
        <v>pagado</v>
      </c>
      <c r="J24" s="52" t="str">
        <f t="shared" si="12"/>
        <v>pagado</v>
      </c>
      <c r="K24" s="51" t="str">
        <f t="shared" ca="1" si="13"/>
        <v>excluir</v>
      </c>
      <c r="L24" s="51" t="str">
        <f t="shared" ca="1" si="14"/>
        <v>no semana</v>
      </c>
      <c r="M24" s="51" t="str">
        <f>IFERROR(VLOOKUP(E24,'cheques a conf'!A:D,4,FALSE),"no clearing")</f>
        <v>no clearing</v>
      </c>
      <c r="N24" s="51">
        <f t="shared" si="15"/>
        <v>3</v>
      </c>
      <c r="O24" s="53">
        <f t="shared" si="16"/>
        <v>1</v>
      </c>
      <c r="P24" s="53">
        <f t="shared" si="17"/>
        <v>2025</v>
      </c>
    </row>
    <row r="25" spans="1:16" customFormat="1" x14ac:dyDescent="0.25">
      <c r="A25" s="21">
        <v>3000000229</v>
      </c>
      <c r="B25" s="22">
        <v>45670</v>
      </c>
      <c r="C25" s="54">
        <v>9367605.0899999999</v>
      </c>
      <c r="D25" s="21" t="s">
        <v>74</v>
      </c>
      <c r="E25" s="21">
        <v>2927350</v>
      </c>
      <c r="F25" s="54">
        <v>9367605.0899999999</v>
      </c>
      <c r="G25" s="22">
        <v>45672</v>
      </c>
      <c r="H25" t="s">
        <v>13</v>
      </c>
      <c r="I25" s="51" t="str">
        <f>IFERROR(IF(VLOOKUP(E25,extracto!C:C,1,FALSE)=E25,"pagado","no pagado"),"no pagado")</f>
        <v>pagado</v>
      </c>
      <c r="J25" s="52" t="str">
        <f t="shared" si="12"/>
        <v>pagado</v>
      </c>
      <c r="K25" s="51" t="str">
        <f t="shared" ca="1" si="13"/>
        <v>excluir</v>
      </c>
      <c r="L25" s="51" t="str">
        <f t="shared" ca="1" si="14"/>
        <v>no semana</v>
      </c>
      <c r="M25" s="51" t="str">
        <f>IFERROR(VLOOKUP(E25,'cheques a conf'!A:D,4,FALSE),"no clearing")</f>
        <v>no clearing</v>
      </c>
      <c r="N25" s="51">
        <f t="shared" si="15"/>
        <v>3</v>
      </c>
      <c r="O25" s="53">
        <f t="shared" si="16"/>
        <v>1</v>
      </c>
      <c r="P25" s="53">
        <f t="shared" si="17"/>
        <v>2025</v>
      </c>
    </row>
    <row r="26" spans="1:16" customFormat="1" x14ac:dyDescent="0.25">
      <c r="A26" s="21">
        <v>3000000231</v>
      </c>
      <c r="B26" s="22">
        <v>45670</v>
      </c>
      <c r="C26" s="54">
        <v>6205901.4900000002</v>
      </c>
      <c r="D26" s="21" t="s">
        <v>78</v>
      </c>
      <c r="E26" s="21">
        <v>2927353</v>
      </c>
      <c r="F26" s="54">
        <v>6205901.4900000002</v>
      </c>
      <c r="G26" s="22">
        <v>45674</v>
      </c>
      <c r="H26" t="s">
        <v>13</v>
      </c>
      <c r="I26" s="51" t="str">
        <f>IFERROR(IF(VLOOKUP(E26,extracto!C:C,1,FALSE)=E26,"pagado","no pagado"),"no pagado")</f>
        <v>pagado</v>
      </c>
      <c r="J26" s="52" t="str">
        <f t="shared" si="12"/>
        <v>pagado</v>
      </c>
      <c r="K26" s="51" t="str">
        <f t="shared" ca="1" si="13"/>
        <v>excluir</v>
      </c>
      <c r="L26" s="51" t="str">
        <f t="shared" ca="1" si="14"/>
        <v>no semana</v>
      </c>
      <c r="M26" s="51" t="str">
        <f>IFERROR(VLOOKUP(E26,'cheques a conf'!A:D,4,FALSE),"no clearing")</f>
        <v>no clearing</v>
      </c>
      <c r="N26" s="51">
        <f t="shared" si="15"/>
        <v>3</v>
      </c>
      <c r="O26" s="53">
        <f t="shared" si="16"/>
        <v>1</v>
      </c>
      <c r="P26" s="53">
        <f t="shared" si="17"/>
        <v>2025</v>
      </c>
    </row>
    <row r="27" spans="1:16" customFormat="1" x14ac:dyDescent="0.25">
      <c r="A27" s="21">
        <v>3000000232</v>
      </c>
      <c r="B27" s="22">
        <v>45670</v>
      </c>
      <c r="C27" s="54">
        <v>8636029.0899999999</v>
      </c>
      <c r="D27" s="21" t="s">
        <v>599</v>
      </c>
      <c r="E27" s="21">
        <v>2927354</v>
      </c>
      <c r="F27" s="54">
        <v>8636029.0899999999</v>
      </c>
      <c r="G27" s="22">
        <v>45674</v>
      </c>
      <c r="H27" t="s">
        <v>13</v>
      </c>
      <c r="I27" s="51" t="str">
        <f>IFERROR(IF(VLOOKUP(E27,extracto!C:C,1,FALSE)=E27,"pagado","no pagado"),"no pagado")</f>
        <v>pagado</v>
      </c>
      <c r="J27" s="52" t="str">
        <f t="shared" si="12"/>
        <v>pagado</v>
      </c>
      <c r="K27" s="51" t="str">
        <f t="shared" ca="1" si="13"/>
        <v>excluir</v>
      </c>
      <c r="L27" s="51" t="str">
        <f t="shared" ca="1" si="14"/>
        <v>no semana</v>
      </c>
      <c r="M27" s="51" t="str">
        <f>IFERROR(VLOOKUP(E27,'cheques a conf'!A:D,4,FALSE),"no clearing")</f>
        <v>no clearing</v>
      </c>
      <c r="N27" s="51">
        <f t="shared" si="15"/>
        <v>3</v>
      </c>
      <c r="O27" s="53">
        <f t="shared" si="16"/>
        <v>1</v>
      </c>
      <c r="P27" s="53">
        <f t="shared" si="17"/>
        <v>2025</v>
      </c>
    </row>
    <row r="28" spans="1:16" customFormat="1" x14ac:dyDescent="0.25">
      <c r="A28">
        <v>3000000268</v>
      </c>
      <c r="B28" s="22">
        <v>45670</v>
      </c>
      <c r="C28" s="4">
        <v>2024279</v>
      </c>
      <c r="D28" t="s">
        <v>595</v>
      </c>
      <c r="E28">
        <v>94326788</v>
      </c>
      <c r="F28" s="4">
        <v>2024279</v>
      </c>
      <c r="G28" s="3">
        <v>45674</v>
      </c>
      <c r="H28" t="s">
        <v>13</v>
      </c>
      <c r="I28" s="51" t="str">
        <f>IFERROR(IF(VLOOKUP(E28,extracto!C:C,1,FALSE)=E28,"pagado","no pagado"),"no pagado")</f>
        <v>pagado</v>
      </c>
      <c r="J28" s="52" t="str">
        <f t="shared" ref="J28:J30" si="18">IF(I28="pagado","pagado",IF(G28&lt;$V$1-30,"fuera de fecha","en periodo de pago"))</f>
        <v>pagado</v>
      </c>
      <c r="K28" s="51" t="str">
        <f t="shared" ref="K28:K30" ca="1" si="19">+IF(B28&gt;$V$1,"excluir",IF(J28="en periodo de pago",IF($V$1&gt;G28,"a pagar","proximo a vencer"),"excluir"))</f>
        <v>excluir</v>
      </c>
      <c r="L28" s="51" t="str">
        <f t="shared" ref="L28:L30" ca="1" si="20">+IF(K28="proximo a vencer",IF($V$1+5&gt;G28,"para la semana","no semana"),"no semana")</f>
        <v>no semana</v>
      </c>
      <c r="M28" s="51" t="str">
        <f>IFERROR(VLOOKUP(E28,'cheques a conf'!A:D,4,FALSE),"no clearing")</f>
        <v>no clearing</v>
      </c>
      <c r="N28" s="51">
        <f t="shared" ref="N28:N30" si="21">+WEEKNUM(G28,2)</f>
        <v>3</v>
      </c>
      <c r="O28" s="53">
        <f t="shared" ref="O28:O30" si="22">+MONTH(G28)</f>
        <v>1</v>
      </c>
      <c r="P28" s="53">
        <f t="shared" ref="P28:P30" si="23">+YEAR(G28)</f>
        <v>2025</v>
      </c>
    </row>
    <row r="29" spans="1:16" customFormat="1" x14ac:dyDescent="0.25">
      <c r="A29">
        <v>3000000268</v>
      </c>
      <c r="B29" s="22">
        <v>45670</v>
      </c>
      <c r="C29" s="4">
        <v>1282000</v>
      </c>
      <c r="D29" t="s">
        <v>595</v>
      </c>
      <c r="E29">
        <v>94326789</v>
      </c>
      <c r="F29" s="4">
        <v>1282000</v>
      </c>
      <c r="G29" s="3">
        <v>45674</v>
      </c>
      <c r="H29" t="s">
        <v>13</v>
      </c>
      <c r="I29" s="51" t="str">
        <f>IFERROR(IF(VLOOKUP(E29,extracto!C:C,1,FALSE)=E29,"pagado","no pagado"),"no pagado")</f>
        <v>pagado</v>
      </c>
      <c r="J29" s="52" t="str">
        <f t="shared" si="18"/>
        <v>pagado</v>
      </c>
      <c r="K29" s="51" t="str">
        <f t="shared" ca="1" si="19"/>
        <v>excluir</v>
      </c>
      <c r="L29" s="51" t="str">
        <f t="shared" ca="1" si="20"/>
        <v>no semana</v>
      </c>
      <c r="M29" s="51" t="str">
        <f>IFERROR(VLOOKUP(E29,'cheques a conf'!A:D,4,FALSE),"no clearing")</f>
        <v>no clearing</v>
      </c>
      <c r="N29" s="51">
        <f t="shared" si="21"/>
        <v>3</v>
      </c>
      <c r="O29" s="53">
        <f t="shared" si="22"/>
        <v>1</v>
      </c>
      <c r="P29" s="53">
        <f t="shared" si="23"/>
        <v>2025</v>
      </c>
    </row>
    <row r="30" spans="1:16" customFormat="1" x14ac:dyDescent="0.25">
      <c r="A30">
        <v>3000000268</v>
      </c>
      <c r="B30" s="22">
        <v>45670</v>
      </c>
      <c r="C30" s="4">
        <v>28812441.129999999</v>
      </c>
      <c r="D30" t="s">
        <v>595</v>
      </c>
      <c r="E30">
        <v>94326790</v>
      </c>
      <c r="F30" s="4">
        <v>28812441.129999999</v>
      </c>
      <c r="G30" s="3">
        <v>45674</v>
      </c>
      <c r="H30" t="s">
        <v>13</v>
      </c>
      <c r="I30" s="51" t="str">
        <f>IFERROR(IF(VLOOKUP(E30,extracto!C:C,1,FALSE)=E30,"pagado","no pagado"),"no pagado")</f>
        <v>pagado</v>
      </c>
      <c r="J30" s="52" t="str">
        <f t="shared" si="18"/>
        <v>pagado</v>
      </c>
      <c r="K30" s="51" t="str">
        <f t="shared" ca="1" si="19"/>
        <v>excluir</v>
      </c>
      <c r="L30" s="51" t="str">
        <f t="shared" ca="1" si="20"/>
        <v>no semana</v>
      </c>
      <c r="M30" s="51" t="str">
        <f>IFERROR(VLOOKUP(E30,'cheques a conf'!A:D,4,FALSE),"no clearing")</f>
        <v>no clearing</v>
      </c>
      <c r="N30" s="51">
        <f t="shared" si="21"/>
        <v>3</v>
      </c>
      <c r="O30" s="53">
        <f t="shared" si="22"/>
        <v>1</v>
      </c>
      <c r="P30" s="53">
        <f t="shared" si="23"/>
        <v>2025</v>
      </c>
    </row>
    <row r="31" spans="1:16" customFormat="1" x14ac:dyDescent="0.25">
      <c r="A31" s="21">
        <v>3000000325</v>
      </c>
      <c r="B31" s="22">
        <v>45677</v>
      </c>
      <c r="C31" s="54">
        <v>10000000</v>
      </c>
      <c r="D31" s="21" t="s">
        <v>86</v>
      </c>
      <c r="E31" s="21">
        <v>94326791</v>
      </c>
      <c r="F31" s="54">
        <v>10000000</v>
      </c>
      <c r="G31" s="22">
        <v>45680</v>
      </c>
      <c r="H31" t="s">
        <v>13</v>
      </c>
      <c r="I31" s="51" t="str">
        <f>IFERROR(IF(VLOOKUP(E31,extracto!C:C,1,FALSE)=E31,"pagado","no pagado"),"no pagado")</f>
        <v>pagado</v>
      </c>
      <c r="J31" s="52" t="str">
        <f t="shared" ref="J31:J42" si="24">IF(I31="pagado","pagado",IF(G31&lt;$V$1-30,"fuera de fecha","en periodo de pago"))</f>
        <v>pagado</v>
      </c>
      <c r="K31" s="51" t="str">
        <f t="shared" ref="K31:K42" ca="1" si="25">+IF(B31&gt;$V$1,"excluir",IF(J31="en periodo de pago",IF($V$1&gt;G31,"a pagar","proximo a vencer"),"excluir"))</f>
        <v>excluir</v>
      </c>
      <c r="L31" s="51" t="str">
        <f t="shared" ref="L31:L42" ca="1" si="26">+IF(K31="proximo a vencer",IF($V$1+5&gt;G31,"para la semana","no semana"),"no semana")</f>
        <v>no semana</v>
      </c>
      <c r="M31" s="51" t="str">
        <f>IFERROR(VLOOKUP(E31,'cheques a conf'!A:D,4,FALSE),"no clearing")</f>
        <v>no clearing</v>
      </c>
      <c r="N31" s="51">
        <f t="shared" ref="N31:N42" si="27">+WEEKNUM(G31,2)</f>
        <v>4</v>
      </c>
      <c r="O31" s="53">
        <f t="shared" ref="O31:O42" si="28">+MONTH(G31)</f>
        <v>1</v>
      </c>
      <c r="P31" s="53">
        <f t="shared" ref="P31:P42" si="29">+YEAR(G31)</f>
        <v>2025</v>
      </c>
    </row>
    <row r="32" spans="1:16" customFormat="1" x14ac:dyDescent="0.25">
      <c r="A32" s="21">
        <v>3000000325</v>
      </c>
      <c r="B32" s="22">
        <v>45677</v>
      </c>
      <c r="C32" s="54">
        <v>5000000</v>
      </c>
      <c r="D32" s="21" t="s">
        <v>86</v>
      </c>
      <c r="E32" s="21">
        <v>94326792</v>
      </c>
      <c r="F32" s="54">
        <v>5000000</v>
      </c>
      <c r="G32" s="22">
        <v>45680</v>
      </c>
      <c r="H32" t="s">
        <v>13</v>
      </c>
      <c r="I32" s="51" t="str">
        <f>IFERROR(IF(VLOOKUP(E32,extracto!C:C,1,FALSE)=E32,"pagado","no pagado"),"no pagado")</f>
        <v>pagado</v>
      </c>
      <c r="J32" s="52" t="str">
        <f t="shared" si="24"/>
        <v>pagado</v>
      </c>
      <c r="K32" s="51" t="str">
        <f t="shared" ca="1" si="25"/>
        <v>excluir</v>
      </c>
      <c r="L32" s="51" t="str">
        <f t="shared" ca="1" si="26"/>
        <v>no semana</v>
      </c>
      <c r="M32" s="51" t="str">
        <f>IFERROR(VLOOKUP(E32,'cheques a conf'!A:D,4,FALSE),"no clearing")</f>
        <v>no clearing</v>
      </c>
      <c r="N32" s="51">
        <f t="shared" si="27"/>
        <v>4</v>
      </c>
      <c r="O32" s="53">
        <f t="shared" si="28"/>
        <v>1</v>
      </c>
      <c r="P32" s="53">
        <f t="shared" si="29"/>
        <v>2025</v>
      </c>
    </row>
    <row r="33" spans="1:16" customFormat="1" x14ac:dyDescent="0.25">
      <c r="A33" s="21">
        <v>3000000325</v>
      </c>
      <c r="B33" s="22">
        <v>45677</v>
      </c>
      <c r="C33" s="54">
        <v>5966545.0499999998</v>
      </c>
      <c r="D33" s="21" t="s">
        <v>86</v>
      </c>
      <c r="E33" s="21">
        <v>94326793</v>
      </c>
      <c r="F33" s="54">
        <v>5966545.0499999998</v>
      </c>
      <c r="G33" s="22">
        <v>45681</v>
      </c>
      <c r="H33" t="s">
        <v>13</v>
      </c>
      <c r="I33" s="51" t="str">
        <f>IFERROR(IF(VLOOKUP(E33,extracto!C:C,1,FALSE)=E33,"pagado","no pagado"),"no pagado")</f>
        <v>pagado</v>
      </c>
      <c r="J33" s="52" t="str">
        <f t="shared" si="24"/>
        <v>pagado</v>
      </c>
      <c r="K33" s="51" t="str">
        <f t="shared" ca="1" si="25"/>
        <v>excluir</v>
      </c>
      <c r="L33" s="51" t="str">
        <f t="shared" ca="1" si="26"/>
        <v>no semana</v>
      </c>
      <c r="M33" s="51" t="str">
        <f>IFERROR(VLOOKUP(E33,'cheques a conf'!A:D,4,FALSE),"no clearing")</f>
        <v>no clearing</v>
      </c>
      <c r="N33" s="51">
        <f t="shared" si="27"/>
        <v>4</v>
      </c>
      <c r="O33" s="53">
        <f t="shared" si="28"/>
        <v>1</v>
      </c>
      <c r="P33" s="53">
        <f t="shared" si="29"/>
        <v>2025</v>
      </c>
    </row>
    <row r="34" spans="1:16" customFormat="1" x14ac:dyDescent="0.25">
      <c r="A34" s="21">
        <v>3000000330</v>
      </c>
      <c r="B34" s="22">
        <v>45677</v>
      </c>
      <c r="C34" s="54">
        <v>20000000</v>
      </c>
      <c r="D34" s="21" t="s">
        <v>591</v>
      </c>
      <c r="E34" s="21">
        <v>2927358</v>
      </c>
      <c r="F34" s="54">
        <v>20000000</v>
      </c>
      <c r="G34" s="22">
        <v>45680</v>
      </c>
      <c r="H34" t="s">
        <v>13</v>
      </c>
      <c r="I34" s="51" t="str">
        <f>IFERROR(IF(VLOOKUP(E34,extracto!C:C,1,FALSE)=E34,"pagado","no pagado"),"no pagado")</f>
        <v>pagado</v>
      </c>
      <c r="J34" s="52" t="str">
        <f t="shared" si="24"/>
        <v>pagado</v>
      </c>
      <c r="K34" s="51" t="str">
        <f t="shared" ca="1" si="25"/>
        <v>excluir</v>
      </c>
      <c r="L34" s="51" t="str">
        <f t="shared" ca="1" si="26"/>
        <v>no semana</v>
      </c>
      <c r="M34" s="51" t="str">
        <f>IFERROR(VLOOKUP(E34,'cheques a conf'!A:D,4,FALSE),"no clearing")</f>
        <v>no clearing</v>
      </c>
      <c r="N34" s="51">
        <f t="shared" si="27"/>
        <v>4</v>
      </c>
      <c r="O34" s="53">
        <f t="shared" si="28"/>
        <v>1</v>
      </c>
      <c r="P34" s="53">
        <f t="shared" si="29"/>
        <v>2025</v>
      </c>
    </row>
    <row r="35" spans="1:16" customFormat="1" x14ac:dyDescent="0.25">
      <c r="A35" s="21">
        <v>3000000330</v>
      </c>
      <c r="B35" s="22">
        <v>45677</v>
      </c>
      <c r="C35" s="54">
        <v>17169371.920000002</v>
      </c>
      <c r="D35" s="21" t="s">
        <v>591</v>
      </c>
      <c r="E35" s="21">
        <v>2927359</v>
      </c>
      <c r="F35" s="54">
        <v>17169371.920000002</v>
      </c>
      <c r="G35" s="22">
        <v>45681</v>
      </c>
      <c r="H35" t="s">
        <v>13</v>
      </c>
      <c r="I35" s="51" t="str">
        <f>IFERROR(IF(VLOOKUP(E35,extracto!C:C,1,FALSE)=E35,"pagado","no pagado"),"no pagado")</f>
        <v>pagado</v>
      </c>
      <c r="J35" s="52" t="str">
        <f t="shared" si="24"/>
        <v>pagado</v>
      </c>
      <c r="K35" s="51" t="str">
        <f t="shared" ca="1" si="25"/>
        <v>excluir</v>
      </c>
      <c r="L35" s="51" t="str">
        <f t="shared" ca="1" si="26"/>
        <v>no semana</v>
      </c>
      <c r="M35" s="51" t="str">
        <f>IFERROR(VLOOKUP(E35,'cheques a conf'!A:D,4,FALSE),"no clearing")</f>
        <v>no clearing</v>
      </c>
      <c r="N35" s="51">
        <f t="shared" si="27"/>
        <v>4</v>
      </c>
      <c r="O35" s="53">
        <f t="shared" si="28"/>
        <v>1</v>
      </c>
      <c r="P35" s="53">
        <f t="shared" si="29"/>
        <v>2025</v>
      </c>
    </row>
    <row r="36" spans="1:16" customFormat="1" x14ac:dyDescent="0.25">
      <c r="A36" s="21">
        <v>3000000326</v>
      </c>
      <c r="B36" s="22">
        <v>45677</v>
      </c>
      <c r="C36" s="54">
        <v>220008590</v>
      </c>
      <c r="D36" s="21" t="s">
        <v>25</v>
      </c>
      <c r="E36" s="21">
        <v>94326794</v>
      </c>
      <c r="F36" s="54">
        <v>220008590</v>
      </c>
      <c r="G36" s="22">
        <v>45678</v>
      </c>
      <c r="H36" t="s">
        <v>13</v>
      </c>
      <c r="I36" s="51" t="str">
        <f>IFERROR(IF(VLOOKUP(E36,extracto!C:C,1,FALSE)=E36,"pagado","no pagado"),"no pagado")</f>
        <v>pagado</v>
      </c>
      <c r="J36" s="52" t="str">
        <f t="shared" si="24"/>
        <v>pagado</v>
      </c>
      <c r="K36" s="51" t="str">
        <f t="shared" ca="1" si="25"/>
        <v>excluir</v>
      </c>
      <c r="L36" s="51" t="str">
        <f t="shared" ca="1" si="26"/>
        <v>no semana</v>
      </c>
      <c r="M36" s="51" t="str">
        <f>IFERROR(VLOOKUP(E36,'cheques a conf'!A:D,4,FALSE),"no clearing")</f>
        <v>no clearing</v>
      </c>
      <c r="N36" s="51">
        <f t="shared" si="27"/>
        <v>4</v>
      </c>
      <c r="O36" s="53">
        <f t="shared" si="28"/>
        <v>1</v>
      </c>
      <c r="P36" s="53">
        <f t="shared" si="29"/>
        <v>2025</v>
      </c>
    </row>
    <row r="37" spans="1:16" customFormat="1" x14ac:dyDescent="0.25">
      <c r="A37" s="21">
        <v>3000000327</v>
      </c>
      <c r="B37" s="22">
        <v>45677</v>
      </c>
      <c r="C37" s="54">
        <v>6651581.3499999996</v>
      </c>
      <c r="D37" s="21" t="s">
        <v>600</v>
      </c>
      <c r="E37" s="21">
        <v>2927355</v>
      </c>
      <c r="F37" s="54">
        <v>6651581.3499999996</v>
      </c>
      <c r="G37" s="22">
        <v>45680</v>
      </c>
      <c r="H37" t="s">
        <v>13</v>
      </c>
      <c r="I37" s="51" t="str">
        <f>IFERROR(IF(VLOOKUP(E37,extracto!C:C,1,FALSE)=E37,"pagado","no pagado"),"no pagado")</f>
        <v>pagado</v>
      </c>
      <c r="J37" s="52" t="str">
        <f t="shared" si="24"/>
        <v>pagado</v>
      </c>
      <c r="K37" s="51" t="str">
        <f t="shared" ca="1" si="25"/>
        <v>excluir</v>
      </c>
      <c r="L37" s="51" t="str">
        <f t="shared" ca="1" si="26"/>
        <v>no semana</v>
      </c>
      <c r="M37" s="51" t="str">
        <f>IFERROR(VLOOKUP(E37,'cheques a conf'!A:D,4,FALSE),"no clearing")</f>
        <v>no clearing</v>
      </c>
      <c r="N37" s="51">
        <f t="shared" si="27"/>
        <v>4</v>
      </c>
      <c r="O37" s="53">
        <f t="shared" si="28"/>
        <v>1</v>
      </c>
      <c r="P37" s="53">
        <f t="shared" si="29"/>
        <v>2025</v>
      </c>
    </row>
    <row r="38" spans="1:16" customFormat="1" x14ac:dyDescent="0.25">
      <c r="A38" s="21">
        <v>3000000328</v>
      </c>
      <c r="B38" s="22">
        <v>45677</v>
      </c>
      <c r="C38" s="54">
        <v>5200982.25</v>
      </c>
      <c r="D38" s="21" t="s">
        <v>597</v>
      </c>
      <c r="E38" s="21">
        <v>2927356</v>
      </c>
      <c r="F38" s="54">
        <v>5200982.25</v>
      </c>
      <c r="G38" s="22">
        <v>45680</v>
      </c>
      <c r="H38" t="s">
        <v>13</v>
      </c>
      <c r="I38" s="51" t="str">
        <f>IFERROR(IF(VLOOKUP(E38,extracto!C:C,1,FALSE)=E38,"pagado","no pagado"),"no pagado")</f>
        <v>pagado</v>
      </c>
      <c r="J38" s="52" t="str">
        <f t="shared" si="24"/>
        <v>pagado</v>
      </c>
      <c r="K38" s="51" t="str">
        <f t="shared" ca="1" si="25"/>
        <v>excluir</v>
      </c>
      <c r="L38" s="51" t="str">
        <f t="shared" ca="1" si="26"/>
        <v>no semana</v>
      </c>
      <c r="M38" s="51" t="str">
        <f>IFERROR(VLOOKUP(E38,'cheques a conf'!A:D,4,FALSE),"no clearing")</f>
        <v>no clearing</v>
      </c>
      <c r="N38" s="51">
        <f t="shared" si="27"/>
        <v>4</v>
      </c>
      <c r="O38" s="53">
        <f t="shared" si="28"/>
        <v>1</v>
      </c>
      <c r="P38" s="53">
        <f t="shared" si="29"/>
        <v>2025</v>
      </c>
    </row>
    <row r="39" spans="1:16" customFormat="1" x14ac:dyDescent="0.25">
      <c r="A39" s="21">
        <v>3000000329</v>
      </c>
      <c r="B39" s="22">
        <v>45677</v>
      </c>
      <c r="C39" s="54">
        <v>11692197.359999999</v>
      </c>
      <c r="D39" s="21" t="s">
        <v>601</v>
      </c>
      <c r="E39" s="21">
        <v>2927357</v>
      </c>
      <c r="F39" s="54">
        <v>11692197.359999999</v>
      </c>
      <c r="G39" s="22">
        <v>45680</v>
      </c>
      <c r="H39" t="s">
        <v>13</v>
      </c>
      <c r="I39" s="51" t="str">
        <f>IFERROR(IF(VLOOKUP(E39,extracto!C:C,1,FALSE)=E39,"pagado","no pagado"),"no pagado")</f>
        <v>pagado</v>
      </c>
      <c r="J39" s="52" t="str">
        <f t="shared" si="24"/>
        <v>pagado</v>
      </c>
      <c r="K39" s="51" t="str">
        <f t="shared" ca="1" si="25"/>
        <v>excluir</v>
      </c>
      <c r="L39" s="51" t="str">
        <f t="shared" ca="1" si="26"/>
        <v>no semana</v>
      </c>
      <c r="M39" s="51" t="str">
        <f>IFERROR(VLOOKUP(E39,'cheques a conf'!A:D,4,FALSE),"no clearing")</f>
        <v>no clearing</v>
      </c>
      <c r="N39" s="51">
        <f t="shared" si="27"/>
        <v>4</v>
      </c>
      <c r="O39" s="53">
        <f t="shared" si="28"/>
        <v>1</v>
      </c>
      <c r="P39" s="53">
        <f t="shared" si="29"/>
        <v>2025</v>
      </c>
    </row>
    <row r="40" spans="1:16" customFormat="1" x14ac:dyDescent="0.25">
      <c r="A40" s="21">
        <v>3000000331</v>
      </c>
      <c r="B40" s="22">
        <v>45677</v>
      </c>
      <c r="C40" s="54">
        <v>5458642</v>
      </c>
      <c r="D40" s="21" t="s">
        <v>602</v>
      </c>
      <c r="E40" s="21">
        <v>2927360</v>
      </c>
      <c r="F40" s="54">
        <v>5458642</v>
      </c>
      <c r="G40" s="22">
        <v>45680</v>
      </c>
      <c r="H40" t="s">
        <v>13</v>
      </c>
      <c r="I40" s="51" t="str">
        <f>IFERROR(IF(VLOOKUP(E40,extracto!C:C,1,FALSE)=E40,"pagado","no pagado"),"no pagado")</f>
        <v>pagado</v>
      </c>
      <c r="J40" s="52" t="str">
        <f t="shared" si="24"/>
        <v>pagado</v>
      </c>
      <c r="K40" s="51" t="str">
        <f t="shared" ca="1" si="25"/>
        <v>excluir</v>
      </c>
      <c r="L40" s="51" t="str">
        <f t="shared" ca="1" si="26"/>
        <v>no semana</v>
      </c>
      <c r="M40" s="51" t="str">
        <f>IFERROR(VLOOKUP(E40,'cheques a conf'!A:D,4,FALSE),"no clearing")</f>
        <v>no clearing</v>
      </c>
      <c r="N40" s="51">
        <f t="shared" si="27"/>
        <v>4</v>
      </c>
      <c r="O40" s="53">
        <f t="shared" si="28"/>
        <v>1</v>
      </c>
      <c r="P40" s="53">
        <f t="shared" si="29"/>
        <v>2025</v>
      </c>
    </row>
    <row r="41" spans="1:16" customFormat="1" x14ac:dyDescent="0.25">
      <c r="A41" s="21">
        <v>3000000332</v>
      </c>
      <c r="B41" s="22">
        <v>45677</v>
      </c>
      <c r="C41" s="54">
        <v>7519903.3200000003</v>
      </c>
      <c r="D41" s="21" t="s">
        <v>100</v>
      </c>
      <c r="E41" s="21">
        <v>2927361</v>
      </c>
      <c r="F41" s="54">
        <v>7519903.3200000003</v>
      </c>
      <c r="G41" s="22">
        <v>45680</v>
      </c>
      <c r="H41" t="s">
        <v>13</v>
      </c>
      <c r="I41" s="51" t="str">
        <f>IFERROR(IF(VLOOKUP(E41,extracto!C:C,1,FALSE)=E41,"pagado","no pagado"),"no pagado")</f>
        <v>pagado</v>
      </c>
      <c r="J41" s="52" t="str">
        <f t="shared" si="24"/>
        <v>pagado</v>
      </c>
      <c r="K41" s="51" t="str">
        <f t="shared" ca="1" si="25"/>
        <v>excluir</v>
      </c>
      <c r="L41" s="51" t="str">
        <f t="shared" ca="1" si="26"/>
        <v>no semana</v>
      </c>
      <c r="M41" s="51" t="str">
        <f>IFERROR(VLOOKUP(E41,'cheques a conf'!A:D,4,FALSE),"no clearing")</f>
        <v>no clearing</v>
      </c>
      <c r="N41" s="51">
        <f t="shared" si="27"/>
        <v>4</v>
      </c>
      <c r="O41" s="53">
        <f t="shared" si="28"/>
        <v>1</v>
      </c>
      <c r="P41" s="53">
        <f t="shared" si="29"/>
        <v>2025</v>
      </c>
    </row>
    <row r="42" spans="1:16" customFormat="1" x14ac:dyDescent="0.25">
      <c r="A42" s="21">
        <v>3000000333</v>
      </c>
      <c r="B42" s="22">
        <v>45677</v>
      </c>
      <c r="C42" s="54">
        <v>6807063.8300000001</v>
      </c>
      <c r="D42" s="21" t="s">
        <v>603</v>
      </c>
      <c r="E42" s="21">
        <v>2927362</v>
      </c>
      <c r="F42" s="54">
        <v>6807063.8300000001</v>
      </c>
      <c r="G42" s="22">
        <v>45680</v>
      </c>
      <c r="H42" t="s">
        <v>13</v>
      </c>
      <c r="I42" s="51" t="str">
        <f>IFERROR(IF(VLOOKUP(E42,extracto!C:C,1,FALSE)=E42,"pagado","no pagado"),"no pagado")</f>
        <v>pagado</v>
      </c>
      <c r="J42" s="52" t="str">
        <f t="shared" si="24"/>
        <v>pagado</v>
      </c>
      <c r="K42" s="51" t="str">
        <f t="shared" ca="1" si="25"/>
        <v>excluir</v>
      </c>
      <c r="L42" s="51" t="str">
        <f t="shared" ca="1" si="26"/>
        <v>no semana</v>
      </c>
      <c r="M42" s="51" t="str">
        <f>IFERROR(VLOOKUP(E42,'cheques a conf'!A:D,4,FALSE),"no clearing")</f>
        <v>no clearing</v>
      </c>
      <c r="N42" s="51">
        <f t="shared" si="27"/>
        <v>4</v>
      </c>
      <c r="O42" s="53">
        <f t="shared" si="28"/>
        <v>1</v>
      </c>
      <c r="P42" s="53">
        <f t="shared" si="29"/>
        <v>2025</v>
      </c>
    </row>
    <row r="43" spans="1:16" customFormat="1" x14ac:dyDescent="0.25">
      <c r="A43" s="21">
        <v>3000000376</v>
      </c>
      <c r="B43" s="22">
        <v>45679</v>
      </c>
      <c r="C43" s="54">
        <v>11461757.92</v>
      </c>
      <c r="D43" s="21" t="s">
        <v>604</v>
      </c>
      <c r="E43" s="21">
        <v>2927363</v>
      </c>
      <c r="F43" s="54">
        <v>11461757.92</v>
      </c>
      <c r="G43" s="22">
        <v>45681</v>
      </c>
      <c r="H43" t="s">
        <v>13</v>
      </c>
      <c r="I43" s="51" t="str">
        <f>IFERROR(IF(VLOOKUP(E43,extracto!C:C,1,FALSE)=E43,"pagado","no pagado"),"no pagado")</f>
        <v>pagado</v>
      </c>
      <c r="J43" s="52" t="str">
        <f t="shared" ref="J43:J46" si="30">IF(I43="pagado","pagado",IF(G43&lt;$V$1-30,"fuera de fecha","en periodo de pago"))</f>
        <v>pagado</v>
      </c>
      <c r="K43" s="51" t="str">
        <f t="shared" ref="K43:K46" ca="1" si="31">+IF(B43&gt;$V$1,"excluir",IF(J43="en periodo de pago",IF($V$1&gt;G43,"a pagar","proximo a vencer"),"excluir"))</f>
        <v>excluir</v>
      </c>
      <c r="L43" s="51" t="str">
        <f t="shared" ref="L43:L46" ca="1" si="32">+IF(K43="proximo a vencer",IF($V$1+5&gt;G43,"para la semana","no semana"),"no semana")</f>
        <v>no semana</v>
      </c>
      <c r="M43" s="51" t="str">
        <f>IFERROR(VLOOKUP(E43,'cheques a conf'!A:D,4,FALSE),"no clearing")</f>
        <v>no clearing</v>
      </c>
      <c r="N43" s="51">
        <f t="shared" ref="N43:N46" si="33">+WEEKNUM(G43,2)</f>
        <v>4</v>
      </c>
      <c r="O43" s="53">
        <f t="shared" ref="O43:O46" si="34">+MONTH(G43)</f>
        <v>1</v>
      </c>
      <c r="P43" s="53">
        <f t="shared" ref="P43:P46" si="35">+YEAR(G43)</f>
        <v>2025</v>
      </c>
    </row>
    <row r="44" spans="1:16" customFormat="1" x14ac:dyDescent="0.25">
      <c r="A44" s="21">
        <v>3000000377</v>
      </c>
      <c r="B44" s="22">
        <v>45679</v>
      </c>
      <c r="C44" s="54">
        <v>12894135.83</v>
      </c>
      <c r="D44" s="21" t="s">
        <v>593</v>
      </c>
      <c r="E44" s="21">
        <v>2927364</v>
      </c>
      <c r="F44" s="54">
        <v>12894135.83</v>
      </c>
      <c r="G44" s="22">
        <v>45681</v>
      </c>
      <c r="H44" t="s">
        <v>13</v>
      </c>
      <c r="I44" s="51" t="str">
        <f>IFERROR(IF(VLOOKUP(E44,extracto!C:C,1,FALSE)=E44,"pagado","no pagado"),"no pagado")</f>
        <v>pagado</v>
      </c>
      <c r="J44" s="52" t="str">
        <f t="shared" si="30"/>
        <v>pagado</v>
      </c>
      <c r="K44" s="51" t="str">
        <f t="shared" ca="1" si="31"/>
        <v>excluir</v>
      </c>
      <c r="L44" s="51" t="str">
        <f t="shared" ca="1" si="32"/>
        <v>no semana</v>
      </c>
      <c r="M44" s="51" t="str">
        <f>IFERROR(VLOOKUP(E44,'cheques a conf'!A:D,4,FALSE),"no clearing")</f>
        <v>no clearing</v>
      </c>
      <c r="N44" s="51">
        <f t="shared" si="33"/>
        <v>4</v>
      </c>
      <c r="O44" s="53">
        <f t="shared" si="34"/>
        <v>1</v>
      </c>
      <c r="P44" s="53">
        <f t="shared" si="35"/>
        <v>2025</v>
      </c>
    </row>
    <row r="45" spans="1:16" customFormat="1" x14ac:dyDescent="0.25">
      <c r="A45" s="21">
        <v>3000000378</v>
      </c>
      <c r="B45" s="22">
        <v>45679</v>
      </c>
      <c r="C45" s="54">
        <v>20000000</v>
      </c>
      <c r="D45" s="21" t="s">
        <v>589</v>
      </c>
      <c r="E45" s="21">
        <v>2927365</v>
      </c>
      <c r="F45" s="54">
        <v>20000000</v>
      </c>
      <c r="G45" s="22">
        <v>45681</v>
      </c>
      <c r="H45" t="s">
        <v>13</v>
      </c>
      <c r="I45" s="51" t="str">
        <f>IFERROR(IF(VLOOKUP(E45,extracto!C:C,1,FALSE)=E45,"pagado","no pagado"),"no pagado")</f>
        <v>pagado</v>
      </c>
      <c r="J45" s="52" t="str">
        <f t="shared" si="30"/>
        <v>pagado</v>
      </c>
      <c r="K45" s="51" t="str">
        <f t="shared" ca="1" si="31"/>
        <v>excluir</v>
      </c>
      <c r="L45" s="51" t="str">
        <f t="shared" ca="1" si="32"/>
        <v>no semana</v>
      </c>
      <c r="M45" s="51" t="str">
        <f>IFERROR(VLOOKUP(E45,'cheques a conf'!A:D,4,FALSE),"no clearing")</f>
        <v>no clearing</v>
      </c>
      <c r="N45" s="51">
        <f t="shared" si="33"/>
        <v>4</v>
      </c>
      <c r="O45" s="53">
        <f t="shared" si="34"/>
        <v>1</v>
      </c>
      <c r="P45" s="53">
        <f t="shared" si="35"/>
        <v>2025</v>
      </c>
    </row>
    <row r="46" spans="1:16" customFormat="1" x14ac:dyDescent="0.25">
      <c r="A46" s="21">
        <v>3000000378</v>
      </c>
      <c r="B46" s="22">
        <v>45679</v>
      </c>
      <c r="C46" s="54">
        <v>19797475.120000001</v>
      </c>
      <c r="D46" s="21" t="s">
        <v>589</v>
      </c>
      <c r="E46" s="21">
        <v>2927366</v>
      </c>
      <c r="F46" s="54">
        <v>19797475.120000001</v>
      </c>
      <c r="G46" s="22">
        <v>45684</v>
      </c>
      <c r="H46" t="s">
        <v>13</v>
      </c>
      <c r="I46" s="51" t="str">
        <f>IFERROR(IF(VLOOKUP(E46,extracto!C:C,1,FALSE)=E46,"pagado","no pagado"),"no pagado")</f>
        <v>pagado</v>
      </c>
      <c r="J46" s="52" t="str">
        <f t="shared" si="30"/>
        <v>pagado</v>
      </c>
      <c r="K46" s="51" t="str">
        <f t="shared" ca="1" si="31"/>
        <v>excluir</v>
      </c>
      <c r="L46" s="51" t="str">
        <f t="shared" ca="1" si="32"/>
        <v>no semana</v>
      </c>
      <c r="M46" s="51" t="str">
        <f>IFERROR(VLOOKUP(E46,'cheques a conf'!A:D,4,FALSE),"no clearing")</f>
        <v>no clearing</v>
      </c>
      <c r="N46" s="51">
        <f t="shared" si="33"/>
        <v>5</v>
      </c>
      <c r="O46" s="53">
        <f t="shared" si="34"/>
        <v>1</v>
      </c>
      <c r="P46" s="53">
        <f t="shared" si="35"/>
        <v>2025</v>
      </c>
    </row>
    <row r="47" spans="1:16" customFormat="1" x14ac:dyDescent="0.25">
      <c r="A47" s="21">
        <v>3000000475</v>
      </c>
      <c r="B47" s="22">
        <v>45685</v>
      </c>
      <c r="C47" s="54">
        <v>12000000</v>
      </c>
      <c r="D47" s="21" t="s">
        <v>595</v>
      </c>
      <c r="E47" s="21">
        <v>94326795</v>
      </c>
      <c r="F47" s="54">
        <v>12000000</v>
      </c>
      <c r="G47" s="22">
        <v>45686</v>
      </c>
      <c r="H47" t="s">
        <v>13</v>
      </c>
      <c r="I47" s="51" t="str">
        <f>IFERROR(IF(VLOOKUP(E47,extracto!C:C,1,FALSE)=E47,"pagado","no pagado"),"no pagado")</f>
        <v>pagado</v>
      </c>
      <c r="J47" s="52" t="str">
        <f t="shared" ref="J47:J49" si="36">IF(I47="pagado","pagado",IF(G47&lt;$V$1-30,"fuera de fecha","en periodo de pago"))</f>
        <v>pagado</v>
      </c>
      <c r="K47" s="51" t="str">
        <f t="shared" ref="K47:K49" ca="1" si="37">+IF(B47&gt;$V$1,"excluir",IF(J47="en periodo de pago",IF($V$1&gt;G47,"a pagar","proximo a vencer"),"excluir"))</f>
        <v>excluir</v>
      </c>
      <c r="L47" s="51" t="str">
        <f t="shared" ref="L47:L49" ca="1" si="38">+IF(K47="proximo a vencer",IF($V$1+5&gt;G47,"para la semana","no semana"),"no semana")</f>
        <v>no semana</v>
      </c>
      <c r="M47" s="51" t="str">
        <f>IFERROR(VLOOKUP(E47,'cheques a conf'!A:D,4,FALSE),"no clearing")</f>
        <v>no clearing</v>
      </c>
      <c r="N47" s="51">
        <f t="shared" ref="N47:N49" si="39">+WEEKNUM(G47,2)</f>
        <v>5</v>
      </c>
      <c r="O47" s="53">
        <f t="shared" ref="O47:O49" si="40">+MONTH(G47)</f>
        <v>1</v>
      </c>
      <c r="P47" s="53">
        <f t="shared" ref="P47:P49" si="41">+YEAR(G47)</f>
        <v>2025</v>
      </c>
    </row>
    <row r="48" spans="1:16" customFormat="1" x14ac:dyDescent="0.25">
      <c r="A48" s="21">
        <v>3000000475</v>
      </c>
      <c r="B48" s="22">
        <v>45685</v>
      </c>
      <c r="C48" s="54">
        <v>30362004.93</v>
      </c>
      <c r="D48" s="21" t="s">
        <v>595</v>
      </c>
      <c r="E48" s="21">
        <v>94326796</v>
      </c>
      <c r="F48" s="54">
        <v>30362004.93</v>
      </c>
      <c r="G48" s="22">
        <v>45687</v>
      </c>
      <c r="H48" t="s">
        <v>13</v>
      </c>
      <c r="I48" s="51" t="str">
        <f>IFERROR(IF(VLOOKUP(E48,extracto!C:C,1,FALSE)=E48,"pagado","no pagado"),"no pagado")</f>
        <v>pagado</v>
      </c>
      <c r="J48" s="52" t="str">
        <f t="shared" si="36"/>
        <v>pagado</v>
      </c>
      <c r="K48" s="51" t="str">
        <f t="shared" ca="1" si="37"/>
        <v>excluir</v>
      </c>
      <c r="L48" s="51" t="str">
        <f t="shared" ca="1" si="38"/>
        <v>no semana</v>
      </c>
      <c r="M48" s="51" t="str">
        <f>IFERROR(VLOOKUP(E48,'cheques a conf'!A:D,4,FALSE),"no clearing")</f>
        <v>no clearing</v>
      </c>
      <c r="N48" s="51">
        <f t="shared" si="39"/>
        <v>5</v>
      </c>
      <c r="O48" s="53">
        <f t="shared" si="40"/>
        <v>1</v>
      </c>
      <c r="P48" s="53">
        <f t="shared" si="41"/>
        <v>2025</v>
      </c>
    </row>
    <row r="49" spans="1:16" customFormat="1" x14ac:dyDescent="0.25">
      <c r="A49" s="21">
        <v>3000000476</v>
      </c>
      <c r="B49" s="22">
        <v>45685</v>
      </c>
      <c r="C49" s="54">
        <v>530102.19999999995</v>
      </c>
      <c r="D49" s="21" t="s">
        <v>105</v>
      </c>
      <c r="E49" s="21">
        <v>94326797</v>
      </c>
      <c r="F49" s="54">
        <v>530102.19999999995</v>
      </c>
      <c r="G49" s="22">
        <v>45686</v>
      </c>
      <c r="H49" t="s">
        <v>13</v>
      </c>
      <c r="I49" s="51" t="str">
        <f>IFERROR(IF(VLOOKUP(E49,extracto!C:C,1,FALSE)=E49,"pagado","no pagado"),"no pagado")</f>
        <v>pagado</v>
      </c>
      <c r="J49" s="52" t="str">
        <f t="shared" si="36"/>
        <v>pagado</v>
      </c>
      <c r="K49" s="51" t="str">
        <f t="shared" ca="1" si="37"/>
        <v>excluir</v>
      </c>
      <c r="L49" s="51" t="str">
        <f t="shared" ca="1" si="38"/>
        <v>no semana</v>
      </c>
      <c r="M49" s="51" t="str">
        <f>IFERROR(VLOOKUP(E49,'cheques a conf'!A:D,4,FALSE),"no clearing")</f>
        <v>no clearing</v>
      </c>
      <c r="N49" s="51">
        <f t="shared" si="39"/>
        <v>5</v>
      </c>
      <c r="O49" s="53">
        <f t="shared" si="40"/>
        <v>1</v>
      </c>
      <c r="P49" s="53">
        <f t="shared" si="41"/>
        <v>2025</v>
      </c>
    </row>
    <row r="50" spans="1:16" customFormat="1" x14ac:dyDescent="0.25">
      <c r="A50" s="21">
        <v>3000000437</v>
      </c>
      <c r="B50" s="22">
        <v>45684</v>
      </c>
      <c r="C50" s="54">
        <v>8019745.9000000004</v>
      </c>
      <c r="D50" s="21" t="s">
        <v>605</v>
      </c>
      <c r="E50" s="21">
        <v>91002236</v>
      </c>
      <c r="F50" s="54">
        <v>8019745.9000000004</v>
      </c>
      <c r="G50" s="22">
        <v>45686</v>
      </c>
      <c r="H50" t="s">
        <v>79</v>
      </c>
      <c r="I50" s="51" t="str">
        <f>IFERROR(IF(VLOOKUP(E50,extracto!C:C,1,FALSE)=E50,"pagado","no pagado"),"no pagado")</f>
        <v>pagado</v>
      </c>
      <c r="J50" s="52" t="str">
        <f t="shared" ref="J50" si="42">IF(I50="pagado","pagado",IF(G50&lt;$V$1-30,"fuera de fecha","en periodo de pago"))</f>
        <v>pagado</v>
      </c>
      <c r="K50" s="51" t="str">
        <f t="shared" ref="K50" ca="1" si="43">+IF(B50&gt;$V$1,"excluir",IF(J50="en periodo de pago",IF($V$1&gt;G50,"a pagar","proximo a vencer"),"excluir"))</f>
        <v>excluir</v>
      </c>
      <c r="L50" s="51" t="str">
        <f t="shared" ref="L50" ca="1" si="44">+IF(K50="proximo a vencer",IF($V$1+5&gt;G50,"para la semana","no semana"),"no semana")</f>
        <v>no semana</v>
      </c>
      <c r="M50" s="51" t="str">
        <f>IFERROR(VLOOKUP(E50,'cheques a conf'!A:D,4,FALSE),"no clearing")</f>
        <v>no clearing</v>
      </c>
      <c r="N50" s="51">
        <f t="shared" ref="N50" si="45">+WEEKNUM(G50,2)</f>
        <v>5</v>
      </c>
      <c r="O50" s="53">
        <f t="shared" ref="O50" si="46">+MONTH(G50)</f>
        <v>1</v>
      </c>
      <c r="P50" s="53">
        <f t="shared" ref="P50" si="47">+YEAR(G50)</f>
        <v>2025</v>
      </c>
    </row>
    <row r="51" spans="1:16" customFormat="1" x14ac:dyDescent="0.25">
      <c r="A51" s="21">
        <v>3000000438</v>
      </c>
      <c r="B51" s="22">
        <v>45684</v>
      </c>
      <c r="C51" s="54">
        <v>7837597.1399999997</v>
      </c>
      <c r="D51" s="21" t="s">
        <v>606</v>
      </c>
      <c r="E51" s="21">
        <v>91002237</v>
      </c>
      <c r="F51" s="54">
        <v>7837597.1399999997</v>
      </c>
      <c r="G51" s="22">
        <v>45686</v>
      </c>
      <c r="H51" t="s">
        <v>79</v>
      </c>
      <c r="I51" s="51" t="str">
        <f>IFERROR(IF(VLOOKUP(E51,extracto!C:C,1,FALSE)=E51,"pagado","no pagado"),"no pagado")</f>
        <v>pagado</v>
      </c>
      <c r="J51" s="52" t="str">
        <f t="shared" ref="J51:J58" si="48">IF(I51="pagado","pagado",IF(G51&lt;$V$1-30,"fuera de fecha","en periodo de pago"))</f>
        <v>pagado</v>
      </c>
      <c r="K51" s="51" t="str">
        <f t="shared" ref="K51:K58" ca="1" si="49">+IF(B51&gt;$V$1,"excluir",IF(J51="en periodo de pago",IF($V$1&gt;G51,"a pagar","proximo a vencer"),"excluir"))</f>
        <v>excluir</v>
      </c>
      <c r="L51" s="51" t="str">
        <f t="shared" ref="L51:L58" ca="1" si="50">+IF(K51="proximo a vencer",IF($V$1+5&gt;G51,"para la semana","no semana"),"no semana")</f>
        <v>no semana</v>
      </c>
      <c r="M51" s="51" t="str">
        <f>IFERROR(VLOOKUP(E51,'cheques a conf'!A:D,4,FALSE),"no clearing")</f>
        <v>no clearing</v>
      </c>
      <c r="N51" s="51">
        <f t="shared" ref="N51:N58" si="51">+WEEKNUM(G51,2)</f>
        <v>5</v>
      </c>
      <c r="O51" s="53">
        <f t="shared" ref="O51:O58" si="52">+MONTH(G51)</f>
        <v>1</v>
      </c>
      <c r="P51" s="53">
        <f t="shared" ref="P51:P58" si="53">+YEAR(G51)</f>
        <v>2025</v>
      </c>
    </row>
    <row r="52" spans="1:16" customFormat="1" x14ac:dyDescent="0.25">
      <c r="A52" s="21">
        <v>3000000439</v>
      </c>
      <c r="B52" s="22">
        <v>45684</v>
      </c>
      <c r="C52" s="54">
        <v>19595351.219999999</v>
      </c>
      <c r="D52" s="21" t="s">
        <v>607</v>
      </c>
      <c r="E52" s="21">
        <v>91002238</v>
      </c>
      <c r="F52" s="54">
        <v>19595351.219999999</v>
      </c>
      <c r="G52" s="22">
        <v>45686</v>
      </c>
      <c r="H52" t="s">
        <v>79</v>
      </c>
      <c r="I52" s="51" t="str">
        <f>IFERROR(IF(VLOOKUP(E52,extracto!C:C,1,FALSE)=E52,"pagado","no pagado"),"no pagado")</f>
        <v>pagado</v>
      </c>
      <c r="J52" s="52" t="str">
        <f t="shared" si="48"/>
        <v>pagado</v>
      </c>
      <c r="K52" s="51" t="str">
        <f t="shared" ca="1" si="49"/>
        <v>excluir</v>
      </c>
      <c r="L52" s="51" t="str">
        <f t="shared" ca="1" si="50"/>
        <v>no semana</v>
      </c>
      <c r="M52" s="51" t="str">
        <f>IFERROR(VLOOKUP(E52,'cheques a conf'!A:D,4,FALSE),"no clearing")</f>
        <v>no clearing</v>
      </c>
      <c r="N52" s="51">
        <f t="shared" si="51"/>
        <v>5</v>
      </c>
      <c r="O52" s="53">
        <f t="shared" si="52"/>
        <v>1</v>
      </c>
      <c r="P52" s="53">
        <f t="shared" si="53"/>
        <v>2025</v>
      </c>
    </row>
    <row r="53" spans="1:16" customFormat="1" x14ac:dyDescent="0.25">
      <c r="A53" s="21">
        <v>3000000440</v>
      </c>
      <c r="B53" s="22">
        <v>45684</v>
      </c>
      <c r="C53" s="54">
        <v>17633539.030000001</v>
      </c>
      <c r="D53" s="21" t="s">
        <v>608</v>
      </c>
      <c r="E53" s="21">
        <v>91002239</v>
      </c>
      <c r="F53" s="54">
        <v>17633539.030000001</v>
      </c>
      <c r="G53" s="22">
        <v>45687</v>
      </c>
      <c r="H53" t="s">
        <v>79</v>
      </c>
      <c r="I53" s="51" t="str">
        <f>IFERROR(IF(VLOOKUP(E53,extracto!C:C,1,FALSE)=E53,"pagado","no pagado"),"no pagado")</f>
        <v>pagado</v>
      </c>
      <c r="J53" s="52" t="str">
        <f t="shared" si="48"/>
        <v>pagado</v>
      </c>
      <c r="K53" s="51" t="str">
        <f t="shared" ca="1" si="49"/>
        <v>excluir</v>
      </c>
      <c r="L53" s="51" t="str">
        <f t="shared" ca="1" si="50"/>
        <v>no semana</v>
      </c>
      <c r="M53" s="51" t="str">
        <f>IFERROR(VLOOKUP(E53,'cheques a conf'!A:D,4,FALSE),"no clearing")</f>
        <v>no clearing</v>
      </c>
      <c r="N53" s="51">
        <f t="shared" si="51"/>
        <v>5</v>
      </c>
      <c r="O53" s="53">
        <f t="shared" si="52"/>
        <v>1</v>
      </c>
      <c r="P53" s="53">
        <f t="shared" si="53"/>
        <v>2025</v>
      </c>
    </row>
    <row r="54" spans="1:16" customFormat="1" x14ac:dyDescent="0.25">
      <c r="A54" s="21">
        <v>3000000441</v>
      </c>
      <c r="B54" s="22">
        <v>45684</v>
      </c>
      <c r="C54" s="54">
        <v>12650244.390000001</v>
      </c>
      <c r="D54" s="21" t="s">
        <v>596</v>
      </c>
      <c r="E54" s="21">
        <v>91002240</v>
      </c>
      <c r="F54" s="54">
        <v>12650244.390000001</v>
      </c>
      <c r="G54" s="22">
        <v>45687</v>
      </c>
      <c r="H54" t="s">
        <v>79</v>
      </c>
      <c r="I54" s="51" t="str">
        <f>IFERROR(IF(VLOOKUP(E54,extracto!C:C,1,FALSE)=E54,"pagado","no pagado"),"no pagado")</f>
        <v>pagado</v>
      </c>
      <c r="J54" s="52" t="str">
        <f t="shared" si="48"/>
        <v>pagado</v>
      </c>
      <c r="K54" s="51" t="str">
        <f t="shared" ca="1" si="49"/>
        <v>excluir</v>
      </c>
      <c r="L54" s="51" t="str">
        <f t="shared" ca="1" si="50"/>
        <v>no semana</v>
      </c>
      <c r="M54" s="51" t="str">
        <f>IFERROR(VLOOKUP(E54,'cheques a conf'!A:D,4,FALSE),"no clearing")</f>
        <v>no clearing</v>
      </c>
      <c r="N54" s="51">
        <f t="shared" si="51"/>
        <v>5</v>
      </c>
      <c r="O54" s="53">
        <f t="shared" si="52"/>
        <v>1</v>
      </c>
      <c r="P54" s="53">
        <f t="shared" si="53"/>
        <v>2025</v>
      </c>
    </row>
    <row r="55" spans="1:16" customFormat="1" x14ac:dyDescent="0.25">
      <c r="A55" s="21">
        <v>3000000442</v>
      </c>
      <c r="B55" s="22">
        <v>45684</v>
      </c>
      <c r="C55" s="54">
        <v>12454897.109999999</v>
      </c>
      <c r="D55" s="21" t="s">
        <v>588</v>
      </c>
      <c r="E55" s="21">
        <v>91002241</v>
      </c>
      <c r="F55" s="54">
        <v>12454897.109999999</v>
      </c>
      <c r="G55" s="22">
        <v>45687</v>
      </c>
      <c r="H55" t="s">
        <v>79</v>
      </c>
      <c r="I55" s="51" t="str">
        <f>IFERROR(IF(VLOOKUP(E55,extracto!C:C,1,FALSE)=E55,"pagado","no pagado"),"no pagado")</f>
        <v>pagado</v>
      </c>
      <c r="J55" s="52" t="str">
        <f t="shared" si="48"/>
        <v>pagado</v>
      </c>
      <c r="K55" s="51" t="str">
        <f t="shared" ca="1" si="49"/>
        <v>excluir</v>
      </c>
      <c r="L55" s="51" t="str">
        <f t="shared" ca="1" si="50"/>
        <v>no semana</v>
      </c>
      <c r="M55" s="51" t="str">
        <f>IFERROR(VLOOKUP(E55,'cheques a conf'!A:D,4,FALSE),"no clearing")</f>
        <v>no clearing</v>
      </c>
      <c r="N55" s="51">
        <f t="shared" si="51"/>
        <v>5</v>
      </c>
      <c r="O55" s="53">
        <f t="shared" si="52"/>
        <v>1</v>
      </c>
      <c r="P55" s="53">
        <f t="shared" si="53"/>
        <v>2025</v>
      </c>
    </row>
    <row r="56" spans="1:16" customFormat="1" x14ac:dyDescent="0.25">
      <c r="A56" s="21">
        <v>3000000443</v>
      </c>
      <c r="B56" s="22">
        <v>45684</v>
      </c>
      <c r="C56" s="54">
        <v>10049305</v>
      </c>
      <c r="D56" s="21" t="s">
        <v>609</v>
      </c>
      <c r="E56" s="21">
        <v>91002242</v>
      </c>
      <c r="F56" s="54">
        <v>10049305</v>
      </c>
      <c r="G56" s="22">
        <v>45688</v>
      </c>
      <c r="H56" t="s">
        <v>79</v>
      </c>
      <c r="I56" s="51" t="str">
        <f>IFERROR(IF(VLOOKUP(E56,extracto!C:C,1,FALSE)=E56,"pagado","no pagado"),"no pagado")</f>
        <v>pagado</v>
      </c>
      <c r="J56" s="52" t="str">
        <f t="shared" si="48"/>
        <v>pagado</v>
      </c>
      <c r="K56" s="51" t="str">
        <f t="shared" ca="1" si="49"/>
        <v>excluir</v>
      </c>
      <c r="L56" s="51" t="str">
        <f t="shared" ca="1" si="50"/>
        <v>no semana</v>
      </c>
      <c r="M56" s="51" t="str">
        <f>IFERROR(VLOOKUP(E56,'cheques a conf'!A:D,4,FALSE),"no clearing")</f>
        <v>no clearing</v>
      </c>
      <c r="N56" s="51">
        <f t="shared" si="51"/>
        <v>5</v>
      </c>
      <c r="O56" s="53">
        <f t="shared" si="52"/>
        <v>1</v>
      </c>
      <c r="P56" s="53">
        <f t="shared" si="53"/>
        <v>2025</v>
      </c>
    </row>
    <row r="57" spans="1:16" customFormat="1" x14ac:dyDescent="0.25">
      <c r="A57" s="21">
        <v>3000000444</v>
      </c>
      <c r="B57" s="22">
        <v>45684</v>
      </c>
      <c r="C57" s="54">
        <v>8177346.46</v>
      </c>
      <c r="D57" s="21" t="s">
        <v>71</v>
      </c>
      <c r="E57" s="21">
        <v>91002243</v>
      </c>
      <c r="F57" s="54">
        <v>8177346.46</v>
      </c>
      <c r="G57" s="22">
        <v>45688</v>
      </c>
      <c r="H57" t="s">
        <v>79</v>
      </c>
      <c r="I57" s="51" t="str">
        <f>IFERROR(IF(VLOOKUP(E57,extracto!C:C,1,FALSE)=E57,"pagado","no pagado"),"no pagado")</f>
        <v>pagado</v>
      </c>
      <c r="J57" s="52" t="str">
        <f t="shared" si="48"/>
        <v>pagado</v>
      </c>
      <c r="K57" s="51" t="str">
        <f t="shared" ca="1" si="49"/>
        <v>excluir</v>
      </c>
      <c r="L57" s="51" t="str">
        <f t="shared" ca="1" si="50"/>
        <v>no semana</v>
      </c>
      <c r="M57" s="51" t="str">
        <f>IFERROR(VLOOKUP(E57,'cheques a conf'!A:D,4,FALSE),"no clearing")</f>
        <v>no clearing</v>
      </c>
      <c r="N57" s="51">
        <f t="shared" si="51"/>
        <v>5</v>
      </c>
      <c r="O57" s="53">
        <f t="shared" si="52"/>
        <v>1</v>
      </c>
      <c r="P57" s="53">
        <f t="shared" si="53"/>
        <v>2025</v>
      </c>
    </row>
    <row r="58" spans="1:16" customFormat="1" x14ac:dyDescent="0.25">
      <c r="A58" s="21">
        <v>3000000445</v>
      </c>
      <c r="B58" s="22">
        <v>45684</v>
      </c>
      <c r="C58" s="54">
        <v>6668436</v>
      </c>
      <c r="D58" s="21" t="s">
        <v>610</v>
      </c>
      <c r="E58" s="21">
        <v>91002244</v>
      </c>
      <c r="F58" s="54">
        <v>6668436</v>
      </c>
      <c r="G58" s="22">
        <v>45688</v>
      </c>
      <c r="H58" t="s">
        <v>79</v>
      </c>
      <c r="I58" s="51" t="str">
        <f>IFERROR(IF(VLOOKUP(E58,extracto!C:C,1,FALSE)=E58,"pagado","no pagado"),"no pagado")</f>
        <v>pagado</v>
      </c>
      <c r="J58" s="52" t="str">
        <f t="shared" si="48"/>
        <v>pagado</v>
      </c>
      <c r="K58" s="51" t="str">
        <f t="shared" ca="1" si="49"/>
        <v>excluir</v>
      </c>
      <c r="L58" s="51" t="str">
        <f t="shared" ca="1" si="50"/>
        <v>no semana</v>
      </c>
      <c r="M58" s="51" t="str">
        <f>IFERROR(VLOOKUP(E58,'cheques a conf'!A:D,4,FALSE),"no clearing")</f>
        <v>no clearing</v>
      </c>
      <c r="N58" s="51">
        <f t="shared" si="51"/>
        <v>5</v>
      </c>
      <c r="O58" s="53">
        <f t="shared" si="52"/>
        <v>1</v>
      </c>
      <c r="P58" s="53">
        <f t="shared" si="53"/>
        <v>2025</v>
      </c>
    </row>
    <row r="59" spans="1:16" customFormat="1" x14ac:dyDescent="0.25">
      <c r="A59">
        <v>3000000519</v>
      </c>
      <c r="B59" s="22">
        <v>45687</v>
      </c>
      <c r="C59" s="4">
        <v>1000000</v>
      </c>
      <c r="D59" t="s">
        <v>611</v>
      </c>
      <c r="E59">
        <v>94326798</v>
      </c>
      <c r="F59" s="4">
        <v>1000000</v>
      </c>
      <c r="G59" s="3">
        <v>45688</v>
      </c>
      <c r="H59" t="s">
        <v>13</v>
      </c>
      <c r="I59" s="51" t="str">
        <f>IFERROR(IF(VLOOKUP(E59,extracto!C:C,1,FALSE)=E59,"pagado","no pagado"),"no pagado")</f>
        <v>pagado</v>
      </c>
      <c r="J59" s="52" t="str">
        <f t="shared" ref="J59:J60" si="54">IF(I59="pagado","pagado",IF(G59&lt;$V$1-30,"fuera de fecha","en periodo de pago"))</f>
        <v>pagado</v>
      </c>
      <c r="K59" s="51" t="str">
        <f t="shared" ref="K59:K60" ca="1" si="55">+IF(B59&gt;$V$1,"excluir",IF(J59="en periodo de pago",IF($V$1&gt;G59,"a pagar","proximo a vencer"),"excluir"))</f>
        <v>excluir</v>
      </c>
      <c r="L59" s="51" t="str">
        <f t="shared" ref="L59:L60" ca="1" si="56">+IF(K59="proximo a vencer",IF($V$1+5&gt;G59,"para la semana","no semana"),"no semana")</f>
        <v>no semana</v>
      </c>
      <c r="M59" s="51" t="str">
        <f>IFERROR(VLOOKUP(E59,'cheques a conf'!A:D,4,FALSE),"no clearing")</f>
        <v>no clearing</v>
      </c>
      <c r="N59" s="51">
        <f t="shared" ref="N59:N60" si="57">+WEEKNUM(G59,2)</f>
        <v>5</v>
      </c>
      <c r="O59" s="53">
        <f t="shared" ref="O59:O60" si="58">+MONTH(G59)</f>
        <v>1</v>
      </c>
      <c r="P59" s="53">
        <f t="shared" ref="P59:P60" si="59">+YEAR(G59)</f>
        <v>2025</v>
      </c>
    </row>
    <row r="60" spans="1:16" customFormat="1" x14ac:dyDescent="0.25">
      <c r="A60">
        <v>3000000519</v>
      </c>
      <c r="B60" s="22">
        <v>45687</v>
      </c>
      <c r="C60" s="4">
        <v>938229.47</v>
      </c>
      <c r="D60" t="s">
        <v>611</v>
      </c>
      <c r="E60">
        <v>94326799</v>
      </c>
      <c r="F60" s="4">
        <v>938229.47</v>
      </c>
      <c r="G60" s="3">
        <v>45691</v>
      </c>
      <c r="H60" t="s">
        <v>13</v>
      </c>
      <c r="I60" s="51" t="str">
        <f>IFERROR(IF(VLOOKUP(E60,extracto!C:C,1,FALSE)=E60,"pagado","no pagado"),"no pagado")</f>
        <v>pagado</v>
      </c>
      <c r="J60" s="52" t="str">
        <f t="shared" si="54"/>
        <v>pagado</v>
      </c>
      <c r="K60" s="51" t="str">
        <f t="shared" ca="1" si="55"/>
        <v>excluir</v>
      </c>
      <c r="L60" s="51" t="str">
        <f t="shared" ca="1" si="56"/>
        <v>no semana</v>
      </c>
      <c r="M60" s="51" t="str">
        <f>IFERROR(VLOOKUP(E60,'cheques a conf'!A:D,4,FALSE),"no clearing")</f>
        <v>no clearing</v>
      </c>
      <c r="N60" s="51">
        <f t="shared" si="57"/>
        <v>6</v>
      </c>
      <c r="O60" s="53">
        <f t="shared" si="58"/>
        <v>2</v>
      </c>
      <c r="P60" s="53">
        <f t="shared" si="59"/>
        <v>2025</v>
      </c>
    </row>
    <row r="61" spans="1:16" customFormat="1" x14ac:dyDescent="0.25">
      <c r="A61">
        <v>3000000521</v>
      </c>
      <c r="B61" s="22">
        <v>45688</v>
      </c>
      <c r="C61" s="4">
        <v>24523200</v>
      </c>
      <c r="D61" t="s">
        <v>592</v>
      </c>
      <c r="E61">
        <v>2927367</v>
      </c>
      <c r="F61" s="4">
        <v>24523200</v>
      </c>
      <c r="G61" s="3">
        <v>45692</v>
      </c>
      <c r="H61" t="s">
        <v>13</v>
      </c>
      <c r="I61" s="51" t="str">
        <f>IFERROR(IF(VLOOKUP(E61,extracto!C:C,1,FALSE)=E61,"pagado","no pagado"),"no pagado")</f>
        <v>pagado</v>
      </c>
      <c r="J61" s="52" t="str">
        <f t="shared" ref="J61" si="60">IF(I61="pagado","pagado",IF(G61&lt;$V$1-30,"fuera de fecha","en periodo de pago"))</f>
        <v>pagado</v>
      </c>
      <c r="K61" s="51" t="str">
        <f t="shared" ref="K61" ca="1" si="61">+IF(B61&gt;$V$1,"excluir",IF(J61="en periodo de pago",IF($V$1&gt;G61,"a pagar","proximo a vencer"),"excluir"))</f>
        <v>excluir</v>
      </c>
      <c r="L61" s="51" t="str">
        <f t="shared" ref="L61" ca="1" si="62">+IF(K61="proximo a vencer",IF($V$1+5&gt;G61,"para la semana","no semana"),"no semana")</f>
        <v>no semana</v>
      </c>
      <c r="M61" s="51" t="str">
        <f>IFERROR(VLOOKUP(E61,'cheques a conf'!A:D,4,FALSE),"no clearing")</f>
        <v>no clearing</v>
      </c>
      <c r="N61" s="51">
        <f t="shared" ref="N61" si="63">+WEEKNUM(G61,2)</f>
        <v>6</v>
      </c>
      <c r="O61" s="53">
        <f t="shared" ref="O61" si="64">+MONTH(G61)</f>
        <v>2</v>
      </c>
      <c r="P61" s="53">
        <f t="shared" ref="P61" si="65">+YEAR(G61)</f>
        <v>2025</v>
      </c>
    </row>
    <row r="62" spans="1:16" customFormat="1" x14ac:dyDescent="0.25">
      <c r="A62" s="21">
        <v>3000000585</v>
      </c>
      <c r="B62" s="22">
        <v>45692</v>
      </c>
      <c r="C62" s="54">
        <v>2626701.19</v>
      </c>
      <c r="D62" s="21" t="s">
        <v>595</v>
      </c>
      <c r="E62" s="21">
        <v>94326800</v>
      </c>
      <c r="F62" s="54">
        <v>2626701.19</v>
      </c>
      <c r="G62" s="22">
        <v>45693</v>
      </c>
      <c r="H62" t="s">
        <v>13</v>
      </c>
      <c r="I62" s="51" t="str">
        <f>IFERROR(IF(VLOOKUP(E62,extracto!C:C,1,FALSE)=E62,"pagado","no pagado"),"no pagado")</f>
        <v>pagado</v>
      </c>
      <c r="J62" s="52" t="str">
        <f t="shared" ref="J62" si="66">IF(I62="pagado","pagado",IF(G62&lt;$V$1-30,"fuera de fecha","en periodo de pago"))</f>
        <v>pagado</v>
      </c>
      <c r="K62" s="51" t="str">
        <f t="shared" ref="K62" ca="1" si="67">+IF(B62&gt;$V$1,"excluir",IF(J62="en periodo de pago",IF($V$1&gt;G62,"a pagar","proximo a vencer"),"excluir"))</f>
        <v>excluir</v>
      </c>
      <c r="L62" s="51" t="str">
        <f t="shared" ref="L62" ca="1" si="68">+IF(K62="proximo a vencer",IF($V$1+5&gt;G62,"para la semana","no semana"),"no semana")</f>
        <v>no semana</v>
      </c>
      <c r="M62" s="51" t="str">
        <f>IFERROR(VLOOKUP(E62,'cheques a conf'!A:D,4,FALSE),"no clearing")</f>
        <v>no clearing</v>
      </c>
      <c r="N62" s="51">
        <f t="shared" ref="N62" si="69">+WEEKNUM(G62,2)</f>
        <v>6</v>
      </c>
      <c r="O62" s="53">
        <f t="shared" ref="O62" si="70">+MONTH(G62)</f>
        <v>2</v>
      </c>
      <c r="P62" s="53">
        <f t="shared" ref="P62" si="71">+YEAR(G62)</f>
        <v>2025</v>
      </c>
    </row>
    <row r="63" spans="1:16" customFormat="1" x14ac:dyDescent="0.25">
      <c r="A63" s="21">
        <v>3000000557</v>
      </c>
      <c r="B63" s="22">
        <v>45691</v>
      </c>
      <c r="C63" s="54">
        <v>15000000</v>
      </c>
      <c r="D63" s="21" t="s">
        <v>597</v>
      </c>
      <c r="E63" s="21">
        <v>91002247</v>
      </c>
      <c r="F63" s="54">
        <v>15000000</v>
      </c>
      <c r="G63" s="22">
        <v>45693</v>
      </c>
      <c r="H63" t="s">
        <v>79</v>
      </c>
      <c r="I63" s="51" t="str">
        <f>IFERROR(IF(VLOOKUP(E63,extracto!C:C,1,FALSE)=E63,"pagado","no pagado"),"no pagado")</f>
        <v>pagado</v>
      </c>
      <c r="J63" s="52" t="str">
        <f t="shared" ref="J63:J74" si="72">IF(I63="pagado","pagado",IF(G63&lt;$V$1-30,"fuera de fecha","en periodo de pago"))</f>
        <v>pagado</v>
      </c>
      <c r="K63" s="51" t="str">
        <f t="shared" ref="K63:K74" ca="1" si="73">+IF(B63&gt;$V$1,"excluir",IF(J63="en periodo de pago",IF($V$1&gt;G63,"a pagar","proximo a vencer"),"excluir"))</f>
        <v>excluir</v>
      </c>
      <c r="L63" s="51" t="str">
        <f t="shared" ref="L63:L74" ca="1" si="74">+IF(K63="proximo a vencer",IF($V$1+5&gt;G63,"para la semana","no semana"),"no semana")</f>
        <v>no semana</v>
      </c>
      <c r="M63" s="51" t="str">
        <f>IFERROR(VLOOKUP(E63,'cheques a conf'!A:D,4,FALSE),"no clearing")</f>
        <v>no clearing</v>
      </c>
      <c r="N63" s="51">
        <f t="shared" ref="N63:N74" si="75">+WEEKNUM(G63,2)</f>
        <v>6</v>
      </c>
      <c r="O63" s="53">
        <f t="shared" ref="O63:O74" si="76">+MONTH(G63)</f>
        <v>2</v>
      </c>
      <c r="P63" s="53">
        <f t="shared" ref="P63:P74" si="77">+YEAR(G63)</f>
        <v>2025</v>
      </c>
    </row>
    <row r="64" spans="1:16" customFormat="1" x14ac:dyDescent="0.25">
      <c r="A64" s="21">
        <v>3000000557</v>
      </c>
      <c r="B64" s="22">
        <v>45691</v>
      </c>
      <c r="C64" s="54">
        <v>13269222.24</v>
      </c>
      <c r="D64" s="21" t="s">
        <v>597</v>
      </c>
      <c r="E64" s="21">
        <v>91002248</v>
      </c>
      <c r="F64" s="54">
        <v>13269222.24</v>
      </c>
      <c r="G64" s="22">
        <v>45694</v>
      </c>
      <c r="H64" t="s">
        <v>79</v>
      </c>
      <c r="I64" s="51" t="str">
        <f>IFERROR(IF(VLOOKUP(E64,extracto!C:C,1,FALSE)=E64,"pagado","no pagado"),"no pagado")</f>
        <v>pagado</v>
      </c>
      <c r="J64" s="52" t="str">
        <f t="shared" si="72"/>
        <v>pagado</v>
      </c>
      <c r="K64" s="51" t="str">
        <f t="shared" ca="1" si="73"/>
        <v>excluir</v>
      </c>
      <c r="L64" s="51" t="str">
        <f t="shared" ca="1" si="74"/>
        <v>no semana</v>
      </c>
      <c r="M64" s="51" t="str">
        <f>IFERROR(VLOOKUP(E64,'cheques a conf'!A:D,4,FALSE),"no clearing")</f>
        <v>no clearing</v>
      </c>
      <c r="N64" s="51">
        <f t="shared" si="75"/>
        <v>6</v>
      </c>
      <c r="O64" s="53">
        <f t="shared" si="76"/>
        <v>2</v>
      </c>
      <c r="P64" s="53">
        <f t="shared" si="77"/>
        <v>2025</v>
      </c>
    </row>
    <row r="65" spans="1:16" customFormat="1" x14ac:dyDescent="0.25">
      <c r="A65" s="21">
        <v>3000000559</v>
      </c>
      <c r="B65" s="22">
        <v>45691</v>
      </c>
      <c r="C65" s="54">
        <v>12000000</v>
      </c>
      <c r="D65" s="21" t="s">
        <v>612</v>
      </c>
      <c r="E65" s="21">
        <v>91002250</v>
      </c>
      <c r="F65" s="54">
        <v>12000000</v>
      </c>
      <c r="G65" s="22">
        <v>45693</v>
      </c>
      <c r="H65" t="s">
        <v>79</v>
      </c>
      <c r="I65" s="51" t="str">
        <f>IFERROR(IF(VLOOKUP(E65,extracto!C:C,1,FALSE)=E65,"pagado","no pagado"),"no pagado")</f>
        <v>pagado</v>
      </c>
      <c r="J65" s="52" t="str">
        <f t="shared" si="72"/>
        <v>pagado</v>
      </c>
      <c r="K65" s="51" t="str">
        <f t="shared" ca="1" si="73"/>
        <v>excluir</v>
      </c>
      <c r="L65" s="51" t="str">
        <f t="shared" ca="1" si="74"/>
        <v>no semana</v>
      </c>
      <c r="M65" s="51" t="str">
        <f>IFERROR(VLOOKUP(E65,'cheques a conf'!A:D,4,FALSE),"no clearing")</f>
        <v>no clearing</v>
      </c>
      <c r="N65" s="51">
        <f t="shared" si="75"/>
        <v>6</v>
      </c>
      <c r="O65" s="53">
        <f t="shared" si="76"/>
        <v>2</v>
      </c>
      <c r="P65" s="53">
        <f t="shared" si="77"/>
        <v>2025</v>
      </c>
    </row>
    <row r="66" spans="1:16" customFormat="1" x14ac:dyDescent="0.25">
      <c r="A66" s="21">
        <v>3000000559</v>
      </c>
      <c r="B66" s="22">
        <v>45691</v>
      </c>
      <c r="C66" s="54">
        <v>11631009.74</v>
      </c>
      <c r="D66" s="21" t="s">
        <v>612</v>
      </c>
      <c r="E66" s="21">
        <v>91002251</v>
      </c>
      <c r="F66" s="54">
        <v>11631009.74</v>
      </c>
      <c r="G66" s="22">
        <v>45694</v>
      </c>
      <c r="H66" t="s">
        <v>79</v>
      </c>
      <c r="I66" s="51" t="str">
        <f>IFERROR(IF(VLOOKUP(E66,extracto!C:C,1,FALSE)=E66,"pagado","no pagado"),"no pagado")</f>
        <v>pagado</v>
      </c>
      <c r="J66" s="52" t="str">
        <f t="shared" si="72"/>
        <v>pagado</v>
      </c>
      <c r="K66" s="51" t="str">
        <f t="shared" ca="1" si="73"/>
        <v>excluir</v>
      </c>
      <c r="L66" s="51" t="str">
        <f t="shared" ca="1" si="74"/>
        <v>no semana</v>
      </c>
      <c r="M66" s="51" t="str">
        <f>IFERROR(VLOOKUP(E66,'cheques a conf'!A:D,4,FALSE),"no clearing")</f>
        <v>no clearing</v>
      </c>
      <c r="N66" s="51">
        <f t="shared" si="75"/>
        <v>6</v>
      </c>
      <c r="O66" s="53">
        <f t="shared" si="76"/>
        <v>2</v>
      </c>
      <c r="P66" s="53">
        <f t="shared" si="77"/>
        <v>2025</v>
      </c>
    </row>
    <row r="67" spans="1:16" customFormat="1" x14ac:dyDescent="0.25">
      <c r="A67" s="21">
        <v>3000000562</v>
      </c>
      <c r="B67" s="22">
        <v>45691</v>
      </c>
      <c r="C67" s="54">
        <v>14000000</v>
      </c>
      <c r="D67" s="21" t="s">
        <v>613</v>
      </c>
      <c r="E67" s="21">
        <v>91002254</v>
      </c>
      <c r="F67" s="54">
        <v>14000000</v>
      </c>
      <c r="G67" s="22">
        <v>45693</v>
      </c>
      <c r="H67" t="s">
        <v>79</v>
      </c>
      <c r="I67" s="51" t="str">
        <f>IFERROR(IF(VLOOKUP(E67,extracto!C:C,1,FALSE)=E67,"pagado","no pagado"),"no pagado")</f>
        <v>pagado</v>
      </c>
      <c r="J67" s="52" t="str">
        <f t="shared" si="72"/>
        <v>pagado</v>
      </c>
      <c r="K67" s="51" t="str">
        <f t="shared" ca="1" si="73"/>
        <v>excluir</v>
      </c>
      <c r="L67" s="51" t="str">
        <f t="shared" ca="1" si="74"/>
        <v>no semana</v>
      </c>
      <c r="M67" s="51" t="str">
        <f>IFERROR(VLOOKUP(E67,'cheques a conf'!A:D,4,FALSE),"no clearing")</f>
        <v>no clearing</v>
      </c>
      <c r="N67" s="51">
        <f t="shared" si="75"/>
        <v>6</v>
      </c>
      <c r="O67" s="53">
        <f t="shared" si="76"/>
        <v>2</v>
      </c>
      <c r="P67" s="53">
        <f t="shared" si="77"/>
        <v>2025</v>
      </c>
    </row>
    <row r="68" spans="1:16" customFormat="1" x14ac:dyDescent="0.25">
      <c r="A68" s="21">
        <v>3000000562</v>
      </c>
      <c r="B68" s="22">
        <v>45691</v>
      </c>
      <c r="C68" s="54">
        <v>13628138.09</v>
      </c>
      <c r="D68" s="21" t="s">
        <v>613</v>
      </c>
      <c r="E68" s="21">
        <v>91002255</v>
      </c>
      <c r="F68" s="54">
        <v>13628138.09</v>
      </c>
      <c r="G68" s="22">
        <v>45694</v>
      </c>
      <c r="H68" t="s">
        <v>79</v>
      </c>
      <c r="I68" s="51" t="str">
        <f>IFERROR(IF(VLOOKUP(E68,extracto!C:C,1,FALSE)=E68,"pagado","no pagado"),"no pagado")</f>
        <v>pagado</v>
      </c>
      <c r="J68" s="52" t="str">
        <f t="shared" si="72"/>
        <v>pagado</v>
      </c>
      <c r="K68" s="51" t="str">
        <f t="shared" ca="1" si="73"/>
        <v>excluir</v>
      </c>
      <c r="L68" s="51" t="str">
        <f t="shared" ca="1" si="74"/>
        <v>no semana</v>
      </c>
      <c r="M68" s="51" t="str">
        <f>IFERROR(VLOOKUP(E68,'cheques a conf'!A:D,4,FALSE),"no clearing")</f>
        <v>no clearing</v>
      </c>
      <c r="N68" s="51">
        <f t="shared" si="75"/>
        <v>6</v>
      </c>
      <c r="O68" s="53">
        <f t="shared" si="76"/>
        <v>2</v>
      </c>
      <c r="P68" s="53">
        <f t="shared" si="77"/>
        <v>2025</v>
      </c>
    </row>
    <row r="69" spans="1:16" customFormat="1" x14ac:dyDescent="0.25">
      <c r="A69" s="21">
        <v>3000000555</v>
      </c>
      <c r="B69" s="22">
        <v>45691</v>
      </c>
      <c r="C69" s="54">
        <v>8113013.9000000004</v>
      </c>
      <c r="D69" s="21" t="s">
        <v>614</v>
      </c>
      <c r="E69" s="21">
        <v>91002245</v>
      </c>
      <c r="F69" s="54">
        <v>8113013.9000000004</v>
      </c>
      <c r="G69" s="22">
        <v>45693</v>
      </c>
      <c r="H69" t="s">
        <v>79</v>
      </c>
      <c r="I69" s="51" t="str">
        <f>IFERROR(IF(VLOOKUP(E69,extracto!C:C,1,FALSE)=E69,"pagado","no pagado"),"no pagado")</f>
        <v>pagado</v>
      </c>
      <c r="J69" s="52" t="str">
        <f t="shared" si="72"/>
        <v>pagado</v>
      </c>
      <c r="K69" s="51" t="str">
        <f t="shared" ca="1" si="73"/>
        <v>excluir</v>
      </c>
      <c r="L69" s="51" t="str">
        <f t="shared" ca="1" si="74"/>
        <v>no semana</v>
      </c>
      <c r="M69" s="51" t="str">
        <f>IFERROR(VLOOKUP(E69,'cheques a conf'!A:D,4,FALSE),"no clearing")</f>
        <v>no clearing</v>
      </c>
      <c r="N69" s="51">
        <f t="shared" si="75"/>
        <v>6</v>
      </c>
      <c r="O69" s="53">
        <f t="shared" si="76"/>
        <v>2</v>
      </c>
      <c r="P69" s="53">
        <f t="shared" si="77"/>
        <v>2025</v>
      </c>
    </row>
    <row r="70" spans="1:16" customFormat="1" x14ac:dyDescent="0.25">
      <c r="A70" s="21">
        <v>3000000556</v>
      </c>
      <c r="B70" s="22">
        <v>45691</v>
      </c>
      <c r="C70" s="54">
        <v>16648171.25</v>
      </c>
      <c r="D70" s="21" t="s">
        <v>615</v>
      </c>
      <c r="E70" s="21">
        <v>91002246</v>
      </c>
      <c r="F70" s="54">
        <v>16648171.25</v>
      </c>
      <c r="G70" s="22">
        <v>45693</v>
      </c>
      <c r="H70" t="s">
        <v>79</v>
      </c>
      <c r="I70" s="51" t="str">
        <f>IFERROR(IF(VLOOKUP(E70,extracto!C:C,1,FALSE)=E70,"pagado","no pagado"),"no pagado")</f>
        <v>pagado</v>
      </c>
      <c r="J70" s="52" t="str">
        <f t="shared" si="72"/>
        <v>pagado</v>
      </c>
      <c r="K70" s="51" t="str">
        <f t="shared" ca="1" si="73"/>
        <v>excluir</v>
      </c>
      <c r="L70" s="51" t="str">
        <f t="shared" ca="1" si="74"/>
        <v>no semana</v>
      </c>
      <c r="M70" s="51" t="str">
        <f>IFERROR(VLOOKUP(E70,'cheques a conf'!A:D,4,FALSE),"no clearing")</f>
        <v>no clearing</v>
      </c>
      <c r="N70" s="51">
        <f t="shared" si="75"/>
        <v>6</v>
      </c>
      <c r="O70" s="53">
        <f t="shared" si="76"/>
        <v>2</v>
      </c>
      <c r="P70" s="53">
        <f t="shared" si="77"/>
        <v>2025</v>
      </c>
    </row>
    <row r="71" spans="1:16" customFormat="1" x14ac:dyDescent="0.25">
      <c r="A71" s="21">
        <v>3000000558</v>
      </c>
      <c r="B71" s="22">
        <v>45691</v>
      </c>
      <c r="C71" s="54">
        <v>7130759.9199999999</v>
      </c>
      <c r="D71" s="21" t="s">
        <v>616</v>
      </c>
      <c r="E71" s="21">
        <v>91002249</v>
      </c>
      <c r="F71" s="54">
        <v>7130759.9199999999</v>
      </c>
      <c r="G71" s="22">
        <v>45693</v>
      </c>
      <c r="H71" t="s">
        <v>79</v>
      </c>
      <c r="I71" s="51" t="str">
        <f>IFERROR(IF(VLOOKUP(E71,extracto!C:C,1,FALSE)=E71,"pagado","no pagado"),"no pagado")</f>
        <v>pagado</v>
      </c>
      <c r="J71" s="52" t="str">
        <f t="shared" si="72"/>
        <v>pagado</v>
      </c>
      <c r="K71" s="51" t="str">
        <f t="shared" ca="1" si="73"/>
        <v>excluir</v>
      </c>
      <c r="L71" s="51" t="str">
        <f t="shared" ca="1" si="74"/>
        <v>no semana</v>
      </c>
      <c r="M71" s="51" t="str">
        <f>IFERROR(VLOOKUP(E71,'cheques a conf'!A:D,4,FALSE),"no clearing")</f>
        <v>no clearing</v>
      </c>
      <c r="N71" s="51">
        <f t="shared" si="75"/>
        <v>6</v>
      </c>
      <c r="O71" s="53">
        <f t="shared" si="76"/>
        <v>2</v>
      </c>
      <c r="P71" s="53">
        <f t="shared" si="77"/>
        <v>2025</v>
      </c>
    </row>
    <row r="72" spans="1:16" customFormat="1" x14ac:dyDescent="0.25">
      <c r="A72" s="21">
        <v>3000000560</v>
      </c>
      <c r="B72" s="22">
        <v>45691</v>
      </c>
      <c r="C72" s="54">
        <v>7131259.7800000003</v>
      </c>
      <c r="D72" s="21" t="s">
        <v>617</v>
      </c>
      <c r="E72" s="21">
        <v>91002252</v>
      </c>
      <c r="F72" s="54">
        <v>7131259.7800000003</v>
      </c>
      <c r="G72" s="22">
        <v>45693</v>
      </c>
      <c r="H72" t="s">
        <v>79</v>
      </c>
      <c r="I72" s="51" t="str">
        <f>IFERROR(IF(VLOOKUP(E72,extracto!C:C,1,FALSE)=E72,"pagado","no pagado"),"no pagado")</f>
        <v>pagado</v>
      </c>
      <c r="J72" s="52" t="str">
        <f t="shared" si="72"/>
        <v>pagado</v>
      </c>
      <c r="K72" s="51" t="str">
        <f t="shared" ca="1" si="73"/>
        <v>excluir</v>
      </c>
      <c r="L72" s="51" t="str">
        <f t="shared" ca="1" si="74"/>
        <v>no semana</v>
      </c>
      <c r="M72" s="51" t="str">
        <f>IFERROR(VLOOKUP(E72,'cheques a conf'!A:D,4,FALSE),"no clearing")</f>
        <v>no clearing</v>
      </c>
      <c r="N72" s="51">
        <f t="shared" si="75"/>
        <v>6</v>
      </c>
      <c r="O72" s="53">
        <f t="shared" si="76"/>
        <v>2</v>
      </c>
      <c r="P72" s="53">
        <f t="shared" si="77"/>
        <v>2025</v>
      </c>
    </row>
    <row r="73" spans="1:16" customFormat="1" x14ac:dyDescent="0.25">
      <c r="A73" s="21">
        <v>3000000561</v>
      </c>
      <c r="B73" s="22">
        <v>45691</v>
      </c>
      <c r="C73" s="54">
        <v>8354845.9800000004</v>
      </c>
      <c r="D73" s="21" t="s">
        <v>618</v>
      </c>
      <c r="E73" s="21">
        <v>91002253</v>
      </c>
      <c r="F73" s="54">
        <v>8354845.9800000004</v>
      </c>
      <c r="G73" s="22">
        <v>45693</v>
      </c>
      <c r="H73" t="s">
        <v>79</v>
      </c>
      <c r="I73" s="51" t="str">
        <f>IFERROR(IF(VLOOKUP(E73,extracto!C:C,1,FALSE)=E73,"pagado","no pagado"),"no pagado")</f>
        <v>pagado</v>
      </c>
      <c r="J73" s="52" t="str">
        <f t="shared" si="72"/>
        <v>pagado</v>
      </c>
      <c r="K73" s="51" t="str">
        <f t="shared" ca="1" si="73"/>
        <v>excluir</v>
      </c>
      <c r="L73" s="51" t="str">
        <f t="shared" ca="1" si="74"/>
        <v>no semana</v>
      </c>
      <c r="M73" s="51" t="str">
        <f>IFERROR(VLOOKUP(E73,'cheques a conf'!A:D,4,FALSE),"no clearing")</f>
        <v>no clearing</v>
      </c>
      <c r="N73" s="51">
        <f t="shared" si="75"/>
        <v>6</v>
      </c>
      <c r="O73" s="53">
        <f t="shared" si="76"/>
        <v>2</v>
      </c>
      <c r="P73" s="53">
        <f t="shared" si="77"/>
        <v>2025</v>
      </c>
    </row>
    <row r="74" spans="1:16" customFormat="1" x14ac:dyDescent="0.25">
      <c r="A74" s="21">
        <v>3000000563</v>
      </c>
      <c r="B74" s="22">
        <v>45691</v>
      </c>
      <c r="C74" s="54">
        <v>7408404.0599999996</v>
      </c>
      <c r="D74" s="21" t="s">
        <v>619</v>
      </c>
      <c r="E74" s="21">
        <v>91002256</v>
      </c>
      <c r="F74" s="54">
        <v>7408404.0599999996</v>
      </c>
      <c r="G74" s="22">
        <v>45693</v>
      </c>
      <c r="H74" t="s">
        <v>79</v>
      </c>
      <c r="I74" s="51" t="str">
        <f>IFERROR(IF(VLOOKUP(E74,extracto!C:C,1,FALSE)=E74,"pagado","no pagado"),"no pagado")</f>
        <v>pagado</v>
      </c>
      <c r="J74" s="52" t="str">
        <f t="shared" si="72"/>
        <v>pagado</v>
      </c>
      <c r="K74" s="51" t="str">
        <f t="shared" ca="1" si="73"/>
        <v>excluir</v>
      </c>
      <c r="L74" s="51" t="str">
        <f t="shared" ca="1" si="74"/>
        <v>no semana</v>
      </c>
      <c r="M74" s="51" t="str">
        <f>IFERROR(VLOOKUP(E74,'cheques a conf'!A:D,4,FALSE),"no clearing")</f>
        <v>no clearing</v>
      </c>
      <c r="N74" s="51">
        <f t="shared" si="75"/>
        <v>6</v>
      </c>
      <c r="O74" s="53">
        <f t="shared" si="76"/>
        <v>2</v>
      </c>
      <c r="P74" s="53">
        <f t="shared" si="77"/>
        <v>2025</v>
      </c>
    </row>
    <row r="75" spans="1:16" customFormat="1" x14ac:dyDescent="0.25">
      <c r="A75" s="21">
        <v>3000000601</v>
      </c>
      <c r="B75" s="22">
        <v>45693</v>
      </c>
      <c r="C75" s="54">
        <v>7468372.0499999998</v>
      </c>
      <c r="D75" s="21" t="s">
        <v>588</v>
      </c>
      <c r="E75" s="21">
        <v>2927368</v>
      </c>
      <c r="F75" s="54">
        <v>7468372.0499999998</v>
      </c>
      <c r="G75" s="22">
        <v>45695</v>
      </c>
      <c r="H75" t="s">
        <v>13</v>
      </c>
      <c r="I75" s="51" t="str">
        <f>IFERROR(IF(VLOOKUP(E75,extracto!C:C,1,FALSE)=E75,"pagado","no pagado"),"no pagado")</f>
        <v>pagado</v>
      </c>
      <c r="J75" s="52" t="str">
        <f t="shared" ref="J75:J78" si="78">IF(I75="pagado","pagado",IF(G75&lt;$V$1-30,"fuera de fecha","en periodo de pago"))</f>
        <v>pagado</v>
      </c>
      <c r="K75" s="51" t="str">
        <f t="shared" ref="K75:K78" ca="1" si="79">+IF(B75&gt;$V$1,"excluir",IF(J75="en periodo de pago",IF($V$1&gt;G75,"a pagar","proximo a vencer"),"excluir"))</f>
        <v>excluir</v>
      </c>
      <c r="L75" s="51" t="str">
        <f t="shared" ref="L75:L78" ca="1" si="80">+IF(K75="proximo a vencer",IF($V$1+5&gt;G75,"para la semana","no semana"),"no semana")</f>
        <v>no semana</v>
      </c>
      <c r="M75" s="51" t="str">
        <f>IFERROR(VLOOKUP(E75,'cheques a conf'!A:D,4,FALSE),"no clearing")</f>
        <v>no clearing</v>
      </c>
      <c r="N75" s="51">
        <f t="shared" ref="N75:N78" si="81">+WEEKNUM(G75,2)</f>
        <v>6</v>
      </c>
      <c r="O75" s="53">
        <f t="shared" ref="O75:O78" si="82">+MONTH(G75)</f>
        <v>2</v>
      </c>
      <c r="P75" s="53">
        <f t="shared" ref="P75:P78" si="83">+YEAR(G75)</f>
        <v>2025</v>
      </c>
    </row>
    <row r="76" spans="1:16" customFormat="1" x14ac:dyDescent="0.25">
      <c r="A76" s="21">
        <v>3000000602</v>
      </c>
      <c r="B76" s="22">
        <v>45693</v>
      </c>
      <c r="C76" s="54">
        <v>15015420.970000001</v>
      </c>
      <c r="D76" s="21" t="s">
        <v>593</v>
      </c>
      <c r="E76" s="21">
        <v>2927369</v>
      </c>
      <c r="F76" s="54">
        <v>15015420.970000001</v>
      </c>
      <c r="G76" s="22">
        <v>45695</v>
      </c>
      <c r="H76" t="s">
        <v>13</v>
      </c>
      <c r="I76" s="51" t="str">
        <f>IFERROR(IF(VLOOKUP(E76,extracto!C:C,1,FALSE)=E76,"pagado","no pagado"),"no pagado")</f>
        <v>pagado</v>
      </c>
      <c r="J76" s="52" t="str">
        <f t="shared" si="78"/>
        <v>pagado</v>
      </c>
      <c r="K76" s="51" t="str">
        <f t="shared" ca="1" si="79"/>
        <v>excluir</v>
      </c>
      <c r="L76" s="51" t="str">
        <f t="shared" ca="1" si="80"/>
        <v>no semana</v>
      </c>
      <c r="M76" s="51" t="str">
        <f>IFERROR(VLOOKUP(E76,'cheques a conf'!A:D,4,FALSE),"no clearing")</f>
        <v>no clearing</v>
      </c>
      <c r="N76" s="51">
        <f t="shared" si="81"/>
        <v>6</v>
      </c>
      <c r="O76" s="53">
        <f t="shared" si="82"/>
        <v>2</v>
      </c>
      <c r="P76" s="53">
        <f t="shared" si="83"/>
        <v>2025</v>
      </c>
    </row>
    <row r="77" spans="1:16" customFormat="1" x14ac:dyDescent="0.25">
      <c r="A77" s="21">
        <v>3000000603</v>
      </c>
      <c r="B77" s="22">
        <v>45693</v>
      </c>
      <c r="C77" s="54">
        <v>7834634.8799999999</v>
      </c>
      <c r="D77" s="21" t="s">
        <v>17</v>
      </c>
      <c r="E77" s="21">
        <v>2927370</v>
      </c>
      <c r="F77" s="54">
        <v>7834634.8799999999</v>
      </c>
      <c r="G77" s="22">
        <v>45695</v>
      </c>
      <c r="H77" t="s">
        <v>13</v>
      </c>
      <c r="I77" s="51" t="str">
        <f>IFERROR(IF(VLOOKUP(E77,extracto!C:C,1,FALSE)=E77,"pagado","no pagado"),"no pagado")</f>
        <v>pagado</v>
      </c>
      <c r="J77" s="52" t="str">
        <f t="shared" si="78"/>
        <v>pagado</v>
      </c>
      <c r="K77" s="51" t="str">
        <f t="shared" ca="1" si="79"/>
        <v>excluir</v>
      </c>
      <c r="L77" s="51" t="str">
        <f t="shared" ca="1" si="80"/>
        <v>no semana</v>
      </c>
      <c r="M77" s="51" t="str">
        <f>IFERROR(VLOOKUP(E77,'cheques a conf'!A:D,4,FALSE),"no clearing")</f>
        <v>no clearing</v>
      </c>
      <c r="N77" s="51">
        <f t="shared" si="81"/>
        <v>6</v>
      </c>
      <c r="O77" s="53">
        <f t="shared" si="82"/>
        <v>2</v>
      </c>
      <c r="P77" s="53">
        <f t="shared" si="83"/>
        <v>2025</v>
      </c>
    </row>
    <row r="78" spans="1:16" customFormat="1" x14ac:dyDescent="0.25">
      <c r="A78" s="21">
        <v>3000000604</v>
      </c>
      <c r="B78" s="22">
        <v>45693</v>
      </c>
      <c r="C78" s="54">
        <v>5057267.5599999996</v>
      </c>
      <c r="D78" s="21" t="s">
        <v>85</v>
      </c>
      <c r="E78" s="21">
        <v>2927371</v>
      </c>
      <c r="F78" s="54">
        <v>5057267.5599999996</v>
      </c>
      <c r="G78" s="22">
        <v>45695</v>
      </c>
      <c r="H78" t="s">
        <v>13</v>
      </c>
      <c r="I78" s="51" t="str">
        <f>IFERROR(IF(VLOOKUP(E78,extracto!C:C,1,FALSE)=E78,"pagado","no pagado"),"no pagado")</f>
        <v>pagado</v>
      </c>
      <c r="J78" s="52" t="str">
        <f t="shared" si="78"/>
        <v>pagado</v>
      </c>
      <c r="K78" s="51" t="str">
        <f t="shared" ca="1" si="79"/>
        <v>excluir</v>
      </c>
      <c r="L78" s="51" t="str">
        <f t="shared" ca="1" si="80"/>
        <v>no semana</v>
      </c>
      <c r="M78" s="51" t="str">
        <f>IFERROR(VLOOKUP(E78,'cheques a conf'!A:D,4,FALSE),"no clearing")</f>
        <v>no clearing</v>
      </c>
      <c r="N78" s="51">
        <f t="shared" si="81"/>
        <v>6</v>
      </c>
      <c r="O78" s="53">
        <f t="shared" si="82"/>
        <v>2</v>
      </c>
      <c r="P78" s="53">
        <f t="shared" si="83"/>
        <v>2025</v>
      </c>
    </row>
    <row r="79" spans="1:16" customFormat="1" x14ac:dyDescent="0.25">
      <c r="A79" s="21">
        <v>3000000728</v>
      </c>
      <c r="B79" s="22">
        <v>45699</v>
      </c>
      <c r="C79" s="54">
        <v>141557350.72</v>
      </c>
      <c r="D79" s="21" t="s">
        <v>595</v>
      </c>
      <c r="E79" s="21">
        <v>94326808</v>
      </c>
      <c r="F79" s="54">
        <v>141557350.72</v>
      </c>
      <c r="G79" s="22">
        <v>45702</v>
      </c>
      <c r="H79" t="s">
        <v>13</v>
      </c>
      <c r="I79" s="51" t="str">
        <f>IFERROR(IF(VLOOKUP(E79,extracto!C:C,1,FALSE)=E79,"pagado","no pagado"),"no pagado")</f>
        <v>pagado</v>
      </c>
      <c r="J79" s="52" t="str">
        <f t="shared" ref="J79:J96" si="84">IF(I79="pagado","pagado",IF(G79&lt;$V$1-30,"fuera de fecha","en periodo de pago"))</f>
        <v>pagado</v>
      </c>
      <c r="K79" s="51" t="str">
        <f t="shared" ref="K79:K96" ca="1" si="85">+IF(B79&gt;$V$1,"excluir",IF(J79="en periodo de pago",IF($V$1&gt;G79,"a pagar","proximo a vencer"),"excluir"))</f>
        <v>excluir</v>
      </c>
      <c r="L79" s="51" t="str">
        <f t="shared" ref="L79:L96" ca="1" si="86">+IF(K79="proximo a vencer",IF($V$1+5&gt;G79,"para la semana","no semana"),"no semana")</f>
        <v>no semana</v>
      </c>
      <c r="M79" s="51" t="str">
        <f>IFERROR(VLOOKUP(E79,'cheques a conf'!A:D,4,FALSE),"no clearing")</f>
        <v>no clearing</v>
      </c>
      <c r="N79" s="51">
        <f t="shared" ref="N79:N96" si="87">+WEEKNUM(G79,2)</f>
        <v>7</v>
      </c>
      <c r="O79" s="53">
        <f t="shared" ref="O79:O96" si="88">+MONTH(G79)</f>
        <v>2</v>
      </c>
      <c r="P79" s="53">
        <f t="shared" ref="P79:P96" si="89">+YEAR(G79)</f>
        <v>2025</v>
      </c>
    </row>
    <row r="80" spans="1:16" customFormat="1" x14ac:dyDescent="0.25">
      <c r="A80" s="21">
        <v>3000000692</v>
      </c>
      <c r="B80" s="22">
        <v>45699</v>
      </c>
      <c r="C80" s="54">
        <v>8777470.7200000007</v>
      </c>
      <c r="D80" s="21" t="s">
        <v>74</v>
      </c>
      <c r="E80" s="21">
        <v>2927372</v>
      </c>
      <c r="F80" s="54">
        <v>8777470.7200000007</v>
      </c>
      <c r="G80" s="22">
        <v>45700</v>
      </c>
      <c r="H80" t="s">
        <v>13</v>
      </c>
      <c r="I80" s="51" t="str">
        <f>IFERROR(IF(VLOOKUP(E80,extracto!C:C,1,FALSE)=E80,"pagado","no pagado"),"no pagado")</f>
        <v>pagado</v>
      </c>
      <c r="J80" s="52" t="str">
        <f t="shared" si="84"/>
        <v>pagado</v>
      </c>
      <c r="K80" s="51" t="str">
        <f t="shared" ca="1" si="85"/>
        <v>excluir</v>
      </c>
      <c r="L80" s="51" t="str">
        <f t="shared" ca="1" si="86"/>
        <v>no semana</v>
      </c>
      <c r="M80" s="51" t="str">
        <f>IFERROR(VLOOKUP(E80,'cheques a conf'!A:D,4,FALSE),"no clearing")</f>
        <v>no clearing</v>
      </c>
      <c r="N80" s="51">
        <f t="shared" si="87"/>
        <v>7</v>
      </c>
      <c r="O80" s="53">
        <f t="shared" si="88"/>
        <v>2</v>
      </c>
      <c r="P80" s="53">
        <f t="shared" si="89"/>
        <v>2025</v>
      </c>
    </row>
    <row r="81" spans="1:16" customFormat="1" x14ac:dyDescent="0.25">
      <c r="A81" s="21">
        <v>3000000693</v>
      </c>
      <c r="B81" s="22">
        <v>45699</v>
      </c>
      <c r="C81" s="54">
        <v>3887380.76</v>
      </c>
      <c r="D81" s="21" t="s">
        <v>620</v>
      </c>
      <c r="E81" s="21">
        <v>2927373</v>
      </c>
      <c r="F81" s="54">
        <v>3887380.76</v>
      </c>
      <c r="G81" s="22">
        <v>45700</v>
      </c>
      <c r="H81" t="s">
        <v>13</v>
      </c>
      <c r="I81" s="51" t="str">
        <f>IFERROR(IF(VLOOKUP(E81,extracto!C:C,1,FALSE)=E81,"pagado","no pagado"),"no pagado")</f>
        <v>pagado</v>
      </c>
      <c r="J81" s="52" t="str">
        <f t="shared" si="84"/>
        <v>pagado</v>
      </c>
      <c r="K81" s="51" t="str">
        <f t="shared" ca="1" si="85"/>
        <v>excluir</v>
      </c>
      <c r="L81" s="51" t="str">
        <f t="shared" ca="1" si="86"/>
        <v>no semana</v>
      </c>
      <c r="M81" s="51" t="str">
        <f>IFERROR(VLOOKUP(E81,'cheques a conf'!A:D,4,FALSE),"no clearing")</f>
        <v>no clearing</v>
      </c>
      <c r="N81" s="51">
        <f t="shared" si="87"/>
        <v>7</v>
      </c>
      <c r="O81" s="53">
        <f t="shared" si="88"/>
        <v>2</v>
      </c>
      <c r="P81" s="53">
        <f t="shared" si="89"/>
        <v>2025</v>
      </c>
    </row>
    <row r="82" spans="1:16" customFormat="1" x14ac:dyDescent="0.25">
      <c r="A82" s="21">
        <v>3000000694</v>
      </c>
      <c r="B82" s="22">
        <v>45699</v>
      </c>
      <c r="C82" s="54">
        <v>8309167.1399999997</v>
      </c>
      <c r="D82" s="21" t="s">
        <v>598</v>
      </c>
      <c r="E82" s="21">
        <v>2927374</v>
      </c>
      <c r="F82" s="54">
        <v>8309167.1399999997</v>
      </c>
      <c r="G82" s="22">
        <v>45700</v>
      </c>
      <c r="H82" t="s">
        <v>13</v>
      </c>
      <c r="I82" s="51" t="str">
        <f>IFERROR(IF(VLOOKUP(E82,extracto!C:C,1,FALSE)=E82,"pagado","no pagado"),"no pagado")</f>
        <v>pagado</v>
      </c>
      <c r="J82" s="52" t="str">
        <f t="shared" si="84"/>
        <v>pagado</v>
      </c>
      <c r="K82" s="51" t="str">
        <f t="shared" ca="1" si="85"/>
        <v>excluir</v>
      </c>
      <c r="L82" s="51" t="str">
        <f t="shared" ca="1" si="86"/>
        <v>no semana</v>
      </c>
      <c r="M82" s="51" t="str">
        <f>IFERROR(VLOOKUP(E82,'cheques a conf'!A:D,4,FALSE),"no clearing")</f>
        <v>no clearing</v>
      </c>
      <c r="N82" s="51">
        <f t="shared" si="87"/>
        <v>7</v>
      </c>
      <c r="O82" s="53">
        <f t="shared" si="88"/>
        <v>2</v>
      </c>
      <c r="P82" s="53">
        <f t="shared" si="89"/>
        <v>2025</v>
      </c>
    </row>
    <row r="83" spans="1:16" customFormat="1" x14ac:dyDescent="0.25">
      <c r="A83" s="21">
        <v>3000000695</v>
      </c>
      <c r="B83" s="22">
        <v>45699</v>
      </c>
      <c r="C83" s="54">
        <v>20199491.75</v>
      </c>
      <c r="D83" s="21" t="s">
        <v>607</v>
      </c>
      <c r="E83" s="21">
        <v>2927375</v>
      </c>
      <c r="F83" s="54">
        <v>20199491.75</v>
      </c>
      <c r="G83" s="22">
        <v>45701</v>
      </c>
      <c r="H83" t="s">
        <v>13</v>
      </c>
      <c r="I83" s="51" t="str">
        <f>IFERROR(IF(VLOOKUP(E83,extracto!C:C,1,FALSE)=E83,"pagado","no pagado"),"no pagado")</f>
        <v>pagado</v>
      </c>
      <c r="J83" s="52" t="str">
        <f t="shared" si="84"/>
        <v>pagado</v>
      </c>
      <c r="K83" s="51" t="str">
        <f t="shared" ca="1" si="85"/>
        <v>excluir</v>
      </c>
      <c r="L83" s="51" t="str">
        <f t="shared" ca="1" si="86"/>
        <v>no semana</v>
      </c>
      <c r="M83" s="51" t="str">
        <f>IFERROR(VLOOKUP(E83,'cheques a conf'!A:D,4,FALSE),"no clearing")</f>
        <v>no clearing</v>
      </c>
      <c r="N83" s="51">
        <f t="shared" si="87"/>
        <v>7</v>
      </c>
      <c r="O83" s="53">
        <f t="shared" si="88"/>
        <v>2</v>
      </c>
      <c r="P83" s="53">
        <f t="shared" si="89"/>
        <v>2025</v>
      </c>
    </row>
    <row r="84" spans="1:16" customFormat="1" x14ac:dyDescent="0.25">
      <c r="A84" s="21">
        <v>3000000696</v>
      </c>
      <c r="B84" s="22">
        <v>45699</v>
      </c>
      <c r="C84" s="54">
        <v>13575156.43</v>
      </c>
      <c r="D84" s="21" t="s">
        <v>591</v>
      </c>
      <c r="E84" s="21">
        <v>2927376</v>
      </c>
      <c r="F84" s="54">
        <v>13575156.43</v>
      </c>
      <c r="G84" s="22">
        <v>45701</v>
      </c>
      <c r="H84" t="s">
        <v>13</v>
      </c>
      <c r="I84" s="51" t="str">
        <f>IFERROR(IF(VLOOKUP(E84,extracto!C:C,1,FALSE)=E84,"pagado","no pagado"),"no pagado")</f>
        <v>pagado</v>
      </c>
      <c r="J84" s="52" t="str">
        <f t="shared" si="84"/>
        <v>pagado</v>
      </c>
      <c r="K84" s="51" t="str">
        <f t="shared" ca="1" si="85"/>
        <v>excluir</v>
      </c>
      <c r="L84" s="51" t="str">
        <f t="shared" ca="1" si="86"/>
        <v>no semana</v>
      </c>
      <c r="M84" s="51" t="str">
        <f>IFERROR(VLOOKUP(E84,'cheques a conf'!A:D,4,FALSE),"no clearing")</f>
        <v>no clearing</v>
      </c>
      <c r="N84" s="51">
        <f t="shared" si="87"/>
        <v>7</v>
      </c>
      <c r="O84" s="53">
        <f t="shared" si="88"/>
        <v>2</v>
      </c>
      <c r="P84" s="53">
        <f t="shared" si="89"/>
        <v>2025</v>
      </c>
    </row>
    <row r="85" spans="1:16" customFormat="1" x14ac:dyDescent="0.25">
      <c r="A85" s="21">
        <v>3000000697</v>
      </c>
      <c r="B85" s="22">
        <v>45699</v>
      </c>
      <c r="C85" s="54">
        <v>10000000</v>
      </c>
      <c r="D85" s="21" t="s">
        <v>86</v>
      </c>
      <c r="E85" s="21">
        <v>2927377</v>
      </c>
      <c r="F85" s="54">
        <v>10000000</v>
      </c>
      <c r="G85" s="22">
        <v>45701</v>
      </c>
      <c r="H85" t="s">
        <v>13</v>
      </c>
      <c r="I85" s="51" t="str">
        <f>IFERROR(IF(VLOOKUP(E85,extracto!C:C,1,FALSE)=E85,"pagado","no pagado"),"no pagado")</f>
        <v>pagado</v>
      </c>
      <c r="J85" s="52" t="str">
        <f t="shared" si="84"/>
        <v>pagado</v>
      </c>
      <c r="K85" s="51" t="str">
        <f t="shared" ca="1" si="85"/>
        <v>excluir</v>
      </c>
      <c r="L85" s="51" t="str">
        <f t="shared" ca="1" si="86"/>
        <v>no semana</v>
      </c>
      <c r="M85" s="51" t="str">
        <f>IFERROR(VLOOKUP(E85,'cheques a conf'!A:D,4,FALSE),"no clearing")</f>
        <v>no clearing</v>
      </c>
      <c r="N85" s="51">
        <f t="shared" si="87"/>
        <v>7</v>
      </c>
      <c r="O85" s="53">
        <f t="shared" si="88"/>
        <v>2</v>
      </c>
      <c r="P85" s="53">
        <f t="shared" si="89"/>
        <v>2025</v>
      </c>
    </row>
    <row r="86" spans="1:16" customFormat="1" x14ac:dyDescent="0.25">
      <c r="A86" s="21">
        <v>3000000697</v>
      </c>
      <c r="B86" s="22">
        <v>45699</v>
      </c>
      <c r="C86" s="54">
        <v>10000000</v>
      </c>
      <c r="D86" s="21" t="s">
        <v>86</v>
      </c>
      <c r="E86" s="21">
        <v>2927378</v>
      </c>
      <c r="F86" s="54">
        <v>10000000</v>
      </c>
      <c r="G86" s="22">
        <v>45701</v>
      </c>
      <c r="H86" t="s">
        <v>13</v>
      </c>
      <c r="I86" s="51" t="str">
        <f>IFERROR(IF(VLOOKUP(E86,extracto!C:C,1,FALSE)=E86,"pagado","no pagado"),"no pagado")</f>
        <v>pagado</v>
      </c>
      <c r="J86" s="52" t="str">
        <f t="shared" si="84"/>
        <v>pagado</v>
      </c>
      <c r="K86" s="51" t="str">
        <f t="shared" ca="1" si="85"/>
        <v>excluir</v>
      </c>
      <c r="L86" s="51" t="str">
        <f t="shared" ca="1" si="86"/>
        <v>no semana</v>
      </c>
      <c r="M86" s="51" t="str">
        <f>IFERROR(VLOOKUP(E86,'cheques a conf'!A:D,4,FALSE),"no clearing")</f>
        <v>no clearing</v>
      </c>
      <c r="N86" s="51">
        <f t="shared" si="87"/>
        <v>7</v>
      </c>
      <c r="O86" s="53">
        <f t="shared" si="88"/>
        <v>2</v>
      </c>
      <c r="P86" s="53">
        <f t="shared" si="89"/>
        <v>2025</v>
      </c>
    </row>
    <row r="87" spans="1:16" customFormat="1" x14ac:dyDescent="0.25">
      <c r="A87" s="21">
        <v>3000000697</v>
      </c>
      <c r="B87" s="22">
        <v>45699</v>
      </c>
      <c r="C87" s="54">
        <v>9976027.2699999996</v>
      </c>
      <c r="D87" s="21" t="s">
        <v>86</v>
      </c>
      <c r="E87" s="21">
        <v>2927379</v>
      </c>
      <c r="F87" s="54">
        <v>9976027.2699999996</v>
      </c>
      <c r="G87" s="22">
        <v>45702</v>
      </c>
      <c r="H87" t="s">
        <v>13</v>
      </c>
      <c r="I87" s="51" t="str">
        <f>IFERROR(IF(VLOOKUP(E87,extracto!C:C,1,FALSE)=E87,"pagado","no pagado"),"no pagado")</f>
        <v>pagado</v>
      </c>
      <c r="J87" s="52" t="str">
        <f t="shared" si="84"/>
        <v>pagado</v>
      </c>
      <c r="K87" s="51" t="str">
        <f t="shared" ca="1" si="85"/>
        <v>excluir</v>
      </c>
      <c r="L87" s="51" t="str">
        <f t="shared" ca="1" si="86"/>
        <v>no semana</v>
      </c>
      <c r="M87" s="51" t="str">
        <f>IFERROR(VLOOKUP(E87,'cheques a conf'!A:D,4,FALSE),"no clearing")</f>
        <v>no clearing</v>
      </c>
      <c r="N87" s="51">
        <f t="shared" si="87"/>
        <v>7</v>
      </c>
      <c r="O87" s="53">
        <f t="shared" si="88"/>
        <v>2</v>
      </c>
      <c r="P87" s="53">
        <f t="shared" si="89"/>
        <v>2025</v>
      </c>
    </row>
    <row r="88" spans="1:16" customFormat="1" x14ac:dyDescent="0.25">
      <c r="A88" s="21">
        <v>3000000698</v>
      </c>
      <c r="B88" s="22">
        <v>45699</v>
      </c>
      <c r="C88" s="54">
        <v>15000000</v>
      </c>
      <c r="D88" s="21" t="s">
        <v>588</v>
      </c>
      <c r="E88" s="21">
        <v>2927380</v>
      </c>
      <c r="F88" s="54">
        <v>15000000</v>
      </c>
      <c r="G88" s="22">
        <v>45701</v>
      </c>
      <c r="H88" t="s">
        <v>13</v>
      </c>
      <c r="I88" s="51" t="str">
        <f>IFERROR(IF(VLOOKUP(E88,extracto!C:C,1,FALSE)=E88,"pagado","no pagado"),"no pagado")</f>
        <v>pagado</v>
      </c>
      <c r="J88" s="52" t="str">
        <f t="shared" si="84"/>
        <v>pagado</v>
      </c>
      <c r="K88" s="51" t="str">
        <f t="shared" ca="1" si="85"/>
        <v>excluir</v>
      </c>
      <c r="L88" s="51" t="str">
        <f t="shared" ca="1" si="86"/>
        <v>no semana</v>
      </c>
      <c r="M88" s="51" t="str">
        <f>IFERROR(VLOOKUP(E88,'cheques a conf'!A:D,4,FALSE),"no clearing")</f>
        <v>no clearing</v>
      </c>
      <c r="N88" s="51">
        <f t="shared" si="87"/>
        <v>7</v>
      </c>
      <c r="O88" s="53">
        <f t="shared" si="88"/>
        <v>2</v>
      </c>
      <c r="P88" s="53">
        <f t="shared" si="89"/>
        <v>2025</v>
      </c>
    </row>
    <row r="89" spans="1:16" customFormat="1" x14ac:dyDescent="0.25">
      <c r="A89" s="21">
        <v>3000000698</v>
      </c>
      <c r="B89" s="22">
        <v>45699</v>
      </c>
      <c r="C89" s="54">
        <v>12241454.27</v>
      </c>
      <c r="D89" s="21" t="s">
        <v>588</v>
      </c>
      <c r="E89" s="21">
        <v>2927381</v>
      </c>
      <c r="F89" s="54">
        <v>12241454.27</v>
      </c>
      <c r="G89" s="22">
        <v>45702</v>
      </c>
      <c r="H89" t="s">
        <v>13</v>
      </c>
      <c r="I89" s="51" t="str">
        <f>IFERROR(IF(VLOOKUP(E89,extracto!C:C,1,FALSE)=E89,"pagado","no pagado"),"no pagado")</f>
        <v>pagado</v>
      </c>
      <c r="J89" s="52" t="str">
        <f t="shared" si="84"/>
        <v>pagado</v>
      </c>
      <c r="K89" s="51" t="str">
        <f t="shared" ca="1" si="85"/>
        <v>excluir</v>
      </c>
      <c r="L89" s="51" t="str">
        <f t="shared" ca="1" si="86"/>
        <v>no semana</v>
      </c>
      <c r="M89" s="51" t="str">
        <f>IFERROR(VLOOKUP(E89,'cheques a conf'!A:D,4,FALSE),"no clearing")</f>
        <v>no clearing</v>
      </c>
      <c r="N89" s="51">
        <f t="shared" si="87"/>
        <v>7</v>
      </c>
      <c r="O89" s="53">
        <f t="shared" si="88"/>
        <v>2</v>
      </c>
      <c r="P89" s="53">
        <f t="shared" si="89"/>
        <v>2025</v>
      </c>
    </row>
    <row r="90" spans="1:16" customFormat="1" x14ac:dyDescent="0.25">
      <c r="A90" s="21">
        <v>3000000728</v>
      </c>
      <c r="B90" s="22">
        <v>45699</v>
      </c>
      <c r="C90" s="54">
        <v>30000000</v>
      </c>
      <c r="D90" s="21" t="s">
        <v>595</v>
      </c>
      <c r="E90" s="21">
        <v>94326801</v>
      </c>
      <c r="F90" s="54">
        <v>30000000</v>
      </c>
      <c r="G90" s="22">
        <v>45700</v>
      </c>
      <c r="H90" t="s">
        <v>13</v>
      </c>
      <c r="I90" s="51" t="str">
        <f>IFERROR(IF(VLOOKUP(E90,extracto!C:C,1,FALSE)=E90,"pagado","no pagado"),"no pagado")</f>
        <v>pagado</v>
      </c>
      <c r="J90" s="52" t="str">
        <f t="shared" si="84"/>
        <v>pagado</v>
      </c>
      <c r="K90" s="51" t="str">
        <f t="shared" ca="1" si="85"/>
        <v>excluir</v>
      </c>
      <c r="L90" s="51" t="str">
        <f t="shared" ca="1" si="86"/>
        <v>no semana</v>
      </c>
      <c r="M90" s="51" t="str">
        <f>IFERROR(VLOOKUP(E90,'cheques a conf'!A:D,4,FALSE),"no clearing")</f>
        <v>no clearing</v>
      </c>
      <c r="N90" s="51">
        <f t="shared" si="87"/>
        <v>7</v>
      </c>
      <c r="O90" s="53">
        <f t="shared" si="88"/>
        <v>2</v>
      </c>
      <c r="P90" s="53">
        <f t="shared" si="89"/>
        <v>2025</v>
      </c>
    </row>
    <row r="91" spans="1:16" customFormat="1" x14ac:dyDescent="0.25">
      <c r="A91" s="21">
        <v>3000000728</v>
      </c>
      <c r="B91" s="22">
        <v>45699</v>
      </c>
      <c r="C91" s="54">
        <v>29000000</v>
      </c>
      <c r="D91" s="21" t="s">
        <v>595</v>
      </c>
      <c r="E91" s="21">
        <v>94326802</v>
      </c>
      <c r="F91" s="54">
        <v>29000000</v>
      </c>
      <c r="G91" s="22">
        <v>45701</v>
      </c>
      <c r="H91" t="s">
        <v>13</v>
      </c>
      <c r="I91" s="51" t="str">
        <f>IFERROR(IF(VLOOKUP(E91,extracto!C:C,1,FALSE)=E91,"pagado","no pagado"),"no pagado")</f>
        <v>pagado</v>
      </c>
      <c r="J91" s="52" t="str">
        <f t="shared" si="84"/>
        <v>pagado</v>
      </c>
      <c r="K91" s="51" t="str">
        <f t="shared" ca="1" si="85"/>
        <v>excluir</v>
      </c>
      <c r="L91" s="51" t="str">
        <f t="shared" ca="1" si="86"/>
        <v>no semana</v>
      </c>
      <c r="M91" s="51" t="str">
        <f>IFERROR(VLOOKUP(E91,'cheques a conf'!A:D,4,FALSE),"no clearing")</f>
        <v>no clearing</v>
      </c>
      <c r="N91" s="51">
        <f t="shared" si="87"/>
        <v>7</v>
      </c>
      <c r="O91" s="53">
        <f t="shared" si="88"/>
        <v>2</v>
      </c>
      <c r="P91" s="53">
        <f t="shared" si="89"/>
        <v>2025</v>
      </c>
    </row>
    <row r="92" spans="1:16" customFormat="1" x14ac:dyDescent="0.25">
      <c r="A92" s="21">
        <v>3000000728</v>
      </c>
      <c r="B92" s="22">
        <v>45699</v>
      </c>
      <c r="C92" s="54">
        <v>6201000</v>
      </c>
      <c r="D92" s="21" t="s">
        <v>595</v>
      </c>
      <c r="E92" s="21">
        <v>94326803</v>
      </c>
      <c r="F92" s="54">
        <v>6201000</v>
      </c>
      <c r="G92" s="22">
        <v>45701</v>
      </c>
      <c r="H92" t="s">
        <v>13</v>
      </c>
      <c r="I92" s="51" t="str">
        <f>IFERROR(IF(VLOOKUP(E92,extracto!C:C,1,FALSE)=E92,"pagado","no pagado"),"no pagado")</f>
        <v>pagado</v>
      </c>
      <c r="J92" s="52" t="str">
        <f t="shared" si="84"/>
        <v>pagado</v>
      </c>
      <c r="K92" s="51" t="str">
        <f t="shared" ca="1" si="85"/>
        <v>excluir</v>
      </c>
      <c r="L92" s="51" t="str">
        <f t="shared" ca="1" si="86"/>
        <v>no semana</v>
      </c>
      <c r="M92" s="51" t="str">
        <f>IFERROR(VLOOKUP(E92,'cheques a conf'!A:D,4,FALSE),"no clearing")</f>
        <v>no clearing</v>
      </c>
      <c r="N92" s="51">
        <f t="shared" si="87"/>
        <v>7</v>
      </c>
      <c r="O92" s="53">
        <f t="shared" si="88"/>
        <v>2</v>
      </c>
      <c r="P92" s="53">
        <f t="shared" si="89"/>
        <v>2025</v>
      </c>
    </row>
    <row r="93" spans="1:16" customFormat="1" x14ac:dyDescent="0.25">
      <c r="A93" s="21">
        <v>3000000728</v>
      </c>
      <c r="B93" s="22">
        <v>45699</v>
      </c>
      <c r="C93" s="54">
        <v>2968655</v>
      </c>
      <c r="D93" s="21" t="s">
        <v>595</v>
      </c>
      <c r="E93" s="21">
        <v>94326804</v>
      </c>
      <c r="F93" s="54">
        <v>2968655</v>
      </c>
      <c r="G93" s="22">
        <v>45701</v>
      </c>
      <c r="H93" t="s">
        <v>13</v>
      </c>
      <c r="I93" s="51" t="str">
        <f>IFERROR(IF(VLOOKUP(E93,extracto!C:C,1,FALSE)=E93,"pagado","no pagado"),"no pagado")</f>
        <v>pagado</v>
      </c>
      <c r="J93" s="52" t="str">
        <f t="shared" si="84"/>
        <v>pagado</v>
      </c>
      <c r="K93" s="51" t="str">
        <f t="shared" ca="1" si="85"/>
        <v>excluir</v>
      </c>
      <c r="L93" s="51" t="str">
        <f t="shared" ca="1" si="86"/>
        <v>no semana</v>
      </c>
      <c r="M93" s="51" t="str">
        <f>IFERROR(VLOOKUP(E93,'cheques a conf'!A:D,4,FALSE),"no clearing")</f>
        <v>no clearing</v>
      </c>
      <c r="N93" s="51">
        <f t="shared" si="87"/>
        <v>7</v>
      </c>
      <c r="O93" s="53">
        <f t="shared" si="88"/>
        <v>2</v>
      </c>
      <c r="P93" s="53">
        <f t="shared" si="89"/>
        <v>2025</v>
      </c>
    </row>
    <row r="94" spans="1:16" customFormat="1" x14ac:dyDescent="0.25">
      <c r="A94" s="21">
        <v>3000000728</v>
      </c>
      <c r="B94" s="22">
        <v>45699</v>
      </c>
      <c r="C94" s="54">
        <v>2900000</v>
      </c>
      <c r="D94" s="21" t="s">
        <v>595</v>
      </c>
      <c r="E94" s="21">
        <v>94326805</v>
      </c>
      <c r="F94" s="54">
        <v>2900000</v>
      </c>
      <c r="G94" s="22">
        <v>45701</v>
      </c>
      <c r="H94" t="s">
        <v>13</v>
      </c>
      <c r="I94" s="51" t="str">
        <f>IFERROR(IF(VLOOKUP(E94,extracto!C:C,1,FALSE)=E94,"pagado","no pagado"),"no pagado")</f>
        <v>pagado</v>
      </c>
      <c r="J94" s="52" t="str">
        <f t="shared" si="84"/>
        <v>pagado</v>
      </c>
      <c r="K94" s="51" t="str">
        <f t="shared" ca="1" si="85"/>
        <v>excluir</v>
      </c>
      <c r="L94" s="51" t="str">
        <f t="shared" ca="1" si="86"/>
        <v>no semana</v>
      </c>
      <c r="M94" s="51" t="str">
        <f>IFERROR(VLOOKUP(E94,'cheques a conf'!A:D,4,FALSE),"no clearing")</f>
        <v>no clearing</v>
      </c>
      <c r="N94" s="51">
        <f t="shared" si="87"/>
        <v>7</v>
      </c>
      <c r="O94" s="53">
        <f t="shared" si="88"/>
        <v>2</v>
      </c>
      <c r="P94" s="53">
        <f t="shared" si="89"/>
        <v>2025</v>
      </c>
    </row>
    <row r="95" spans="1:16" customFormat="1" x14ac:dyDescent="0.25">
      <c r="A95" s="21">
        <v>3000000728</v>
      </c>
      <c r="B95" s="22">
        <v>45699</v>
      </c>
      <c r="C95" s="54">
        <v>2400000</v>
      </c>
      <c r="D95" s="21" t="s">
        <v>595</v>
      </c>
      <c r="E95" s="21">
        <v>94326806</v>
      </c>
      <c r="F95" s="54">
        <v>2400000</v>
      </c>
      <c r="G95" s="22">
        <v>45701</v>
      </c>
      <c r="H95" t="s">
        <v>13</v>
      </c>
      <c r="I95" s="51" t="str">
        <f>IFERROR(IF(VLOOKUP(E95,extracto!C:C,1,FALSE)=E95,"pagado","no pagado"),"no pagado")</f>
        <v>pagado</v>
      </c>
      <c r="J95" s="52" t="str">
        <f t="shared" si="84"/>
        <v>pagado</v>
      </c>
      <c r="K95" s="51" t="str">
        <f t="shared" ca="1" si="85"/>
        <v>excluir</v>
      </c>
      <c r="L95" s="51" t="str">
        <f t="shared" ca="1" si="86"/>
        <v>no semana</v>
      </c>
      <c r="M95" s="51" t="str">
        <f>IFERROR(VLOOKUP(E95,'cheques a conf'!A:D,4,FALSE),"no clearing")</f>
        <v>no clearing</v>
      </c>
      <c r="N95" s="51">
        <f t="shared" si="87"/>
        <v>7</v>
      </c>
      <c r="O95" s="53">
        <f t="shared" si="88"/>
        <v>2</v>
      </c>
      <c r="P95" s="53">
        <f t="shared" si="89"/>
        <v>2025</v>
      </c>
    </row>
    <row r="96" spans="1:16" customFormat="1" x14ac:dyDescent="0.25">
      <c r="A96" s="21">
        <v>3000000728</v>
      </c>
      <c r="B96" s="22">
        <v>45699</v>
      </c>
      <c r="C96" s="54">
        <v>3063000</v>
      </c>
      <c r="D96" s="21" t="s">
        <v>595</v>
      </c>
      <c r="E96" s="21">
        <v>94326807</v>
      </c>
      <c r="F96" s="54">
        <v>3063000</v>
      </c>
      <c r="G96" s="22">
        <v>45701</v>
      </c>
      <c r="H96" t="s">
        <v>13</v>
      </c>
      <c r="I96" s="51" t="str">
        <f>IFERROR(IF(VLOOKUP(E96,extracto!C:C,1,FALSE)=E96,"pagado","no pagado"),"no pagado")</f>
        <v>pagado</v>
      </c>
      <c r="J96" s="52" t="str">
        <f t="shared" si="84"/>
        <v>pagado</v>
      </c>
      <c r="K96" s="51" t="str">
        <f t="shared" ca="1" si="85"/>
        <v>excluir</v>
      </c>
      <c r="L96" s="51" t="str">
        <f t="shared" ca="1" si="86"/>
        <v>no semana</v>
      </c>
      <c r="M96" s="51" t="str">
        <f>IFERROR(VLOOKUP(E96,'cheques a conf'!A:D,4,FALSE),"no clearing")</f>
        <v>no clearing</v>
      </c>
      <c r="N96" s="51">
        <f t="shared" si="87"/>
        <v>7</v>
      </c>
      <c r="O96" s="53">
        <f t="shared" si="88"/>
        <v>2</v>
      </c>
      <c r="P96" s="53">
        <f t="shared" si="89"/>
        <v>2025</v>
      </c>
    </row>
    <row r="97" spans="1:16" customFormat="1" x14ac:dyDescent="0.25">
      <c r="A97" s="21">
        <v>3000000747</v>
      </c>
      <c r="B97" s="22">
        <v>45700</v>
      </c>
      <c r="C97" s="54">
        <v>10631532.810000001</v>
      </c>
      <c r="D97" s="21" t="s">
        <v>593</v>
      </c>
      <c r="E97" s="21">
        <v>2927382</v>
      </c>
      <c r="F97" s="54">
        <v>10631532.810000001</v>
      </c>
      <c r="G97" s="22">
        <v>45702</v>
      </c>
      <c r="H97" t="s">
        <v>13</v>
      </c>
      <c r="I97" s="51" t="str">
        <f>IFERROR(IF(VLOOKUP(E97,extracto!C:C,1,FALSE)=E97,"pagado","no pagado"),"no pagado")</f>
        <v>pagado</v>
      </c>
      <c r="J97" s="52" t="str">
        <f t="shared" ref="J97:J99" si="90">IF(I97="pagado","pagado",IF(G97&lt;$V$1-30,"fuera de fecha","en periodo de pago"))</f>
        <v>pagado</v>
      </c>
      <c r="K97" s="51" t="str">
        <f t="shared" ref="K97:K99" ca="1" si="91">+IF(B97&gt;$V$1,"excluir",IF(J97="en periodo de pago",IF($V$1&gt;G97,"a pagar","proximo a vencer"),"excluir"))</f>
        <v>excluir</v>
      </c>
      <c r="L97" s="51" t="str">
        <f t="shared" ref="L97:L99" ca="1" si="92">+IF(K97="proximo a vencer",IF($V$1+5&gt;G97,"para la semana","no semana"),"no semana")</f>
        <v>no semana</v>
      </c>
      <c r="M97" s="51" t="str">
        <f>IFERROR(VLOOKUP(E97,'cheques a conf'!A:D,4,FALSE),"no clearing")</f>
        <v>no clearing</v>
      </c>
      <c r="N97" s="51">
        <f t="shared" ref="N97:N99" si="93">+WEEKNUM(G97,2)</f>
        <v>7</v>
      </c>
      <c r="O97" s="53">
        <f t="shared" ref="O97:O99" si="94">+MONTH(G97)</f>
        <v>2</v>
      </c>
      <c r="P97" s="53">
        <f t="shared" ref="P97:P99" si="95">+YEAR(G97)</f>
        <v>2025</v>
      </c>
    </row>
    <row r="98" spans="1:16" customFormat="1" x14ac:dyDescent="0.25">
      <c r="A98" s="21">
        <v>3000000748</v>
      </c>
      <c r="B98" s="22">
        <v>45700</v>
      </c>
      <c r="C98" s="54">
        <v>7356467.9199999999</v>
      </c>
      <c r="D98" s="21" t="s">
        <v>621</v>
      </c>
      <c r="E98" s="21">
        <v>2927383</v>
      </c>
      <c r="F98" s="54">
        <v>7356467.9199999999</v>
      </c>
      <c r="G98" s="22">
        <v>45702</v>
      </c>
      <c r="H98" t="s">
        <v>13</v>
      </c>
      <c r="I98" s="51" t="str">
        <f>IFERROR(IF(VLOOKUP(E98,extracto!C:C,1,FALSE)=E98,"pagado","no pagado"),"no pagado")</f>
        <v>pagado</v>
      </c>
      <c r="J98" s="52" t="str">
        <f t="shared" si="90"/>
        <v>pagado</v>
      </c>
      <c r="K98" s="51" t="str">
        <f t="shared" ca="1" si="91"/>
        <v>excluir</v>
      </c>
      <c r="L98" s="51" t="str">
        <f t="shared" ca="1" si="92"/>
        <v>no semana</v>
      </c>
      <c r="M98" s="51" t="str">
        <f>IFERROR(VLOOKUP(E98,'cheques a conf'!A:D,4,FALSE),"no clearing")</f>
        <v>no clearing</v>
      </c>
      <c r="N98" s="51">
        <f t="shared" si="93"/>
        <v>7</v>
      </c>
      <c r="O98" s="53">
        <f t="shared" si="94"/>
        <v>2</v>
      </c>
      <c r="P98" s="53">
        <f t="shared" si="95"/>
        <v>2025</v>
      </c>
    </row>
    <row r="99" spans="1:16" customFormat="1" x14ac:dyDescent="0.25">
      <c r="A99" s="21">
        <v>3000000749</v>
      </c>
      <c r="B99" s="22">
        <v>45700</v>
      </c>
      <c r="C99" s="54">
        <v>5393304</v>
      </c>
      <c r="D99" s="21" t="s">
        <v>619</v>
      </c>
      <c r="E99" s="21">
        <v>2927384</v>
      </c>
      <c r="F99" s="54">
        <v>5393304</v>
      </c>
      <c r="G99" s="22">
        <v>45702</v>
      </c>
      <c r="H99" t="s">
        <v>13</v>
      </c>
      <c r="I99" s="51" t="str">
        <f>IFERROR(IF(VLOOKUP(E99,extracto!C:C,1,FALSE)=E99,"pagado","no pagado"),"no pagado")</f>
        <v>pagado</v>
      </c>
      <c r="J99" s="52" t="str">
        <f t="shared" si="90"/>
        <v>pagado</v>
      </c>
      <c r="K99" s="51" t="str">
        <f t="shared" ca="1" si="91"/>
        <v>excluir</v>
      </c>
      <c r="L99" s="51" t="str">
        <f t="shared" ca="1" si="92"/>
        <v>no semana</v>
      </c>
      <c r="M99" s="51" t="str">
        <f>IFERROR(VLOOKUP(E99,'cheques a conf'!A:D,4,FALSE),"no clearing")</f>
        <v>no clearing</v>
      </c>
      <c r="N99" s="51">
        <f t="shared" si="93"/>
        <v>7</v>
      </c>
      <c r="O99" s="53">
        <f t="shared" si="94"/>
        <v>2</v>
      </c>
      <c r="P99" s="53">
        <f t="shared" si="95"/>
        <v>2025</v>
      </c>
    </row>
    <row r="100" spans="1:16" customFormat="1" x14ac:dyDescent="0.25">
      <c r="A100" s="21">
        <v>3000000818</v>
      </c>
      <c r="B100" s="22">
        <v>45705</v>
      </c>
      <c r="C100" s="54">
        <v>10000000</v>
      </c>
      <c r="D100" s="21" t="s">
        <v>607</v>
      </c>
      <c r="E100" s="21">
        <v>2927388</v>
      </c>
      <c r="F100" s="54">
        <v>10000000</v>
      </c>
      <c r="G100" s="22">
        <v>45707</v>
      </c>
      <c r="H100" t="s">
        <v>13</v>
      </c>
      <c r="I100" s="51" t="str">
        <f>IFERROR(IF(VLOOKUP(E100,extracto!C:C,1,FALSE)=E100,"pagado","no pagado"),"no pagado")</f>
        <v>pagado</v>
      </c>
      <c r="J100" s="52" t="str">
        <f t="shared" ref="J100:J110" si="96">IF(I100="pagado","pagado",IF(G100&lt;$V$1-30,"fuera de fecha","en periodo de pago"))</f>
        <v>pagado</v>
      </c>
      <c r="K100" s="51" t="str">
        <f t="shared" ref="K100:K110" ca="1" si="97">+IF(B100&gt;$V$1,"excluir",IF(J100="en periodo de pago",IF($V$1&gt;G100,"a pagar","proximo a vencer"),"excluir"))</f>
        <v>excluir</v>
      </c>
      <c r="L100" s="51" t="str">
        <f t="shared" ref="L100:L110" ca="1" si="98">+IF(K100="proximo a vencer",IF($V$1+5&gt;G100,"para la semana","no semana"),"no semana")</f>
        <v>no semana</v>
      </c>
      <c r="M100" s="51" t="str">
        <f>IFERROR(VLOOKUP(E100,'cheques a conf'!A:D,4,FALSE),"no clearing")</f>
        <v>no clearing</v>
      </c>
      <c r="N100" s="51">
        <f t="shared" ref="N100:N110" si="99">+WEEKNUM(G100,2)</f>
        <v>8</v>
      </c>
      <c r="O100" s="53">
        <f t="shared" ref="O100:O110" si="100">+MONTH(G100)</f>
        <v>2</v>
      </c>
      <c r="P100" s="53">
        <f t="shared" ref="P100:P110" si="101">+YEAR(G100)</f>
        <v>2025</v>
      </c>
    </row>
    <row r="101" spans="1:16" customFormat="1" x14ac:dyDescent="0.25">
      <c r="A101" s="21">
        <v>3000000818</v>
      </c>
      <c r="B101" s="22">
        <v>45705</v>
      </c>
      <c r="C101" s="54">
        <v>10198148.34</v>
      </c>
      <c r="D101" s="21" t="s">
        <v>607</v>
      </c>
      <c r="E101" s="21">
        <v>2927389</v>
      </c>
      <c r="F101" s="54">
        <v>10198148.34</v>
      </c>
      <c r="G101" s="22">
        <v>45708</v>
      </c>
      <c r="H101" t="s">
        <v>13</v>
      </c>
      <c r="I101" s="51" t="str">
        <f>IFERROR(IF(VLOOKUP(E101,extracto!C:C,1,FALSE)=E101,"pagado","no pagado"),"no pagado")</f>
        <v>pagado</v>
      </c>
      <c r="J101" s="52" t="str">
        <f t="shared" si="96"/>
        <v>pagado</v>
      </c>
      <c r="K101" s="51" t="str">
        <f t="shared" ca="1" si="97"/>
        <v>excluir</v>
      </c>
      <c r="L101" s="51" t="str">
        <f t="shared" ca="1" si="98"/>
        <v>no semana</v>
      </c>
      <c r="M101" s="51" t="str">
        <f>IFERROR(VLOOKUP(E101,'cheques a conf'!A:D,4,FALSE),"no clearing")</f>
        <v>no clearing</v>
      </c>
      <c r="N101" s="51">
        <f t="shared" si="99"/>
        <v>8</v>
      </c>
      <c r="O101" s="53">
        <f t="shared" si="100"/>
        <v>2</v>
      </c>
      <c r="P101" s="53">
        <f t="shared" si="101"/>
        <v>2025</v>
      </c>
    </row>
    <row r="102" spans="1:16" customFormat="1" x14ac:dyDescent="0.25">
      <c r="A102" s="21">
        <v>3000000815</v>
      </c>
      <c r="B102" s="22">
        <v>45705</v>
      </c>
      <c r="C102" s="54">
        <v>5820317.9900000002</v>
      </c>
      <c r="D102" s="21" t="s">
        <v>622</v>
      </c>
      <c r="E102" s="21">
        <v>2927385</v>
      </c>
      <c r="F102" s="54">
        <v>5820317.9900000002</v>
      </c>
      <c r="G102" s="22">
        <v>45707</v>
      </c>
      <c r="H102" t="s">
        <v>13</v>
      </c>
      <c r="I102" s="51" t="str">
        <f>IFERROR(IF(VLOOKUP(E102,extracto!C:C,1,FALSE)=E102,"pagado","no pagado"),"no pagado")</f>
        <v>pagado</v>
      </c>
      <c r="J102" s="52" t="str">
        <f t="shared" si="96"/>
        <v>pagado</v>
      </c>
      <c r="K102" s="51" t="str">
        <f t="shared" ca="1" si="97"/>
        <v>excluir</v>
      </c>
      <c r="L102" s="51" t="str">
        <f t="shared" ca="1" si="98"/>
        <v>no semana</v>
      </c>
      <c r="M102" s="51" t="str">
        <f>IFERROR(VLOOKUP(E102,'cheques a conf'!A:D,4,FALSE),"no clearing")</f>
        <v>no clearing</v>
      </c>
      <c r="N102" s="51">
        <f t="shared" si="99"/>
        <v>8</v>
      </c>
      <c r="O102" s="53">
        <f t="shared" si="100"/>
        <v>2</v>
      </c>
      <c r="P102" s="53">
        <f t="shared" si="101"/>
        <v>2025</v>
      </c>
    </row>
    <row r="103" spans="1:16" customFormat="1" x14ac:dyDescent="0.25">
      <c r="A103" s="21">
        <v>3000000816</v>
      </c>
      <c r="B103" s="22">
        <v>45705</v>
      </c>
      <c r="C103" s="54">
        <v>6357816.6699999999</v>
      </c>
      <c r="D103" s="21" t="s">
        <v>74</v>
      </c>
      <c r="E103" s="21">
        <v>2927386</v>
      </c>
      <c r="F103" s="54">
        <v>6357816.6699999999</v>
      </c>
      <c r="G103" s="22">
        <v>45707</v>
      </c>
      <c r="H103" t="s">
        <v>13</v>
      </c>
      <c r="I103" s="51" t="str">
        <f>IFERROR(IF(VLOOKUP(E103,extracto!C:C,1,FALSE)=E103,"pagado","no pagado"),"no pagado")</f>
        <v>pagado</v>
      </c>
      <c r="J103" s="52" t="str">
        <f t="shared" si="96"/>
        <v>pagado</v>
      </c>
      <c r="K103" s="51" t="str">
        <f t="shared" ca="1" si="97"/>
        <v>excluir</v>
      </c>
      <c r="L103" s="51" t="str">
        <f t="shared" ca="1" si="98"/>
        <v>no semana</v>
      </c>
      <c r="M103" s="51" t="str">
        <f>IFERROR(VLOOKUP(E103,'cheques a conf'!A:D,4,FALSE),"no clearing")</f>
        <v>no clearing</v>
      </c>
      <c r="N103" s="51">
        <f t="shared" si="99"/>
        <v>8</v>
      </c>
      <c r="O103" s="53">
        <f t="shared" si="100"/>
        <v>2</v>
      </c>
      <c r="P103" s="53">
        <f t="shared" si="101"/>
        <v>2025</v>
      </c>
    </row>
    <row r="104" spans="1:16" customFormat="1" x14ac:dyDescent="0.25">
      <c r="A104" s="21">
        <v>3000000817</v>
      </c>
      <c r="B104" s="22">
        <v>45705</v>
      </c>
      <c r="C104" s="54">
        <v>10186003.189999999</v>
      </c>
      <c r="D104" s="21" t="s">
        <v>76</v>
      </c>
      <c r="E104" s="21">
        <v>2927387</v>
      </c>
      <c r="F104" s="54">
        <v>10186003.189999999</v>
      </c>
      <c r="G104" s="22">
        <v>45707</v>
      </c>
      <c r="H104" t="s">
        <v>13</v>
      </c>
      <c r="I104" s="51" t="str">
        <f>IFERROR(IF(VLOOKUP(E104,extracto!C:C,1,FALSE)=E104,"pagado","no pagado"),"no pagado")</f>
        <v>pagado</v>
      </c>
      <c r="J104" s="52" t="str">
        <f t="shared" si="96"/>
        <v>pagado</v>
      </c>
      <c r="K104" s="51" t="str">
        <f t="shared" ca="1" si="97"/>
        <v>excluir</v>
      </c>
      <c r="L104" s="51" t="str">
        <f t="shared" ca="1" si="98"/>
        <v>no semana</v>
      </c>
      <c r="M104" s="51" t="str">
        <f>IFERROR(VLOOKUP(E104,'cheques a conf'!A:D,4,FALSE),"no clearing")</f>
        <v>no clearing</v>
      </c>
      <c r="N104" s="51">
        <f t="shared" si="99"/>
        <v>8</v>
      </c>
      <c r="O104" s="53">
        <f t="shared" si="100"/>
        <v>2</v>
      </c>
      <c r="P104" s="53">
        <f t="shared" si="101"/>
        <v>2025</v>
      </c>
    </row>
    <row r="105" spans="1:16" customFormat="1" x14ac:dyDescent="0.25">
      <c r="A105" s="21">
        <v>3000000839</v>
      </c>
      <c r="B105" s="22">
        <v>45706</v>
      </c>
      <c r="C105" s="54">
        <v>2592346.17</v>
      </c>
      <c r="D105" s="21" t="s">
        <v>595</v>
      </c>
      <c r="E105" s="21">
        <v>2927390</v>
      </c>
      <c r="F105" s="54">
        <v>2592346.17</v>
      </c>
      <c r="G105" s="22">
        <v>45708</v>
      </c>
      <c r="H105" t="s">
        <v>13</v>
      </c>
      <c r="I105" s="51" t="str">
        <f>IFERROR(IF(VLOOKUP(E105,extracto!C:C,1,FALSE)=E105,"pagado","no pagado"),"no pagado")</f>
        <v>pagado</v>
      </c>
      <c r="J105" s="52" t="str">
        <f t="shared" si="96"/>
        <v>pagado</v>
      </c>
      <c r="K105" s="51" t="str">
        <f t="shared" ca="1" si="97"/>
        <v>excluir</v>
      </c>
      <c r="L105" s="51" t="str">
        <f t="shared" ca="1" si="98"/>
        <v>no semana</v>
      </c>
      <c r="M105" s="51" t="str">
        <f>IFERROR(VLOOKUP(E105,'cheques a conf'!A:D,4,FALSE),"no clearing")</f>
        <v>no clearing</v>
      </c>
      <c r="N105" s="51">
        <f t="shared" si="99"/>
        <v>8</v>
      </c>
      <c r="O105" s="53">
        <f t="shared" si="100"/>
        <v>2</v>
      </c>
      <c r="P105" s="53">
        <f t="shared" si="101"/>
        <v>2025</v>
      </c>
    </row>
    <row r="106" spans="1:16" customFormat="1" x14ac:dyDescent="0.25">
      <c r="A106" s="21">
        <v>3000000839</v>
      </c>
      <c r="B106" s="22">
        <v>45706</v>
      </c>
      <c r="C106" s="54">
        <v>1900000</v>
      </c>
      <c r="D106" s="21" t="s">
        <v>595</v>
      </c>
      <c r="E106" s="21">
        <v>2927391</v>
      </c>
      <c r="F106" s="54">
        <v>1900000</v>
      </c>
      <c r="G106" s="22">
        <v>45708</v>
      </c>
      <c r="H106" t="s">
        <v>13</v>
      </c>
      <c r="I106" s="51" t="str">
        <f>IFERROR(IF(VLOOKUP(E106,extracto!C:C,1,FALSE)=E106,"pagado","no pagado"),"no pagado")</f>
        <v>pagado</v>
      </c>
      <c r="J106" s="52" t="str">
        <f t="shared" si="96"/>
        <v>pagado</v>
      </c>
      <c r="K106" s="51" t="str">
        <f t="shared" ca="1" si="97"/>
        <v>excluir</v>
      </c>
      <c r="L106" s="51" t="str">
        <f t="shared" ca="1" si="98"/>
        <v>no semana</v>
      </c>
      <c r="M106" s="51" t="str">
        <f>IFERROR(VLOOKUP(E106,'cheques a conf'!A:D,4,FALSE),"no clearing")</f>
        <v>no clearing</v>
      </c>
      <c r="N106" s="51">
        <f t="shared" si="99"/>
        <v>8</v>
      </c>
      <c r="O106" s="53">
        <f t="shared" si="100"/>
        <v>2</v>
      </c>
      <c r="P106" s="53">
        <f t="shared" si="101"/>
        <v>2025</v>
      </c>
    </row>
    <row r="107" spans="1:16" customFormat="1" x14ac:dyDescent="0.25">
      <c r="A107" s="21">
        <v>3000000839</v>
      </c>
      <c r="B107" s="22">
        <v>45706</v>
      </c>
      <c r="C107" s="54">
        <v>1447701</v>
      </c>
      <c r="D107" s="21" t="s">
        <v>595</v>
      </c>
      <c r="E107" s="21">
        <v>2927392</v>
      </c>
      <c r="F107" s="54">
        <v>1447701</v>
      </c>
      <c r="G107" s="22">
        <v>45708</v>
      </c>
      <c r="H107" t="s">
        <v>13</v>
      </c>
      <c r="I107" s="51" t="str">
        <f>IFERROR(IF(VLOOKUP(E107,extracto!C:C,1,FALSE)=E107,"pagado","no pagado"),"no pagado")</f>
        <v>pagado</v>
      </c>
      <c r="J107" s="52" t="str">
        <f t="shared" si="96"/>
        <v>pagado</v>
      </c>
      <c r="K107" s="51" t="str">
        <f t="shared" ca="1" si="97"/>
        <v>excluir</v>
      </c>
      <c r="L107" s="51" t="str">
        <f t="shared" ca="1" si="98"/>
        <v>no semana</v>
      </c>
      <c r="M107" s="51" t="str">
        <f>IFERROR(VLOOKUP(E107,'cheques a conf'!A:D,4,FALSE),"no clearing")</f>
        <v>no clearing</v>
      </c>
      <c r="N107" s="51">
        <f t="shared" si="99"/>
        <v>8</v>
      </c>
      <c r="O107" s="53">
        <f t="shared" si="100"/>
        <v>2</v>
      </c>
      <c r="P107" s="53">
        <f t="shared" si="101"/>
        <v>2025</v>
      </c>
    </row>
    <row r="108" spans="1:16" customFormat="1" x14ac:dyDescent="0.25">
      <c r="A108" s="21">
        <v>3000000839</v>
      </c>
      <c r="B108" s="22">
        <v>45706</v>
      </c>
      <c r="C108" s="54">
        <v>2400000</v>
      </c>
      <c r="D108" s="21" t="s">
        <v>595</v>
      </c>
      <c r="E108" s="21">
        <v>2927393</v>
      </c>
      <c r="F108" s="54">
        <v>2400000</v>
      </c>
      <c r="G108" s="22">
        <v>45708</v>
      </c>
      <c r="H108" t="s">
        <v>13</v>
      </c>
      <c r="I108" s="51" t="str">
        <f>IFERROR(IF(VLOOKUP(E108,extracto!C:C,1,FALSE)=E108,"pagado","no pagado"),"no pagado")</f>
        <v>pagado</v>
      </c>
      <c r="J108" s="52" t="str">
        <f t="shared" si="96"/>
        <v>pagado</v>
      </c>
      <c r="K108" s="51" t="str">
        <f t="shared" ca="1" si="97"/>
        <v>excluir</v>
      </c>
      <c r="L108" s="51" t="str">
        <f t="shared" ca="1" si="98"/>
        <v>no semana</v>
      </c>
      <c r="M108" s="51" t="str">
        <f>IFERROR(VLOOKUP(E108,'cheques a conf'!A:D,4,FALSE),"no clearing")</f>
        <v>no clearing</v>
      </c>
      <c r="N108" s="51">
        <f t="shared" si="99"/>
        <v>8</v>
      </c>
      <c r="O108" s="53">
        <f t="shared" si="100"/>
        <v>2</v>
      </c>
      <c r="P108" s="53">
        <f t="shared" si="101"/>
        <v>2025</v>
      </c>
    </row>
    <row r="109" spans="1:16" customFormat="1" x14ac:dyDescent="0.25">
      <c r="A109" s="21">
        <v>3000000839</v>
      </c>
      <c r="B109" s="22">
        <v>45706</v>
      </c>
      <c r="C109" s="54">
        <v>2186117</v>
      </c>
      <c r="D109" s="21" t="s">
        <v>595</v>
      </c>
      <c r="E109" s="21">
        <v>2927394</v>
      </c>
      <c r="F109" s="54">
        <v>2186117</v>
      </c>
      <c r="G109" s="22">
        <v>45708</v>
      </c>
      <c r="H109" t="s">
        <v>13</v>
      </c>
      <c r="I109" s="51" t="str">
        <f>IFERROR(IF(VLOOKUP(E109,extracto!C:C,1,FALSE)=E109,"pagado","no pagado"),"no pagado")</f>
        <v>pagado</v>
      </c>
      <c r="J109" s="52" t="str">
        <f t="shared" si="96"/>
        <v>pagado</v>
      </c>
      <c r="K109" s="51" t="str">
        <f t="shared" ca="1" si="97"/>
        <v>excluir</v>
      </c>
      <c r="L109" s="51" t="str">
        <f t="shared" ca="1" si="98"/>
        <v>no semana</v>
      </c>
      <c r="M109" s="51" t="str">
        <f>IFERROR(VLOOKUP(E109,'cheques a conf'!A:D,4,FALSE),"no clearing")</f>
        <v>no clearing</v>
      </c>
      <c r="N109" s="51">
        <f t="shared" si="99"/>
        <v>8</v>
      </c>
      <c r="O109" s="53">
        <f t="shared" si="100"/>
        <v>2</v>
      </c>
      <c r="P109" s="53">
        <f t="shared" si="101"/>
        <v>2025</v>
      </c>
    </row>
    <row r="110" spans="1:16" customFormat="1" x14ac:dyDescent="0.25">
      <c r="A110" s="21">
        <v>3000000853</v>
      </c>
      <c r="B110" s="22">
        <v>45707</v>
      </c>
      <c r="C110" s="54">
        <v>123654020</v>
      </c>
      <c r="D110" s="21" t="s">
        <v>25</v>
      </c>
      <c r="E110" s="21">
        <v>94326809</v>
      </c>
      <c r="F110" s="54">
        <v>123654020</v>
      </c>
      <c r="G110" s="22">
        <v>45708</v>
      </c>
      <c r="H110" t="s">
        <v>13</v>
      </c>
      <c r="I110" s="51" t="str">
        <f>IFERROR(IF(VLOOKUP(E110,extracto!C:C,1,FALSE)=E110,"pagado","no pagado"),"no pagado")</f>
        <v>pagado</v>
      </c>
      <c r="J110" s="52" t="str">
        <f t="shared" si="96"/>
        <v>pagado</v>
      </c>
      <c r="K110" s="51" t="str">
        <f t="shared" ca="1" si="97"/>
        <v>excluir</v>
      </c>
      <c r="L110" s="51" t="str">
        <f t="shared" ca="1" si="98"/>
        <v>no semana</v>
      </c>
      <c r="M110" s="51" t="str">
        <f>IFERROR(VLOOKUP(E110,'cheques a conf'!A:D,4,FALSE),"no clearing")</f>
        <v>no clearing</v>
      </c>
      <c r="N110" s="51">
        <f t="shared" si="99"/>
        <v>8</v>
      </c>
      <c r="O110" s="53">
        <f t="shared" si="100"/>
        <v>2</v>
      </c>
      <c r="P110" s="53">
        <f t="shared" si="101"/>
        <v>2025</v>
      </c>
    </row>
    <row r="111" spans="1:16" customFormat="1" x14ac:dyDescent="0.25">
      <c r="A111" s="21">
        <v>3000000929</v>
      </c>
      <c r="B111" s="22">
        <v>45713</v>
      </c>
      <c r="C111" s="54">
        <v>83201230</v>
      </c>
      <c r="D111" s="21" t="s">
        <v>25</v>
      </c>
      <c r="E111" s="21">
        <v>94326810</v>
      </c>
      <c r="F111" s="54">
        <v>83201230</v>
      </c>
      <c r="G111" s="22">
        <v>45713</v>
      </c>
      <c r="H111" t="s">
        <v>13</v>
      </c>
      <c r="I111" s="51" t="str">
        <f>IFERROR(IF(VLOOKUP(E111,extracto!C:C,1,FALSE)=E111,"pagado","no pagado"),"no pagado")</f>
        <v>pagado</v>
      </c>
      <c r="J111" s="52" t="str">
        <f t="shared" ref="J111:J118" si="102">IF(I111="pagado","pagado",IF(G111&lt;$V$1-30,"fuera de fecha","en periodo de pago"))</f>
        <v>pagado</v>
      </c>
      <c r="K111" s="51" t="str">
        <f t="shared" ref="K111:K118" ca="1" si="103">+IF(B111&gt;$V$1,"excluir",IF(J111="en periodo de pago",IF($V$1&gt;G111,"a pagar","proximo a vencer"),"excluir"))</f>
        <v>excluir</v>
      </c>
      <c r="L111" s="51" t="str">
        <f t="shared" ref="L111:L118" ca="1" si="104">+IF(K111="proximo a vencer",IF($V$1+5&gt;G111,"para la semana","no semana"),"no semana")</f>
        <v>no semana</v>
      </c>
      <c r="M111" s="51" t="str">
        <f>IFERROR(VLOOKUP(E111,'cheques a conf'!A:D,4,FALSE),"no clearing")</f>
        <v>no clearing</v>
      </c>
      <c r="N111" s="51">
        <f t="shared" ref="N111:N118" si="105">+WEEKNUM(G111,2)</f>
        <v>9</v>
      </c>
      <c r="O111" s="53">
        <f t="shared" ref="O111:O118" si="106">+MONTH(G111)</f>
        <v>2</v>
      </c>
      <c r="P111" s="53">
        <f t="shared" ref="P111:P118" si="107">+YEAR(G111)</f>
        <v>2025</v>
      </c>
    </row>
    <row r="112" spans="1:16" customFormat="1" x14ac:dyDescent="0.25">
      <c r="A112" s="21">
        <v>3000000967</v>
      </c>
      <c r="B112" s="22">
        <v>45714</v>
      </c>
      <c r="C112" s="54">
        <v>12000000</v>
      </c>
      <c r="D112" s="21" t="s">
        <v>592</v>
      </c>
      <c r="E112" s="21">
        <v>2927400</v>
      </c>
      <c r="F112" s="54">
        <v>12000000</v>
      </c>
      <c r="G112" s="22">
        <v>45721</v>
      </c>
      <c r="H112" t="s">
        <v>13</v>
      </c>
      <c r="I112" s="51" t="str">
        <f>IFERROR(IF(VLOOKUP(E112,extracto!C:C,1,FALSE)=E112,"pagado","no pagado"),"no pagado")</f>
        <v>pagado</v>
      </c>
      <c r="J112" s="52" t="str">
        <f t="shared" si="102"/>
        <v>pagado</v>
      </c>
      <c r="K112" s="51" t="str">
        <f t="shared" ca="1" si="103"/>
        <v>excluir</v>
      </c>
      <c r="L112" s="51" t="str">
        <f t="shared" ca="1" si="104"/>
        <v>no semana</v>
      </c>
      <c r="M112" s="51" t="str">
        <f>IFERROR(VLOOKUP(E112,'cheques a conf'!A:D,4,FALSE),"no clearing")</f>
        <v>no clearing</v>
      </c>
      <c r="N112" s="51">
        <f t="shared" si="105"/>
        <v>10</v>
      </c>
      <c r="O112" s="53">
        <f t="shared" si="106"/>
        <v>3</v>
      </c>
      <c r="P112" s="53">
        <f t="shared" si="107"/>
        <v>2025</v>
      </c>
    </row>
    <row r="113" spans="1:16" customFormat="1" x14ac:dyDescent="0.25">
      <c r="A113" s="21">
        <v>3000000967</v>
      </c>
      <c r="B113" s="22">
        <v>45714</v>
      </c>
      <c r="C113" s="54">
        <v>12523367.92</v>
      </c>
      <c r="D113" s="21" t="s">
        <v>592</v>
      </c>
      <c r="E113" s="21">
        <v>2927401</v>
      </c>
      <c r="F113" s="54">
        <v>12523367.92</v>
      </c>
      <c r="G113" s="22">
        <v>45722</v>
      </c>
      <c r="H113" t="s">
        <v>13</v>
      </c>
      <c r="I113" s="51" t="str">
        <f>IFERROR(IF(VLOOKUP(E113,extracto!C:C,1,FALSE)=E113,"pagado","no pagado"),"no pagado")</f>
        <v>pagado</v>
      </c>
      <c r="J113" s="52" t="str">
        <f t="shared" si="102"/>
        <v>pagado</v>
      </c>
      <c r="K113" s="51" t="str">
        <f t="shared" ca="1" si="103"/>
        <v>excluir</v>
      </c>
      <c r="L113" s="51" t="str">
        <f t="shared" ca="1" si="104"/>
        <v>no semana</v>
      </c>
      <c r="M113" s="51" t="str">
        <f>IFERROR(VLOOKUP(E113,'cheques a conf'!A:D,4,FALSE),"no clearing")</f>
        <v>no clearing</v>
      </c>
      <c r="N113" s="51">
        <f t="shared" si="105"/>
        <v>10</v>
      </c>
      <c r="O113" s="53">
        <f t="shared" si="106"/>
        <v>3</v>
      </c>
      <c r="P113" s="53">
        <f t="shared" si="107"/>
        <v>2025</v>
      </c>
    </row>
    <row r="114" spans="1:16" customFormat="1" x14ac:dyDescent="0.25">
      <c r="A114" s="21">
        <v>3000000962</v>
      </c>
      <c r="B114" s="22">
        <v>45714</v>
      </c>
      <c r="C114" s="54">
        <v>5347944</v>
      </c>
      <c r="D114" s="21" t="s">
        <v>616</v>
      </c>
      <c r="E114" s="21">
        <v>2927395</v>
      </c>
      <c r="F114" s="54">
        <v>5347944</v>
      </c>
      <c r="G114" s="22">
        <v>45721</v>
      </c>
      <c r="H114" t="s">
        <v>13</v>
      </c>
      <c r="I114" s="51" t="str">
        <f>IFERROR(IF(VLOOKUP(E114,extracto!C:C,1,FALSE)=E114,"pagado","no pagado"),"no pagado")</f>
        <v>pagado</v>
      </c>
      <c r="J114" s="52" t="str">
        <f t="shared" si="102"/>
        <v>pagado</v>
      </c>
      <c r="K114" s="51" t="str">
        <f t="shared" ca="1" si="103"/>
        <v>excluir</v>
      </c>
      <c r="L114" s="51" t="str">
        <f t="shared" ca="1" si="104"/>
        <v>no semana</v>
      </c>
      <c r="M114" s="51" t="str">
        <f>IFERROR(VLOOKUP(E114,'cheques a conf'!A:D,4,FALSE),"no clearing")</f>
        <v>no clearing</v>
      </c>
      <c r="N114" s="51">
        <f t="shared" si="105"/>
        <v>10</v>
      </c>
      <c r="O114" s="53">
        <f t="shared" si="106"/>
        <v>3</v>
      </c>
      <c r="P114" s="53">
        <f t="shared" si="107"/>
        <v>2025</v>
      </c>
    </row>
    <row r="115" spans="1:16" customFormat="1" x14ac:dyDescent="0.25">
      <c r="A115" s="21">
        <v>3000000963</v>
      </c>
      <c r="B115" s="22">
        <v>45714</v>
      </c>
      <c r="C115" s="54">
        <v>5361552</v>
      </c>
      <c r="D115" s="21" t="s">
        <v>619</v>
      </c>
      <c r="E115" s="21">
        <v>2927396</v>
      </c>
      <c r="F115" s="54">
        <v>5361552</v>
      </c>
      <c r="G115" s="22">
        <v>45721</v>
      </c>
      <c r="H115" t="s">
        <v>13</v>
      </c>
      <c r="I115" s="51" t="str">
        <f>IFERROR(IF(VLOOKUP(E115,extracto!C:C,1,FALSE)=E115,"pagado","no pagado"),"no pagado")</f>
        <v>pagado</v>
      </c>
      <c r="J115" s="52" t="str">
        <f t="shared" si="102"/>
        <v>pagado</v>
      </c>
      <c r="K115" s="51" t="str">
        <f t="shared" ca="1" si="103"/>
        <v>excluir</v>
      </c>
      <c r="L115" s="51" t="str">
        <f t="shared" ca="1" si="104"/>
        <v>no semana</v>
      </c>
      <c r="M115" s="51" t="str">
        <f>IFERROR(VLOOKUP(E115,'cheques a conf'!A:D,4,FALSE),"no clearing")</f>
        <v>no clearing</v>
      </c>
      <c r="N115" s="51">
        <f t="shared" si="105"/>
        <v>10</v>
      </c>
      <c r="O115" s="53">
        <f t="shared" si="106"/>
        <v>3</v>
      </c>
      <c r="P115" s="53">
        <f t="shared" si="107"/>
        <v>2025</v>
      </c>
    </row>
    <row r="116" spans="1:16" customFormat="1" x14ac:dyDescent="0.25">
      <c r="A116" s="21">
        <v>3000000964</v>
      </c>
      <c r="B116" s="22">
        <v>45714</v>
      </c>
      <c r="C116" s="54">
        <v>9020299.0899999999</v>
      </c>
      <c r="D116" s="21" t="s">
        <v>623</v>
      </c>
      <c r="E116" s="21">
        <v>2927397</v>
      </c>
      <c r="F116" s="54">
        <v>9020299.0899999999</v>
      </c>
      <c r="G116" s="22">
        <v>45721</v>
      </c>
      <c r="H116" t="s">
        <v>13</v>
      </c>
      <c r="I116" s="51" t="str">
        <f>IFERROR(IF(VLOOKUP(E116,extracto!C:C,1,FALSE)=E116,"pagado","no pagado"),"no pagado")</f>
        <v>pagado</v>
      </c>
      <c r="J116" s="52" t="str">
        <f t="shared" si="102"/>
        <v>pagado</v>
      </c>
      <c r="K116" s="51" t="str">
        <f t="shared" ca="1" si="103"/>
        <v>excluir</v>
      </c>
      <c r="L116" s="51" t="str">
        <f t="shared" ca="1" si="104"/>
        <v>no semana</v>
      </c>
      <c r="M116" s="51" t="str">
        <f>IFERROR(VLOOKUP(E116,'cheques a conf'!A:D,4,FALSE),"no clearing")</f>
        <v>no clearing</v>
      </c>
      <c r="N116" s="51">
        <f t="shared" si="105"/>
        <v>10</v>
      </c>
      <c r="O116" s="53">
        <f t="shared" si="106"/>
        <v>3</v>
      </c>
      <c r="P116" s="53">
        <f t="shared" si="107"/>
        <v>2025</v>
      </c>
    </row>
    <row r="117" spans="1:16" customFormat="1" x14ac:dyDescent="0.25">
      <c r="A117" s="21">
        <v>3000000965</v>
      </c>
      <c r="B117" s="22">
        <v>45714</v>
      </c>
      <c r="C117" s="54">
        <v>10764682.609999999</v>
      </c>
      <c r="D117" s="21" t="s">
        <v>612</v>
      </c>
      <c r="E117" s="21">
        <v>2927398</v>
      </c>
      <c r="F117" s="54">
        <v>10764682.609999999</v>
      </c>
      <c r="G117" s="22">
        <v>45721</v>
      </c>
      <c r="H117" t="s">
        <v>13</v>
      </c>
      <c r="I117" s="51" t="str">
        <f>IFERROR(IF(VLOOKUP(E117,extracto!C:C,1,FALSE)=E117,"pagado","no pagado"),"no pagado")</f>
        <v>pagado</v>
      </c>
      <c r="J117" s="52" t="str">
        <f t="shared" si="102"/>
        <v>pagado</v>
      </c>
      <c r="K117" s="51" t="str">
        <f t="shared" ca="1" si="103"/>
        <v>excluir</v>
      </c>
      <c r="L117" s="51" t="str">
        <f t="shared" ca="1" si="104"/>
        <v>no semana</v>
      </c>
      <c r="M117" s="51" t="str">
        <f>IFERROR(VLOOKUP(E117,'cheques a conf'!A:D,4,FALSE),"no clearing")</f>
        <v>no clearing</v>
      </c>
      <c r="N117" s="51">
        <f t="shared" si="105"/>
        <v>10</v>
      </c>
      <c r="O117" s="53">
        <f t="shared" si="106"/>
        <v>3</v>
      </c>
      <c r="P117" s="53">
        <f t="shared" si="107"/>
        <v>2025</v>
      </c>
    </row>
    <row r="118" spans="1:16" customFormat="1" x14ac:dyDescent="0.25">
      <c r="A118" s="21">
        <v>3000000966</v>
      </c>
      <c r="B118" s="22">
        <v>45714</v>
      </c>
      <c r="C118" s="54">
        <v>9190143.6500000004</v>
      </c>
      <c r="D118" s="21" t="s">
        <v>613</v>
      </c>
      <c r="E118" s="21">
        <v>2927399</v>
      </c>
      <c r="F118" s="54">
        <v>9190143.6500000004</v>
      </c>
      <c r="G118" s="22">
        <v>45721</v>
      </c>
      <c r="H118" t="s">
        <v>13</v>
      </c>
      <c r="I118" s="51" t="str">
        <f>IFERROR(IF(VLOOKUP(E118,extracto!C:C,1,FALSE)=E118,"pagado","no pagado"),"no pagado")</f>
        <v>pagado</v>
      </c>
      <c r="J118" s="52" t="str">
        <f t="shared" si="102"/>
        <v>pagado</v>
      </c>
      <c r="K118" s="51" t="str">
        <f t="shared" ca="1" si="103"/>
        <v>excluir</v>
      </c>
      <c r="L118" s="51" t="str">
        <f t="shared" ca="1" si="104"/>
        <v>no semana</v>
      </c>
      <c r="M118" s="51" t="str">
        <f>IFERROR(VLOOKUP(E118,'cheques a conf'!A:D,4,FALSE),"no clearing")</f>
        <v>no clearing</v>
      </c>
      <c r="N118" s="51">
        <f t="shared" si="105"/>
        <v>10</v>
      </c>
      <c r="O118" s="53">
        <f t="shared" si="106"/>
        <v>3</v>
      </c>
      <c r="P118" s="53">
        <f t="shared" si="107"/>
        <v>2025</v>
      </c>
    </row>
    <row r="119" spans="1:16" customFormat="1" x14ac:dyDescent="0.25">
      <c r="A119" s="21">
        <v>3000001037</v>
      </c>
      <c r="B119" s="22">
        <v>45721</v>
      </c>
      <c r="C119" s="54">
        <v>10000000</v>
      </c>
      <c r="D119" s="21" t="s">
        <v>616</v>
      </c>
      <c r="E119" s="21">
        <v>91002262</v>
      </c>
      <c r="F119" s="54">
        <v>10000000</v>
      </c>
      <c r="G119" s="22">
        <v>45726</v>
      </c>
      <c r="H119" t="s">
        <v>79</v>
      </c>
      <c r="I119" s="51" t="str">
        <f>IFERROR(IF(VLOOKUP(E119,extracto!C:C,1,FALSE)=E119,"pagado","no pagado"),"no pagado")</f>
        <v>pagado</v>
      </c>
      <c r="J119" s="52" t="str">
        <f t="shared" ref="J119:J132" si="108">IF(I119="pagado","pagado",IF(G119&lt;$V$1-30,"fuera de fecha","en periodo de pago"))</f>
        <v>pagado</v>
      </c>
      <c r="K119" s="51" t="str">
        <f t="shared" ref="K119:K132" ca="1" si="109">+IF(B119&gt;$V$1,"excluir",IF(J119="en periodo de pago",IF($V$1&gt;G119,"a pagar","proximo a vencer"),"excluir"))</f>
        <v>excluir</v>
      </c>
      <c r="L119" s="51" t="str">
        <f t="shared" ref="L119:L132" ca="1" si="110">+IF(K119="proximo a vencer",IF($V$1+5&gt;G119,"para la semana","no semana"),"no semana")</f>
        <v>no semana</v>
      </c>
      <c r="M119" s="51" t="str">
        <f>IFERROR(VLOOKUP(E119,'cheques a conf'!A:D,4,FALSE),"no clearing")</f>
        <v>no clearing</v>
      </c>
      <c r="N119" s="51">
        <f t="shared" ref="N119:N132" si="111">+WEEKNUM(G119,2)</f>
        <v>11</v>
      </c>
      <c r="O119" s="53">
        <f t="shared" ref="O119:O132" si="112">+MONTH(G119)</f>
        <v>3</v>
      </c>
      <c r="P119" s="53">
        <f t="shared" ref="P119:P132" si="113">+YEAR(G119)</f>
        <v>2025</v>
      </c>
    </row>
    <row r="120" spans="1:16" customFormat="1" x14ac:dyDescent="0.25">
      <c r="A120" s="21">
        <v>3000001037</v>
      </c>
      <c r="B120" s="22">
        <v>45721</v>
      </c>
      <c r="C120" s="54">
        <v>8039516.3700000001</v>
      </c>
      <c r="D120" s="21" t="s">
        <v>616</v>
      </c>
      <c r="E120" s="21">
        <v>91002263</v>
      </c>
      <c r="F120" s="54">
        <v>8039516.3700000001</v>
      </c>
      <c r="G120" s="22">
        <v>45727</v>
      </c>
      <c r="H120" t="s">
        <v>79</v>
      </c>
      <c r="I120" s="51" t="str">
        <f>IFERROR(IF(VLOOKUP(E120,extracto!C:C,1,FALSE)=E120,"pagado","no pagado"),"no pagado")</f>
        <v>pagado</v>
      </c>
      <c r="J120" s="52" t="str">
        <f t="shared" si="108"/>
        <v>pagado</v>
      </c>
      <c r="K120" s="51" t="str">
        <f t="shared" ca="1" si="109"/>
        <v>excluir</v>
      </c>
      <c r="L120" s="51" t="str">
        <f t="shared" ca="1" si="110"/>
        <v>no semana</v>
      </c>
      <c r="M120" s="51" t="str">
        <f>IFERROR(VLOOKUP(E120,'cheques a conf'!A:D,4,FALSE),"no clearing")</f>
        <v>no clearing</v>
      </c>
      <c r="N120" s="51">
        <f t="shared" si="111"/>
        <v>11</v>
      </c>
      <c r="O120" s="53">
        <f t="shared" si="112"/>
        <v>3</v>
      </c>
      <c r="P120" s="53">
        <f t="shared" si="113"/>
        <v>2025</v>
      </c>
    </row>
    <row r="121" spans="1:16" customFormat="1" x14ac:dyDescent="0.25">
      <c r="A121" s="21">
        <v>3000001032</v>
      </c>
      <c r="B121" s="22">
        <v>45721</v>
      </c>
      <c r="C121" s="54">
        <v>3663483.75</v>
      </c>
      <c r="D121" s="21" t="s">
        <v>624</v>
      </c>
      <c r="E121" s="21">
        <v>91002257</v>
      </c>
      <c r="F121" s="54">
        <v>3663483.75</v>
      </c>
      <c r="G121" s="22">
        <v>45726</v>
      </c>
      <c r="H121" t="s">
        <v>79</v>
      </c>
      <c r="I121" s="51" t="str">
        <f>IFERROR(IF(VLOOKUP(E121,extracto!C:C,1,FALSE)=E121,"pagado","no pagado"),"no pagado")</f>
        <v>pagado</v>
      </c>
      <c r="J121" s="52" t="str">
        <f t="shared" si="108"/>
        <v>pagado</v>
      </c>
      <c r="K121" s="51" t="str">
        <f t="shared" ca="1" si="109"/>
        <v>excluir</v>
      </c>
      <c r="L121" s="51" t="str">
        <f t="shared" ca="1" si="110"/>
        <v>no semana</v>
      </c>
      <c r="M121" s="51" t="str">
        <f>IFERROR(VLOOKUP(E121,'cheques a conf'!A:D,4,FALSE),"no clearing")</f>
        <v>no clearing</v>
      </c>
      <c r="N121" s="51">
        <f t="shared" si="111"/>
        <v>11</v>
      </c>
      <c r="O121" s="53">
        <f t="shared" si="112"/>
        <v>3</v>
      </c>
      <c r="P121" s="53">
        <f t="shared" si="113"/>
        <v>2025</v>
      </c>
    </row>
    <row r="122" spans="1:16" customFormat="1" x14ac:dyDescent="0.25">
      <c r="A122" s="21">
        <v>3000001033</v>
      </c>
      <c r="B122" s="22">
        <v>45721</v>
      </c>
      <c r="C122" s="54">
        <v>13440767.92</v>
      </c>
      <c r="D122" s="21" t="s">
        <v>17</v>
      </c>
      <c r="E122" s="21">
        <v>91002258</v>
      </c>
      <c r="F122" s="54">
        <v>13440767.92</v>
      </c>
      <c r="G122" s="22">
        <v>45726</v>
      </c>
      <c r="H122" t="s">
        <v>79</v>
      </c>
      <c r="I122" s="51" t="str">
        <f>IFERROR(IF(VLOOKUP(E122,extracto!C:C,1,FALSE)=E122,"pagado","no pagado"),"no pagado")</f>
        <v>pagado</v>
      </c>
      <c r="J122" s="52" t="str">
        <f t="shared" si="108"/>
        <v>pagado</v>
      </c>
      <c r="K122" s="51" t="str">
        <f t="shared" ca="1" si="109"/>
        <v>excluir</v>
      </c>
      <c r="L122" s="51" t="str">
        <f t="shared" ca="1" si="110"/>
        <v>no semana</v>
      </c>
      <c r="M122" s="51" t="str">
        <f>IFERROR(VLOOKUP(E122,'cheques a conf'!A:D,4,FALSE),"no clearing")</f>
        <v>no clearing</v>
      </c>
      <c r="N122" s="51">
        <f t="shared" si="111"/>
        <v>11</v>
      </c>
      <c r="O122" s="53">
        <f t="shared" si="112"/>
        <v>3</v>
      </c>
      <c r="P122" s="53">
        <f t="shared" si="113"/>
        <v>2025</v>
      </c>
    </row>
    <row r="123" spans="1:16" customFormat="1" x14ac:dyDescent="0.25">
      <c r="A123" s="21">
        <v>3000001034</v>
      </c>
      <c r="B123" s="22">
        <v>45721</v>
      </c>
      <c r="C123" s="54">
        <v>7392417.5300000003</v>
      </c>
      <c r="D123" s="21" t="s">
        <v>613</v>
      </c>
      <c r="E123" s="21">
        <v>91002259</v>
      </c>
      <c r="F123" s="54">
        <v>7392417.5300000003</v>
      </c>
      <c r="G123" s="22">
        <v>45726</v>
      </c>
      <c r="H123" t="s">
        <v>79</v>
      </c>
      <c r="I123" s="51" t="str">
        <f>IFERROR(IF(VLOOKUP(E123,extracto!C:C,1,FALSE)=E123,"pagado","no pagado"),"no pagado")</f>
        <v>pagado</v>
      </c>
      <c r="J123" s="52" t="str">
        <f t="shared" si="108"/>
        <v>pagado</v>
      </c>
      <c r="K123" s="51" t="str">
        <f t="shared" ca="1" si="109"/>
        <v>excluir</v>
      </c>
      <c r="L123" s="51" t="str">
        <f t="shared" ca="1" si="110"/>
        <v>no semana</v>
      </c>
      <c r="M123" s="51" t="str">
        <f>IFERROR(VLOOKUP(E123,'cheques a conf'!A:D,4,FALSE),"no clearing")</f>
        <v>no clearing</v>
      </c>
      <c r="N123" s="51">
        <f t="shared" si="111"/>
        <v>11</v>
      </c>
      <c r="O123" s="53">
        <f t="shared" si="112"/>
        <v>3</v>
      </c>
      <c r="P123" s="53">
        <f t="shared" si="113"/>
        <v>2025</v>
      </c>
    </row>
    <row r="124" spans="1:16" customFormat="1" x14ac:dyDescent="0.25">
      <c r="A124" s="21">
        <v>3000001035</v>
      </c>
      <c r="B124" s="22">
        <v>45721</v>
      </c>
      <c r="C124" s="54">
        <v>5382509.2300000004</v>
      </c>
      <c r="D124" s="21" t="s">
        <v>612</v>
      </c>
      <c r="E124" s="21">
        <v>91002260</v>
      </c>
      <c r="F124" s="54">
        <v>5382509.2300000004</v>
      </c>
      <c r="G124" s="22">
        <v>45726</v>
      </c>
      <c r="H124" t="s">
        <v>79</v>
      </c>
      <c r="I124" s="51" t="str">
        <f>IFERROR(IF(VLOOKUP(E124,extracto!C:C,1,FALSE)=E124,"pagado","no pagado"),"no pagado")</f>
        <v>pagado</v>
      </c>
      <c r="J124" s="52" t="str">
        <f t="shared" si="108"/>
        <v>pagado</v>
      </c>
      <c r="K124" s="51" t="str">
        <f t="shared" ca="1" si="109"/>
        <v>excluir</v>
      </c>
      <c r="L124" s="51" t="str">
        <f t="shared" ca="1" si="110"/>
        <v>no semana</v>
      </c>
      <c r="M124" s="51" t="str">
        <f>IFERROR(VLOOKUP(E124,'cheques a conf'!A:D,4,FALSE),"no clearing")</f>
        <v>no clearing</v>
      </c>
      <c r="N124" s="51">
        <f t="shared" si="111"/>
        <v>11</v>
      </c>
      <c r="O124" s="53">
        <f t="shared" si="112"/>
        <v>3</v>
      </c>
      <c r="P124" s="53">
        <f t="shared" si="113"/>
        <v>2025</v>
      </c>
    </row>
    <row r="125" spans="1:16" customFormat="1" x14ac:dyDescent="0.25">
      <c r="A125" s="21">
        <v>3000001036</v>
      </c>
      <c r="B125" s="22">
        <v>45721</v>
      </c>
      <c r="C125" s="54">
        <v>11722771.939999999</v>
      </c>
      <c r="D125" s="21" t="s">
        <v>593</v>
      </c>
      <c r="E125" s="21">
        <v>91002261</v>
      </c>
      <c r="F125" s="54">
        <v>11722771.939999999</v>
      </c>
      <c r="G125" s="22">
        <v>45726</v>
      </c>
      <c r="H125" t="s">
        <v>79</v>
      </c>
      <c r="I125" s="51" t="str">
        <f>IFERROR(IF(VLOOKUP(E125,extracto!C:C,1,FALSE)=E125,"pagado","no pagado"),"no pagado")</f>
        <v>pagado</v>
      </c>
      <c r="J125" s="52" t="str">
        <f t="shared" si="108"/>
        <v>pagado</v>
      </c>
      <c r="K125" s="51" t="str">
        <f t="shared" ca="1" si="109"/>
        <v>excluir</v>
      </c>
      <c r="L125" s="51" t="str">
        <f t="shared" ca="1" si="110"/>
        <v>no semana</v>
      </c>
      <c r="M125" s="51" t="str">
        <f>IFERROR(VLOOKUP(E125,'cheques a conf'!A:D,4,FALSE),"no clearing")</f>
        <v>no clearing</v>
      </c>
      <c r="N125" s="51">
        <f t="shared" si="111"/>
        <v>11</v>
      </c>
      <c r="O125" s="53">
        <f t="shared" si="112"/>
        <v>3</v>
      </c>
      <c r="P125" s="53">
        <f t="shared" si="113"/>
        <v>2025</v>
      </c>
    </row>
    <row r="126" spans="1:16" customFormat="1" x14ac:dyDescent="0.25">
      <c r="A126" s="21">
        <v>3000001038</v>
      </c>
      <c r="B126" s="22">
        <v>45721</v>
      </c>
      <c r="C126" s="54">
        <v>5771942.46</v>
      </c>
      <c r="D126" s="21" t="s">
        <v>625</v>
      </c>
      <c r="E126" s="21">
        <v>91002264</v>
      </c>
      <c r="F126" s="54">
        <v>5771942.46</v>
      </c>
      <c r="G126" s="22">
        <v>45726</v>
      </c>
      <c r="H126" t="s">
        <v>79</v>
      </c>
      <c r="I126" s="51" t="str">
        <f>IFERROR(IF(VLOOKUP(E126,extracto!C:C,1,FALSE)=E126,"pagado","no pagado"),"no pagado")</f>
        <v>pagado</v>
      </c>
      <c r="J126" s="52" t="str">
        <f t="shared" si="108"/>
        <v>pagado</v>
      </c>
      <c r="K126" s="51" t="str">
        <f t="shared" ca="1" si="109"/>
        <v>excluir</v>
      </c>
      <c r="L126" s="51" t="str">
        <f t="shared" ca="1" si="110"/>
        <v>no semana</v>
      </c>
      <c r="M126" s="51" t="str">
        <f>IFERROR(VLOOKUP(E126,'cheques a conf'!A:D,4,FALSE),"no clearing")</f>
        <v>no clearing</v>
      </c>
      <c r="N126" s="51">
        <f t="shared" si="111"/>
        <v>11</v>
      </c>
      <c r="O126" s="53">
        <f t="shared" si="112"/>
        <v>3</v>
      </c>
      <c r="P126" s="53">
        <f t="shared" si="113"/>
        <v>2025</v>
      </c>
    </row>
    <row r="127" spans="1:16" customFormat="1" x14ac:dyDescent="0.25">
      <c r="A127" s="21">
        <v>3000001039</v>
      </c>
      <c r="B127" s="22">
        <v>45721</v>
      </c>
      <c r="C127" s="54">
        <v>9623461.2400000002</v>
      </c>
      <c r="D127" s="21" t="s">
        <v>29</v>
      </c>
      <c r="E127" s="21">
        <v>91002265</v>
      </c>
      <c r="F127" s="54">
        <v>9623461.2400000002</v>
      </c>
      <c r="G127" s="22">
        <v>45726</v>
      </c>
      <c r="H127" t="s">
        <v>79</v>
      </c>
      <c r="I127" s="51" t="str">
        <f>IFERROR(IF(VLOOKUP(E127,extracto!C:C,1,FALSE)=E127,"pagado","no pagado"),"no pagado")</f>
        <v>pagado</v>
      </c>
      <c r="J127" s="52" t="str">
        <f t="shared" si="108"/>
        <v>pagado</v>
      </c>
      <c r="K127" s="51" t="str">
        <f t="shared" ca="1" si="109"/>
        <v>excluir</v>
      </c>
      <c r="L127" s="51" t="str">
        <f t="shared" ca="1" si="110"/>
        <v>no semana</v>
      </c>
      <c r="M127" s="51" t="str">
        <f>IFERROR(VLOOKUP(E127,'cheques a conf'!A:D,4,FALSE),"no clearing")</f>
        <v>no clearing</v>
      </c>
      <c r="N127" s="51">
        <f t="shared" si="111"/>
        <v>11</v>
      </c>
      <c r="O127" s="53">
        <f t="shared" si="112"/>
        <v>3</v>
      </c>
      <c r="P127" s="53">
        <f t="shared" si="113"/>
        <v>2025</v>
      </c>
    </row>
    <row r="128" spans="1:16" customFormat="1" x14ac:dyDescent="0.25">
      <c r="A128" s="21">
        <v>3000001040</v>
      </c>
      <c r="B128" s="22">
        <v>45721</v>
      </c>
      <c r="C128" s="54">
        <v>3167373.04</v>
      </c>
      <c r="D128" s="21" t="s">
        <v>622</v>
      </c>
      <c r="E128" s="21">
        <v>91002266</v>
      </c>
      <c r="F128" s="54">
        <v>3167373.04</v>
      </c>
      <c r="G128" s="22">
        <v>45726</v>
      </c>
      <c r="H128" t="s">
        <v>79</v>
      </c>
      <c r="I128" s="51" t="str">
        <f>IFERROR(IF(VLOOKUP(E128,extracto!C:C,1,FALSE)=E128,"pagado","no pagado"),"no pagado")</f>
        <v>pagado</v>
      </c>
      <c r="J128" s="52" t="str">
        <f t="shared" si="108"/>
        <v>pagado</v>
      </c>
      <c r="K128" s="51" t="str">
        <f t="shared" ca="1" si="109"/>
        <v>excluir</v>
      </c>
      <c r="L128" s="51" t="str">
        <f t="shared" ca="1" si="110"/>
        <v>no semana</v>
      </c>
      <c r="M128" s="51" t="str">
        <f>IFERROR(VLOOKUP(E128,'cheques a conf'!A:D,4,FALSE),"no clearing")</f>
        <v>no clearing</v>
      </c>
      <c r="N128" s="51">
        <f t="shared" si="111"/>
        <v>11</v>
      </c>
      <c r="O128" s="53">
        <f t="shared" si="112"/>
        <v>3</v>
      </c>
      <c r="P128" s="53">
        <f t="shared" si="113"/>
        <v>2025</v>
      </c>
    </row>
    <row r="129" spans="1:18" customFormat="1" x14ac:dyDescent="0.25">
      <c r="A129" s="21">
        <v>3000001041</v>
      </c>
      <c r="B129" s="22">
        <v>45721</v>
      </c>
      <c r="C129" s="54">
        <v>8083476.8899999997</v>
      </c>
      <c r="D129" s="21" t="s">
        <v>626</v>
      </c>
      <c r="E129" s="21">
        <v>91002267</v>
      </c>
      <c r="F129" s="54">
        <v>8083476.8899999997</v>
      </c>
      <c r="G129" s="22">
        <v>45726</v>
      </c>
      <c r="H129" t="s">
        <v>79</v>
      </c>
      <c r="I129" s="51" t="str">
        <f>IFERROR(IF(VLOOKUP(E129,extracto!C:C,1,FALSE)=E129,"pagado","no pagado"),"no pagado")</f>
        <v>pagado</v>
      </c>
      <c r="J129" s="52" t="str">
        <f t="shared" si="108"/>
        <v>pagado</v>
      </c>
      <c r="K129" s="51" t="str">
        <f t="shared" ca="1" si="109"/>
        <v>excluir</v>
      </c>
      <c r="L129" s="51" t="str">
        <f t="shared" ca="1" si="110"/>
        <v>no semana</v>
      </c>
      <c r="M129" s="51" t="str">
        <f>IFERROR(VLOOKUP(E129,'cheques a conf'!A:D,4,FALSE),"no clearing")</f>
        <v>no clearing</v>
      </c>
      <c r="N129" s="51">
        <f t="shared" si="111"/>
        <v>11</v>
      </c>
      <c r="O129" s="53">
        <f t="shared" si="112"/>
        <v>3</v>
      </c>
      <c r="P129" s="53">
        <f t="shared" si="113"/>
        <v>2025</v>
      </c>
    </row>
    <row r="130" spans="1:18" customFormat="1" x14ac:dyDescent="0.25">
      <c r="A130" s="21">
        <v>3000001042</v>
      </c>
      <c r="B130" s="22">
        <v>45721</v>
      </c>
      <c r="C130" s="54">
        <v>14589841.32</v>
      </c>
      <c r="D130" s="21" t="s">
        <v>600</v>
      </c>
      <c r="E130" s="21">
        <v>91002268</v>
      </c>
      <c r="F130" s="54">
        <v>14589841.32</v>
      </c>
      <c r="G130" s="22">
        <v>45727</v>
      </c>
      <c r="H130" t="s">
        <v>79</v>
      </c>
      <c r="I130" s="51" t="str">
        <f>IFERROR(IF(VLOOKUP(E130,extracto!C:C,1,FALSE)=E130,"pagado","no pagado"),"no pagado")</f>
        <v>pagado</v>
      </c>
      <c r="J130" s="52" t="str">
        <f t="shared" si="108"/>
        <v>pagado</v>
      </c>
      <c r="K130" s="51" t="str">
        <f t="shared" ca="1" si="109"/>
        <v>excluir</v>
      </c>
      <c r="L130" s="51" t="str">
        <f t="shared" ca="1" si="110"/>
        <v>no semana</v>
      </c>
      <c r="M130" s="51" t="str">
        <f>IFERROR(VLOOKUP(E130,'cheques a conf'!A:D,4,FALSE),"no clearing")</f>
        <v>no clearing</v>
      </c>
      <c r="N130" s="51">
        <f t="shared" si="111"/>
        <v>11</v>
      </c>
      <c r="O130" s="53">
        <f t="shared" si="112"/>
        <v>3</v>
      </c>
      <c r="P130" s="53">
        <f t="shared" si="113"/>
        <v>2025</v>
      </c>
    </row>
    <row r="131" spans="1:18" customFormat="1" x14ac:dyDescent="0.25">
      <c r="A131" s="21">
        <v>3000001043</v>
      </c>
      <c r="B131" s="22">
        <v>45721</v>
      </c>
      <c r="C131" s="54">
        <v>4798943.4000000004</v>
      </c>
      <c r="D131" s="21" t="s">
        <v>627</v>
      </c>
      <c r="E131" s="21">
        <v>91002269</v>
      </c>
      <c r="F131" s="54">
        <v>4798943.4000000004</v>
      </c>
      <c r="G131" s="22">
        <v>45726</v>
      </c>
      <c r="H131" t="s">
        <v>79</v>
      </c>
      <c r="I131" s="51" t="str">
        <f>IFERROR(IF(VLOOKUP(E131,extracto!C:C,1,FALSE)=E131,"pagado","no pagado"),"no pagado")</f>
        <v>pagado</v>
      </c>
      <c r="J131" s="52" t="str">
        <f t="shared" si="108"/>
        <v>pagado</v>
      </c>
      <c r="K131" s="51" t="str">
        <f t="shared" ca="1" si="109"/>
        <v>excluir</v>
      </c>
      <c r="L131" s="51" t="str">
        <f t="shared" ca="1" si="110"/>
        <v>no semana</v>
      </c>
      <c r="M131" s="51" t="str">
        <f>IFERROR(VLOOKUP(E131,'cheques a conf'!A:D,4,FALSE),"no clearing")</f>
        <v>no clearing</v>
      </c>
      <c r="N131" s="51">
        <f t="shared" si="111"/>
        <v>11</v>
      </c>
      <c r="O131" s="53">
        <f t="shared" si="112"/>
        <v>3</v>
      </c>
      <c r="P131" s="53">
        <f t="shared" si="113"/>
        <v>2025</v>
      </c>
    </row>
    <row r="132" spans="1:18" customFormat="1" x14ac:dyDescent="0.25">
      <c r="A132" s="21">
        <v>3000001044</v>
      </c>
      <c r="B132" s="22">
        <v>45721</v>
      </c>
      <c r="C132" s="54">
        <v>4287715.08</v>
      </c>
      <c r="D132" s="21" t="s">
        <v>628</v>
      </c>
      <c r="E132" s="21">
        <v>91002270</v>
      </c>
      <c r="F132" s="54">
        <v>4287715.08</v>
      </c>
      <c r="G132" s="22">
        <v>45726</v>
      </c>
      <c r="H132" t="s">
        <v>79</v>
      </c>
      <c r="I132" s="51" t="str">
        <f>IFERROR(IF(VLOOKUP(E132,extracto!C:C,1,FALSE)=E132,"pagado","no pagado"),"no pagado")</f>
        <v>pagado</v>
      </c>
      <c r="J132" s="52" t="str">
        <f t="shared" si="108"/>
        <v>pagado</v>
      </c>
      <c r="K132" s="51" t="str">
        <f t="shared" ca="1" si="109"/>
        <v>excluir</v>
      </c>
      <c r="L132" s="51" t="str">
        <f t="shared" ca="1" si="110"/>
        <v>no semana</v>
      </c>
      <c r="M132" s="51" t="str">
        <f>IFERROR(VLOOKUP(E132,'cheques a conf'!A:D,4,FALSE),"no clearing")</f>
        <v>no clearing</v>
      </c>
      <c r="N132" s="51">
        <f t="shared" si="111"/>
        <v>11</v>
      </c>
      <c r="O132" s="53">
        <f t="shared" si="112"/>
        <v>3</v>
      </c>
      <c r="P132" s="53">
        <f t="shared" si="113"/>
        <v>2025</v>
      </c>
    </row>
    <row r="133" spans="1:18" customFormat="1" x14ac:dyDescent="0.25">
      <c r="A133" s="21">
        <v>3000001169</v>
      </c>
      <c r="B133" s="22">
        <v>45727</v>
      </c>
      <c r="C133" s="54">
        <v>15000000</v>
      </c>
      <c r="D133" s="21" t="s">
        <v>629</v>
      </c>
      <c r="E133" s="21">
        <v>2927403</v>
      </c>
      <c r="F133" s="54">
        <v>15000000</v>
      </c>
      <c r="G133" s="22">
        <v>45729</v>
      </c>
      <c r="H133" t="s">
        <v>13</v>
      </c>
      <c r="I133" s="51" t="str">
        <f>IFERROR(IF(VLOOKUP(E133,extracto!C:C,1,FALSE)=E133,"pagado","no pagado"),"no pagado")</f>
        <v>pagado</v>
      </c>
      <c r="J133" s="52" t="str">
        <f t="shared" ref="J133:J135" si="114">IF(I133="pagado","pagado",IF(G133&lt;$V$1-30,"fuera de fecha","en periodo de pago"))</f>
        <v>pagado</v>
      </c>
      <c r="K133" s="51" t="str">
        <f t="shared" ref="K133:K135" ca="1" si="115">+IF(B133&gt;$V$1,"excluir",IF(J133="en periodo de pago",IF($V$1&gt;G133,"a pagar","proximo a vencer"),"excluir"))</f>
        <v>excluir</v>
      </c>
      <c r="L133" s="51" t="str">
        <f t="shared" ref="L133:L135" ca="1" si="116">+IF(K133="proximo a vencer",IF($V$1+5&gt;G133,"para la semana","no semana"),"no semana")</f>
        <v>no semana</v>
      </c>
      <c r="M133" s="51" t="str">
        <f>IFERROR(VLOOKUP(E133,'cheques a conf'!A:D,4,FALSE),"no clearing")</f>
        <v>no clearing</v>
      </c>
      <c r="N133" s="51">
        <f t="shared" ref="N133:N135" si="117">+WEEKNUM(G133,2)</f>
        <v>11</v>
      </c>
      <c r="O133" s="53">
        <f t="shared" ref="O133:O135" si="118">+MONTH(G133)</f>
        <v>3</v>
      </c>
      <c r="P133" s="53">
        <f t="shared" ref="P133:P135" si="119">+YEAR(G133)</f>
        <v>2025</v>
      </c>
    </row>
    <row r="134" spans="1:18" customFormat="1" x14ac:dyDescent="0.25">
      <c r="A134" s="21">
        <v>3000001169</v>
      </c>
      <c r="B134" s="22">
        <v>45727</v>
      </c>
      <c r="C134" s="54">
        <v>14900843.4</v>
      </c>
      <c r="D134" s="21" t="s">
        <v>629</v>
      </c>
      <c r="E134" s="21">
        <v>2927404</v>
      </c>
      <c r="F134" s="54">
        <v>14900843.4</v>
      </c>
      <c r="G134" s="22">
        <v>45730</v>
      </c>
      <c r="H134" t="s">
        <v>13</v>
      </c>
      <c r="I134" s="51" t="str">
        <f>IFERROR(IF(VLOOKUP(E134,extracto!C:C,1,FALSE)=E134,"pagado","no pagado"),"no pagado")</f>
        <v>pagado</v>
      </c>
      <c r="J134" s="52" t="str">
        <f t="shared" si="114"/>
        <v>pagado</v>
      </c>
      <c r="K134" s="51" t="str">
        <f t="shared" ca="1" si="115"/>
        <v>excluir</v>
      </c>
      <c r="L134" s="51" t="str">
        <f t="shared" ca="1" si="116"/>
        <v>no semana</v>
      </c>
      <c r="M134" s="51" t="str">
        <f>IFERROR(VLOOKUP(E134,'cheques a conf'!A:D,4,FALSE),"no clearing")</f>
        <v>no clearing</v>
      </c>
      <c r="N134" s="51">
        <f t="shared" si="117"/>
        <v>11</v>
      </c>
      <c r="O134" s="53">
        <f t="shared" si="118"/>
        <v>3</v>
      </c>
      <c r="P134" s="53">
        <f t="shared" si="119"/>
        <v>2025</v>
      </c>
    </row>
    <row r="135" spans="1:18" customFormat="1" x14ac:dyDescent="0.25">
      <c r="A135" s="21">
        <v>3000001168</v>
      </c>
      <c r="B135" s="22">
        <v>45727</v>
      </c>
      <c r="C135" s="54">
        <v>7563406.8799999999</v>
      </c>
      <c r="D135" s="21" t="s">
        <v>71</v>
      </c>
      <c r="E135" s="21">
        <v>2927402</v>
      </c>
      <c r="F135" s="54">
        <v>7563406.8799999999</v>
      </c>
      <c r="G135" s="22">
        <v>45729</v>
      </c>
      <c r="H135" t="s">
        <v>13</v>
      </c>
      <c r="I135" s="51" t="str">
        <f>IFERROR(IF(VLOOKUP(E135,extracto!C:C,1,FALSE)=E135,"pagado","no pagado"),"no pagado")</f>
        <v>pagado</v>
      </c>
      <c r="J135" s="52" t="str">
        <f t="shared" si="114"/>
        <v>pagado</v>
      </c>
      <c r="K135" s="51" t="str">
        <f t="shared" ca="1" si="115"/>
        <v>excluir</v>
      </c>
      <c r="L135" s="51" t="str">
        <f t="shared" ca="1" si="116"/>
        <v>no semana</v>
      </c>
      <c r="M135" s="51" t="str">
        <f>IFERROR(VLOOKUP(E135,'cheques a conf'!A:D,4,FALSE),"no clearing")</f>
        <v>no clearing</v>
      </c>
      <c r="N135" s="51">
        <f t="shared" si="117"/>
        <v>11</v>
      </c>
      <c r="O135" s="53">
        <f t="shared" si="118"/>
        <v>3</v>
      </c>
      <c r="P135" s="53">
        <f t="shared" si="119"/>
        <v>2025</v>
      </c>
    </row>
    <row r="136" spans="1:18" customFormat="1" x14ac:dyDescent="0.25">
      <c r="A136" s="21">
        <v>3000001259</v>
      </c>
      <c r="B136" s="22">
        <v>45733</v>
      </c>
      <c r="C136" s="54">
        <v>47000000</v>
      </c>
      <c r="D136" s="21" t="s">
        <v>596</v>
      </c>
      <c r="E136" s="21">
        <v>91002274</v>
      </c>
      <c r="F136" s="54">
        <v>47000000</v>
      </c>
      <c r="G136" s="22">
        <v>45735</v>
      </c>
      <c r="H136" t="s">
        <v>79</v>
      </c>
      <c r="I136" s="51" t="str">
        <f>IFERROR(IF(VLOOKUP(E136,extracto!C:C,1,FALSE)=E136,"pagado","no pagado"),"no pagado")</f>
        <v>pagado</v>
      </c>
      <c r="J136" s="52" t="str">
        <f t="shared" ref="J136:J157" si="120">IF(I136="pagado","pagado",IF(G136&lt;$V$1-30,"fuera de fecha","en periodo de pago"))</f>
        <v>pagado</v>
      </c>
      <c r="K136" s="51" t="str">
        <f t="shared" ref="K136:K157" ca="1" si="121">+IF(B136&gt;$V$1,"excluir",IF(J136="en periodo de pago",IF($V$1&gt;G136,"a pagar","proximo a vencer"),"excluir"))</f>
        <v>excluir</v>
      </c>
      <c r="L136" s="51" t="str">
        <f t="shared" ref="L136:L157" ca="1" si="122">+IF(K136="proximo a vencer",IF($V$1+5&gt;G136,"para la semana","no semana"),"no semana")</f>
        <v>no semana</v>
      </c>
      <c r="M136" s="51" t="str">
        <f>IFERROR(VLOOKUP(E136,'cheques a conf'!A:D,4,FALSE),"no clearing")</f>
        <v>no clearing</v>
      </c>
      <c r="N136" s="51">
        <f t="shared" ref="N136:N157" si="123">+WEEKNUM(G136,2)</f>
        <v>12</v>
      </c>
      <c r="O136" s="53">
        <f t="shared" ref="O136:O157" si="124">+MONTH(G136)</f>
        <v>3</v>
      </c>
      <c r="P136" s="53">
        <f t="shared" ref="P136:P157" si="125">+YEAR(G136)</f>
        <v>2025</v>
      </c>
    </row>
    <row r="137" spans="1:18" customFormat="1" x14ac:dyDescent="0.25">
      <c r="A137" s="21">
        <v>3000001259</v>
      </c>
      <c r="B137" s="22">
        <v>45733</v>
      </c>
      <c r="C137" s="54">
        <v>34077795.270000003</v>
      </c>
      <c r="D137" s="21" t="s">
        <v>596</v>
      </c>
      <c r="E137" s="21">
        <v>91002275</v>
      </c>
      <c r="F137" s="54">
        <v>34077795.270000003</v>
      </c>
      <c r="G137" s="22">
        <v>45740</v>
      </c>
      <c r="H137" t="s">
        <v>79</v>
      </c>
      <c r="I137" s="51" t="str">
        <f>IFERROR(IF(VLOOKUP(E137,extracto!C:C,1,FALSE)=E137,"pagado","no pagado"),"no pagado")</f>
        <v>pagado</v>
      </c>
      <c r="J137" s="52" t="str">
        <f t="shared" si="120"/>
        <v>pagado</v>
      </c>
      <c r="K137" s="51" t="str">
        <f t="shared" ca="1" si="121"/>
        <v>excluir</v>
      </c>
      <c r="L137" s="51" t="str">
        <f t="shared" ca="1" si="122"/>
        <v>no semana</v>
      </c>
      <c r="M137" s="51" t="str">
        <f>IFERROR(VLOOKUP(E137,'cheques a conf'!A:D,4,FALSE),"no clearing")</f>
        <v>no clearing</v>
      </c>
      <c r="N137" s="51">
        <f t="shared" si="123"/>
        <v>13</v>
      </c>
      <c r="O137" s="53">
        <f t="shared" si="124"/>
        <v>3</v>
      </c>
      <c r="P137" s="53">
        <f t="shared" si="125"/>
        <v>2025</v>
      </c>
    </row>
    <row r="138" spans="1:18" customFormat="1" x14ac:dyDescent="0.25">
      <c r="A138" s="21">
        <v>3000001256</v>
      </c>
      <c r="B138" s="22">
        <v>45733</v>
      </c>
      <c r="C138" s="54">
        <v>4287667.2699999996</v>
      </c>
      <c r="D138" s="21" t="s">
        <v>598</v>
      </c>
      <c r="E138" s="21">
        <v>91002271</v>
      </c>
      <c r="F138" s="54">
        <v>4287667.2699999996</v>
      </c>
      <c r="G138" s="22">
        <v>45735</v>
      </c>
      <c r="H138" t="s">
        <v>79</v>
      </c>
      <c r="I138" s="51" t="str">
        <f>IFERROR(IF(VLOOKUP(E138,extracto!C:C,1,FALSE)=E138,"pagado","no pagado"),"no pagado")</f>
        <v>pagado</v>
      </c>
      <c r="J138" s="52" t="str">
        <f t="shared" si="120"/>
        <v>pagado</v>
      </c>
      <c r="K138" s="51" t="str">
        <f t="shared" ca="1" si="121"/>
        <v>excluir</v>
      </c>
      <c r="L138" s="51" t="str">
        <f t="shared" ca="1" si="122"/>
        <v>no semana</v>
      </c>
      <c r="M138" s="51" t="str">
        <f>IFERROR(VLOOKUP(E138,'cheques a conf'!A:D,4,FALSE),"no clearing")</f>
        <v>no clearing</v>
      </c>
      <c r="N138" s="51">
        <f t="shared" si="123"/>
        <v>12</v>
      </c>
      <c r="O138" s="53">
        <f t="shared" si="124"/>
        <v>3</v>
      </c>
      <c r="P138" s="53">
        <f t="shared" si="125"/>
        <v>2025</v>
      </c>
    </row>
    <row r="139" spans="1:18" customFormat="1" x14ac:dyDescent="0.25">
      <c r="A139" s="21">
        <v>3000001257</v>
      </c>
      <c r="B139" s="22">
        <v>45733</v>
      </c>
      <c r="C139" s="54">
        <v>12403793.92</v>
      </c>
      <c r="D139" s="21" t="s">
        <v>74</v>
      </c>
      <c r="E139" s="21">
        <v>91002272</v>
      </c>
      <c r="F139" s="54">
        <v>12403793.92</v>
      </c>
      <c r="G139" s="22">
        <v>45735</v>
      </c>
      <c r="H139" t="s">
        <v>79</v>
      </c>
      <c r="I139" s="51" t="str">
        <f>IFERROR(IF(VLOOKUP(E139,extracto!C:C,1,FALSE)=E139,"pagado","no pagado"),"no pagado")</f>
        <v>pagado</v>
      </c>
      <c r="J139" s="52" t="str">
        <f t="shared" si="120"/>
        <v>pagado</v>
      </c>
      <c r="K139" s="51" t="str">
        <f t="shared" ca="1" si="121"/>
        <v>excluir</v>
      </c>
      <c r="L139" s="51" t="str">
        <f t="shared" ca="1" si="122"/>
        <v>no semana</v>
      </c>
      <c r="M139" s="51" t="str">
        <f>IFERROR(VLOOKUP(E139,'cheques a conf'!A:D,4,FALSE),"no clearing")</f>
        <v>no clearing</v>
      </c>
      <c r="N139" s="51">
        <f t="shared" si="123"/>
        <v>12</v>
      </c>
      <c r="O139" s="53">
        <f t="shared" si="124"/>
        <v>3</v>
      </c>
      <c r="P139" s="53">
        <f t="shared" si="125"/>
        <v>2025</v>
      </c>
    </row>
    <row r="140" spans="1:18" customFormat="1" x14ac:dyDescent="0.25">
      <c r="A140" s="21">
        <v>3000001258</v>
      </c>
      <c r="B140" s="22">
        <v>45733</v>
      </c>
      <c r="C140" s="54">
        <v>5500449.4199999999</v>
      </c>
      <c r="D140" s="21" t="s">
        <v>588</v>
      </c>
      <c r="E140" s="21">
        <v>91002273</v>
      </c>
      <c r="F140" s="54">
        <v>5500449.4199999999</v>
      </c>
      <c r="G140" s="22">
        <v>45735</v>
      </c>
      <c r="H140" t="s">
        <v>79</v>
      </c>
      <c r="I140" s="51" t="str">
        <f>IFERROR(IF(VLOOKUP(E140,extracto!C:C,1,FALSE)=E140,"pagado","no pagado"),"no pagado")</f>
        <v>pagado</v>
      </c>
      <c r="J140" s="52" t="str">
        <f t="shared" si="120"/>
        <v>pagado</v>
      </c>
      <c r="K140" s="51" t="str">
        <f t="shared" ca="1" si="121"/>
        <v>excluir</v>
      </c>
      <c r="L140" s="51" t="str">
        <f t="shared" ca="1" si="122"/>
        <v>no semana</v>
      </c>
      <c r="M140" s="51" t="str">
        <f>IFERROR(VLOOKUP(E140,'cheques a conf'!A:D,4,FALSE),"no clearing")</f>
        <v>no clearing</v>
      </c>
      <c r="N140" s="51">
        <f t="shared" si="123"/>
        <v>12</v>
      </c>
      <c r="O140" s="53">
        <f t="shared" si="124"/>
        <v>3</v>
      </c>
      <c r="P140" s="53">
        <f t="shared" si="125"/>
        <v>2025</v>
      </c>
    </row>
    <row r="141" spans="1:18" customFormat="1" x14ac:dyDescent="0.25">
      <c r="A141" s="21">
        <v>3000001277</v>
      </c>
      <c r="B141" s="22">
        <v>45734</v>
      </c>
      <c r="C141" s="54">
        <v>24000000</v>
      </c>
      <c r="D141" s="21" t="s">
        <v>595</v>
      </c>
      <c r="E141" s="21">
        <v>91002276</v>
      </c>
      <c r="F141" s="54">
        <v>24000000</v>
      </c>
      <c r="G141" s="22">
        <v>45736</v>
      </c>
      <c r="H141" t="s">
        <v>79</v>
      </c>
      <c r="I141" s="51" t="str">
        <f>IFERROR(IF(VLOOKUP(E141,extracto!C:C,1,FALSE)=E141,"pagado","no pagado"),"no pagado")</f>
        <v>pagado</v>
      </c>
      <c r="J141" s="52" t="str">
        <f t="shared" si="120"/>
        <v>pagado</v>
      </c>
      <c r="K141" s="51" t="str">
        <f t="shared" ca="1" si="121"/>
        <v>excluir</v>
      </c>
      <c r="L141" s="51" t="str">
        <f t="shared" ca="1" si="122"/>
        <v>no semana</v>
      </c>
      <c r="M141" s="51" t="str">
        <f>IFERROR(VLOOKUP(E141,'cheques a conf'!A:D,4,FALSE),"no clearing")</f>
        <v>no clearing</v>
      </c>
      <c r="N141" s="51">
        <f t="shared" si="123"/>
        <v>12</v>
      </c>
      <c r="O141" s="53">
        <f t="shared" si="124"/>
        <v>3</v>
      </c>
      <c r="P141" s="53">
        <f t="shared" si="125"/>
        <v>2025</v>
      </c>
    </row>
    <row r="142" spans="1:18" customFormat="1" x14ac:dyDescent="0.25">
      <c r="A142">
        <v>3000001277</v>
      </c>
      <c r="B142" s="3">
        <v>45734</v>
      </c>
      <c r="C142" s="50">
        <v>6790472</v>
      </c>
      <c r="D142" t="s">
        <v>595</v>
      </c>
      <c r="E142">
        <v>91002277</v>
      </c>
      <c r="F142" s="50">
        <v>6790472</v>
      </c>
      <c r="G142" s="3">
        <v>45736</v>
      </c>
      <c r="H142" t="s">
        <v>79</v>
      </c>
      <c r="I142" s="51" t="str">
        <f>IFERROR(IF(VLOOKUP(E142,extracto!C:C,1,FALSE)=E142,"pagado","no pagado"),"no pagado")</f>
        <v>pagado</v>
      </c>
      <c r="J142" s="52" t="str">
        <f t="shared" si="120"/>
        <v>pagado</v>
      </c>
      <c r="K142" s="51" t="str">
        <f t="shared" ca="1" si="121"/>
        <v>excluir</v>
      </c>
      <c r="L142" s="51" t="str">
        <f t="shared" ca="1" si="122"/>
        <v>no semana</v>
      </c>
      <c r="M142" s="51" t="str">
        <f>IFERROR(VLOOKUP(E142,'cheques a conf'!A:D,4,FALSE),"no clearing")</f>
        <v>no clearing</v>
      </c>
      <c r="N142" s="51">
        <f t="shared" si="123"/>
        <v>12</v>
      </c>
      <c r="O142" s="53">
        <f t="shared" si="124"/>
        <v>3</v>
      </c>
      <c r="P142" s="53">
        <f t="shared" si="125"/>
        <v>2025</v>
      </c>
      <c r="Q142" s="53"/>
      <c r="R142" s="53"/>
    </row>
    <row r="143" spans="1:18" customFormat="1" x14ac:dyDescent="0.25">
      <c r="A143">
        <v>3000001277</v>
      </c>
      <c r="B143" s="3">
        <v>45734</v>
      </c>
      <c r="C143" s="50">
        <v>4304616</v>
      </c>
      <c r="D143" t="s">
        <v>595</v>
      </c>
      <c r="E143">
        <v>91002278</v>
      </c>
      <c r="F143" s="50">
        <v>4304616</v>
      </c>
      <c r="G143" s="3">
        <v>45736</v>
      </c>
      <c r="H143" t="s">
        <v>79</v>
      </c>
      <c r="I143" s="51" t="str">
        <f>IFERROR(IF(VLOOKUP(E143,extracto!C:C,1,FALSE)=E143,"pagado","no pagado"),"no pagado")</f>
        <v>pagado</v>
      </c>
      <c r="J143" s="52" t="str">
        <f t="shared" si="120"/>
        <v>pagado</v>
      </c>
      <c r="K143" s="51" t="str">
        <f t="shared" ca="1" si="121"/>
        <v>excluir</v>
      </c>
      <c r="L143" s="51" t="str">
        <f t="shared" ca="1" si="122"/>
        <v>no semana</v>
      </c>
      <c r="M143" s="51" t="str">
        <f>IFERROR(VLOOKUP(E143,'cheques a conf'!A:D,4,FALSE),"no clearing")</f>
        <v>no clearing</v>
      </c>
      <c r="N143" s="51">
        <f t="shared" si="123"/>
        <v>12</v>
      </c>
      <c r="O143" s="53">
        <f t="shared" si="124"/>
        <v>3</v>
      </c>
      <c r="P143" s="53">
        <f t="shared" si="125"/>
        <v>2025</v>
      </c>
      <c r="Q143" s="53"/>
      <c r="R143" s="53"/>
    </row>
    <row r="144" spans="1:18" customFormat="1" x14ac:dyDescent="0.25">
      <c r="A144">
        <v>3000001277</v>
      </c>
      <c r="B144" s="3">
        <v>45734</v>
      </c>
      <c r="C144" s="50">
        <v>2942799</v>
      </c>
      <c r="D144" t="s">
        <v>595</v>
      </c>
      <c r="E144">
        <v>91002279</v>
      </c>
      <c r="F144" s="50">
        <v>2942799</v>
      </c>
      <c r="G144" s="3">
        <v>45736</v>
      </c>
      <c r="H144" t="s">
        <v>79</v>
      </c>
      <c r="I144" s="51" t="str">
        <f>IFERROR(IF(VLOOKUP(E144,extracto!C:C,1,FALSE)=E144,"pagado","no pagado"),"no pagado")</f>
        <v>pagado</v>
      </c>
      <c r="J144" s="52" t="str">
        <f t="shared" si="120"/>
        <v>pagado</v>
      </c>
      <c r="K144" s="51" t="str">
        <f t="shared" ca="1" si="121"/>
        <v>excluir</v>
      </c>
      <c r="L144" s="51" t="str">
        <f t="shared" ca="1" si="122"/>
        <v>no semana</v>
      </c>
      <c r="M144" s="51" t="str">
        <f>IFERROR(VLOOKUP(E144,'cheques a conf'!A:D,4,FALSE),"no clearing")</f>
        <v>no clearing</v>
      </c>
      <c r="N144" s="51">
        <f t="shared" si="123"/>
        <v>12</v>
      </c>
      <c r="O144" s="53">
        <f t="shared" si="124"/>
        <v>3</v>
      </c>
      <c r="P144" s="53">
        <f t="shared" si="125"/>
        <v>2025</v>
      </c>
      <c r="Q144" s="53"/>
      <c r="R144" s="53"/>
    </row>
    <row r="145" spans="1:18" customFormat="1" x14ac:dyDescent="0.25">
      <c r="A145">
        <v>3000001277</v>
      </c>
      <c r="B145" s="3">
        <v>45734</v>
      </c>
      <c r="C145" s="50">
        <v>2710453</v>
      </c>
      <c r="D145" t="s">
        <v>595</v>
      </c>
      <c r="E145">
        <v>91002280</v>
      </c>
      <c r="F145" s="50">
        <v>2710453</v>
      </c>
      <c r="G145" s="3">
        <v>45736</v>
      </c>
      <c r="H145" t="s">
        <v>79</v>
      </c>
      <c r="I145" s="51" t="str">
        <f>IFERROR(IF(VLOOKUP(E145,extracto!C:C,1,FALSE)=E145,"pagado","no pagado"),"no pagado")</f>
        <v>pagado</v>
      </c>
      <c r="J145" s="52" t="str">
        <f t="shared" si="120"/>
        <v>pagado</v>
      </c>
      <c r="K145" s="51" t="str">
        <f t="shared" ca="1" si="121"/>
        <v>excluir</v>
      </c>
      <c r="L145" s="51" t="str">
        <f t="shared" ca="1" si="122"/>
        <v>no semana</v>
      </c>
      <c r="M145" s="51" t="str">
        <f>IFERROR(VLOOKUP(E145,'cheques a conf'!A:D,4,FALSE),"no clearing")</f>
        <v>no clearing</v>
      </c>
      <c r="N145" s="51">
        <f t="shared" si="123"/>
        <v>12</v>
      </c>
      <c r="O145" s="53">
        <f t="shared" si="124"/>
        <v>3</v>
      </c>
      <c r="P145" s="53">
        <f t="shared" si="125"/>
        <v>2025</v>
      </c>
      <c r="Q145" s="53"/>
      <c r="R145" s="53"/>
    </row>
    <row r="146" spans="1:18" customFormat="1" x14ac:dyDescent="0.25">
      <c r="A146">
        <v>3000001277</v>
      </c>
      <c r="B146" s="3">
        <v>45734</v>
      </c>
      <c r="C146" s="50">
        <v>2688000</v>
      </c>
      <c r="D146" t="s">
        <v>595</v>
      </c>
      <c r="E146">
        <v>91002281</v>
      </c>
      <c r="F146" s="50">
        <v>2688000</v>
      </c>
      <c r="G146" s="3">
        <v>45736</v>
      </c>
      <c r="H146" t="s">
        <v>79</v>
      </c>
      <c r="I146" s="51" t="str">
        <f>IFERROR(IF(VLOOKUP(E146,extracto!C:C,1,FALSE)=E146,"pagado","no pagado"),"no pagado")</f>
        <v>pagado</v>
      </c>
      <c r="J146" s="52" t="str">
        <f t="shared" si="120"/>
        <v>pagado</v>
      </c>
      <c r="K146" s="51" t="str">
        <f t="shared" ca="1" si="121"/>
        <v>excluir</v>
      </c>
      <c r="L146" s="51" t="str">
        <f t="shared" ca="1" si="122"/>
        <v>no semana</v>
      </c>
      <c r="M146" s="51" t="str">
        <f>IFERROR(VLOOKUP(E146,'cheques a conf'!A:D,4,FALSE),"no clearing")</f>
        <v>no clearing</v>
      </c>
      <c r="N146" s="51">
        <f t="shared" si="123"/>
        <v>12</v>
      </c>
      <c r="O146" s="53">
        <f t="shared" si="124"/>
        <v>3</v>
      </c>
      <c r="P146" s="53">
        <f t="shared" si="125"/>
        <v>2025</v>
      </c>
      <c r="Q146" s="53"/>
      <c r="R146" s="53"/>
    </row>
    <row r="147" spans="1:18" customFormat="1" x14ac:dyDescent="0.25">
      <c r="A147">
        <v>3000001277</v>
      </c>
      <c r="B147" s="3">
        <v>45734</v>
      </c>
      <c r="C147" s="50">
        <v>2151780</v>
      </c>
      <c r="D147" t="s">
        <v>595</v>
      </c>
      <c r="E147">
        <v>91002282</v>
      </c>
      <c r="F147" s="50">
        <v>2151780</v>
      </c>
      <c r="G147" s="3">
        <v>45736</v>
      </c>
      <c r="H147" t="s">
        <v>79</v>
      </c>
      <c r="I147" s="51" t="str">
        <f>IFERROR(IF(VLOOKUP(E147,extracto!C:C,1,FALSE)=E147,"pagado","no pagado"),"no pagado")</f>
        <v>pagado</v>
      </c>
      <c r="J147" s="52" t="str">
        <f t="shared" si="120"/>
        <v>pagado</v>
      </c>
      <c r="K147" s="51" t="str">
        <f t="shared" ca="1" si="121"/>
        <v>excluir</v>
      </c>
      <c r="L147" s="51" t="str">
        <f t="shared" ca="1" si="122"/>
        <v>no semana</v>
      </c>
      <c r="M147" s="51" t="str">
        <f>IFERROR(VLOOKUP(E147,'cheques a conf'!A:D,4,FALSE),"no clearing")</f>
        <v>no clearing</v>
      </c>
      <c r="N147" s="51">
        <f t="shared" si="123"/>
        <v>12</v>
      </c>
      <c r="O147" s="53">
        <f t="shared" si="124"/>
        <v>3</v>
      </c>
      <c r="P147" s="53">
        <f t="shared" si="125"/>
        <v>2025</v>
      </c>
      <c r="Q147" s="53"/>
      <c r="R147" s="53"/>
    </row>
    <row r="148" spans="1:18" customFormat="1" x14ac:dyDescent="0.25">
      <c r="A148">
        <v>3000001277</v>
      </c>
      <c r="B148" s="3">
        <v>45734</v>
      </c>
      <c r="C148" s="50">
        <v>1500402</v>
      </c>
      <c r="D148" t="s">
        <v>595</v>
      </c>
      <c r="E148">
        <v>91002283</v>
      </c>
      <c r="F148" s="50">
        <v>1500402</v>
      </c>
      <c r="G148" s="3">
        <v>45736</v>
      </c>
      <c r="H148" t="s">
        <v>79</v>
      </c>
      <c r="I148" s="51" t="str">
        <f>IFERROR(IF(VLOOKUP(E148,extracto!C:C,1,FALSE)=E148,"pagado","no pagado"),"no pagado")</f>
        <v>pagado</v>
      </c>
      <c r="J148" s="52" t="str">
        <f t="shared" si="120"/>
        <v>pagado</v>
      </c>
      <c r="K148" s="51" t="str">
        <f t="shared" ca="1" si="121"/>
        <v>excluir</v>
      </c>
      <c r="L148" s="51" t="str">
        <f t="shared" ca="1" si="122"/>
        <v>no semana</v>
      </c>
      <c r="M148" s="51" t="str">
        <f>IFERROR(VLOOKUP(E148,'cheques a conf'!A:D,4,FALSE),"no clearing")</f>
        <v>no clearing</v>
      </c>
      <c r="N148" s="51">
        <f t="shared" si="123"/>
        <v>12</v>
      </c>
      <c r="O148" s="53">
        <f t="shared" si="124"/>
        <v>3</v>
      </c>
      <c r="P148" s="53">
        <f t="shared" si="125"/>
        <v>2025</v>
      </c>
      <c r="Q148" s="53"/>
      <c r="R148" s="53"/>
    </row>
    <row r="149" spans="1:18" customFormat="1" x14ac:dyDescent="0.25">
      <c r="A149">
        <v>3000001277</v>
      </c>
      <c r="B149" s="3">
        <v>45734</v>
      </c>
      <c r="C149" s="50">
        <v>1370043</v>
      </c>
      <c r="D149" t="s">
        <v>595</v>
      </c>
      <c r="E149">
        <v>91002284</v>
      </c>
      <c r="F149" s="50">
        <v>1370043</v>
      </c>
      <c r="G149" s="3">
        <v>45736</v>
      </c>
      <c r="H149" t="s">
        <v>79</v>
      </c>
      <c r="I149" s="51" t="str">
        <f>IFERROR(IF(VLOOKUP(E149,extracto!C:C,1,FALSE)=E149,"pagado","no pagado"),"no pagado")</f>
        <v>pagado</v>
      </c>
      <c r="J149" s="52" t="str">
        <f t="shared" si="120"/>
        <v>pagado</v>
      </c>
      <c r="K149" s="51" t="str">
        <f t="shared" ca="1" si="121"/>
        <v>excluir</v>
      </c>
      <c r="L149" s="51" t="str">
        <f t="shared" ca="1" si="122"/>
        <v>no semana</v>
      </c>
      <c r="M149" s="51" t="str">
        <f>IFERROR(VLOOKUP(E149,'cheques a conf'!A:D,4,FALSE),"no clearing")</f>
        <v>no clearing</v>
      </c>
      <c r="N149" s="51">
        <f t="shared" si="123"/>
        <v>12</v>
      </c>
      <c r="O149" s="53">
        <f t="shared" si="124"/>
        <v>3</v>
      </c>
      <c r="P149" s="53">
        <f t="shared" si="125"/>
        <v>2025</v>
      </c>
      <c r="Q149" s="53"/>
      <c r="R149" s="53"/>
    </row>
    <row r="150" spans="1:18" customFormat="1" x14ac:dyDescent="0.25">
      <c r="A150">
        <v>3000001280</v>
      </c>
      <c r="B150" s="3">
        <v>45734</v>
      </c>
      <c r="C150" s="50">
        <v>10000000</v>
      </c>
      <c r="D150" t="s">
        <v>630</v>
      </c>
      <c r="E150">
        <v>91002286</v>
      </c>
      <c r="F150" s="50">
        <v>10000000</v>
      </c>
      <c r="G150" s="3">
        <v>45741</v>
      </c>
      <c r="H150" t="s">
        <v>79</v>
      </c>
      <c r="I150" s="51" t="str">
        <f>IFERROR(IF(VLOOKUP(E150,extracto!C:C,1,FALSE)=E150,"pagado","no pagado"),"no pagado")</f>
        <v>pagado</v>
      </c>
      <c r="J150" s="52" t="str">
        <f t="shared" si="120"/>
        <v>pagado</v>
      </c>
      <c r="K150" s="51" t="str">
        <f t="shared" ca="1" si="121"/>
        <v>excluir</v>
      </c>
      <c r="L150" s="51" t="str">
        <f t="shared" ca="1" si="122"/>
        <v>no semana</v>
      </c>
      <c r="M150" s="51" t="str">
        <f>IFERROR(VLOOKUP(E150,'cheques a conf'!A:D,4,FALSE),"no clearing")</f>
        <v>no clearing</v>
      </c>
      <c r="N150" s="51">
        <f t="shared" si="123"/>
        <v>13</v>
      </c>
      <c r="O150" s="53">
        <f t="shared" si="124"/>
        <v>3</v>
      </c>
      <c r="P150" s="53">
        <f t="shared" si="125"/>
        <v>2025</v>
      </c>
      <c r="Q150" s="53"/>
      <c r="R150" s="53"/>
    </row>
    <row r="151" spans="1:18" customFormat="1" x14ac:dyDescent="0.25">
      <c r="A151">
        <v>3000001280</v>
      </c>
      <c r="B151" s="3">
        <v>45734</v>
      </c>
      <c r="C151" s="50">
        <v>10000000</v>
      </c>
      <c r="D151" t="s">
        <v>630</v>
      </c>
      <c r="E151">
        <v>91002287</v>
      </c>
      <c r="F151" s="50">
        <v>10000000</v>
      </c>
      <c r="G151" s="3">
        <v>45741</v>
      </c>
      <c r="H151" t="s">
        <v>79</v>
      </c>
      <c r="I151" s="51" t="str">
        <f>IFERROR(IF(VLOOKUP(E151,extracto!C:C,1,FALSE)=E151,"pagado","no pagado"),"no pagado")</f>
        <v>pagado</v>
      </c>
      <c r="J151" s="52" t="str">
        <f t="shared" si="120"/>
        <v>pagado</v>
      </c>
      <c r="K151" s="51" t="str">
        <f t="shared" ca="1" si="121"/>
        <v>excluir</v>
      </c>
      <c r="L151" s="51" t="str">
        <f t="shared" ca="1" si="122"/>
        <v>no semana</v>
      </c>
      <c r="M151" s="51" t="str">
        <f>IFERROR(VLOOKUP(E151,'cheques a conf'!A:D,4,FALSE),"no clearing")</f>
        <v>no clearing</v>
      </c>
      <c r="N151" s="51">
        <f t="shared" si="123"/>
        <v>13</v>
      </c>
      <c r="O151" s="53">
        <f t="shared" si="124"/>
        <v>3</v>
      </c>
      <c r="P151" s="53">
        <f t="shared" si="125"/>
        <v>2025</v>
      </c>
      <c r="Q151" s="53"/>
      <c r="R151" s="53"/>
    </row>
    <row r="152" spans="1:18" customFormat="1" x14ac:dyDescent="0.25">
      <c r="A152">
        <v>3000001280</v>
      </c>
      <c r="B152" s="3">
        <v>45734</v>
      </c>
      <c r="C152" s="50">
        <v>10000000</v>
      </c>
      <c r="D152" t="s">
        <v>630</v>
      </c>
      <c r="E152">
        <v>91002288</v>
      </c>
      <c r="F152" s="50">
        <v>10000000</v>
      </c>
      <c r="G152" s="3">
        <v>45741</v>
      </c>
      <c r="H152" t="s">
        <v>79</v>
      </c>
      <c r="I152" s="51" t="str">
        <f>IFERROR(IF(VLOOKUP(E152,extracto!C:C,1,FALSE)=E152,"pagado","no pagado"),"no pagado")</f>
        <v>pagado</v>
      </c>
      <c r="J152" s="52" t="str">
        <f t="shared" si="120"/>
        <v>pagado</v>
      </c>
      <c r="K152" s="51" t="str">
        <f t="shared" ca="1" si="121"/>
        <v>excluir</v>
      </c>
      <c r="L152" s="51" t="str">
        <f t="shared" ca="1" si="122"/>
        <v>no semana</v>
      </c>
      <c r="M152" s="51" t="str">
        <f>IFERROR(VLOOKUP(E152,'cheques a conf'!A:D,4,FALSE),"no clearing")</f>
        <v>no clearing</v>
      </c>
      <c r="N152" s="51">
        <f t="shared" si="123"/>
        <v>13</v>
      </c>
      <c r="O152" s="53">
        <f t="shared" si="124"/>
        <v>3</v>
      </c>
      <c r="P152" s="53">
        <f t="shared" si="125"/>
        <v>2025</v>
      </c>
      <c r="Q152" s="53"/>
      <c r="R152" s="53"/>
    </row>
    <row r="153" spans="1:18" customFormat="1" x14ac:dyDescent="0.25">
      <c r="A153">
        <v>3000001280</v>
      </c>
      <c r="B153" s="3">
        <v>45734</v>
      </c>
      <c r="C153" s="50">
        <v>7280559.9900000002</v>
      </c>
      <c r="D153" t="s">
        <v>630</v>
      </c>
      <c r="E153">
        <v>91002289</v>
      </c>
      <c r="F153" s="50">
        <v>7280559.9900000002</v>
      </c>
      <c r="G153" s="3">
        <v>45741</v>
      </c>
      <c r="H153" t="s">
        <v>79</v>
      </c>
      <c r="I153" s="51" t="str">
        <f>IFERROR(IF(VLOOKUP(E153,extracto!C:C,1,FALSE)=E153,"pagado","no pagado"),"no pagado")</f>
        <v>pagado</v>
      </c>
      <c r="J153" s="52" t="str">
        <f t="shared" si="120"/>
        <v>pagado</v>
      </c>
      <c r="K153" s="51" t="str">
        <f t="shared" ca="1" si="121"/>
        <v>excluir</v>
      </c>
      <c r="L153" s="51" t="str">
        <f t="shared" ca="1" si="122"/>
        <v>no semana</v>
      </c>
      <c r="M153" s="51" t="str">
        <f>IFERROR(VLOOKUP(E153,'cheques a conf'!A:D,4,FALSE),"no clearing")</f>
        <v>no clearing</v>
      </c>
      <c r="N153" s="51">
        <f t="shared" si="123"/>
        <v>13</v>
      </c>
      <c r="O153" s="53">
        <f t="shared" si="124"/>
        <v>3</v>
      </c>
      <c r="P153" s="53">
        <f t="shared" si="125"/>
        <v>2025</v>
      </c>
      <c r="Q153" s="53"/>
      <c r="R153" s="53"/>
    </row>
    <row r="154" spans="1:18" customFormat="1" x14ac:dyDescent="0.25">
      <c r="A154">
        <v>3000001278</v>
      </c>
      <c r="B154" s="3">
        <v>45734</v>
      </c>
      <c r="C154" s="50">
        <v>34218093.759999998</v>
      </c>
      <c r="D154" t="s">
        <v>626</v>
      </c>
      <c r="E154">
        <v>91002285</v>
      </c>
      <c r="F154" s="50">
        <v>34218093.759999998</v>
      </c>
      <c r="G154" s="3">
        <v>45742</v>
      </c>
      <c r="H154" t="s">
        <v>79</v>
      </c>
      <c r="I154" s="51" t="str">
        <f>IFERROR(IF(VLOOKUP(E154,extracto!C:C,1,FALSE)=E154,"pagado","no pagado"),"no pagado")</f>
        <v>pagado</v>
      </c>
      <c r="J154" s="52" t="str">
        <f t="shared" si="120"/>
        <v>pagado</v>
      </c>
      <c r="K154" s="51" t="str">
        <f t="shared" ca="1" si="121"/>
        <v>excluir</v>
      </c>
      <c r="L154" s="51" t="str">
        <f t="shared" ca="1" si="122"/>
        <v>no semana</v>
      </c>
      <c r="M154" s="51" t="str">
        <f>IFERROR(VLOOKUP(E154,'cheques a conf'!A:D,4,FALSE),"no clearing")</f>
        <v>no clearing</v>
      </c>
      <c r="N154" s="51">
        <f t="shared" si="123"/>
        <v>13</v>
      </c>
      <c r="O154" s="53">
        <f t="shared" si="124"/>
        <v>3</v>
      </c>
      <c r="P154" s="53">
        <f t="shared" si="125"/>
        <v>2025</v>
      </c>
      <c r="Q154" s="53"/>
      <c r="R154" s="53"/>
    </row>
    <row r="155" spans="1:18" customFormat="1" x14ac:dyDescent="0.25">
      <c r="A155">
        <v>3000001282</v>
      </c>
      <c r="B155" s="3">
        <v>45734</v>
      </c>
      <c r="C155" s="50">
        <v>39000675.039999999</v>
      </c>
      <c r="D155" t="s">
        <v>622</v>
      </c>
      <c r="E155">
        <v>91002290</v>
      </c>
      <c r="F155" s="50">
        <v>39000675.039999999</v>
      </c>
      <c r="G155" s="3">
        <v>45741</v>
      </c>
      <c r="H155" t="s">
        <v>79</v>
      </c>
      <c r="I155" s="51" t="str">
        <f>IFERROR(IF(VLOOKUP(E155,extracto!C:C,1,FALSE)=E155,"pagado","no pagado"),"no pagado")</f>
        <v>pagado</v>
      </c>
      <c r="J155" s="52" t="str">
        <f t="shared" si="120"/>
        <v>pagado</v>
      </c>
      <c r="K155" s="51" t="str">
        <f t="shared" ca="1" si="121"/>
        <v>excluir</v>
      </c>
      <c r="L155" s="51" t="str">
        <f t="shared" ca="1" si="122"/>
        <v>no semana</v>
      </c>
      <c r="M155" s="51" t="str">
        <f>IFERROR(VLOOKUP(E155,'cheques a conf'!A:D,4,FALSE),"no clearing")</f>
        <v>no clearing</v>
      </c>
      <c r="N155" s="51">
        <f t="shared" si="123"/>
        <v>13</v>
      </c>
      <c r="O155" s="53">
        <f t="shared" si="124"/>
        <v>3</v>
      </c>
      <c r="P155" s="53">
        <f t="shared" si="125"/>
        <v>2025</v>
      </c>
      <c r="Q155" s="53"/>
      <c r="R155" s="53"/>
    </row>
    <row r="156" spans="1:18" customFormat="1" x14ac:dyDescent="0.25">
      <c r="A156">
        <v>3000001283</v>
      </c>
      <c r="B156" s="3">
        <v>45734</v>
      </c>
      <c r="C156" s="50">
        <v>56110224.469999999</v>
      </c>
      <c r="D156" t="s">
        <v>597</v>
      </c>
      <c r="E156">
        <v>91002291</v>
      </c>
      <c r="F156" s="50">
        <v>56110224.469999999</v>
      </c>
      <c r="G156" s="3">
        <v>45741</v>
      </c>
      <c r="H156" t="s">
        <v>79</v>
      </c>
      <c r="I156" s="51" t="str">
        <f>IFERROR(IF(VLOOKUP(E156,extracto!C:C,1,FALSE)=E156,"pagado","no pagado"),"no pagado")</f>
        <v>pagado</v>
      </c>
      <c r="J156" s="52" t="str">
        <f t="shared" si="120"/>
        <v>pagado</v>
      </c>
      <c r="K156" s="51" t="str">
        <f t="shared" ca="1" si="121"/>
        <v>excluir</v>
      </c>
      <c r="L156" s="51" t="str">
        <f t="shared" ca="1" si="122"/>
        <v>no semana</v>
      </c>
      <c r="M156" s="51" t="str">
        <f>IFERROR(VLOOKUP(E156,'cheques a conf'!A:D,4,FALSE),"no clearing")</f>
        <v>no clearing</v>
      </c>
      <c r="N156" s="51">
        <f t="shared" si="123"/>
        <v>13</v>
      </c>
      <c r="O156" s="53">
        <f t="shared" si="124"/>
        <v>3</v>
      </c>
      <c r="P156" s="53">
        <f t="shared" si="125"/>
        <v>2025</v>
      </c>
      <c r="Q156" s="53"/>
      <c r="R156" s="53"/>
    </row>
    <row r="157" spans="1:18" customFormat="1" x14ac:dyDescent="0.25">
      <c r="A157">
        <v>3000001284</v>
      </c>
      <c r="B157" s="3">
        <v>45734</v>
      </c>
      <c r="C157" s="50">
        <v>21569443.960000001</v>
      </c>
      <c r="D157" t="s">
        <v>631</v>
      </c>
      <c r="E157">
        <v>91002292</v>
      </c>
      <c r="F157" s="50">
        <v>21569443.960000001</v>
      </c>
      <c r="G157" s="3">
        <v>45741</v>
      </c>
      <c r="H157" t="s">
        <v>79</v>
      </c>
      <c r="I157" s="51" t="str">
        <f>IFERROR(IF(VLOOKUP(E157,extracto!C:C,1,FALSE)=E157,"pagado","no pagado"),"no pagado")</f>
        <v>pagado</v>
      </c>
      <c r="J157" s="52" t="str">
        <f t="shared" si="120"/>
        <v>pagado</v>
      </c>
      <c r="K157" s="51" t="str">
        <f t="shared" ca="1" si="121"/>
        <v>excluir</v>
      </c>
      <c r="L157" s="51" t="str">
        <f t="shared" ca="1" si="122"/>
        <v>no semana</v>
      </c>
      <c r="M157" s="51" t="str">
        <f>IFERROR(VLOOKUP(E157,'cheques a conf'!A:D,4,FALSE),"no clearing")</f>
        <v>no clearing</v>
      </c>
      <c r="N157" s="51">
        <f t="shared" si="123"/>
        <v>13</v>
      </c>
      <c r="O157" s="53">
        <f t="shared" si="124"/>
        <v>3</v>
      </c>
      <c r="P157" s="53">
        <f t="shared" si="125"/>
        <v>2025</v>
      </c>
      <c r="Q157" s="53"/>
      <c r="R157" s="53"/>
    </row>
    <row r="158" spans="1:18" customFormat="1" x14ac:dyDescent="0.25">
      <c r="A158">
        <v>3000001261</v>
      </c>
      <c r="B158" s="3">
        <v>45733</v>
      </c>
      <c r="C158" s="50">
        <v>116986990</v>
      </c>
      <c r="D158" t="s">
        <v>25</v>
      </c>
      <c r="E158">
        <v>94326811</v>
      </c>
      <c r="F158" s="50">
        <v>116986990</v>
      </c>
      <c r="G158" s="3">
        <v>45734</v>
      </c>
      <c r="H158" t="s">
        <v>13</v>
      </c>
      <c r="I158" s="51" t="str">
        <f>IFERROR(IF(VLOOKUP(E158,extracto!C:C,1,FALSE)=E158,"pagado","no pagado"),"no pagado")</f>
        <v>pagado</v>
      </c>
      <c r="J158" s="52" t="str">
        <f t="shared" ref="J158" si="126">IF(I158="pagado","pagado",IF(G158&lt;$V$1-30,"fuera de fecha","en periodo de pago"))</f>
        <v>pagado</v>
      </c>
      <c r="K158" s="51" t="str">
        <f t="shared" ref="K158" ca="1" si="127">+IF(B158&gt;$V$1,"excluir",IF(J158="en periodo de pago",IF($V$1&gt;G158,"a pagar","proximo a vencer"),"excluir"))</f>
        <v>excluir</v>
      </c>
      <c r="L158" s="51" t="str">
        <f t="shared" ref="L158" ca="1" si="128">+IF(K158="proximo a vencer",IF($V$1+5&gt;G158,"para la semana","no semana"),"no semana")</f>
        <v>no semana</v>
      </c>
      <c r="M158" s="51" t="str">
        <f>IFERROR(VLOOKUP(E158,'cheques a conf'!A:D,4,FALSE),"no clearing")</f>
        <v>no clearing</v>
      </c>
      <c r="N158" s="51">
        <f t="shared" ref="N158" si="129">+WEEKNUM(G158,2)</f>
        <v>12</v>
      </c>
      <c r="O158" s="53">
        <f t="shared" ref="O158" si="130">+MONTH(G158)</f>
        <v>3</v>
      </c>
      <c r="P158" s="53">
        <f t="shared" ref="P158" si="131">+YEAR(G158)</f>
        <v>2025</v>
      </c>
      <c r="Q158" s="53"/>
      <c r="R158" s="53"/>
    </row>
    <row r="159" spans="1:18" customFormat="1" x14ac:dyDescent="0.25">
      <c r="A159">
        <v>3000001341</v>
      </c>
      <c r="B159" s="3">
        <v>45736</v>
      </c>
      <c r="C159" s="50">
        <v>5411260</v>
      </c>
      <c r="D159" t="s">
        <v>25</v>
      </c>
      <c r="E159">
        <v>94326812</v>
      </c>
      <c r="F159" s="50">
        <v>5411260</v>
      </c>
      <c r="G159" s="3">
        <v>45737</v>
      </c>
      <c r="H159" t="s">
        <v>13</v>
      </c>
      <c r="I159" s="51" t="str">
        <f>IFERROR(IF(VLOOKUP(E159,extracto!C:C,1,FALSE)=E159,"pagado","no pagado"),"no pagado")</f>
        <v>pagado</v>
      </c>
      <c r="J159" s="52" t="str">
        <f t="shared" ref="J159:J167" si="132">IF(I159="pagado","pagado",IF(G159&lt;$V$1-30,"fuera de fecha","en periodo de pago"))</f>
        <v>pagado</v>
      </c>
      <c r="K159" s="51" t="str">
        <f t="shared" ref="K159:K167" ca="1" si="133">+IF(B159&gt;$V$1,"excluir",IF(J159="en periodo de pago",IF($V$1&gt;G159,"a pagar","proximo a vencer"),"excluir"))</f>
        <v>excluir</v>
      </c>
      <c r="L159" s="51" t="str">
        <f t="shared" ref="L159:L167" ca="1" si="134">+IF(K159="proximo a vencer",IF($V$1+5&gt;G159,"para la semana","no semana"),"no semana")</f>
        <v>no semana</v>
      </c>
      <c r="M159" s="51" t="str">
        <f>IFERROR(VLOOKUP(E159,'cheques a conf'!A:D,4,FALSE),"no clearing")</f>
        <v>no clearing</v>
      </c>
      <c r="N159" s="51">
        <f t="shared" ref="N159:N167" si="135">+WEEKNUM(G159,2)</f>
        <v>12</v>
      </c>
      <c r="O159" s="53">
        <f t="shared" ref="O159:O167" si="136">+MONTH(G159)</f>
        <v>3</v>
      </c>
      <c r="P159" s="53">
        <f t="shared" ref="P159:P167" si="137">+YEAR(G159)</f>
        <v>2025</v>
      </c>
      <c r="Q159" s="53"/>
      <c r="R159" s="53"/>
    </row>
    <row r="160" spans="1:18" customFormat="1" x14ac:dyDescent="0.25">
      <c r="A160">
        <v>3000001341</v>
      </c>
      <c r="B160" s="3">
        <v>45737</v>
      </c>
      <c r="C160" s="50">
        <v>94737770</v>
      </c>
      <c r="D160" t="s">
        <v>25</v>
      </c>
      <c r="E160">
        <v>94326813</v>
      </c>
      <c r="F160" s="50">
        <v>94737770</v>
      </c>
      <c r="G160" s="3">
        <v>45741</v>
      </c>
      <c r="H160" t="s">
        <v>13</v>
      </c>
      <c r="I160" s="51" t="str">
        <f>IFERROR(IF(VLOOKUP(E160,extracto!C:C,1,FALSE)=E160,"pagado","no pagado"),"no pagado")</f>
        <v>pagado</v>
      </c>
      <c r="J160" s="52" t="str">
        <f t="shared" si="132"/>
        <v>pagado</v>
      </c>
      <c r="K160" s="51" t="str">
        <f t="shared" ca="1" si="133"/>
        <v>excluir</v>
      </c>
      <c r="L160" s="51" t="str">
        <f t="shared" ca="1" si="134"/>
        <v>no semana</v>
      </c>
      <c r="M160" s="51" t="str">
        <f>IFERROR(VLOOKUP(E160,'cheques a conf'!A:D,4,FALSE),"no clearing")</f>
        <v>no clearing</v>
      </c>
      <c r="N160" s="51">
        <f t="shared" si="135"/>
        <v>13</v>
      </c>
      <c r="O160" s="53">
        <f t="shared" si="136"/>
        <v>3</v>
      </c>
      <c r="P160" s="53">
        <f t="shared" si="137"/>
        <v>2025</v>
      </c>
      <c r="Q160" s="53"/>
      <c r="R160" s="53"/>
    </row>
    <row r="161" spans="1:18" customFormat="1" x14ac:dyDescent="0.25">
      <c r="A161">
        <v>3000001388</v>
      </c>
      <c r="B161" s="3">
        <v>45741</v>
      </c>
      <c r="C161" s="50">
        <v>15000000</v>
      </c>
      <c r="D161" t="s">
        <v>607</v>
      </c>
      <c r="E161">
        <v>91002294</v>
      </c>
      <c r="F161" s="50">
        <v>15000000</v>
      </c>
      <c r="G161" s="3">
        <v>45743</v>
      </c>
      <c r="H161" t="s">
        <v>79</v>
      </c>
      <c r="I161" s="51" t="str">
        <f>IFERROR(IF(VLOOKUP(E161,extracto!C:C,1,FALSE)=E161,"pagado","no pagado"),"no pagado")</f>
        <v>pagado</v>
      </c>
      <c r="J161" s="52" t="str">
        <f t="shared" si="132"/>
        <v>pagado</v>
      </c>
      <c r="K161" s="51" t="str">
        <f t="shared" ca="1" si="133"/>
        <v>excluir</v>
      </c>
      <c r="L161" s="51" t="str">
        <f t="shared" ca="1" si="134"/>
        <v>no semana</v>
      </c>
      <c r="M161" s="51" t="str">
        <f>IFERROR(VLOOKUP(E161,'cheques a conf'!A:D,4,FALSE),"no clearing")</f>
        <v>no clearing</v>
      </c>
      <c r="N161" s="51">
        <f t="shared" si="135"/>
        <v>13</v>
      </c>
      <c r="O161" s="53">
        <f t="shared" si="136"/>
        <v>3</v>
      </c>
      <c r="P161" s="53">
        <f t="shared" si="137"/>
        <v>2025</v>
      </c>
      <c r="Q161" s="53"/>
      <c r="R161" s="53"/>
    </row>
    <row r="162" spans="1:18" customFormat="1" x14ac:dyDescent="0.25">
      <c r="A162">
        <v>3000001388</v>
      </c>
      <c r="B162" s="3">
        <v>45741</v>
      </c>
      <c r="C162" s="50">
        <v>17400526.27</v>
      </c>
      <c r="D162" t="s">
        <v>607</v>
      </c>
      <c r="E162">
        <v>91002295</v>
      </c>
      <c r="F162" s="50">
        <v>17400526.27</v>
      </c>
      <c r="G162" s="3">
        <v>45744</v>
      </c>
      <c r="H162" t="s">
        <v>79</v>
      </c>
      <c r="I162" s="51" t="str">
        <f>IFERROR(IF(VLOOKUP(E162,extracto!C:C,1,FALSE)=E162,"pagado","no pagado"),"no pagado")</f>
        <v>pagado</v>
      </c>
      <c r="J162" s="52" t="str">
        <f t="shared" si="132"/>
        <v>pagado</v>
      </c>
      <c r="K162" s="51" t="str">
        <f t="shared" ca="1" si="133"/>
        <v>excluir</v>
      </c>
      <c r="L162" s="51" t="str">
        <f t="shared" ca="1" si="134"/>
        <v>no semana</v>
      </c>
      <c r="M162" s="51" t="str">
        <f>IFERROR(VLOOKUP(E162,'cheques a conf'!A:D,4,FALSE),"no clearing")</f>
        <v>no clearing</v>
      </c>
      <c r="N162" s="51">
        <f t="shared" si="135"/>
        <v>13</v>
      </c>
      <c r="O162" s="53">
        <f t="shared" si="136"/>
        <v>3</v>
      </c>
      <c r="P162" s="53">
        <f t="shared" si="137"/>
        <v>2025</v>
      </c>
      <c r="Q162" s="53"/>
      <c r="R162" s="53"/>
    </row>
    <row r="163" spans="1:18" customFormat="1" x14ac:dyDescent="0.25">
      <c r="A163">
        <v>3000001389</v>
      </c>
      <c r="B163" s="3">
        <v>45741</v>
      </c>
      <c r="C163" s="50">
        <v>15000000</v>
      </c>
      <c r="D163" t="s">
        <v>131</v>
      </c>
      <c r="E163">
        <v>91002296</v>
      </c>
      <c r="F163" s="50">
        <v>15000000</v>
      </c>
      <c r="G163" s="3">
        <v>45743</v>
      </c>
      <c r="H163" t="s">
        <v>79</v>
      </c>
      <c r="I163" s="51" t="str">
        <f>IFERROR(IF(VLOOKUP(E163,extracto!C:C,1,FALSE)=E163,"pagado","no pagado"),"no pagado")</f>
        <v>pagado</v>
      </c>
      <c r="J163" s="52" t="str">
        <f t="shared" si="132"/>
        <v>pagado</v>
      </c>
      <c r="K163" s="51" t="str">
        <f t="shared" ca="1" si="133"/>
        <v>excluir</v>
      </c>
      <c r="L163" s="51" t="str">
        <f t="shared" ca="1" si="134"/>
        <v>no semana</v>
      </c>
      <c r="M163" s="51" t="str">
        <f>IFERROR(VLOOKUP(E163,'cheques a conf'!A:D,4,FALSE),"no clearing")</f>
        <v>no clearing</v>
      </c>
      <c r="N163" s="51">
        <f t="shared" si="135"/>
        <v>13</v>
      </c>
      <c r="O163" s="53">
        <f t="shared" si="136"/>
        <v>3</v>
      </c>
      <c r="P163" s="53">
        <f t="shared" si="137"/>
        <v>2025</v>
      </c>
      <c r="Q163" s="53"/>
      <c r="R163" s="53"/>
    </row>
    <row r="164" spans="1:18" customFormat="1" x14ac:dyDescent="0.25">
      <c r="A164">
        <v>3000001389</v>
      </c>
      <c r="B164" s="3">
        <v>45741</v>
      </c>
      <c r="C164" s="50">
        <v>16657718.85</v>
      </c>
      <c r="D164" t="s">
        <v>131</v>
      </c>
      <c r="E164">
        <v>91002297</v>
      </c>
      <c r="F164" s="50">
        <v>16657718.85</v>
      </c>
      <c r="G164" s="3">
        <v>45744</v>
      </c>
      <c r="H164" t="s">
        <v>79</v>
      </c>
      <c r="I164" s="51" t="str">
        <f>IFERROR(IF(VLOOKUP(E164,extracto!C:C,1,FALSE)=E164,"pagado","no pagado"),"no pagado")</f>
        <v>pagado</v>
      </c>
      <c r="J164" s="52" t="str">
        <f t="shared" si="132"/>
        <v>pagado</v>
      </c>
      <c r="K164" s="51" t="str">
        <f t="shared" ca="1" si="133"/>
        <v>excluir</v>
      </c>
      <c r="L164" s="51" t="str">
        <f t="shared" ca="1" si="134"/>
        <v>no semana</v>
      </c>
      <c r="M164" s="51" t="str">
        <f>IFERROR(VLOOKUP(E164,'cheques a conf'!A:D,4,FALSE),"no clearing")</f>
        <v>no clearing</v>
      </c>
      <c r="N164" s="51">
        <f t="shared" si="135"/>
        <v>13</v>
      </c>
      <c r="O164" s="53">
        <f t="shared" si="136"/>
        <v>3</v>
      </c>
      <c r="P164" s="53">
        <f t="shared" si="137"/>
        <v>2025</v>
      </c>
      <c r="Q164" s="53"/>
      <c r="R164" s="53"/>
    </row>
    <row r="165" spans="1:18" customFormat="1" x14ac:dyDescent="0.25">
      <c r="A165">
        <v>3000001390</v>
      </c>
      <c r="B165" s="3">
        <v>45741</v>
      </c>
      <c r="C165" s="50">
        <v>23000000</v>
      </c>
      <c r="D165" t="s">
        <v>622</v>
      </c>
      <c r="E165">
        <v>91002298</v>
      </c>
      <c r="F165" s="50">
        <v>23000000</v>
      </c>
      <c r="G165" s="3">
        <v>45743</v>
      </c>
      <c r="H165" t="s">
        <v>79</v>
      </c>
      <c r="I165" s="51" t="str">
        <f>IFERROR(IF(VLOOKUP(E165,extracto!C:C,1,FALSE)=E165,"pagado","no pagado"),"no pagado")</f>
        <v>pagado</v>
      </c>
      <c r="J165" s="52" t="str">
        <f t="shared" si="132"/>
        <v>pagado</v>
      </c>
      <c r="K165" s="51" t="str">
        <f t="shared" ca="1" si="133"/>
        <v>excluir</v>
      </c>
      <c r="L165" s="51" t="str">
        <f t="shared" ca="1" si="134"/>
        <v>no semana</v>
      </c>
      <c r="M165" s="51" t="str">
        <f>IFERROR(VLOOKUP(E165,'cheques a conf'!A:D,4,FALSE),"no clearing")</f>
        <v>no clearing</v>
      </c>
      <c r="N165" s="51">
        <f t="shared" si="135"/>
        <v>13</v>
      </c>
      <c r="O165" s="53">
        <f t="shared" si="136"/>
        <v>3</v>
      </c>
      <c r="P165" s="53">
        <f t="shared" si="137"/>
        <v>2025</v>
      </c>
      <c r="Q165" s="53"/>
      <c r="R165" s="53"/>
    </row>
    <row r="166" spans="1:18" customFormat="1" x14ac:dyDescent="0.25">
      <c r="A166">
        <v>3000001390</v>
      </c>
      <c r="B166" s="3">
        <v>45741</v>
      </c>
      <c r="C166" s="50">
        <v>22005290.809999999</v>
      </c>
      <c r="D166" t="s">
        <v>622</v>
      </c>
      <c r="E166">
        <v>91002299</v>
      </c>
      <c r="F166" s="50">
        <v>22005290.809999999</v>
      </c>
      <c r="G166" s="3">
        <v>45744</v>
      </c>
      <c r="H166" t="s">
        <v>79</v>
      </c>
      <c r="I166" s="51" t="str">
        <f>IFERROR(IF(VLOOKUP(E166,extracto!C:C,1,FALSE)=E166,"pagado","no pagado"),"no pagado")</f>
        <v>pagado</v>
      </c>
      <c r="J166" s="52" t="str">
        <f t="shared" si="132"/>
        <v>pagado</v>
      </c>
      <c r="K166" s="51" t="str">
        <f t="shared" ca="1" si="133"/>
        <v>excluir</v>
      </c>
      <c r="L166" s="51" t="str">
        <f t="shared" ca="1" si="134"/>
        <v>no semana</v>
      </c>
      <c r="M166" s="51" t="str">
        <f>IFERROR(VLOOKUP(E166,'cheques a conf'!A:D,4,FALSE),"no clearing")</f>
        <v>no clearing</v>
      </c>
      <c r="N166" s="51">
        <f t="shared" si="135"/>
        <v>13</v>
      </c>
      <c r="O166" s="53">
        <f t="shared" si="136"/>
        <v>3</v>
      </c>
      <c r="P166" s="53">
        <f t="shared" si="137"/>
        <v>2025</v>
      </c>
      <c r="Q166" s="53"/>
      <c r="R166" s="53"/>
    </row>
    <row r="167" spans="1:18" customFormat="1" x14ac:dyDescent="0.25">
      <c r="A167">
        <v>3000001399</v>
      </c>
      <c r="B167" s="3">
        <v>45741</v>
      </c>
      <c r="C167" s="50">
        <v>10000000</v>
      </c>
      <c r="D167" t="s">
        <v>592</v>
      </c>
      <c r="E167">
        <v>91002308</v>
      </c>
      <c r="F167" s="50">
        <v>10000000</v>
      </c>
      <c r="G167" s="3">
        <v>45743</v>
      </c>
      <c r="H167" t="s">
        <v>79</v>
      </c>
      <c r="I167" s="51" t="str">
        <f>IFERROR(IF(VLOOKUP(E167,extracto!C:C,1,FALSE)=E167,"pagado","no pagado"),"no pagado")</f>
        <v>pagado</v>
      </c>
      <c r="J167" s="52" t="str">
        <f t="shared" si="132"/>
        <v>pagado</v>
      </c>
      <c r="K167" s="51" t="str">
        <f t="shared" ca="1" si="133"/>
        <v>excluir</v>
      </c>
      <c r="L167" s="51" t="str">
        <f t="shared" ca="1" si="134"/>
        <v>no semana</v>
      </c>
      <c r="M167" s="51" t="str">
        <f>IFERROR(VLOOKUP(E167,'cheques a conf'!A:D,4,FALSE),"no clearing")</f>
        <v>no clearing</v>
      </c>
      <c r="N167" s="51">
        <f t="shared" si="135"/>
        <v>13</v>
      </c>
      <c r="O167" s="53">
        <f t="shared" si="136"/>
        <v>3</v>
      </c>
      <c r="P167" s="53">
        <f t="shared" si="137"/>
        <v>2025</v>
      </c>
      <c r="Q167" s="53"/>
      <c r="R167" s="53"/>
    </row>
    <row r="168" spans="1:18" customFormat="1" x14ac:dyDescent="0.25">
      <c r="A168">
        <v>3000001399</v>
      </c>
      <c r="B168" s="3">
        <v>45741</v>
      </c>
      <c r="C168" s="50">
        <v>11222167.92</v>
      </c>
      <c r="D168" t="s">
        <v>592</v>
      </c>
      <c r="E168">
        <v>91002309</v>
      </c>
      <c r="F168" s="50">
        <v>11222167.92</v>
      </c>
      <c r="G168" s="3">
        <v>45744</v>
      </c>
      <c r="H168" t="s">
        <v>79</v>
      </c>
      <c r="I168" s="51" t="str">
        <f>IFERROR(IF(VLOOKUP(E168,extracto!C:C,1,FALSE)=E168,"pagado","no pagado"),"no pagado")</f>
        <v>pagado</v>
      </c>
      <c r="J168" s="52" t="str">
        <f t="shared" ref="J168:J181" si="138">IF(I168="pagado","pagado",IF(G168&lt;$V$1-30,"fuera de fecha","en periodo de pago"))</f>
        <v>pagado</v>
      </c>
      <c r="K168" s="51" t="str">
        <f t="shared" ref="K168:K181" ca="1" si="139">+IF(B168&gt;$V$1,"excluir",IF(J168="en periodo de pago",IF($V$1&gt;G168,"a pagar","proximo a vencer"),"excluir"))</f>
        <v>excluir</v>
      </c>
      <c r="L168" s="51" t="str">
        <f t="shared" ref="L168:L181" ca="1" si="140">+IF(K168="proximo a vencer",IF($V$1+5&gt;G168,"para la semana","no semana"),"no semana")</f>
        <v>no semana</v>
      </c>
      <c r="M168" s="51" t="str">
        <f>IFERROR(VLOOKUP(E168,'cheques a conf'!A:D,4,FALSE),"no clearing")</f>
        <v>no clearing</v>
      </c>
      <c r="N168" s="51">
        <f t="shared" ref="N168:N181" si="141">+WEEKNUM(G168,2)</f>
        <v>13</v>
      </c>
      <c r="O168" s="53">
        <f t="shared" ref="O168:O181" si="142">+MONTH(G168)</f>
        <v>3</v>
      </c>
      <c r="P168" s="53">
        <f t="shared" ref="P168:P181" si="143">+YEAR(G168)</f>
        <v>2025</v>
      </c>
      <c r="Q168" s="53"/>
      <c r="R168" s="53"/>
    </row>
    <row r="169" spans="1:18" customFormat="1" x14ac:dyDescent="0.25">
      <c r="A169">
        <v>3000001387</v>
      </c>
      <c r="B169" s="3">
        <v>45741</v>
      </c>
      <c r="C169" s="50">
        <v>14944109.720000001</v>
      </c>
      <c r="D169" t="s">
        <v>632</v>
      </c>
      <c r="E169">
        <v>91002293</v>
      </c>
      <c r="F169" s="50">
        <v>14944109.720000001</v>
      </c>
      <c r="G169" s="3">
        <v>45743</v>
      </c>
      <c r="H169" t="s">
        <v>79</v>
      </c>
      <c r="I169" s="51" t="str">
        <f>IFERROR(IF(VLOOKUP(E169,extracto!C:C,1,FALSE)=E169,"pagado","no pagado"),"no pagado")</f>
        <v>pagado</v>
      </c>
      <c r="J169" s="52" t="str">
        <f t="shared" si="138"/>
        <v>pagado</v>
      </c>
      <c r="K169" s="51" t="str">
        <f t="shared" ca="1" si="139"/>
        <v>excluir</v>
      </c>
      <c r="L169" s="51" t="str">
        <f t="shared" ca="1" si="140"/>
        <v>no semana</v>
      </c>
      <c r="M169" s="51" t="str">
        <f>IFERROR(VLOOKUP(E169,'cheques a conf'!A:D,4,FALSE),"no clearing")</f>
        <v>no clearing</v>
      </c>
      <c r="N169" s="51">
        <f t="shared" si="141"/>
        <v>13</v>
      </c>
      <c r="O169" s="53">
        <f t="shared" si="142"/>
        <v>3</v>
      </c>
      <c r="P169" s="53">
        <f t="shared" si="143"/>
        <v>2025</v>
      </c>
      <c r="Q169" s="53"/>
      <c r="R169" s="53"/>
    </row>
    <row r="170" spans="1:18" customFormat="1" x14ac:dyDescent="0.25">
      <c r="A170">
        <v>3000001391</v>
      </c>
      <c r="B170" s="3">
        <v>45741</v>
      </c>
      <c r="C170" s="50">
        <v>5568020.6299999999</v>
      </c>
      <c r="D170" t="s">
        <v>626</v>
      </c>
      <c r="E170">
        <v>91002300</v>
      </c>
      <c r="F170" s="50">
        <v>5568020.6299999999</v>
      </c>
      <c r="G170" s="3">
        <v>45743</v>
      </c>
      <c r="H170" t="s">
        <v>79</v>
      </c>
      <c r="I170" s="51" t="str">
        <f>IFERROR(IF(VLOOKUP(E170,extracto!C:C,1,FALSE)=E170,"pagado","no pagado"),"no pagado")</f>
        <v>pagado</v>
      </c>
      <c r="J170" s="52" t="str">
        <f t="shared" si="138"/>
        <v>pagado</v>
      </c>
      <c r="K170" s="51" t="str">
        <f t="shared" ca="1" si="139"/>
        <v>excluir</v>
      </c>
      <c r="L170" s="51" t="str">
        <f t="shared" ca="1" si="140"/>
        <v>no semana</v>
      </c>
      <c r="M170" s="51" t="str">
        <f>IFERROR(VLOOKUP(E170,'cheques a conf'!A:D,4,FALSE),"no clearing")</f>
        <v>no clearing</v>
      </c>
      <c r="N170" s="51">
        <f t="shared" si="141"/>
        <v>13</v>
      </c>
      <c r="O170" s="53">
        <f t="shared" si="142"/>
        <v>3</v>
      </c>
      <c r="P170" s="53">
        <f t="shared" si="143"/>
        <v>2025</v>
      </c>
      <c r="Q170" s="53"/>
      <c r="R170" s="53"/>
    </row>
    <row r="171" spans="1:18" customFormat="1" x14ac:dyDescent="0.25">
      <c r="A171">
        <v>3000001392</v>
      </c>
      <c r="B171" s="3">
        <v>45741</v>
      </c>
      <c r="C171" s="50">
        <v>2263591.1</v>
      </c>
      <c r="D171" t="s">
        <v>595</v>
      </c>
      <c r="E171">
        <v>91002301</v>
      </c>
      <c r="F171" s="50">
        <v>2263591.1</v>
      </c>
      <c r="G171" s="3">
        <v>45743</v>
      </c>
      <c r="H171" t="s">
        <v>79</v>
      </c>
      <c r="I171" s="51" t="str">
        <f>IFERROR(IF(VLOOKUP(E171,extracto!C:C,1,FALSE)=E171,"pagado","no pagado"),"no pagado")</f>
        <v>pagado</v>
      </c>
      <c r="J171" s="52" t="str">
        <f t="shared" si="138"/>
        <v>pagado</v>
      </c>
      <c r="K171" s="51" t="str">
        <f t="shared" ca="1" si="139"/>
        <v>excluir</v>
      </c>
      <c r="L171" s="51" t="str">
        <f t="shared" ca="1" si="140"/>
        <v>no semana</v>
      </c>
      <c r="M171" s="51" t="str">
        <f>IFERROR(VLOOKUP(E171,'cheques a conf'!A:D,4,FALSE),"no clearing")</f>
        <v>no clearing</v>
      </c>
      <c r="N171" s="51">
        <f t="shared" si="141"/>
        <v>13</v>
      </c>
      <c r="O171" s="53">
        <f t="shared" si="142"/>
        <v>3</v>
      </c>
      <c r="P171" s="53">
        <f t="shared" si="143"/>
        <v>2025</v>
      </c>
      <c r="Q171" s="53"/>
      <c r="R171" s="53"/>
    </row>
    <row r="172" spans="1:18" customFormat="1" x14ac:dyDescent="0.25">
      <c r="A172">
        <v>3000001393</v>
      </c>
      <c r="B172" s="3">
        <v>45741</v>
      </c>
      <c r="C172" s="50">
        <v>6752691.5999999996</v>
      </c>
      <c r="D172" t="s">
        <v>610</v>
      </c>
      <c r="E172">
        <v>91002302</v>
      </c>
      <c r="F172" s="50">
        <v>6752691.5999999996</v>
      </c>
      <c r="G172" s="3">
        <v>45743</v>
      </c>
      <c r="H172" t="s">
        <v>79</v>
      </c>
      <c r="I172" s="51" t="str">
        <f>IFERROR(IF(VLOOKUP(E172,extracto!C:C,1,FALSE)=E172,"pagado","no pagado"),"no pagado")</f>
        <v>pagado</v>
      </c>
      <c r="J172" s="52" t="str">
        <f t="shared" si="138"/>
        <v>pagado</v>
      </c>
      <c r="K172" s="51" t="str">
        <f t="shared" ca="1" si="139"/>
        <v>excluir</v>
      </c>
      <c r="L172" s="51" t="str">
        <f t="shared" ca="1" si="140"/>
        <v>no semana</v>
      </c>
      <c r="M172" s="51" t="str">
        <f>IFERROR(VLOOKUP(E172,'cheques a conf'!A:D,4,FALSE),"no clearing")</f>
        <v>no clearing</v>
      </c>
      <c r="N172" s="51">
        <f t="shared" si="141"/>
        <v>13</v>
      </c>
      <c r="O172" s="53">
        <f t="shared" si="142"/>
        <v>3</v>
      </c>
      <c r="P172" s="53">
        <f t="shared" si="143"/>
        <v>2025</v>
      </c>
      <c r="Q172" s="53"/>
      <c r="R172" s="53"/>
    </row>
    <row r="173" spans="1:18" customFormat="1" x14ac:dyDescent="0.25">
      <c r="A173">
        <v>3000001394</v>
      </c>
      <c r="B173" s="3">
        <v>45741</v>
      </c>
      <c r="C173" s="50">
        <v>5423997.9699999997</v>
      </c>
      <c r="D173" t="s">
        <v>633</v>
      </c>
      <c r="E173">
        <v>91002303</v>
      </c>
      <c r="F173" s="50">
        <v>5423997.9699999997</v>
      </c>
      <c r="G173" s="3">
        <v>45743</v>
      </c>
      <c r="H173" t="s">
        <v>79</v>
      </c>
      <c r="I173" s="51" t="str">
        <f>IFERROR(IF(VLOOKUP(E173,extracto!C:C,1,FALSE)=E173,"pagado","no pagado"),"no pagado")</f>
        <v>pagado</v>
      </c>
      <c r="J173" s="52" t="str">
        <f t="shared" si="138"/>
        <v>pagado</v>
      </c>
      <c r="K173" s="51" t="str">
        <f t="shared" ca="1" si="139"/>
        <v>excluir</v>
      </c>
      <c r="L173" s="51" t="str">
        <f t="shared" ca="1" si="140"/>
        <v>no semana</v>
      </c>
      <c r="M173" s="51" t="str">
        <f>IFERROR(VLOOKUP(E173,'cheques a conf'!A:D,4,FALSE),"no clearing")</f>
        <v>no clearing</v>
      </c>
      <c r="N173" s="51">
        <f t="shared" si="141"/>
        <v>13</v>
      </c>
      <c r="O173" s="53">
        <f t="shared" si="142"/>
        <v>3</v>
      </c>
      <c r="P173" s="53">
        <f t="shared" si="143"/>
        <v>2025</v>
      </c>
      <c r="Q173" s="53"/>
      <c r="R173" s="53"/>
    </row>
    <row r="174" spans="1:18" customFormat="1" x14ac:dyDescent="0.25">
      <c r="A174">
        <v>3000001395</v>
      </c>
      <c r="B174" s="3">
        <v>45741</v>
      </c>
      <c r="C174" s="50">
        <v>9994718.9800000004</v>
      </c>
      <c r="D174" t="s">
        <v>68</v>
      </c>
      <c r="E174">
        <v>91002304</v>
      </c>
      <c r="F174" s="50">
        <v>9994718.9800000004</v>
      </c>
      <c r="G174" s="3">
        <v>45743</v>
      </c>
      <c r="H174" t="s">
        <v>79</v>
      </c>
      <c r="I174" s="51" t="str">
        <f>IFERROR(IF(VLOOKUP(E174,extracto!C:C,1,FALSE)=E174,"pagado","no pagado"),"no pagado")</f>
        <v>pagado</v>
      </c>
      <c r="J174" s="52" t="str">
        <f t="shared" si="138"/>
        <v>pagado</v>
      </c>
      <c r="K174" s="51" t="str">
        <f t="shared" ca="1" si="139"/>
        <v>excluir</v>
      </c>
      <c r="L174" s="51" t="str">
        <f t="shared" ca="1" si="140"/>
        <v>no semana</v>
      </c>
      <c r="M174" s="51" t="str">
        <f>IFERROR(VLOOKUP(E174,'cheques a conf'!A:D,4,FALSE),"no clearing")</f>
        <v>no clearing</v>
      </c>
      <c r="N174" s="51">
        <f t="shared" si="141"/>
        <v>13</v>
      </c>
      <c r="O174" s="53">
        <f t="shared" si="142"/>
        <v>3</v>
      </c>
      <c r="P174" s="53">
        <f t="shared" si="143"/>
        <v>2025</v>
      </c>
      <c r="Q174" s="53"/>
      <c r="R174" s="53"/>
    </row>
    <row r="175" spans="1:18" customFormat="1" x14ac:dyDescent="0.25">
      <c r="A175">
        <v>3000001396</v>
      </c>
      <c r="B175" s="3">
        <v>45741</v>
      </c>
      <c r="C175" s="50">
        <v>3615552.18</v>
      </c>
      <c r="D175" t="s">
        <v>634</v>
      </c>
      <c r="E175">
        <v>91002305</v>
      </c>
      <c r="F175" s="50">
        <v>3615552.18</v>
      </c>
      <c r="G175" s="3">
        <v>45743</v>
      </c>
      <c r="H175" t="s">
        <v>79</v>
      </c>
      <c r="I175" s="51" t="str">
        <f>IFERROR(IF(VLOOKUP(E175,extracto!C:C,1,FALSE)=E175,"pagado","no pagado"),"no pagado")</f>
        <v>pagado</v>
      </c>
      <c r="J175" s="52" t="str">
        <f t="shared" si="138"/>
        <v>pagado</v>
      </c>
      <c r="K175" s="51" t="str">
        <f t="shared" ca="1" si="139"/>
        <v>excluir</v>
      </c>
      <c r="L175" s="51" t="str">
        <f t="shared" ca="1" si="140"/>
        <v>no semana</v>
      </c>
      <c r="M175" s="51" t="str">
        <f>IFERROR(VLOOKUP(E175,'cheques a conf'!A:D,4,FALSE),"no clearing")</f>
        <v>no clearing</v>
      </c>
      <c r="N175" s="51">
        <f t="shared" si="141"/>
        <v>13</v>
      </c>
      <c r="O175" s="53">
        <f t="shared" si="142"/>
        <v>3</v>
      </c>
      <c r="P175" s="53">
        <f t="shared" si="143"/>
        <v>2025</v>
      </c>
      <c r="Q175" s="53"/>
      <c r="R175" s="53"/>
    </row>
    <row r="176" spans="1:18" customFormat="1" x14ac:dyDescent="0.25">
      <c r="A176">
        <v>3000001397</v>
      </c>
      <c r="B176" s="3">
        <v>45741</v>
      </c>
      <c r="C176" s="50">
        <v>5901818.9199999999</v>
      </c>
      <c r="D176" t="s">
        <v>604</v>
      </c>
      <c r="E176">
        <v>91002306</v>
      </c>
      <c r="F176" s="50">
        <v>5901818.9199999999</v>
      </c>
      <c r="G176" s="3">
        <v>45743</v>
      </c>
      <c r="H176" t="s">
        <v>79</v>
      </c>
      <c r="I176" s="51" t="str">
        <f>IFERROR(IF(VLOOKUP(E176,extracto!C:C,1,FALSE)=E176,"pagado","no pagado"),"no pagado")</f>
        <v>pagado</v>
      </c>
      <c r="J176" s="52" t="str">
        <f t="shared" si="138"/>
        <v>pagado</v>
      </c>
      <c r="K176" s="51" t="str">
        <f t="shared" ca="1" si="139"/>
        <v>excluir</v>
      </c>
      <c r="L176" s="51" t="str">
        <f t="shared" ca="1" si="140"/>
        <v>no semana</v>
      </c>
      <c r="M176" s="51" t="str">
        <f>IFERROR(VLOOKUP(E176,'cheques a conf'!A:D,4,FALSE),"no clearing")</f>
        <v>no clearing</v>
      </c>
      <c r="N176" s="51">
        <f t="shared" si="141"/>
        <v>13</v>
      </c>
      <c r="O176" s="53">
        <f t="shared" si="142"/>
        <v>3</v>
      </c>
      <c r="P176" s="53">
        <f t="shared" si="143"/>
        <v>2025</v>
      </c>
      <c r="Q176" s="53"/>
      <c r="R176" s="53"/>
    </row>
    <row r="177" spans="1:18" customFormat="1" x14ac:dyDescent="0.25">
      <c r="A177">
        <v>3000001398</v>
      </c>
      <c r="B177" s="3">
        <v>45741</v>
      </c>
      <c r="C177" s="50">
        <v>3565296</v>
      </c>
      <c r="D177" t="s">
        <v>616</v>
      </c>
      <c r="E177">
        <v>91002307</v>
      </c>
      <c r="F177" s="50">
        <v>3565296</v>
      </c>
      <c r="G177" s="3">
        <v>45743</v>
      </c>
      <c r="H177" t="s">
        <v>79</v>
      </c>
      <c r="I177" s="51" t="str">
        <f>IFERROR(IF(VLOOKUP(E177,extracto!C:C,1,FALSE)=E177,"pagado","no pagado"),"no pagado")</f>
        <v>pagado</v>
      </c>
      <c r="J177" s="52" t="str">
        <f t="shared" si="138"/>
        <v>pagado</v>
      </c>
      <c r="K177" s="51" t="str">
        <f t="shared" ca="1" si="139"/>
        <v>excluir</v>
      </c>
      <c r="L177" s="51" t="str">
        <f t="shared" ca="1" si="140"/>
        <v>no semana</v>
      </c>
      <c r="M177" s="51" t="str">
        <f>IFERROR(VLOOKUP(E177,'cheques a conf'!A:D,4,FALSE),"no clearing")</f>
        <v>no clearing</v>
      </c>
      <c r="N177" s="51">
        <f t="shared" si="141"/>
        <v>13</v>
      </c>
      <c r="O177" s="53">
        <f t="shared" si="142"/>
        <v>3</v>
      </c>
      <c r="P177" s="53">
        <f t="shared" si="143"/>
        <v>2025</v>
      </c>
      <c r="Q177" s="53"/>
      <c r="R177" s="53"/>
    </row>
    <row r="178" spans="1:18" customFormat="1" x14ac:dyDescent="0.25">
      <c r="A178">
        <v>3000001400</v>
      </c>
      <c r="B178" s="3">
        <v>45741</v>
      </c>
      <c r="C178" s="50">
        <v>9183173.0800000001</v>
      </c>
      <c r="D178" t="s">
        <v>593</v>
      </c>
      <c r="E178">
        <v>91002310</v>
      </c>
      <c r="F178" s="50">
        <v>9183173.0800000001</v>
      </c>
      <c r="G178" s="3">
        <v>45743</v>
      </c>
      <c r="H178" t="s">
        <v>79</v>
      </c>
      <c r="I178" s="51" t="str">
        <f>IFERROR(IF(VLOOKUP(E178,extracto!C:C,1,FALSE)=E178,"pagado","no pagado"),"no pagado")</f>
        <v>pagado</v>
      </c>
      <c r="J178" s="52" t="str">
        <f t="shared" si="138"/>
        <v>pagado</v>
      </c>
      <c r="K178" s="51" t="str">
        <f t="shared" ca="1" si="139"/>
        <v>excluir</v>
      </c>
      <c r="L178" s="51" t="str">
        <f t="shared" ca="1" si="140"/>
        <v>no semana</v>
      </c>
      <c r="M178" s="51" t="str">
        <f>IFERROR(VLOOKUP(E178,'cheques a conf'!A:D,4,FALSE),"no clearing")</f>
        <v>no clearing</v>
      </c>
      <c r="N178" s="51">
        <f t="shared" si="141"/>
        <v>13</v>
      </c>
      <c r="O178" s="53">
        <f t="shared" si="142"/>
        <v>3</v>
      </c>
      <c r="P178" s="53">
        <f t="shared" si="143"/>
        <v>2025</v>
      </c>
      <c r="Q178" s="53"/>
      <c r="R178" s="53"/>
    </row>
    <row r="179" spans="1:18" customFormat="1" x14ac:dyDescent="0.25">
      <c r="A179">
        <v>3000001401</v>
      </c>
      <c r="B179" s="3">
        <v>45741</v>
      </c>
      <c r="C179" s="50">
        <v>5393304</v>
      </c>
      <c r="D179" t="s">
        <v>619</v>
      </c>
      <c r="E179">
        <v>91002311</v>
      </c>
      <c r="F179" s="50">
        <v>5393304</v>
      </c>
      <c r="G179" s="3">
        <v>45743</v>
      </c>
      <c r="H179" t="s">
        <v>79</v>
      </c>
      <c r="I179" s="51" t="str">
        <f>IFERROR(IF(VLOOKUP(E179,extracto!C:C,1,FALSE)=E179,"pagado","no pagado"),"no pagado")</f>
        <v>pagado</v>
      </c>
      <c r="J179" s="52" t="str">
        <f t="shared" si="138"/>
        <v>pagado</v>
      </c>
      <c r="K179" s="51" t="str">
        <f t="shared" ca="1" si="139"/>
        <v>excluir</v>
      </c>
      <c r="L179" s="51" t="str">
        <f t="shared" ca="1" si="140"/>
        <v>no semana</v>
      </c>
      <c r="M179" s="51" t="str">
        <f>IFERROR(VLOOKUP(E179,'cheques a conf'!A:D,4,FALSE),"no clearing")</f>
        <v>no clearing</v>
      </c>
      <c r="N179" s="51">
        <f t="shared" si="141"/>
        <v>13</v>
      </c>
      <c r="O179" s="53">
        <f t="shared" si="142"/>
        <v>3</v>
      </c>
      <c r="P179" s="53">
        <f t="shared" si="143"/>
        <v>2025</v>
      </c>
      <c r="Q179" s="53"/>
      <c r="R179" s="53"/>
    </row>
    <row r="180" spans="1:18" customFormat="1" x14ac:dyDescent="0.25">
      <c r="A180">
        <v>3000001402</v>
      </c>
      <c r="B180" s="3">
        <v>45741</v>
      </c>
      <c r="C180" s="50">
        <v>15528177.1</v>
      </c>
      <c r="D180" t="s">
        <v>613</v>
      </c>
      <c r="E180">
        <v>91002312</v>
      </c>
      <c r="F180" s="50">
        <v>15528177.1</v>
      </c>
      <c r="G180" s="3">
        <v>45743</v>
      </c>
      <c r="H180" t="s">
        <v>79</v>
      </c>
      <c r="I180" s="51" t="str">
        <f>IFERROR(IF(VLOOKUP(E180,extracto!C:C,1,FALSE)=E180,"pagado","no pagado"),"no pagado")</f>
        <v>pagado</v>
      </c>
      <c r="J180" s="52" t="str">
        <f t="shared" si="138"/>
        <v>pagado</v>
      </c>
      <c r="K180" s="51" t="str">
        <f t="shared" ca="1" si="139"/>
        <v>excluir</v>
      </c>
      <c r="L180" s="51" t="str">
        <f t="shared" ca="1" si="140"/>
        <v>no semana</v>
      </c>
      <c r="M180" s="51" t="str">
        <f>IFERROR(VLOOKUP(E180,'cheques a conf'!A:D,4,FALSE),"no clearing")</f>
        <v>no clearing</v>
      </c>
      <c r="N180" s="51">
        <f t="shared" si="141"/>
        <v>13</v>
      </c>
      <c r="O180" s="53">
        <f t="shared" si="142"/>
        <v>3</v>
      </c>
      <c r="P180" s="53">
        <f t="shared" si="143"/>
        <v>2025</v>
      </c>
      <c r="Q180" s="53"/>
      <c r="R180" s="53"/>
    </row>
    <row r="181" spans="1:18" customFormat="1" x14ac:dyDescent="0.25">
      <c r="A181">
        <v>3000001403</v>
      </c>
      <c r="B181" s="3">
        <v>45741</v>
      </c>
      <c r="C181" s="50">
        <v>3588227.54</v>
      </c>
      <c r="D181" t="s">
        <v>612</v>
      </c>
      <c r="E181">
        <v>91002313</v>
      </c>
      <c r="F181" s="50">
        <v>3588227.54</v>
      </c>
      <c r="G181" s="3">
        <v>45743</v>
      </c>
      <c r="H181" t="s">
        <v>79</v>
      </c>
      <c r="I181" s="51" t="str">
        <f>IFERROR(IF(VLOOKUP(E181,extracto!C:C,1,FALSE)=E181,"pagado","no pagado"),"no pagado")</f>
        <v>pagado</v>
      </c>
      <c r="J181" s="52" t="str">
        <f t="shared" si="138"/>
        <v>pagado</v>
      </c>
      <c r="K181" s="51" t="str">
        <f t="shared" ca="1" si="139"/>
        <v>excluir</v>
      </c>
      <c r="L181" s="51" t="str">
        <f t="shared" ca="1" si="140"/>
        <v>no semana</v>
      </c>
      <c r="M181" s="51" t="str">
        <f>IFERROR(VLOOKUP(E181,'cheques a conf'!A:D,4,FALSE),"no clearing")</f>
        <v>no clearing</v>
      </c>
      <c r="N181" s="51">
        <f t="shared" si="141"/>
        <v>13</v>
      </c>
      <c r="O181" s="53">
        <f t="shared" si="142"/>
        <v>3</v>
      </c>
      <c r="P181" s="53">
        <f t="shared" si="143"/>
        <v>2025</v>
      </c>
      <c r="Q181" s="53"/>
      <c r="R181" s="53"/>
    </row>
    <row r="182" spans="1:18" customFormat="1" x14ac:dyDescent="0.25">
      <c r="A182">
        <v>3000001472</v>
      </c>
      <c r="B182" s="3">
        <v>45743</v>
      </c>
      <c r="C182" s="50">
        <v>484544.99</v>
      </c>
      <c r="D182" t="s">
        <v>594</v>
      </c>
      <c r="E182">
        <v>94326814</v>
      </c>
      <c r="F182" s="50">
        <v>484544.99</v>
      </c>
      <c r="G182" s="3">
        <v>45741</v>
      </c>
      <c r="H182" t="s">
        <v>13</v>
      </c>
      <c r="I182" s="51" t="str">
        <f>IFERROR(IF(VLOOKUP(E182,extracto!C:C,1,FALSE)=E182,"pagado","no pagado"),"no pagado")</f>
        <v>pagado</v>
      </c>
      <c r="J182" s="52" t="str">
        <f t="shared" ref="J182:J190" si="144">IF(I182="pagado","pagado",IF(G182&lt;$V$1-30,"fuera de fecha","en periodo de pago"))</f>
        <v>pagado</v>
      </c>
      <c r="K182" s="51" t="str">
        <f t="shared" ref="K182:K190" ca="1" si="145">+IF(B182&gt;$V$1,"excluir",IF(J182="en periodo de pago",IF($V$1&gt;G182,"a pagar","proximo a vencer"),"excluir"))</f>
        <v>excluir</v>
      </c>
      <c r="L182" s="51" t="str">
        <f t="shared" ref="L182:L190" ca="1" si="146">+IF(K182="proximo a vencer",IF($V$1+5&gt;G182,"para la semana","no semana"),"no semana")</f>
        <v>no semana</v>
      </c>
      <c r="M182" s="51" t="str">
        <f>IFERROR(VLOOKUP(E182,'cheques a conf'!A:D,4,FALSE),"no clearing")</f>
        <v>no clearing</v>
      </c>
      <c r="N182" s="51">
        <f t="shared" ref="N182:N190" si="147">+WEEKNUM(G182,2)</f>
        <v>13</v>
      </c>
      <c r="O182" s="53">
        <f t="shared" ref="O182:O190" si="148">+MONTH(G182)</f>
        <v>3</v>
      </c>
      <c r="P182" s="53">
        <f t="shared" ref="P182:P190" si="149">+YEAR(G182)</f>
        <v>2025</v>
      </c>
      <c r="Q182" s="53"/>
      <c r="R182" s="53"/>
    </row>
    <row r="183" spans="1:18" customFormat="1" x14ac:dyDescent="0.25">
      <c r="A183" s="21">
        <v>3000001507</v>
      </c>
      <c r="B183" s="22">
        <v>45747</v>
      </c>
      <c r="C183" s="54">
        <v>3000860.08</v>
      </c>
      <c r="D183" s="21" t="s">
        <v>635</v>
      </c>
      <c r="E183" s="21">
        <v>91002314</v>
      </c>
      <c r="F183" s="54">
        <v>3000860.08</v>
      </c>
      <c r="G183" s="22">
        <v>45750</v>
      </c>
      <c r="H183" t="s">
        <v>79</v>
      </c>
      <c r="I183" s="51" t="str">
        <f>IFERROR(IF(VLOOKUP(E183,extracto!C:C,1,FALSE)=E183,"pagado","no pagado"),"no pagado")</f>
        <v>pagado</v>
      </c>
      <c r="J183" s="52" t="str">
        <f t="shared" si="144"/>
        <v>pagado</v>
      </c>
      <c r="K183" s="51" t="str">
        <f t="shared" ca="1" si="145"/>
        <v>excluir</v>
      </c>
      <c r="L183" s="51" t="str">
        <f t="shared" ca="1" si="146"/>
        <v>no semana</v>
      </c>
      <c r="M183" s="51" t="str">
        <f>IFERROR(VLOOKUP(E183,'cheques a conf'!A:D,4,FALSE),"no clearing")</f>
        <v>no clearing</v>
      </c>
      <c r="N183" s="51">
        <f t="shared" si="147"/>
        <v>14</v>
      </c>
      <c r="O183" s="53">
        <f t="shared" si="148"/>
        <v>4</v>
      </c>
      <c r="P183" s="53">
        <f t="shared" si="149"/>
        <v>2025</v>
      </c>
      <c r="Q183" s="53"/>
      <c r="R183" s="53"/>
    </row>
    <row r="184" spans="1:18" customFormat="1" x14ac:dyDescent="0.25">
      <c r="A184" s="21">
        <v>3000001508</v>
      </c>
      <c r="B184" s="22">
        <v>45747</v>
      </c>
      <c r="C184" s="54">
        <v>4482479.4000000004</v>
      </c>
      <c r="D184" s="21" t="s">
        <v>636</v>
      </c>
      <c r="E184" s="21">
        <v>91002315</v>
      </c>
      <c r="F184" s="54">
        <v>4482479.4000000004</v>
      </c>
      <c r="G184" s="22">
        <v>45750</v>
      </c>
      <c r="H184" t="s">
        <v>79</v>
      </c>
      <c r="I184" s="51" t="str">
        <f>IFERROR(IF(VLOOKUP(E184,extracto!C:C,1,FALSE)=E184,"pagado","no pagado"),"no pagado")</f>
        <v>pagado</v>
      </c>
      <c r="J184" s="52" t="str">
        <f t="shared" si="144"/>
        <v>pagado</v>
      </c>
      <c r="K184" s="51" t="str">
        <f t="shared" ca="1" si="145"/>
        <v>excluir</v>
      </c>
      <c r="L184" s="51" t="str">
        <f t="shared" ca="1" si="146"/>
        <v>no semana</v>
      </c>
      <c r="M184" s="51" t="str">
        <f>IFERROR(VLOOKUP(E184,'cheques a conf'!A:D,4,FALSE),"no clearing")</f>
        <v>no clearing</v>
      </c>
      <c r="N184" s="51">
        <f t="shared" si="147"/>
        <v>14</v>
      </c>
      <c r="O184" s="53">
        <f t="shared" si="148"/>
        <v>4</v>
      </c>
      <c r="P184" s="53">
        <f t="shared" si="149"/>
        <v>2025</v>
      </c>
      <c r="Q184" s="53"/>
      <c r="R184" s="53"/>
    </row>
    <row r="185" spans="1:18" customFormat="1" x14ac:dyDescent="0.25">
      <c r="A185" s="21">
        <v>3000001509</v>
      </c>
      <c r="B185" s="22">
        <v>45747</v>
      </c>
      <c r="C185" s="54">
        <v>3514213.5</v>
      </c>
      <c r="D185" s="21" t="s">
        <v>37</v>
      </c>
      <c r="E185" s="21">
        <v>91002316</v>
      </c>
      <c r="F185" s="54">
        <v>3514213.5</v>
      </c>
      <c r="G185" s="22">
        <v>45750</v>
      </c>
      <c r="H185" t="s">
        <v>79</v>
      </c>
      <c r="I185" s="51" t="str">
        <f>IFERROR(IF(VLOOKUP(E185,extracto!C:C,1,FALSE)=E185,"pagado","no pagado"),"no pagado")</f>
        <v>pagado</v>
      </c>
      <c r="J185" s="52" t="str">
        <f t="shared" si="144"/>
        <v>pagado</v>
      </c>
      <c r="K185" s="51" t="str">
        <f t="shared" ca="1" si="145"/>
        <v>excluir</v>
      </c>
      <c r="L185" s="51" t="str">
        <f t="shared" ca="1" si="146"/>
        <v>no semana</v>
      </c>
      <c r="M185" s="51" t="str">
        <f>IFERROR(VLOOKUP(E185,'cheques a conf'!A:D,4,FALSE),"no clearing")</f>
        <v>no clearing</v>
      </c>
      <c r="N185" s="51">
        <f t="shared" si="147"/>
        <v>14</v>
      </c>
      <c r="O185" s="53">
        <f t="shared" si="148"/>
        <v>4</v>
      </c>
      <c r="P185" s="53">
        <f t="shared" si="149"/>
        <v>2025</v>
      </c>
      <c r="Q185" s="53"/>
      <c r="R185" s="53"/>
    </row>
    <row r="186" spans="1:18" customFormat="1" x14ac:dyDescent="0.25">
      <c r="A186" s="21">
        <v>3000001510</v>
      </c>
      <c r="B186" s="22">
        <v>45747</v>
      </c>
      <c r="C186" s="54">
        <v>2614409.79</v>
      </c>
      <c r="D186" s="21" t="s">
        <v>591</v>
      </c>
      <c r="E186" s="21">
        <v>91002317</v>
      </c>
      <c r="F186" s="54">
        <v>2614409.79</v>
      </c>
      <c r="G186" s="22">
        <v>45750</v>
      </c>
      <c r="H186" t="s">
        <v>79</v>
      </c>
      <c r="I186" s="51" t="str">
        <f>IFERROR(IF(VLOOKUP(E186,extracto!C:C,1,FALSE)=E186,"pagado","no pagado"),"no pagado")</f>
        <v>pagado</v>
      </c>
      <c r="J186" s="52" t="str">
        <f t="shared" si="144"/>
        <v>pagado</v>
      </c>
      <c r="K186" s="51" t="str">
        <f t="shared" ca="1" si="145"/>
        <v>excluir</v>
      </c>
      <c r="L186" s="51" t="str">
        <f t="shared" ca="1" si="146"/>
        <v>no semana</v>
      </c>
      <c r="M186" s="51" t="str">
        <f>IFERROR(VLOOKUP(E186,'cheques a conf'!A:D,4,FALSE),"no clearing")</f>
        <v>no clearing</v>
      </c>
      <c r="N186" s="51">
        <f t="shared" si="147"/>
        <v>14</v>
      </c>
      <c r="O186" s="53">
        <f t="shared" si="148"/>
        <v>4</v>
      </c>
      <c r="P186" s="53">
        <f t="shared" si="149"/>
        <v>2025</v>
      </c>
      <c r="Q186" s="53"/>
      <c r="R186" s="53"/>
    </row>
    <row r="187" spans="1:18" customFormat="1" x14ac:dyDescent="0.25">
      <c r="A187" s="21">
        <v>3000001511</v>
      </c>
      <c r="B187" s="22">
        <v>45747</v>
      </c>
      <c r="C187" s="54">
        <v>7567193.4000000004</v>
      </c>
      <c r="D187" s="21" t="s">
        <v>637</v>
      </c>
      <c r="E187" s="21">
        <v>91002318</v>
      </c>
      <c r="F187" s="54">
        <v>7567193.4000000004</v>
      </c>
      <c r="G187" s="22">
        <v>45751</v>
      </c>
      <c r="H187" t="s">
        <v>79</v>
      </c>
      <c r="I187" s="51" t="str">
        <f>IFERROR(IF(VLOOKUP(E187,extracto!C:C,1,FALSE)=E187,"pagado","no pagado"),"no pagado")</f>
        <v>pagado</v>
      </c>
      <c r="J187" s="52" t="str">
        <f t="shared" si="144"/>
        <v>pagado</v>
      </c>
      <c r="K187" s="51" t="str">
        <f t="shared" ca="1" si="145"/>
        <v>excluir</v>
      </c>
      <c r="L187" s="51" t="str">
        <f t="shared" ca="1" si="146"/>
        <v>no semana</v>
      </c>
      <c r="M187" s="51" t="str">
        <f>IFERROR(VLOOKUP(E187,'cheques a conf'!A:D,4,FALSE),"no clearing")</f>
        <v>no clearing</v>
      </c>
      <c r="N187" s="51">
        <f t="shared" si="147"/>
        <v>14</v>
      </c>
      <c r="O187" s="53">
        <f t="shared" si="148"/>
        <v>4</v>
      </c>
      <c r="P187" s="53">
        <f t="shared" si="149"/>
        <v>2025</v>
      </c>
      <c r="Q187" s="53"/>
      <c r="R187" s="53"/>
    </row>
    <row r="188" spans="1:18" customFormat="1" x14ac:dyDescent="0.25">
      <c r="A188" s="21">
        <v>3000001512</v>
      </c>
      <c r="B188" s="22">
        <v>45747</v>
      </c>
      <c r="C188" s="54">
        <v>6615069.0300000003</v>
      </c>
      <c r="D188" s="21" t="s">
        <v>638</v>
      </c>
      <c r="E188" s="21">
        <v>91002319</v>
      </c>
      <c r="F188" s="54">
        <v>6615069.0300000003</v>
      </c>
      <c r="G188" s="22">
        <v>45751</v>
      </c>
      <c r="H188" t="s">
        <v>79</v>
      </c>
      <c r="I188" s="51" t="str">
        <f>IFERROR(IF(VLOOKUP(E188,extracto!C:C,1,FALSE)=E188,"pagado","no pagado"),"no pagado")</f>
        <v>pagado</v>
      </c>
      <c r="J188" s="52" t="str">
        <f t="shared" si="144"/>
        <v>pagado</v>
      </c>
      <c r="K188" s="51" t="str">
        <f t="shared" ca="1" si="145"/>
        <v>excluir</v>
      </c>
      <c r="L188" s="51" t="str">
        <f t="shared" ca="1" si="146"/>
        <v>no semana</v>
      </c>
      <c r="M188" s="51" t="str">
        <f>IFERROR(VLOOKUP(E188,'cheques a conf'!A:D,4,FALSE),"no clearing")</f>
        <v>no clearing</v>
      </c>
      <c r="N188" s="51">
        <f t="shared" si="147"/>
        <v>14</v>
      </c>
      <c r="O188" s="53">
        <f t="shared" si="148"/>
        <v>4</v>
      </c>
      <c r="P188" s="53">
        <f t="shared" si="149"/>
        <v>2025</v>
      </c>
      <c r="Q188" s="53"/>
      <c r="R188" s="53"/>
    </row>
    <row r="189" spans="1:18" customFormat="1" x14ac:dyDescent="0.25">
      <c r="A189" s="21">
        <v>3000001513</v>
      </c>
      <c r="B189" s="22">
        <v>45747</v>
      </c>
      <c r="C189" s="54">
        <v>6788075</v>
      </c>
      <c r="D189" s="21" t="s">
        <v>610</v>
      </c>
      <c r="E189" s="21">
        <v>91002320</v>
      </c>
      <c r="F189" s="54">
        <v>6788075</v>
      </c>
      <c r="G189" s="22">
        <v>45751</v>
      </c>
      <c r="H189" t="s">
        <v>79</v>
      </c>
      <c r="I189" s="51" t="str">
        <f>IFERROR(IF(VLOOKUP(E189,extracto!C:C,1,FALSE)=E189,"pagado","no pagado"),"no pagado")</f>
        <v>pagado</v>
      </c>
      <c r="J189" s="52" t="str">
        <f t="shared" si="144"/>
        <v>pagado</v>
      </c>
      <c r="K189" s="51" t="str">
        <f t="shared" ca="1" si="145"/>
        <v>excluir</v>
      </c>
      <c r="L189" s="51" t="str">
        <f t="shared" ca="1" si="146"/>
        <v>no semana</v>
      </c>
      <c r="M189" s="51" t="str">
        <f>IFERROR(VLOOKUP(E189,'cheques a conf'!A:D,4,FALSE),"no clearing")</f>
        <v>no clearing</v>
      </c>
      <c r="N189" s="51">
        <f t="shared" si="147"/>
        <v>14</v>
      </c>
      <c r="O189" s="53">
        <f t="shared" si="148"/>
        <v>4</v>
      </c>
      <c r="P189" s="53">
        <f t="shared" si="149"/>
        <v>2025</v>
      </c>
      <c r="Q189" s="53"/>
      <c r="R189" s="53"/>
    </row>
    <row r="190" spans="1:18" customFormat="1" x14ac:dyDescent="0.25">
      <c r="A190" s="21">
        <v>3000001514</v>
      </c>
      <c r="B190" s="22">
        <v>45747</v>
      </c>
      <c r="C190" s="54">
        <v>8007068.4000000004</v>
      </c>
      <c r="D190" s="21" t="s">
        <v>39</v>
      </c>
      <c r="E190" s="21">
        <v>91002321</v>
      </c>
      <c r="F190" s="54">
        <v>8007068.4000000004</v>
      </c>
      <c r="G190" s="22">
        <v>45751</v>
      </c>
      <c r="H190" t="s">
        <v>79</v>
      </c>
      <c r="I190" s="51" t="str">
        <f>IFERROR(IF(VLOOKUP(E190,extracto!C:C,1,FALSE)=E190,"pagado","no pagado"),"no pagado")</f>
        <v>pagado</v>
      </c>
      <c r="J190" s="52" t="str">
        <f t="shared" si="144"/>
        <v>pagado</v>
      </c>
      <c r="K190" s="51" t="str">
        <f t="shared" ca="1" si="145"/>
        <v>excluir</v>
      </c>
      <c r="L190" s="51" t="str">
        <f t="shared" ca="1" si="146"/>
        <v>no semana</v>
      </c>
      <c r="M190" s="51" t="str">
        <f>IFERROR(VLOOKUP(E190,'cheques a conf'!A:D,4,FALSE),"no clearing")</f>
        <v>no clearing</v>
      </c>
      <c r="N190" s="51">
        <f t="shared" si="147"/>
        <v>14</v>
      </c>
      <c r="O190" s="53">
        <f t="shared" si="148"/>
        <v>4</v>
      </c>
      <c r="P190" s="53">
        <f t="shared" si="149"/>
        <v>2025</v>
      </c>
      <c r="Q190" s="53"/>
      <c r="R190" s="53"/>
    </row>
    <row r="191" spans="1:18" customFormat="1" x14ac:dyDescent="0.25">
      <c r="A191" s="21">
        <v>3000001561</v>
      </c>
      <c r="B191" s="22">
        <v>45750</v>
      </c>
      <c r="C191" s="54">
        <v>1335665.95</v>
      </c>
      <c r="D191" s="21" t="s">
        <v>85</v>
      </c>
      <c r="E191" s="21">
        <v>91002322</v>
      </c>
      <c r="F191" s="54">
        <v>1335665.95</v>
      </c>
      <c r="G191" s="22">
        <v>45754</v>
      </c>
      <c r="H191" t="s">
        <v>79</v>
      </c>
      <c r="I191" s="51" t="str">
        <f>IFERROR(IF(VLOOKUP(E191,extracto!C:C,1,FALSE)=E191,"pagado","no pagado"),"no pagado")</f>
        <v>pagado</v>
      </c>
      <c r="J191" s="52" t="str">
        <f t="shared" ref="J191:J193" si="150">IF(I191="pagado","pagado",IF(G191&lt;$V$1-30,"fuera de fecha","en periodo de pago"))</f>
        <v>pagado</v>
      </c>
      <c r="K191" s="51" t="str">
        <f t="shared" ref="K191:K193" ca="1" si="151">+IF(B191&gt;$V$1,"excluir",IF(J191="en periodo de pago",IF($V$1&gt;G191,"a pagar","proximo a vencer"),"excluir"))</f>
        <v>excluir</v>
      </c>
      <c r="L191" s="51" t="str">
        <f t="shared" ref="L191:L193" ca="1" si="152">+IF(K191="proximo a vencer",IF($V$1+5&gt;G191,"para la semana","no semana"),"no semana")</f>
        <v>no semana</v>
      </c>
      <c r="M191" s="51" t="str">
        <f>IFERROR(VLOOKUP(E191,'cheques a conf'!A:D,4,FALSE),"no clearing")</f>
        <v>no clearing</v>
      </c>
      <c r="N191" s="51">
        <f t="shared" ref="N191:N193" si="153">+WEEKNUM(G191,2)</f>
        <v>15</v>
      </c>
      <c r="O191" s="53">
        <f t="shared" ref="O191:O193" si="154">+MONTH(G191)</f>
        <v>4</v>
      </c>
      <c r="P191" s="53">
        <f t="shared" ref="P191:P193" si="155">+YEAR(G191)</f>
        <v>2025</v>
      </c>
      <c r="Q191" s="53"/>
      <c r="R191" s="53"/>
    </row>
    <row r="192" spans="1:18" customFormat="1" x14ac:dyDescent="0.25">
      <c r="A192" s="21">
        <v>3000001562</v>
      </c>
      <c r="B192" s="22">
        <v>45750</v>
      </c>
      <c r="C192" s="54">
        <v>12056607.32</v>
      </c>
      <c r="D192" s="21" t="s">
        <v>612</v>
      </c>
      <c r="E192" s="21">
        <v>91002323</v>
      </c>
      <c r="F192" s="54">
        <v>12056607.32</v>
      </c>
      <c r="G192" s="22">
        <v>45754</v>
      </c>
      <c r="H192" t="s">
        <v>79</v>
      </c>
      <c r="I192" s="51" t="str">
        <f>IFERROR(IF(VLOOKUP(E192,extracto!C:C,1,FALSE)=E192,"pagado","no pagado"),"no pagado")</f>
        <v>pagado</v>
      </c>
      <c r="J192" s="52" t="str">
        <f t="shared" si="150"/>
        <v>pagado</v>
      </c>
      <c r="K192" s="51" t="str">
        <f t="shared" ca="1" si="151"/>
        <v>excluir</v>
      </c>
      <c r="L192" s="51" t="str">
        <f t="shared" ca="1" si="152"/>
        <v>no semana</v>
      </c>
      <c r="M192" s="51" t="str">
        <f>IFERROR(VLOOKUP(E192,'cheques a conf'!A:D,4,FALSE),"no clearing")</f>
        <v>no clearing</v>
      </c>
      <c r="N192" s="51">
        <f t="shared" si="153"/>
        <v>15</v>
      </c>
      <c r="O192" s="53">
        <f t="shared" si="154"/>
        <v>4</v>
      </c>
      <c r="P192" s="53">
        <f t="shared" si="155"/>
        <v>2025</v>
      </c>
      <c r="Q192" s="53"/>
      <c r="R192" s="53"/>
    </row>
    <row r="193" spans="1:18" customFormat="1" x14ac:dyDescent="0.25">
      <c r="A193" s="21">
        <v>3000001563</v>
      </c>
      <c r="B193" s="22">
        <v>45750</v>
      </c>
      <c r="C193" s="54">
        <v>5064966.97</v>
      </c>
      <c r="D193" s="21" t="s">
        <v>623</v>
      </c>
      <c r="E193" s="21">
        <v>91002324</v>
      </c>
      <c r="F193" s="54">
        <v>5064966.97</v>
      </c>
      <c r="G193" s="22">
        <v>45754</v>
      </c>
      <c r="H193" t="s">
        <v>79</v>
      </c>
      <c r="I193" s="51" t="str">
        <f>IFERROR(IF(VLOOKUP(E193,extracto!C:C,1,FALSE)=E193,"pagado","no pagado"),"no pagado")</f>
        <v>pagado</v>
      </c>
      <c r="J193" s="52" t="str">
        <f t="shared" si="150"/>
        <v>pagado</v>
      </c>
      <c r="K193" s="51" t="str">
        <f t="shared" ca="1" si="151"/>
        <v>excluir</v>
      </c>
      <c r="L193" s="51" t="str">
        <f t="shared" ca="1" si="152"/>
        <v>no semana</v>
      </c>
      <c r="M193" s="51" t="str">
        <f>IFERROR(VLOOKUP(E193,'cheques a conf'!A:D,4,FALSE),"no clearing")</f>
        <v>no clearing</v>
      </c>
      <c r="N193" s="51">
        <f t="shared" si="153"/>
        <v>15</v>
      </c>
      <c r="O193" s="53">
        <f t="shared" si="154"/>
        <v>4</v>
      </c>
      <c r="P193" s="53">
        <f t="shared" si="155"/>
        <v>2025</v>
      </c>
      <c r="Q193" s="53"/>
      <c r="R193" s="53"/>
    </row>
    <row r="194" spans="1:18" customFormat="1" x14ac:dyDescent="0.25">
      <c r="A194">
        <v>3000001536</v>
      </c>
      <c r="B194" s="22">
        <v>45750</v>
      </c>
      <c r="C194" s="50">
        <v>2000000</v>
      </c>
      <c r="D194" t="s">
        <v>594</v>
      </c>
      <c r="E194">
        <v>94326815</v>
      </c>
      <c r="F194" s="50">
        <v>2000000</v>
      </c>
      <c r="G194" s="22">
        <v>45750</v>
      </c>
      <c r="H194" t="s">
        <v>13</v>
      </c>
      <c r="I194" s="51" t="str">
        <f>IFERROR(IF(VLOOKUP(E194,extracto!C:C,1,FALSE)=E194,"pagado","no pagado"),"no pagado")</f>
        <v>pagado</v>
      </c>
      <c r="J194" s="52" t="str">
        <f t="shared" ref="J194" si="156">IF(I194="pagado","pagado",IF(G194&lt;$V$1-30,"fuera de fecha","en periodo de pago"))</f>
        <v>pagado</v>
      </c>
      <c r="K194" s="51" t="str">
        <f t="shared" ref="K194" ca="1" si="157">+IF(B194&gt;$V$1,"excluir",IF(J194="en periodo de pago",IF($V$1&gt;G194,"a pagar","proximo a vencer"),"excluir"))</f>
        <v>excluir</v>
      </c>
      <c r="L194" s="51" t="str">
        <f t="shared" ref="L194" ca="1" si="158">+IF(K194="proximo a vencer",IF($V$1+5&gt;G194,"para la semana","no semana"),"no semana")</f>
        <v>no semana</v>
      </c>
      <c r="M194" s="51" t="str">
        <f>IFERROR(VLOOKUP(E194,'cheques a conf'!A:D,4,FALSE),"no clearing")</f>
        <v>no clearing</v>
      </c>
      <c r="N194" s="51">
        <f t="shared" ref="N194" si="159">+WEEKNUM(G194,2)</f>
        <v>14</v>
      </c>
      <c r="O194" s="53">
        <f t="shared" ref="O194" si="160">+MONTH(G194)</f>
        <v>4</v>
      </c>
      <c r="P194" s="53">
        <f t="shared" ref="P194" si="161">+YEAR(G194)</f>
        <v>2025</v>
      </c>
      <c r="Q194" s="53"/>
      <c r="R194" s="53"/>
    </row>
    <row r="195" spans="1:18" customFormat="1" x14ac:dyDescent="0.25">
      <c r="A195">
        <v>3000001642</v>
      </c>
      <c r="B195" s="22">
        <v>45755</v>
      </c>
      <c r="C195" s="50">
        <v>13000000</v>
      </c>
      <c r="D195" t="s">
        <v>630</v>
      </c>
      <c r="E195">
        <v>91002327</v>
      </c>
      <c r="F195" s="50">
        <v>13000000</v>
      </c>
      <c r="G195" s="22">
        <v>45757</v>
      </c>
      <c r="H195" t="s">
        <v>79</v>
      </c>
      <c r="I195" s="51" t="str">
        <f>IFERROR(IF(VLOOKUP(E195,extracto!C:C,1,FALSE)=E195,"pagado","no pagado"),"no pagado")</f>
        <v>pagado</v>
      </c>
      <c r="J195" s="52" t="str">
        <f t="shared" ref="J195:J219" si="162">IF(I195="pagado","pagado",IF(G195&lt;$V$1-30,"fuera de fecha","en periodo de pago"))</f>
        <v>pagado</v>
      </c>
      <c r="K195" s="51" t="str">
        <f t="shared" ref="K195:K219" ca="1" si="163">+IF(B195&gt;$V$1,"excluir",IF(J195="en periodo de pago",IF($V$1&gt;G195,"a pagar","proximo a vencer"),"excluir"))</f>
        <v>excluir</v>
      </c>
      <c r="L195" s="51" t="str">
        <f t="shared" ref="L195:L219" ca="1" si="164">+IF(K195="proximo a vencer",IF($V$1+5&gt;G195,"para la semana","no semana"),"no semana")</f>
        <v>no semana</v>
      </c>
      <c r="M195" s="51" t="str">
        <f>IFERROR(VLOOKUP(E195,'cheques a conf'!A:D,4,FALSE),"no clearing")</f>
        <v>no clearing</v>
      </c>
      <c r="N195" s="51">
        <f t="shared" ref="N195:N219" si="165">+WEEKNUM(G195,2)</f>
        <v>15</v>
      </c>
      <c r="O195" s="53">
        <f t="shared" ref="O195:O219" si="166">+MONTH(G195)</f>
        <v>4</v>
      </c>
      <c r="P195" s="53">
        <f t="shared" ref="P195:P219" si="167">+YEAR(G195)</f>
        <v>2025</v>
      </c>
      <c r="Q195" s="53"/>
    </row>
    <row r="196" spans="1:18" customFormat="1" x14ac:dyDescent="0.25">
      <c r="A196">
        <v>3000001642</v>
      </c>
      <c r="B196" s="22">
        <v>45755</v>
      </c>
      <c r="C196" s="50">
        <v>13000000</v>
      </c>
      <c r="D196" t="s">
        <v>630</v>
      </c>
      <c r="E196">
        <v>91002328</v>
      </c>
      <c r="F196" s="50">
        <v>13000000</v>
      </c>
      <c r="G196" s="22">
        <v>45757</v>
      </c>
      <c r="H196" t="s">
        <v>79</v>
      </c>
      <c r="I196" s="51" t="str">
        <f>IFERROR(IF(VLOOKUP(E196,extracto!C:C,1,FALSE)=E196,"pagado","no pagado"),"no pagado")</f>
        <v>pagado</v>
      </c>
      <c r="J196" s="52" t="str">
        <f t="shared" si="162"/>
        <v>pagado</v>
      </c>
      <c r="K196" s="51" t="str">
        <f t="shared" ca="1" si="163"/>
        <v>excluir</v>
      </c>
      <c r="L196" s="51" t="str">
        <f t="shared" ca="1" si="164"/>
        <v>no semana</v>
      </c>
      <c r="M196" s="51" t="str">
        <f>IFERROR(VLOOKUP(E196,'cheques a conf'!A:D,4,FALSE),"no clearing")</f>
        <v>no clearing</v>
      </c>
      <c r="N196" s="51">
        <f t="shared" si="165"/>
        <v>15</v>
      </c>
      <c r="O196" s="53">
        <f t="shared" si="166"/>
        <v>4</v>
      </c>
      <c r="P196" s="53">
        <f t="shared" si="167"/>
        <v>2025</v>
      </c>
      <c r="Q196" s="53"/>
    </row>
    <row r="197" spans="1:18" customFormat="1" x14ac:dyDescent="0.25">
      <c r="A197">
        <v>3000001642</v>
      </c>
      <c r="B197" s="22">
        <v>45755</v>
      </c>
      <c r="C197" s="50">
        <v>13000000</v>
      </c>
      <c r="D197" t="s">
        <v>630</v>
      </c>
      <c r="E197">
        <v>91002329</v>
      </c>
      <c r="F197" s="50">
        <v>13000000</v>
      </c>
      <c r="G197" s="22">
        <v>45757</v>
      </c>
      <c r="H197" t="s">
        <v>79</v>
      </c>
      <c r="I197" s="51" t="str">
        <f>IFERROR(IF(VLOOKUP(E197,extracto!C:C,1,FALSE)=E197,"pagado","no pagado"),"no pagado")</f>
        <v>pagado</v>
      </c>
      <c r="J197" s="52" t="str">
        <f t="shared" si="162"/>
        <v>pagado</v>
      </c>
      <c r="K197" s="51" t="str">
        <f t="shared" ca="1" si="163"/>
        <v>excluir</v>
      </c>
      <c r="L197" s="51" t="str">
        <f t="shared" ca="1" si="164"/>
        <v>no semana</v>
      </c>
      <c r="M197" s="51" t="str">
        <f>IFERROR(VLOOKUP(E197,'cheques a conf'!A:D,4,FALSE),"no clearing")</f>
        <v>no clearing</v>
      </c>
      <c r="N197" s="51">
        <f t="shared" si="165"/>
        <v>15</v>
      </c>
      <c r="O197" s="53">
        <f t="shared" si="166"/>
        <v>4</v>
      </c>
      <c r="P197" s="53">
        <f t="shared" si="167"/>
        <v>2025</v>
      </c>
      <c r="Q197" s="53"/>
    </row>
    <row r="198" spans="1:18" customFormat="1" x14ac:dyDescent="0.25">
      <c r="A198">
        <v>3000001642</v>
      </c>
      <c r="B198" s="22">
        <v>45755</v>
      </c>
      <c r="C198" s="50">
        <v>7582335.4199999999</v>
      </c>
      <c r="D198" t="s">
        <v>630</v>
      </c>
      <c r="E198">
        <v>91002330</v>
      </c>
      <c r="F198" s="50">
        <v>7582335.4199999999</v>
      </c>
      <c r="G198" s="22">
        <v>45758</v>
      </c>
      <c r="H198" t="s">
        <v>79</v>
      </c>
      <c r="I198" s="51" t="str">
        <f>IFERROR(IF(VLOOKUP(E198,extracto!C:C,1,FALSE)=E198,"pagado","no pagado"),"no pagado")</f>
        <v>pagado</v>
      </c>
      <c r="J198" s="52" t="str">
        <f t="shared" si="162"/>
        <v>pagado</v>
      </c>
      <c r="K198" s="51" t="str">
        <f t="shared" ca="1" si="163"/>
        <v>excluir</v>
      </c>
      <c r="L198" s="51" t="str">
        <f t="shared" ca="1" si="164"/>
        <v>no semana</v>
      </c>
      <c r="M198" s="51" t="str">
        <f>IFERROR(VLOOKUP(E198,'cheques a conf'!A:D,4,FALSE),"no clearing")</f>
        <v>no clearing</v>
      </c>
      <c r="N198" s="51">
        <f t="shared" si="165"/>
        <v>15</v>
      </c>
      <c r="O198" s="53">
        <f t="shared" si="166"/>
        <v>4</v>
      </c>
      <c r="P198" s="53">
        <f t="shared" si="167"/>
        <v>2025</v>
      </c>
      <c r="Q198" s="53"/>
    </row>
    <row r="199" spans="1:18" customFormat="1" x14ac:dyDescent="0.25">
      <c r="A199">
        <v>3000001644</v>
      </c>
      <c r="B199" s="22">
        <v>45755</v>
      </c>
      <c r="C199" s="50">
        <v>11000000</v>
      </c>
      <c r="D199" t="s">
        <v>72</v>
      </c>
      <c r="E199">
        <v>91002332</v>
      </c>
      <c r="F199" s="50">
        <v>11000000</v>
      </c>
      <c r="G199" s="22">
        <v>45757</v>
      </c>
      <c r="H199" t="s">
        <v>79</v>
      </c>
      <c r="I199" s="51" t="str">
        <f>IFERROR(IF(VLOOKUP(E199,extracto!C:C,1,FALSE)=E199,"pagado","no pagado"),"no pagado")</f>
        <v>pagado</v>
      </c>
      <c r="J199" s="52" t="str">
        <f t="shared" si="162"/>
        <v>pagado</v>
      </c>
      <c r="K199" s="51" t="str">
        <f t="shared" ca="1" si="163"/>
        <v>excluir</v>
      </c>
      <c r="L199" s="51" t="str">
        <f t="shared" ca="1" si="164"/>
        <v>no semana</v>
      </c>
      <c r="M199" s="51" t="str">
        <f>IFERROR(VLOOKUP(E199,'cheques a conf'!A:D,4,FALSE),"no clearing")</f>
        <v>no clearing</v>
      </c>
      <c r="N199" s="51">
        <f t="shared" si="165"/>
        <v>15</v>
      </c>
      <c r="O199" s="53">
        <f t="shared" si="166"/>
        <v>4</v>
      </c>
      <c r="P199" s="53">
        <f t="shared" si="167"/>
        <v>2025</v>
      </c>
      <c r="Q199" s="53"/>
    </row>
    <row r="200" spans="1:18" customFormat="1" x14ac:dyDescent="0.25">
      <c r="A200">
        <v>3000001644</v>
      </c>
      <c r="B200" s="22">
        <v>45755</v>
      </c>
      <c r="C200" s="50">
        <v>11099306.92</v>
      </c>
      <c r="D200" t="s">
        <v>72</v>
      </c>
      <c r="E200">
        <v>91002333</v>
      </c>
      <c r="F200" s="50">
        <v>11099306.92</v>
      </c>
      <c r="G200" s="22">
        <v>45758</v>
      </c>
      <c r="H200" t="s">
        <v>79</v>
      </c>
      <c r="I200" s="51" t="str">
        <f>IFERROR(IF(VLOOKUP(E200,extracto!C:C,1,FALSE)=E200,"pagado","no pagado"),"no pagado")</f>
        <v>pagado</v>
      </c>
      <c r="J200" s="52" t="str">
        <f t="shared" si="162"/>
        <v>pagado</v>
      </c>
      <c r="K200" s="51" t="str">
        <f t="shared" ca="1" si="163"/>
        <v>excluir</v>
      </c>
      <c r="L200" s="51" t="str">
        <f t="shared" ca="1" si="164"/>
        <v>no semana</v>
      </c>
      <c r="M200" s="51" t="str">
        <f>IFERROR(VLOOKUP(E200,'cheques a conf'!A:D,4,FALSE),"no clearing")</f>
        <v>no clearing</v>
      </c>
      <c r="N200" s="51">
        <f t="shared" si="165"/>
        <v>15</v>
      </c>
      <c r="O200" s="53">
        <f t="shared" si="166"/>
        <v>4</v>
      </c>
      <c r="P200" s="53">
        <f t="shared" si="167"/>
        <v>2025</v>
      </c>
      <c r="Q200" s="53"/>
    </row>
    <row r="201" spans="1:18" customFormat="1" x14ac:dyDescent="0.25">
      <c r="A201">
        <v>3000001645</v>
      </c>
      <c r="B201" s="22">
        <v>45755</v>
      </c>
      <c r="C201" s="50">
        <v>20000000</v>
      </c>
      <c r="D201" t="s">
        <v>597</v>
      </c>
      <c r="E201">
        <v>91002334</v>
      </c>
      <c r="F201" s="50">
        <v>20000000</v>
      </c>
      <c r="G201" s="22">
        <v>45757</v>
      </c>
      <c r="H201" t="s">
        <v>79</v>
      </c>
      <c r="I201" s="51" t="str">
        <f>IFERROR(IF(VLOOKUP(E201,extracto!C:C,1,FALSE)=E201,"pagado","no pagado"),"no pagado")</f>
        <v>pagado</v>
      </c>
      <c r="J201" s="52" t="str">
        <f t="shared" si="162"/>
        <v>pagado</v>
      </c>
      <c r="K201" s="51" t="str">
        <f t="shared" ca="1" si="163"/>
        <v>excluir</v>
      </c>
      <c r="L201" s="51" t="str">
        <f t="shared" ca="1" si="164"/>
        <v>no semana</v>
      </c>
      <c r="M201" s="51" t="str">
        <f>IFERROR(VLOOKUP(E201,'cheques a conf'!A:D,4,FALSE),"no clearing")</f>
        <v>no clearing</v>
      </c>
      <c r="N201" s="51">
        <f t="shared" si="165"/>
        <v>15</v>
      </c>
      <c r="O201" s="53">
        <f t="shared" si="166"/>
        <v>4</v>
      </c>
      <c r="P201" s="53">
        <f t="shared" si="167"/>
        <v>2025</v>
      </c>
      <c r="Q201" s="53"/>
    </row>
    <row r="202" spans="1:18" customFormat="1" x14ac:dyDescent="0.25">
      <c r="A202">
        <v>3000001645</v>
      </c>
      <c r="B202" s="22">
        <v>45755</v>
      </c>
      <c r="C202" s="50">
        <v>19337004.699999999</v>
      </c>
      <c r="D202" t="s">
        <v>597</v>
      </c>
      <c r="E202">
        <v>91002335</v>
      </c>
      <c r="F202" s="50">
        <v>19337004.699999999</v>
      </c>
      <c r="G202" s="22">
        <v>45758</v>
      </c>
      <c r="H202" t="s">
        <v>79</v>
      </c>
      <c r="I202" s="51" t="str">
        <f>IFERROR(IF(VLOOKUP(E202,extracto!C:C,1,FALSE)=E202,"pagado","no pagado"),"no pagado")</f>
        <v>pagado</v>
      </c>
      <c r="J202" s="52" t="str">
        <f t="shared" si="162"/>
        <v>pagado</v>
      </c>
      <c r="K202" s="51" t="str">
        <f t="shared" ca="1" si="163"/>
        <v>excluir</v>
      </c>
      <c r="L202" s="51" t="str">
        <f t="shared" ca="1" si="164"/>
        <v>no semana</v>
      </c>
      <c r="M202" s="51" t="str">
        <f>IFERROR(VLOOKUP(E202,'cheques a conf'!A:D,4,FALSE),"no clearing")</f>
        <v>no clearing</v>
      </c>
      <c r="N202" s="51">
        <f t="shared" si="165"/>
        <v>15</v>
      </c>
      <c r="O202" s="53">
        <f t="shared" si="166"/>
        <v>4</v>
      </c>
      <c r="P202" s="53">
        <f t="shared" si="167"/>
        <v>2025</v>
      </c>
      <c r="Q202" s="53"/>
    </row>
    <row r="203" spans="1:18" customFormat="1" x14ac:dyDescent="0.25">
      <c r="A203">
        <v>3000001649</v>
      </c>
      <c r="B203" s="22">
        <v>45755</v>
      </c>
      <c r="C203" s="50">
        <v>10000000</v>
      </c>
      <c r="D203" t="s">
        <v>607</v>
      </c>
      <c r="E203">
        <v>91002339</v>
      </c>
      <c r="F203" s="50">
        <v>10000000</v>
      </c>
      <c r="G203" s="22">
        <v>45757</v>
      </c>
      <c r="H203" t="s">
        <v>79</v>
      </c>
      <c r="I203" s="51" t="str">
        <f>IFERROR(IF(VLOOKUP(E203,extracto!C:C,1,FALSE)=E203,"pagado","no pagado"),"no pagado")</f>
        <v>pagado</v>
      </c>
      <c r="J203" s="52" t="str">
        <f t="shared" si="162"/>
        <v>pagado</v>
      </c>
      <c r="K203" s="51" t="str">
        <f t="shared" ca="1" si="163"/>
        <v>excluir</v>
      </c>
      <c r="L203" s="51" t="str">
        <f t="shared" ca="1" si="164"/>
        <v>no semana</v>
      </c>
      <c r="M203" s="51" t="str">
        <f>IFERROR(VLOOKUP(E203,'cheques a conf'!A:D,4,FALSE),"no clearing")</f>
        <v>no clearing</v>
      </c>
      <c r="N203" s="51">
        <f t="shared" si="165"/>
        <v>15</v>
      </c>
      <c r="O203" s="53">
        <f t="shared" si="166"/>
        <v>4</v>
      </c>
      <c r="P203" s="53">
        <f t="shared" si="167"/>
        <v>2025</v>
      </c>
      <c r="Q203" s="53"/>
    </row>
    <row r="204" spans="1:18" customFormat="1" x14ac:dyDescent="0.25">
      <c r="A204">
        <v>3000001649</v>
      </c>
      <c r="B204" s="22">
        <v>45755</v>
      </c>
      <c r="C204" s="50">
        <v>10252296.890000001</v>
      </c>
      <c r="D204" t="s">
        <v>607</v>
      </c>
      <c r="E204">
        <v>91002340</v>
      </c>
      <c r="F204" s="50">
        <v>10252296.890000001</v>
      </c>
      <c r="G204" s="22">
        <v>45758</v>
      </c>
      <c r="H204" t="s">
        <v>79</v>
      </c>
      <c r="I204" s="51" t="str">
        <f>IFERROR(IF(VLOOKUP(E204,extracto!C:C,1,FALSE)=E204,"pagado","no pagado"),"no pagado")</f>
        <v>pagado</v>
      </c>
      <c r="J204" s="52" t="str">
        <f t="shared" si="162"/>
        <v>pagado</v>
      </c>
      <c r="K204" s="51" t="str">
        <f t="shared" ca="1" si="163"/>
        <v>excluir</v>
      </c>
      <c r="L204" s="51" t="str">
        <f t="shared" ca="1" si="164"/>
        <v>no semana</v>
      </c>
      <c r="M204" s="51" t="str">
        <f>IFERROR(VLOOKUP(E204,'cheques a conf'!A:D,4,FALSE),"no clearing")</f>
        <v>no clearing</v>
      </c>
      <c r="N204" s="51">
        <f t="shared" si="165"/>
        <v>15</v>
      </c>
      <c r="O204" s="53">
        <f t="shared" si="166"/>
        <v>4</v>
      </c>
      <c r="P204" s="53">
        <f t="shared" si="167"/>
        <v>2025</v>
      </c>
      <c r="Q204" s="53"/>
    </row>
    <row r="205" spans="1:18" customFormat="1" x14ac:dyDescent="0.25">
      <c r="A205">
        <v>3000001654</v>
      </c>
      <c r="B205" s="22">
        <v>45755</v>
      </c>
      <c r="C205" s="50">
        <v>21000000</v>
      </c>
      <c r="D205" t="s">
        <v>589</v>
      </c>
      <c r="E205">
        <v>91002345</v>
      </c>
      <c r="F205" s="50">
        <v>21000000</v>
      </c>
      <c r="G205" s="22">
        <v>45758</v>
      </c>
      <c r="H205" t="s">
        <v>79</v>
      </c>
      <c r="I205" s="51" t="str">
        <f>IFERROR(IF(VLOOKUP(E205,extracto!C:C,1,FALSE)=E205,"pagado","no pagado"),"no pagado")</f>
        <v>pagado</v>
      </c>
      <c r="J205" s="52" t="str">
        <f t="shared" si="162"/>
        <v>pagado</v>
      </c>
      <c r="K205" s="51" t="str">
        <f t="shared" ca="1" si="163"/>
        <v>excluir</v>
      </c>
      <c r="L205" s="51" t="str">
        <f t="shared" ca="1" si="164"/>
        <v>no semana</v>
      </c>
      <c r="M205" s="51" t="str">
        <f>IFERROR(VLOOKUP(E205,'cheques a conf'!A:D,4,FALSE),"no clearing")</f>
        <v>no clearing</v>
      </c>
      <c r="N205" s="51">
        <f t="shared" si="165"/>
        <v>15</v>
      </c>
      <c r="O205" s="53">
        <f t="shared" si="166"/>
        <v>4</v>
      </c>
      <c r="P205" s="53">
        <f t="shared" si="167"/>
        <v>2025</v>
      </c>
      <c r="Q205" s="53"/>
    </row>
    <row r="206" spans="1:18" customFormat="1" x14ac:dyDescent="0.25">
      <c r="A206">
        <v>3000001654</v>
      </c>
      <c r="B206" s="22">
        <v>45755</v>
      </c>
      <c r="C206" s="50">
        <v>21089967.289999999</v>
      </c>
      <c r="D206" t="s">
        <v>589</v>
      </c>
      <c r="E206">
        <v>91002346</v>
      </c>
      <c r="F206" s="50">
        <v>21089967.289999999</v>
      </c>
      <c r="G206" s="22">
        <v>45761</v>
      </c>
      <c r="H206" t="s">
        <v>79</v>
      </c>
      <c r="I206" s="51" t="str">
        <f>IFERROR(IF(VLOOKUP(E206,extracto!C:C,1,FALSE)=E206,"pagado","no pagado"),"no pagado")</f>
        <v>pagado</v>
      </c>
      <c r="J206" s="52" t="str">
        <f t="shared" si="162"/>
        <v>pagado</v>
      </c>
      <c r="K206" s="51" t="str">
        <f t="shared" ca="1" si="163"/>
        <v>excluir</v>
      </c>
      <c r="L206" s="51" t="str">
        <f t="shared" ca="1" si="164"/>
        <v>no semana</v>
      </c>
      <c r="M206" s="51" t="str">
        <f>IFERROR(VLOOKUP(E206,'cheques a conf'!A:D,4,FALSE),"no clearing")</f>
        <v>no clearing</v>
      </c>
      <c r="N206" s="51">
        <f t="shared" si="165"/>
        <v>16</v>
      </c>
      <c r="O206" s="53">
        <f t="shared" si="166"/>
        <v>4</v>
      </c>
      <c r="P206" s="53">
        <f t="shared" si="167"/>
        <v>2025</v>
      </c>
      <c r="Q206" s="53"/>
    </row>
    <row r="207" spans="1:18" customFormat="1" x14ac:dyDescent="0.25">
      <c r="A207">
        <v>3000001655</v>
      </c>
      <c r="B207" s="22">
        <v>45755</v>
      </c>
      <c r="C207" s="50">
        <v>11000000</v>
      </c>
      <c r="D207" t="s">
        <v>634</v>
      </c>
      <c r="E207">
        <v>91002347</v>
      </c>
      <c r="F207" s="50">
        <v>11000000</v>
      </c>
      <c r="G207" s="22">
        <v>45758</v>
      </c>
      <c r="H207" t="s">
        <v>79</v>
      </c>
      <c r="I207" s="51" t="str">
        <f>IFERROR(IF(VLOOKUP(E207,extracto!C:C,1,FALSE)=E207,"pagado","no pagado"),"no pagado")</f>
        <v>pagado</v>
      </c>
      <c r="J207" s="52" t="str">
        <f t="shared" si="162"/>
        <v>pagado</v>
      </c>
      <c r="K207" s="51" t="str">
        <f t="shared" ca="1" si="163"/>
        <v>excluir</v>
      </c>
      <c r="L207" s="51" t="str">
        <f t="shared" ca="1" si="164"/>
        <v>no semana</v>
      </c>
      <c r="M207" s="51" t="str">
        <f>IFERROR(VLOOKUP(E207,'cheques a conf'!A:D,4,FALSE),"no clearing")</f>
        <v>no clearing</v>
      </c>
      <c r="N207" s="51">
        <f t="shared" si="165"/>
        <v>15</v>
      </c>
      <c r="O207" s="53">
        <f t="shared" si="166"/>
        <v>4</v>
      </c>
      <c r="P207" s="53">
        <f t="shared" si="167"/>
        <v>2025</v>
      </c>
      <c r="Q207" s="53"/>
    </row>
    <row r="208" spans="1:18" customFormat="1" x14ac:dyDescent="0.25">
      <c r="A208">
        <v>3000001655</v>
      </c>
      <c r="B208" s="22">
        <v>45755</v>
      </c>
      <c r="C208" s="50">
        <v>11031415.73</v>
      </c>
      <c r="D208" t="s">
        <v>634</v>
      </c>
      <c r="E208">
        <v>91002348</v>
      </c>
      <c r="F208" s="50">
        <v>11031415.73</v>
      </c>
      <c r="G208" s="22">
        <v>45761</v>
      </c>
      <c r="H208" t="s">
        <v>79</v>
      </c>
      <c r="I208" s="51" t="str">
        <f>IFERROR(IF(VLOOKUP(E208,extracto!C:C,1,FALSE)=E208,"pagado","no pagado"),"no pagado")</f>
        <v>pagado</v>
      </c>
      <c r="J208" s="52" t="str">
        <f t="shared" si="162"/>
        <v>pagado</v>
      </c>
      <c r="K208" s="51" t="str">
        <f t="shared" ca="1" si="163"/>
        <v>excluir</v>
      </c>
      <c r="L208" s="51" t="str">
        <f t="shared" ca="1" si="164"/>
        <v>no semana</v>
      </c>
      <c r="M208" s="51" t="str">
        <f>IFERROR(VLOOKUP(E208,'cheques a conf'!A:D,4,FALSE),"no clearing")</f>
        <v>no clearing</v>
      </c>
      <c r="N208" s="51">
        <f t="shared" si="165"/>
        <v>16</v>
      </c>
      <c r="O208" s="53">
        <f t="shared" si="166"/>
        <v>4</v>
      </c>
      <c r="P208" s="53">
        <f t="shared" si="167"/>
        <v>2025</v>
      </c>
      <c r="Q208" s="53"/>
    </row>
    <row r="209" spans="1:17" customFormat="1" x14ac:dyDescent="0.25">
      <c r="A209">
        <v>3000001640</v>
      </c>
      <c r="B209" s="22">
        <v>45755</v>
      </c>
      <c r="C209" s="50">
        <v>5779626.3899999997</v>
      </c>
      <c r="D209" t="s">
        <v>639</v>
      </c>
      <c r="E209">
        <v>91002325</v>
      </c>
      <c r="F209" s="50">
        <v>5779626.3899999997</v>
      </c>
      <c r="G209" s="22">
        <v>45757</v>
      </c>
      <c r="H209" t="s">
        <v>79</v>
      </c>
      <c r="I209" s="51" t="str">
        <f>IFERROR(IF(VLOOKUP(E209,extracto!C:C,1,FALSE)=E209,"pagado","no pagado"),"no pagado")</f>
        <v>pagado</v>
      </c>
      <c r="J209" s="52" t="str">
        <f t="shared" si="162"/>
        <v>pagado</v>
      </c>
      <c r="K209" s="51" t="str">
        <f t="shared" ca="1" si="163"/>
        <v>excluir</v>
      </c>
      <c r="L209" s="51" t="str">
        <f t="shared" ca="1" si="164"/>
        <v>no semana</v>
      </c>
      <c r="M209" s="51" t="str">
        <f>IFERROR(VLOOKUP(E209,'cheques a conf'!A:D,4,FALSE),"no clearing")</f>
        <v>no clearing</v>
      </c>
      <c r="N209" s="51">
        <f t="shared" si="165"/>
        <v>15</v>
      </c>
      <c r="O209" s="53">
        <f t="shared" si="166"/>
        <v>4</v>
      </c>
      <c r="P209" s="53">
        <f t="shared" si="167"/>
        <v>2025</v>
      </c>
      <c r="Q209" s="53"/>
    </row>
    <row r="210" spans="1:17" customFormat="1" x14ac:dyDescent="0.25">
      <c r="A210">
        <v>3000001641</v>
      </c>
      <c r="B210" s="22">
        <v>45755</v>
      </c>
      <c r="C210" s="50">
        <v>27631343.399999999</v>
      </c>
      <c r="D210" t="s">
        <v>640</v>
      </c>
      <c r="E210">
        <v>91002326</v>
      </c>
      <c r="F210" s="50">
        <v>27631343.399999999</v>
      </c>
      <c r="G210" s="22">
        <v>45758</v>
      </c>
      <c r="H210" t="s">
        <v>79</v>
      </c>
      <c r="I210" s="51" t="str">
        <f>IFERROR(IF(VLOOKUP(E210,extracto!C:C,1,FALSE)=E210,"pagado","no pagado"),"no pagado")</f>
        <v>pagado</v>
      </c>
      <c r="J210" s="52" t="str">
        <f t="shared" si="162"/>
        <v>pagado</v>
      </c>
      <c r="K210" s="51" t="str">
        <f t="shared" ca="1" si="163"/>
        <v>excluir</v>
      </c>
      <c r="L210" s="51" t="str">
        <f t="shared" ca="1" si="164"/>
        <v>no semana</v>
      </c>
      <c r="M210" s="51" t="str">
        <f>IFERROR(VLOOKUP(E210,'cheques a conf'!A:D,4,FALSE),"no clearing")</f>
        <v>no clearing</v>
      </c>
      <c r="N210" s="51">
        <f t="shared" si="165"/>
        <v>15</v>
      </c>
      <c r="O210" s="53">
        <f t="shared" si="166"/>
        <v>4</v>
      </c>
      <c r="P210" s="53">
        <f t="shared" si="167"/>
        <v>2025</v>
      </c>
      <c r="Q210" s="53"/>
    </row>
    <row r="211" spans="1:17" customFormat="1" x14ac:dyDescent="0.25">
      <c r="A211">
        <v>3000001643</v>
      </c>
      <c r="B211" s="22">
        <v>45755</v>
      </c>
      <c r="C211" s="50">
        <v>3689625.6000000001</v>
      </c>
      <c r="D211" t="s">
        <v>641</v>
      </c>
      <c r="E211">
        <v>91002331</v>
      </c>
      <c r="F211" s="50">
        <v>3689625.6000000001</v>
      </c>
      <c r="G211" s="22">
        <v>45757</v>
      </c>
      <c r="H211" t="s">
        <v>79</v>
      </c>
      <c r="I211" s="51" t="str">
        <f>IFERROR(IF(VLOOKUP(E211,extracto!C:C,1,FALSE)=E211,"pagado","no pagado"),"no pagado")</f>
        <v>pagado</v>
      </c>
      <c r="J211" s="52" t="str">
        <f t="shared" si="162"/>
        <v>pagado</v>
      </c>
      <c r="K211" s="51" t="str">
        <f t="shared" ca="1" si="163"/>
        <v>excluir</v>
      </c>
      <c r="L211" s="51" t="str">
        <f t="shared" ca="1" si="164"/>
        <v>no semana</v>
      </c>
      <c r="M211" s="51" t="str">
        <f>IFERROR(VLOOKUP(E211,'cheques a conf'!A:D,4,FALSE),"no clearing")</f>
        <v>no clearing</v>
      </c>
      <c r="N211" s="51">
        <f t="shared" si="165"/>
        <v>15</v>
      </c>
      <c r="O211" s="53">
        <f t="shared" si="166"/>
        <v>4</v>
      </c>
      <c r="P211" s="53">
        <f t="shared" si="167"/>
        <v>2025</v>
      </c>
      <c r="Q211" s="53"/>
    </row>
    <row r="212" spans="1:17" customFormat="1" x14ac:dyDescent="0.25">
      <c r="A212">
        <v>3000001646</v>
      </c>
      <c r="B212" s="22">
        <v>45755</v>
      </c>
      <c r="C212" s="50">
        <v>3022076.78</v>
      </c>
      <c r="D212" t="s">
        <v>588</v>
      </c>
      <c r="E212">
        <v>91002336</v>
      </c>
      <c r="F212" s="50">
        <v>3022076.78</v>
      </c>
      <c r="G212" s="22">
        <v>45757</v>
      </c>
      <c r="H212" t="s">
        <v>79</v>
      </c>
      <c r="I212" s="51" t="str">
        <f>IFERROR(IF(VLOOKUP(E212,extracto!C:C,1,FALSE)=E212,"pagado","no pagado"),"no pagado")</f>
        <v>pagado</v>
      </c>
      <c r="J212" s="52" t="str">
        <f t="shared" si="162"/>
        <v>pagado</v>
      </c>
      <c r="K212" s="51" t="str">
        <f t="shared" ca="1" si="163"/>
        <v>excluir</v>
      </c>
      <c r="L212" s="51" t="str">
        <f t="shared" ca="1" si="164"/>
        <v>no semana</v>
      </c>
      <c r="M212" s="51" t="str">
        <f>IFERROR(VLOOKUP(E212,'cheques a conf'!A:D,4,FALSE),"no clearing")</f>
        <v>no clearing</v>
      </c>
      <c r="N212" s="51">
        <f t="shared" si="165"/>
        <v>15</v>
      </c>
      <c r="O212" s="53">
        <f t="shared" si="166"/>
        <v>4</v>
      </c>
      <c r="P212" s="53">
        <f t="shared" si="167"/>
        <v>2025</v>
      </c>
      <c r="Q212" s="53"/>
    </row>
    <row r="213" spans="1:17" customFormat="1" x14ac:dyDescent="0.25">
      <c r="A213">
        <v>3000001647</v>
      </c>
      <c r="B213" s="22">
        <v>45755</v>
      </c>
      <c r="C213" s="50">
        <v>4375526.1900000004</v>
      </c>
      <c r="D213" t="s">
        <v>41</v>
      </c>
      <c r="E213">
        <v>91002337</v>
      </c>
      <c r="F213" s="50">
        <v>4375526.1900000004</v>
      </c>
      <c r="G213" s="22">
        <v>45757</v>
      </c>
      <c r="H213" t="s">
        <v>79</v>
      </c>
      <c r="I213" s="51" t="str">
        <f>IFERROR(IF(VLOOKUP(E213,extracto!C:C,1,FALSE)=E213,"pagado","no pagado"),"no pagado")</f>
        <v>pagado</v>
      </c>
      <c r="J213" s="52" t="str">
        <f t="shared" si="162"/>
        <v>pagado</v>
      </c>
      <c r="K213" s="51" t="str">
        <f t="shared" ca="1" si="163"/>
        <v>excluir</v>
      </c>
      <c r="L213" s="51" t="str">
        <f t="shared" ca="1" si="164"/>
        <v>no semana</v>
      </c>
      <c r="M213" s="51" t="str">
        <f>IFERROR(VLOOKUP(E213,'cheques a conf'!A:D,4,FALSE),"no clearing")</f>
        <v>no clearing</v>
      </c>
      <c r="N213" s="51">
        <f t="shared" si="165"/>
        <v>15</v>
      </c>
      <c r="O213" s="53">
        <f t="shared" si="166"/>
        <v>4</v>
      </c>
      <c r="P213" s="53">
        <f t="shared" si="167"/>
        <v>2025</v>
      </c>
      <c r="Q213" s="53"/>
    </row>
    <row r="214" spans="1:17" customFormat="1" x14ac:dyDescent="0.25">
      <c r="A214">
        <v>3000001648</v>
      </c>
      <c r="B214" s="22">
        <v>45755</v>
      </c>
      <c r="C214" s="50">
        <v>5222771.3</v>
      </c>
      <c r="D214" t="s">
        <v>74</v>
      </c>
      <c r="E214">
        <v>91002338</v>
      </c>
      <c r="F214" s="50">
        <v>5222771.3</v>
      </c>
      <c r="G214" s="22">
        <v>45757</v>
      </c>
      <c r="H214" t="s">
        <v>79</v>
      </c>
      <c r="I214" s="51" t="str">
        <f>IFERROR(IF(VLOOKUP(E214,extracto!C:C,1,FALSE)=E214,"pagado","no pagado"),"no pagado")</f>
        <v>pagado</v>
      </c>
      <c r="J214" s="52" t="str">
        <f t="shared" si="162"/>
        <v>pagado</v>
      </c>
      <c r="K214" s="51" t="str">
        <f t="shared" ca="1" si="163"/>
        <v>excluir</v>
      </c>
      <c r="L214" s="51" t="str">
        <f t="shared" ca="1" si="164"/>
        <v>no semana</v>
      </c>
      <c r="M214" s="51" t="str">
        <f>IFERROR(VLOOKUP(E214,'cheques a conf'!A:D,4,FALSE),"no clearing")</f>
        <v>no clearing</v>
      </c>
      <c r="N214" s="51">
        <f t="shared" si="165"/>
        <v>15</v>
      </c>
      <c r="O214" s="53">
        <f t="shared" si="166"/>
        <v>4</v>
      </c>
      <c r="P214" s="53">
        <f t="shared" si="167"/>
        <v>2025</v>
      </c>
      <c r="Q214" s="53"/>
    </row>
    <row r="215" spans="1:17" customFormat="1" x14ac:dyDescent="0.25">
      <c r="A215">
        <v>3000001650</v>
      </c>
      <c r="B215" s="22">
        <v>45755</v>
      </c>
      <c r="C215" s="50">
        <v>7986987.4400000004</v>
      </c>
      <c r="D215" t="s">
        <v>616</v>
      </c>
      <c r="E215">
        <v>91002341</v>
      </c>
      <c r="F215" s="50">
        <v>7986987.4400000004</v>
      </c>
      <c r="G215" s="22">
        <v>45758</v>
      </c>
      <c r="H215" t="s">
        <v>79</v>
      </c>
      <c r="I215" s="51" t="str">
        <f>IFERROR(IF(VLOOKUP(E215,extracto!C:C,1,FALSE)=E215,"pagado","no pagado"),"no pagado")</f>
        <v>pagado</v>
      </c>
      <c r="J215" s="52" t="str">
        <f t="shared" si="162"/>
        <v>pagado</v>
      </c>
      <c r="K215" s="51" t="str">
        <f t="shared" ca="1" si="163"/>
        <v>excluir</v>
      </c>
      <c r="L215" s="51" t="str">
        <f t="shared" ca="1" si="164"/>
        <v>no semana</v>
      </c>
      <c r="M215" s="51" t="str">
        <f>IFERROR(VLOOKUP(E215,'cheques a conf'!A:D,4,FALSE),"no clearing")</f>
        <v>no clearing</v>
      </c>
      <c r="N215" s="51">
        <f t="shared" si="165"/>
        <v>15</v>
      </c>
      <c r="O215" s="53">
        <f t="shared" si="166"/>
        <v>4</v>
      </c>
      <c r="P215" s="53">
        <f t="shared" si="167"/>
        <v>2025</v>
      </c>
      <c r="Q215" s="53"/>
    </row>
    <row r="216" spans="1:17" customFormat="1" x14ac:dyDescent="0.25">
      <c r="A216">
        <v>3000001651</v>
      </c>
      <c r="B216" s="22">
        <v>45755</v>
      </c>
      <c r="C216" s="50">
        <v>3700335.92</v>
      </c>
      <c r="D216" t="s">
        <v>619</v>
      </c>
      <c r="E216">
        <v>91002342</v>
      </c>
      <c r="F216" s="50">
        <v>3700335.92</v>
      </c>
      <c r="G216" s="22">
        <v>45758</v>
      </c>
      <c r="H216" t="s">
        <v>79</v>
      </c>
      <c r="I216" s="51" t="str">
        <f>IFERROR(IF(VLOOKUP(E216,extracto!C:C,1,FALSE)=E216,"pagado","no pagado"),"no pagado")</f>
        <v>pagado</v>
      </c>
      <c r="J216" s="52" t="str">
        <f t="shared" si="162"/>
        <v>pagado</v>
      </c>
      <c r="K216" s="51" t="str">
        <f t="shared" ca="1" si="163"/>
        <v>excluir</v>
      </c>
      <c r="L216" s="51" t="str">
        <f t="shared" ca="1" si="164"/>
        <v>no semana</v>
      </c>
      <c r="M216" s="51" t="str">
        <f>IFERROR(VLOOKUP(E216,'cheques a conf'!A:D,4,FALSE),"no clearing")</f>
        <v>no clearing</v>
      </c>
      <c r="N216" s="51">
        <f t="shared" si="165"/>
        <v>15</v>
      </c>
      <c r="O216" s="53">
        <f t="shared" si="166"/>
        <v>4</v>
      </c>
      <c r="P216" s="53">
        <f t="shared" si="167"/>
        <v>2025</v>
      </c>
      <c r="Q216" s="53"/>
    </row>
    <row r="217" spans="1:17" customFormat="1" x14ac:dyDescent="0.25">
      <c r="A217">
        <v>3000001652</v>
      </c>
      <c r="B217" s="22">
        <v>45755</v>
      </c>
      <c r="C217" s="50">
        <v>18227468.949999999</v>
      </c>
      <c r="D217" t="s">
        <v>613</v>
      </c>
      <c r="E217">
        <v>91002343</v>
      </c>
      <c r="F217" s="50">
        <v>18227468.949999999</v>
      </c>
      <c r="G217" s="22">
        <v>45758</v>
      </c>
      <c r="H217" t="s">
        <v>79</v>
      </c>
      <c r="I217" s="51" t="str">
        <f>IFERROR(IF(VLOOKUP(E217,extracto!C:C,1,FALSE)=E217,"pagado","no pagado"),"no pagado")</f>
        <v>pagado</v>
      </c>
      <c r="J217" s="52" t="str">
        <f t="shared" si="162"/>
        <v>pagado</v>
      </c>
      <c r="K217" s="51" t="str">
        <f t="shared" ca="1" si="163"/>
        <v>excluir</v>
      </c>
      <c r="L217" s="51" t="str">
        <f t="shared" ca="1" si="164"/>
        <v>no semana</v>
      </c>
      <c r="M217" s="51" t="str">
        <f>IFERROR(VLOOKUP(E217,'cheques a conf'!A:D,4,FALSE),"no clearing")</f>
        <v>no clearing</v>
      </c>
      <c r="N217" s="51">
        <f t="shared" si="165"/>
        <v>15</v>
      </c>
      <c r="O217" s="53">
        <f t="shared" si="166"/>
        <v>4</v>
      </c>
      <c r="P217" s="53">
        <f t="shared" si="167"/>
        <v>2025</v>
      </c>
      <c r="Q217" s="53"/>
    </row>
    <row r="218" spans="1:17" customFormat="1" x14ac:dyDescent="0.25">
      <c r="A218">
        <v>3000001653</v>
      </c>
      <c r="B218" s="22">
        <v>45755</v>
      </c>
      <c r="C218" s="50">
        <v>7235922.6500000004</v>
      </c>
      <c r="D218" t="s">
        <v>642</v>
      </c>
      <c r="E218">
        <v>91002344</v>
      </c>
      <c r="F218" s="50">
        <v>7235922.6500000004</v>
      </c>
      <c r="G218" s="22">
        <v>45758</v>
      </c>
      <c r="H218" t="s">
        <v>79</v>
      </c>
      <c r="I218" s="51" t="str">
        <f>IFERROR(IF(VLOOKUP(E218,extracto!C:C,1,FALSE)=E218,"pagado","no pagado"),"no pagado")</f>
        <v>pagado</v>
      </c>
      <c r="J218" s="52" t="str">
        <f t="shared" si="162"/>
        <v>pagado</v>
      </c>
      <c r="K218" s="51" t="str">
        <f t="shared" ca="1" si="163"/>
        <v>excluir</v>
      </c>
      <c r="L218" s="51" t="str">
        <f t="shared" ca="1" si="164"/>
        <v>no semana</v>
      </c>
      <c r="M218" s="51" t="str">
        <f>IFERROR(VLOOKUP(E218,'cheques a conf'!A:D,4,FALSE),"no clearing")</f>
        <v>no clearing</v>
      </c>
      <c r="N218" s="51">
        <f t="shared" si="165"/>
        <v>15</v>
      </c>
      <c r="O218" s="53">
        <f t="shared" si="166"/>
        <v>4</v>
      </c>
      <c r="P218" s="53">
        <f t="shared" si="167"/>
        <v>2025</v>
      </c>
      <c r="Q218" s="53"/>
    </row>
    <row r="219" spans="1:17" customFormat="1" x14ac:dyDescent="0.25">
      <c r="A219">
        <v>3000001656</v>
      </c>
      <c r="B219" s="22">
        <v>45755</v>
      </c>
      <c r="C219" s="50">
        <v>8567264.0299999993</v>
      </c>
      <c r="D219" t="s">
        <v>621</v>
      </c>
      <c r="E219">
        <v>91002349</v>
      </c>
      <c r="F219" s="50">
        <v>8567264.0299999993</v>
      </c>
      <c r="G219" s="22">
        <v>45758</v>
      </c>
      <c r="H219" t="s">
        <v>79</v>
      </c>
      <c r="I219" s="51" t="str">
        <f>IFERROR(IF(VLOOKUP(E219,extracto!C:C,1,FALSE)=E219,"pagado","no pagado"),"no pagado")</f>
        <v>pagado</v>
      </c>
      <c r="J219" s="52" t="str">
        <f t="shared" si="162"/>
        <v>pagado</v>
      </c>
      <c r="K219" s="51" t="str">
        <f t="shared" ca="1" si="163"/>
        <v>excluir</v>
      </c>
      <c r="L219" s="51" t="str">
        <f t="shared" ca="1" si="164"/>
        <v>no semana</v>
      </c>
      <c r="M219" s="51" t="str">
        <f>IFERROR(VLOOKUP(E219,'cheques a conf'!A:D,4,FALSE),"no clearing")</f>
        <v>no clearing</v>
      </c>
      <c r="N219" s="51">
        <f t="shared" si="165"/>
        <v>15</v>
      </c>
      <c r="O219" s="53">
        <f t="shared" si="166"/>
        <v>4</v>
      </c>
      <c r="P219" s="53">
        <f t="shared" si="167"/>
        <v>2025</v>
      </c>
      <c r="Q219" s="53"/>
    </row>
    <row r="220" spans="1:17" customFormat="1" x14ac:dyDescent="0.25">
      <c r="A220">
        <v>3000001687</v>
      </c>
      <c r="B220" s="22">
        <v>45756</v>
      </c>
      <c r="C220" s="50">
        <v>3888830</v>
      </c>
      <c r="D220" t="s">
        <v>595</v>
      </c>
      <c r="E220">
        <v>94326816</v>
      </c>
      <c r="F220" s="50">
        <v>3888830</v>
      </c>
      <c r="G220" s="22">
        <v>45758</v>
      </c>
      <c r="H220" t="s">
        <v>13</v>
      </c>
      <c r="I220" s="51" t="str">
        <f>IFERROR(IF(VLOOKUP(E220,extracto!C:C,1,FALSE)=E220,"pagado","no pagado"),"no pagado")</f>
        <v>pagado</v>
      </c>
      <c r="J220" s="52" t="str">
        <f t="shared" ref="J220:J228" si="168">IF(I220="pagado","pagado",IF(G220&lt;$V$1-30,"fuera de fecha","en periodo de pago"))</f>
        <v>pagado</v>
      </c>
      <c r="K220" s="51" t="str">
        <f t="shared" ref="K220:K228" ca="1" si="169">+IF(B220&gt;$V$1,"excluir",IF(J220="en periodo de pago",IF($V$1&gt;G220,"a pagar","proximo a vencer"),"excluir"))</f>
        <v>excluir</v>
      </c>
      <c r="L220" s="51" t="str">
        <f t="shared" ref="L220:L228" ca="1" si="170">+IF(K220="proximo a vencer",IF($V$1+5&gt;G220,"para la semana","no semana"),"no semana")</f>
        <v>no semana</v>
      </c>
      <c r="M220" s="51" t="str">
        <f>IFERROR(VLOOKUP(E220,'cheques a conf'!A:D,4,FALSE),"no clearing")</f>
        <v>no clearing</v>
      </c>
      <c r="N220" s="51">
        <f t="shared" ref="N220:N228" si="171">+WEEKNUM(G220,2)</f>
        <v>15</v>
      </c>
      <c r="O220" s="53">
        <f t="shared" ref="O220:O228" si="172">+MONTH(G220)</f>
        <v>4</v>
      </c>
      <c r="P220" s="53">
        <f t="shared" ref="P220:P228" si="173">+YEAR(G220)</f>
        <v>2025</v>
      </c>
      <c r="Q220" s="53"/>
    </row>
    <row r="221" spans="1:17" customFormat="1" x14ac:dyDescent="0.25">
      <c r="A221">
        <v>3000001687</v>
      </c>
      <c r="B221" s="22">
        <v>45756</v>
      </c>
      <c r="C221" s="50">
        <v>3096372</v>
      </c>
      <c r="D221" t="s">
        <v>595</v>
      </c>
      <c r="E221">
        <v>94326817</v>
      </c>
      <c r="F221" s="50">
        <v>3096372</v>
      </c>
      <c r="G221" s="22">
        <v>45758</v>
      </c>
      <c r="H221" t="s">
        <v>13</v>
      </c>
      <c r="I221" s="51" t="str">
        <f>IFERROR(IF(VLOOKUP(E221,extracto!C:C,1,FALSE)=E221,"pagado","no pagado"),"no pagado")</f>
        <v>pagado</v>
      </c>
      <c r="J221" s="52" t="str">
        <f t="shared" si="168"/>
        <v>pagado</v>
      </c>
      <c r="K221" s="51" t="str">
        <f t="shared" ca="1" si="169"/>
        <v>excluir</v>
      </c>
      <c r="L221" s="51" t="str">
        <f t="shared" ca="1" si="170"/>
        <v>no semana</v>
      </c>
      <c r="M221" s="51" t="str">
        <f>IFERROR(VLOOKUP(E221,'cheques a conf'!A:D,4,FALSE),"no clearing")</f>
        <v>no clearing</v>
      </c>
      <c r="N221" s="51">
        <f t="shared" si="171"/>
        <v>15</v>
      </c>
      <c r="O221" s="53">
        <f t="shared" si="172"/>
        <v>4</v>
      </c>
      <c r="P221" s="53">
        <f t="shared" si="173"/>
        <v>2025</v>
      </c>
      <c r="Q221" s="53"/>
    </row>
    <row r="222" spans="1:17" customFormat="1" x14ac:dyDescent="0.25">
      <c r="A222">
        <v>3000001687</v>
      </c>
      <c r="B222" s="22">
        <v>45756</v>
      </c>
      <c r="C222" s="50">
        <v>1243130</v>
      </c>
      <c r="D222" t="s">
        <v>595</v>
      </c>
      <c r="E222">
        <v>94326818</v>
      </c>
      <c r="F222" s="50">
        <v>1243130</v>
      </c>
      <c r="G222" s="22">
        <v>45758</v>
      </c>
      <c r="H222" t="s">
        <v>13</v>
      </c>
      <c r="I222" s="51" t="str">
        <f>IFERROR(IF(VLOOKUP(E222,extracto!C:C,1,FALSE)=E222,"pagado","no pagado"),"no pagado")</f>
        <v>pagado</v>
      </c>
      <c r="J222" s="52" t="str">
        <f t="shared" si="168"/>
        <v>pagado</v>
      </c>
      <c r="K222" s="51" t="str">
        <f t="shared" ca="1" si="169"/>
        <v>excluir</v>
      </c>
      <c r="L222" s="51" t="str">
        <f t="shared" ca="1" si="170"/>
        <v>no semana</v>
      </c>
      <c r="M222" s="51" t="str">
        <f>IFERROR(VLOOKUP(E222,'cheques a conf'!A:D,4,FALSE),"no clearing")</f>
        <v>no clearing</v>
      </c>
      <c r="N222" s="51">
        <f t="shared" si="171"/>
        <v>15</v>
      </c>
      <c r="O222" s="53">
        <f t="shared" si="172"/>
        <v>4</v>
      </c>
      <c r="P222" s="53">
        <f t="shared" si="173"/>
        <v>2025</v>
      </c>
      <c r="Q222" s="53"/>
    </row>
    <row r="223" spans="1:17" customFormat="1" x14ac:dyDescent="0.25">
      <c r="A223">
        <v>3000001687</v>
      </c>
      <c r="B223" s="22">
        <v>45756</v>
      </c>
      <c r="C223" s="50">
        <v>5150000</v>
      </c>
      <c r="D223" t="s">
        <v>595</v>
      </c>
      <c r="E223">
        <v>94326819</v>
      </c>
      <c r="F223" s="50">
        <v>5150000</v>
      </c>
      <c r="G223" s="22">
        <v>45758</v>
      </c>
      <c r="H223" t="s">
        <v>13</v>
      </c>
      <c r="I223" s="51" t="str">
        <f>IFERROR(IF(VLOOKUP(E223,extracto!C:C,1,FALSE)=E223,"pagado","no pagado"),"no pagado")</f>
        <v>pagado</v>
      </c>
      <c r="J223" s="52" t="str">
        <f t="shared" si="168"/>
        <v>pagado</v>
      </c>
      <c r="K223" s="51" t="str">
        <f t="shared" ca="1" si="169"/>
        <v>excluir</v>
      </c>
      <c r="L223" s="51" t="str">
        <f t="shared" ca="1" si="170"/>
        <v>no semana</v>
      </c>
      <c r="M223" s="51" t="str">
        <f>IFERROR(VLOOKUP(E223,'cheques a conf'!A:D,4,FALSE),"no clearing")</f>
        <v>no clearing</v>
      </c>
      <c r="N223" s="51">
        <f t="shared" si="171"/>
        <v>15</v>
      </c>
      <c r="O223" s="53">
        <f t="shared" si="172"/>
        <v>4</v>
      </c>
      <c r="P223" s="53">
        <f t="shared" si="173"/>
        <v>2025</v>
      </c>
      <c r="Q223" s="53"/>
    </row>
    <row r="224" spans="1:17" customFormat="1" x14ac:dyDescent="0.25">
      <c r="A224">
        <v>3000001687</v>
      </c>
      <c r="B224" s="22">
        <v>45756</v>
      </c>
      <c r="C224" s="50">
        <v>1365000</v>
      </c>
      <c r="D224" t="s">
        <v>595</v>
      </c>
      <c r="E224">
        <v>94326820</v>
      </c>
      <c r="F224" s="50">
        <v>1365000</v>
      </c>
      <c r="G224" s="22">
        <v>45758</v>
      </c>
      <c r="H224" t="s">
        <v>13</v>
      </c>
      <c r="I224" s="51" t="str">
        <f>IFERROR(IF(VLOOKUP(E224,extracto!C:C,1,FALSE)=E224,"pagado","no pagado"),"no pagado")</f>
        <v>pagado</v>
      </c>
      <c r="J224" s="52" t="str">
        <f t="shared" si="168"/>
        <v>pagado</v>
      </c>
      <c r="K224" s="51" t="str">
        <f t="shared" ca="1" si="169"/>
        <v>excluir</v>
      </c>
      <c r="L224" s="51" t="str">
        <f t="shared" ca="1" si="170"/>
        <v>no semana</v>
      </c>
      <c r="M224" s="51" t="str">
        <f>IFERROR(VLOOKUP(E224,'cheques a conf'!A:D,4,FALSE),"no clearing")</f>
        <v>no clearing</v>
      </c>
      <c r="N224" s="51">
        <f t="shared" si="171"/>
        <v>15</v>
      </c>
      <c r="O224" s="53">
        <f t="shared" si="172"/>
        <v>4</v>
      </c>
      <c r="P224" s="53">
        <f t="shared" si="173"/>
        <v>2025</v>
      </c>
      <c r="Q224" s="53"/>
    </row>
    <row r="225" spans="1:17" customFormat="1" x14ac:dyDescent="0.25">
      <c r="A225">
        <v>3000001687</v>
      </c>
      <c r="B225" s="22">
        <v>45756</v>
      </c>
      <c r="C225" s="50">
        <v>3000000</v>
      </c>
      <c r="D225" t="s">
        <v>595</v>
      </c>
      <c r="E225">
        <v>94326821</v>
      </c>
      <c r="F225" s="50">
        <v>3000000</v>
      </c>
      <c r="G225" s="22">
        <v>45758</v>
      </c>
      <c r="H225" t="s">
        <v>13</v>
      </c>
      <c r="I225" s="51" t="str">
        <f>IFERROR(IF(VLOOKUP(E225,extracto!C:C,1,FALSE)=E225,"pagado","no pagado"),"no pagado")</f>
        <v>pagado</v>
      </c>
      <c r="J225" s="52" t="str">
        <f t="shared" si="168"/>
        <v>pagado</v>
      </c>
      <c r="K225" s="51" t="str">
        <f t="shared" ca="1" si="169"/>
        <v>excluir</v>
      </c>
      <c r="L225" s="51" t="str">
        <f t="shared" ca="1" si="170"/>
        <v>no semana</v>
      </c>
      <c r="M225" s="51" t="str">
        <f>IFERROR(VLOOKUP(E225,'cheques a conf'!A:D,4,FALSE),"no clearing")</f>
        <v>no clearing</v>
      </c>
      <c r="N225" s="51">
        <f t="shared" si="171"/>
        <v>15</v>
      </c>
      <c r="O225" s="53">
        <f t="shared" si="172"/>
        <v>4</v>
      </c>
      <c r="P225" s="53">
        <f t="shared" si="173"/>
        <v>2025</v>
      </c>
      <c r="Q225" s="53"/>
    </row>
    <row r="226" spans="1:17" customFormat="1" x14ac:dyDescent="0.25">
      <c r="A226">
        <v>3000001687</v>
      </c>
      <c r="B226" s="22">
        <v>45756</v>
      </c>
      <c r="C226" s="50">
        <v>684493</v>
      </c>
      <c r="D226" t="s">
        <v>595</v>
      </c>
      <c r="E226">
        <v>94326822</v>
      </c>
      <c r="F226" s="50">
        <v>684493</v>
      </c>
      <c r="G226" s="22">
        <v>45758</v>
      </c>
      <c r="H226" t="s">
        <v>13</v>
      </c>
      <c r="I226" s="51" t="str">
        <f>IFERROR(IF(VLOOKUP(E226,extracto!C:C,1,FALSE)=E226,"pagado","no pagado"),"no pagado")</f>
        <v>pagado</v>
      </c>
      <c r="J226" s="52" t="str">
        <f t="shared" si="168"/>
        <v>pagado</v>
      </c>
      <c r="K226" s="51" t="str">
        <f t="shared" ca="1" si="169"/>
        <v>excluir</v>
      </c>
      <c r="L226" s="51" t="str">
        <f t="shared" ca="1" si="170"/>
        <v>no semana</v>
      </c>
      <c r="M226" s="51" t="str">
        <f>IFERROR(VLOOKUP(E226,'cheques a conf'!A:D,4,FALSE),"no clearing")</f>
        <v>no clearing</v>
      </c>
      <c r="N226" s="51">
        <f t="shared" si="171"/>
        <v>15</v>
      </c>
      <c r="O226" s="53">
        <f t="shared" si="172"/>
        <v>4</v>
      </c>
      <c r="P226" s="53">
        <f t="shared" si="173"/>
        <v>2025</v>
      </c>
      <c r="Q226" s="53"/>
    </row>
    <row r="227" spans="1:17" customFormat="1" x14ac:dyDescent="0.25">
      <c r="A227">
        <v>3000001687</v>
      </c>
      <c r="B227" s="22">
        <v>45756</v>
      </c>
      <c r="C227" s="50">
        <v>116103690.52</v>
      </c>
      <c r="D227" t="s">
        <v>595</v>
      </c>
      <c r="E227">
        <v>94326823</v>
      </c>
      <c r="F227" s="50">
        <v>116103690.52</v>
      </c>
      <c r="G227" s="22">
        <v>45758</v>
      </c>
      <c r="H227" t="s">
        <v>13</v>
      </c>
      <c r="I227" s="51" t="str">
        <f>IFERROR(IF(VLOOKUP(E227,extracto!C:C,1,FALSE)=E227,"pagado","no pagado"),"no pagado")</f>
        <v>pagado</v>
      </c>
      <c r="J227" s="52" t="str">
        <f t="shared" si="168"/>
        <v>pagado</v>
      </c>
      <c r="K227" s="51" t="str">
        <f t="shared" ca="1" si="169"/>
        <v>excluir</v>
      </c>
      <c r="L227" s="51" t="str">
        <f t="shared" ca="1" si="170"/>
        <v>no semana</v>
      </c>
      <c r="M227" s="51" t="str">
        <f>IFERROR(VLOOKUP(E227,'cheques a conf'!A:D,4,FALSE),"no clearing")</f>
        <v>no clearing</v>
      </c>
      <c r="N227" s="51">
        <f t="shared" si="171"/>
        <v>15</v>
      </c>
      <c r="O227" s="53">
        <f t="shared" si="172"/>
        <v>4</v>
      </c>
      <c r="P227" s="53">
        <f t="shared" si="173"/>
        <v>2025</v>
      </c>
      <c r="Q227" s="53"/>
    </row>
    <row r="228" spans="1:17" customFormat="1" x14ac:dyDescent="0.25">
      <c r="A228">
        <v>3000001723</v>
      </c>
      <c r="B228" s="22">
        <v>45757</v>
      </c>
      <c r="C228" s="50">
        <v>2947408.93</v>
      </c>
      <c r="D228" t="s">
        <v>611</v>
      </c>
      <c r="E228">
        <v>94326824</v>
      </c>
      <c r="F228" s="50">
        <v>2947408.93</v>
      </c>
      <c r="G228" s="22">
        <v>45758</v>
      </c>
      <c r="H228" t="s">
        <v>13</v>
      </c>
      <c r="I228" s="51" t="str">
        <f>IFERROR(IF(VLOOKUP(E228,extracto!C:C,1,FALSE)=E228,"pagado","no pagado"),"no pagado")</f>
        <v>pagado</v>
      </c>
      <c r="J228" s="52" t="str">
        <f t="shared" si="168"/>
        <v>pagado</v>
      </c>
      <c r="K228" s="51" t="str">
        <f t="shared" ca="1" si="169"/>
        <v>excluir</v>
      </c>
      <c r="L228" s="51" t="str">
        <f t="shared" ca="1" si="170"/>
        <v>no semana</v>
      </c>
      <c r="M228" s="51" t="str">
        <f>IFERROR(VLOOKUP(E228,'cheques a conf'!A:D,4,FALSE),"no clearing")</f>
        <v>no clearing</v>
      </c>
      <c r="N228" s="51">
        <f t="shared" si="171"/>
        <v>15</v>
      </c>
      <c r="O228" s="53">
        <f t="shared" si="172"/>
        <v>4</v>
      </c>
      <c r="P228" s="53">
        <f t="shared" si="173"/>
        <v>2025</v>
      </c>
      <c r="Q228" s="53"/>
    </row>
    <row r="229" spans="1:17" customFormat="1" x14ac:dyDescent="0.25">
      <c r="A229">
        <v>3000001786</v>
      </c>
      <c r="B229" s="22">
        <v>45761</v>
      </c>
      <c r="C229" s="50">
        <v>25000000</v>
      </c>
      <c r="D229" t="s">
        <v>643</v>
      </c>
      <c r="E229">
        <v>91002350</v>
      </c>
      <c r="F229" s="50">
        <v>25000000</v>
      </c>
      <c r="G229" s="22">
        <v>45763</v>
      </c>
      <c r="H229" t="s">
        <v>79</v>
      </c>
      <c r="I229" s="51" t="str">
        <f>IFERROR(IF(VLOOKUP(E229,extracto!C:C,1,FALSE)=E229,"pagado","no pagado"),"no pagado")</f>
        <v>pagado</v>
      </c>
      <c r="J229" s="52" t="str">
        <f t="shared" ref="J229:J250" si="174">IF(I229="pagado","pagado",IF(G229&lt;$V$1-30,"fuera de fecha","en periodo de pago"))</f>
        <v>pagado</v>
      </c>
      <c r="K229" s="51" t="str">
        <f t="shared" ref="K229:K250" ca="1" si="175">+IF(B229&gt;$V$1,"excluir",IF(J229="en periodo de pago",IF($V$1&gt;G229,"a pagar","proximo a vencer"),"excluir"))</f>
        <v>excluir</v>
      </c>
      <c r="L229" s="51" t="str">
        <f t="shared" ref="L229:L250" ca="1" si="176">+IF(K229="proximo a vencer",IF($V$1+5&gt;G229,"para la semana","no semana"),"no semana")</f>
        <v>no semana</v>
      </c>
      <c r="M229" s="51" t="str">
        <f>IFERROR(VLOOKUP(E229,'cheques a conf'!A:D,4,FALSE),"no clearing")</f>
        <v>no clearing</v>
      </c>
      <c r="N229" s="51">
        <f t="shared" ref="N229:N250" si="177">+WEEKNUM(G229,2)</f>
        <v>16</v>
      </c>
      <c r="O229" s="53">
        <f t="shared" ref="O229:O250" si="178">+MONTH(G229)</f>
        <v>4</v>
      </c>
      <c r="P229" s="53">
        <f t="shared" ref="P229:P250" si="179">+YEAR(G229)</f>
        <v>2025</v>
      </c>
      <c r="Q229" s="53"/>
    </row>
    <row r="230" spans="1:17" customFormat="1" x14ac:dyDescent="0.25">
      <c r="A230">
        <v>3000001786</v>
      </c>
      <c r="B230" s="22">
        <v>45761</v>
      </c>
      <c r="C230" s="50">
        <v>24282450</v>
      </c>
      <c r="D230" t="s">
        <v>643</v>
      </c>
      <c r="E230">
        <v>91002351</v>
      </c>
      <c r="F230" s="50">
        <v>24282450</v>
      </c>
      <c r="G230" s="22">
        <v>45768</v>
      </c>
      <c r="H230" t="s">
        <v>79</v>
      </c>
      <c r="I230" s="51" t="str">
        <f>IFERROR(IF(VLOOKUP(E230,extracto!C:C,1,FALSE)=E230,"pagado","no pagado"),"no pagado")</f>
        <v>pagado</v>
      </c>
      <c r="J230" s="52" t="str">
        <f t="shared" si="174"/>
        <v>pagado</v>
      </c>
      <c r="K230" s="51" t="str">
        <f t="shared" ca="1" si="175"/>
        <v>excluir</v>
      </c>
      <c r="L230" s="51" t="str">
        <f t="shared" ca="1" si="176"/>
        <v>no semana</v>
      </c>
      <c r="M230" s="51" t="str">
        <f>IFERROR(VLOOKUP(E230,'cheques a conf'!A:D,4,FALSE),"no clearing")</f>
        <v>no clearing</v>
      </c>
      <c r="N230" s="51">
        <f t="shared" si="177"/>
        <v>17</v>
      </c>
      <c r="O230" s="53">
        <f t="shared" si="178"/>
        <v>4</v>
      </c>
      <c r="P230" s="53">
        <f t="shared" si="179"/>
        <v>2025</v>
      </c>
      <c r="Q230" s="53"/>
    </row>
    <row r="231" spans="1:17" customFormat="1" x14ac:dyDescent="0.25">
      <c r="A231">
        <v>3000001788</v>
      </c>
      <c r="B231" s="22">
        <v>45761</v>
      </c>
      <c r="C231" s="50">
        <v>16000000</v>
      </c>
      <c r="D231" t="s">
        <v>644</v>
      </c>
      <c r="E231">
        <v>91002353</v>
      </c>
      <c r="F231" s="50">
        <v>16000000</v>
      </c>
      <c r="G231" s="22">
        <v>45763</v>
      </c>
      <c r="H231" t="s">
        <v>79</v>
      </c>
      <c r="I231" s="51" t="str">
        <f>IFERROR(IF(VLOOKUP(E231,extracto!C:C,1,FALSE)=E231,"pagado","no pagado"),"no pagado")</f>
        <v>pagado</v>
      </c>
      <c r="J231" s="52" t="str">
        <f t="shared" si="174"/>
        <v>pagado</v>
      </c>
      <c r="K231" s="51" t="str">
        <f t="shared" ca="1" si="175"/>
        <v>excluir</v>
      </c>
      <c r="L231" s="51" t="str">
        <f t="shared" ca="1" si="176"/>
        <v>no semana</v>
      </c>
      <c r="M231" s="51" t="str">
        <f>IFERROR(VLOOKUP(E231,'cheques a conf'!A:D,4,FALSE),"no clearing")</f>
        <v>no clearing</v>
      </c>
      <c r="N231" s="51">
        <f t="shared" si="177"/>
        <v>16</v>
      </c>
      <c r="O231" s="53">
        <f t="shared" si="178"/>
        <v>4</v>
      </c>
      <c r="P231" s="53">
        <f t="shared" si="179"/>
        <v>2025</v>
      </c>
      <c r="Q231" s="53"/>
    </row>
    <row r="232" spans="1:17" customFormat="1" x14ac:dyDescent="0.25">
      <c r="A232">
        <v>3000001788</v>
      </c>
      <c r="B232" s="22">
        <v>45761</v>
      </c>
      <c r="C232" s="50">
        <v>15007293.4</v>
      </c>
      <c r="D232" t="s">
        <v>644</v>
      </c>
      <c r="E232">
        <v>91002354</v>
      </c>
      <c r="F232" s="50">
        <v>15007293.4</v>
      </c>
      <c r="G232" s="22">
        <v>45768</v>
      </c>
      <c r="H232" t="s">
        <v>79</v>
      </c>
      <c r="I232" s="51" t="str">
        <f>IFERROR(IF(VLOOKUP(E232,extracto!C:C,1,FALSE)=E232,"pagado","no pagado"),"no pagado")</f>
        <v>pagado</v>
      </c>
      <c r="J232" s="52" t="str">
        <f t="shared" si="174"/>
        <v>pagado</v>
      </c>
      <c r="K232" s="51" t="str">
        <f t="shared" ca="1" si="175"/>
        <v>excluir</v>
      </c>
      <c r="L232" s="51" t="str">
        <f t="shared" ca="1" si="176"/>
        <v>no semana</v>
      </c>
      <c r="M232" s="51" t="str">
        <f>IFERROR(VLOOKUP(E232,'cheques a conf'!A:D,4,FALSE),"no clearing")</f>
        <v>no clearing</v>
      </c>
      <c r="N232" s="51">
        <f t="shared" si="177"/>
        <v>17</v>
      </c>
      <c r="O232" s="53">
        <f t="shared" si="178"/>
        <v>4</v>
      </c>
      <c r="P232" s="53">
        <f t="shared" si="179"/>
        <v>2025</v>
      </c>
      <c r="Q232" s="53"/>
    </row>
    <row r="233" spans="1:17" customFormat="1" x14ac:dyDescent="0.25">
      <c r="A233">
        <v>3000001789</v>
      </c>
      <c r="B233" s="22">
        <v>45761</v>
      </c>
      <c r="C233" s="50">
        <v>19000000</v>
      </c>
      <c r="D233" t="s">
        <v>631</v>
      </c>
      <c r="E233">
        <v>91002355</v>
      </c>
      <c r="F233" s="50">
        <v>19000000</v>
      </c>
      <c r="G233" s="22">
        <v>45763</v>
      </c>
      <c r="H233" t="s">
        <v>79</v>
      </c>
      <c r="I233" s="51" t="str">
        <f>IFERROR(IF(VLOOKUP(E233,extracto!C:C,1,FALSE)=E233,"pagado","no pagado"),"no pagado")</f>
        <v>pagado</v>
      </c>
      <c r="J233" s="52" t="str">
        <f t="shared" si="174"/>
        <v>pagado</v>
      </c>
      <c r="K233" s="51" t="str">
        <f t="shared" ca="1" si="175"/>
        <v>excluir</v>
      </c>
      <c r="L233" s="51" t="str">
        <f t="shared" ca="1" si="176"/>
        <v>no semana</v>
      </c>
      <c r="M233" s="51" t="str">
        <f>IFERROR(VLOOKUP(E233,'cheques a conf'!A:D,4,FALSE),"no clearing")</f>
        <v>no clearing</v>
      </c>
      <c r="N233" s="51">
        <f t="shared" si="177"/>
        <v>16</v>
      </c>
      <c r="O233" s="53">
        <f t="shared" si="178"/>
        <v>4</v>
      </c>
      <c r="P233" s="53">
        <f t="shared" si="179"/>
        <v>2025</v>
      </c>
      <c r="Q233" s="53"/>
    </row>
    <row r="234" spans="1:17" customFormat="1" x14ac:dyDescent="0.25">
      <c r="A234">
        <v>3000001789</v>
      </c>
      <c r="B234" s="22">
        <v>45761</v>
      </c>
      <c r="C234" s="50">
        <v>19438843.399999999</v>
      </c>
      <c r="D234" t="s">
        <v>631</v>
      </c>
      <c r="E234">
        <v>91002356</v>
      </c>
      <c r="F234" s="50">
        <v>19438843.399999999</v>
      </c>
      <c r="G234" s="22">
        <v>45768</v>
      </c>
      <c r="H234" t="s">
        <v>79</v>
      </c>
      <c r="I234" s="51" t="str">
        <f>IFERROR(IF(VLOOKUP(E234,extracto!C:C,1,FALSE)=E234,"pagado","no pagado"),"no pagado")</f>
        <v>pagado</v>
      </c>
      <c r="J234" s="52" t="str">
        <f t="shared" si="174"/>
        <v>pagado</v>
      </c>
      <c r="K234" s="51" t="str">
        <f t="shared" ca="1" si="175"/>
        <v>excluir</v>
      </c>
      <c r="L234" s="51" t="str">
        <f t="shared" ca="1" si="176"/>
        <v>no semana</v>
      </c>
      <c r="M234" s="51" t="str">
        <f>IFERROR(VLOOKUP(E234,'cheques a conf'!A:D,4,FALSE),"no clearing")</f>
        <v>no clearing</v>
      </c>
      <c r="N234" s="51">
        <f t="shared" si="177"/>
        <v>17</v>
      </c>
      <c r="O234" s="53">
        <f t="shared" si="178"/>
        <v>4</v>
      </c>
      <c r="P234" s="53">
        <f t="shared" si="179"/>
        <v>2025</v>
      </c>
      <c r="Q234" s="53"/>
    </row>
    <row r="235" spans="1:17" customFormat="1" x14ac:dyDescent="0.25">
      <c r="A235">
        <v>3000001791</v>
      </c>
      <c r="B235" s="22">
        <v>45761</v>
      </c>
      <c r="C235" s="50">
        <v>10000000</v>
      </c>
      <c r="D235" t="s">
        <v>597</v>
      </c>
      <c r="E235">
        <v>91002358</v>
      </c>
      <c r="F235" s="50">
        <v>10000000</v>
      </c>
      <c r="G235" s="22">
        <v>45763</v>
      </c>
      <c r="H235" t="s">
        <v>79</v>
      </c>
      <c r="I235" s="51" t="str">
        <f>IFERROR(IF(VLOOKUP(E235,extracto!C:C,1,FALSE)=E235,"pagado","no pagado"),"no pagado")</f>
        <v>pagado</v>
      </c>
      <c r="J235" s="52" t="str">
        <f t="shared" si="174"/>
        <v>pagado</v>
      </c>
      <c r="K235" s="51" t="str">
        <f t="shared" ca="1" si="175"/>
        <v>excluir</v>
      </c>
      <c r="L235" s="51" t="str">
        <f t="shared" ca="1" si="176"/>
        <v>no semana</v>
      </c>
      <c r="M235" s="51" t="str">
        <f>IFERROR(VLOOKUP(E235,'cheques a conf'!A:D,4,FALSE),"no clearing")</f>
        <v>no clearing</v>
      </c>
      <c r="N235" s="51">
        <f t="shared" si="177"/>
        <v>16</v>
      </c>
      <c r="O235" s="53">
        <f t="shared" si="178"/>
        <v>4</v>
      </c>
      <c r="P235" s="53">
        <f t="shared" si="179"/>
        <v>2025</v>
      </c>
      <c r="Q235" s="53"/>
    </row>
    <row r="236" spans="1:17" customFormat="1" x14ac:dyDescent="0.25">
      <c r="A236">
        <v>3000001791</v>
      </c>
      <c r="B236" s="22">
        <v>45761</v>
      </c>
      <c r="C236" s="50">
        <v>7384547.4400000004</v>
      </c>
      <c r="D236" t="s">
        <v>597</v>
      </c>
      <c r="E236">
        <v>91002359</v>
      </c>
      <c r="F236" s="50">
        <v>7384547.4400000004</v>
      </c>
      <c r="G236" s="22">
        <v>45768</v>
      </c>
      <c r="H236" t="s">
        <v>79</v>
      </c>
      <c r="I236" s="51" t="str">
        <f>IFERROR(IF(VLOOKUP(E236,extracto!C:C,1,FALSE)=E236,"pagado","no pagado"),"no pagado")</f>
        <v>pagado</v>
      </c>
      <c r="J236" s="52" t="str">
        <f t="shared" si="174"/>
        <v>pagado</v>
      </c>
      <c r="K236" s="51" t="str">
        <f t="shared" ca="1" si="175"/>
        <v>excluir</v>
      </c>
      <c r="L236" s="51" t="str">
        <f t="shared" ca="1" si="176"/>
        <v>no semana</v>
      </c>
      <c r="M236" s="51" t="str">
        <f>IFERROR(VLOOKUP(E236,'cheques a conf'!A:D,4,FALSE),"no clearing")</f>
        <v>no clearing</v>
      </c>
      <c r="N236" s="51">
        <f t="shared" si="177"/>
        <v>17</v>
      </c>
      <c r="O236" s="53">
        <f t="shared" si="178"/>
        <v>4</v>
      </c>
      <c r="P236" s="53">
        <f t="shared" si="179"/>
        <v>2025</v>
      </c>
      <c r="Q236" s="53"/>
    </row>
    <row r="237" spans="1:17" customFormat="1" x14ac:dyDescent="0.25">
      <c r="A237">
        <v>3000001792</v>
      </c>
      <c r="B237" s="22">
        <v>45761</v>
      </c>
      <c r="C237" s="50">
        <v>18000000</v>
      </c>
      <c r="D237" t="s">
        <v>631</v>
      </c>
      <c r="E237">
        <v>91002360</v>
      </c>
      <c r="F237" s="50">
        <v>18000000</v>
      </c>
      <c r="G237" s="22">
        <v>45763</v>
      </c>
      <c r="H237" t="s">
        <v>79</v>
      </c>
      <c r="I237" s="51" t="str">
        <f>IFERROR(IF(VLOOKUP(E237,extracto!C:C,1,FALSE)=E237,"pagado","no pagado"),"no pagado")</f>
        <v>pagado</v>
      </c>
      <c r="J237" s="52" t="str">
        <f t="shared" si="174"/>
        <v>pagado</v>
      </c>
      <c r="K237" s="51" t="str">
        <f t="shared" ca="1" si="175"/>
        <v>excluir</v>
      </c>
      <c r="L237" s="51" t="str">
        <f t="shared" ca="1" si="176"/>
        <v>no semana</v>
      </c>
      <c r="M237" s="51" t="str">
        <f>IFERROR(VLOOKUP(E237,'cheques a conf'!A:D,4,FALSE),"no clearing")</f>
        <v>no clearing</v>
      </c>
      <c r="N237" s="51">
        <f t="shared" si="177"/>
        <v>16</v>
      </c>
      <c r="O237" s="53">
        <f t="shared" si="178"/>
        <v>4</v>
      </c>
      <c r="P237" s="53">
        <f t="shared" si="179"/>
        <v>2025</v>
      </c>
      <c r="Q237" s="53"/>
    </row>
    <row r="238" spans="1:17" customFormat="1" x14ac:dyDescent="0.25">
      <c r="A238">
        <v>3000001792</v>
      </c>
      <c r="B238" s="22">
        <v>45761</v>
      </c>
      <c r="C238" s="50">
        <v>19849823.140000001</v>
      </c>
      <c r="D238" t="s">
        <v>631</v>
      </c>
      <c r="E238">
        <v>91002361</v>
      </c>
      <c r="F238" s="50">
        <v>19849823.140000001</v>
      </c>
      <c r="G238" s="22">
        <v>45768</v>
      </c>
      <c r="H238" t="s">
        <v>79</v>
      </c>
      <c r="I238" s="51" t="str">
        <f>IFERROR(IF(VLOOKUP(E238,extracto!C:C,1,FALSE)=E238,"pagado","no pagado"),"no pagado")</f>
        <v>pagado</v>
      </c>
      <c r="J238" s="52" t="str">
        <f t="shared" si="174"/>
        <v>pagado</v>
      </c>
      <c r="K238" s="51" t="str">
        <f t="shared" ca="1" si="175"/>
        <v>excluir</v>
      </c>
      <c r="L238" s="51" t="str">
        <f t="shared" ca="1" si="176"/>
        <v>no semana</v>
      </c>
      <c r="M238" s="51" t="str">
        <f>IFERROR(VLOOKUP(E238,'cheques a conf'!A:D,4,FALSE),"no clearing")</f>
        <v>no clearing</v>
      </c>
      <c r="N238" s="51">
        <f t="shared" si="177"/>
        <v>17</v>
      </c>
      <c r="O238" s="53">
        <f t="shared" si="178"/>
        <v>4</v>
      </c>
      <c r="P238" s="53">
        <f t="shared" si="179"/>
        <v>2025</v>
      </c>
      <c r="Q238" s="53"/>
    </row>
    <row r="239" spans="1:17" customFormat="1" x14ac:dyDescent="0.25">
      <c r="A239">
        <v>3000001793</v>
      </c>
      <c r="B239" s="22">
        <v>45761</v>
      </c>
      <c r="C239" s="50">
        <v>16000000</v>
      </c>
      <c r="D239" t="s">
        <v>607</v>
      </c>
      <c r="E239">
        <v>91002362</v>
      </c>
      <c r="F239" s="50">
        <v>16000000</v>
      </c>
      <c r="G239" s="22">
        <v>45763</v>
      </c>
      <c r="H239" t="s">
        <v>79</v>
      </c>
      <c r="I239" s="51" t="str">
        <f>IFERROR(IF(VLOOKUP(E239,extracto!C:C,1,FALSE)=E239,"pagado","no pagado"),"no pagado")</f>
        <v>pagado</v>
      </c>
      <c r="J239" s="52" t="str">
        <f t="shared" si="174"/>
        <v>pagado</v>
      </c>
      <c r="K239" s="51" t="str">
        <f t="shared" ca="1" si="175"/>
        <v>excluir</v>
      </c>
      <c r="L239" s="51" t="str">
        <f t="shared" ca="1" si="176"/>
        <v>no semana</v>
      </c>
      <c r="M239" s="51" t="str">
        <f>IFERROR(VLOOKUP(E239,'cheques a conf'!A:D,4,FALSE),"no clearing")</f>
        <v>no clearing</v>
      </c>
      <c r="N239" s="51">
        <f t="shared" si="177"/>
        <v>16</v>
      </c>
      <c r="O239" s="53">
        <f t="shared" si="178"/>
        <v>4</v>
      </c>
      <c r="P239" s="53">
        <f t="shared" si="179"/>
        <v>2025</v>
      </c>
      <c r="Q239" s="53"/>
    </row>
    <row r="240" spans="1:17" customFormat="1" x14ac:dyDescent="0.25">
      <c r="A240">
        <v>3000001793</v>
      </c>
      <c r="B240" s="22">
        <v>45761</v>
      </c>
      <c r="C240" s="50">
        <v>15470651.689999999</v>
      </c>
      <c r="D240" t="s">
        <v>607</v>
      </c>
      <c r="E240">
        <v>91002363</v>
      </c>
      <c r="F240" s="50">
        <v>15470651.689999999</v>
      </c>
      <c r="G240" s="22">
        <v>45768</v>
      </c>
      <c r="H240" t="s">
        <v>79</v>
      </c>
      <c r="I240" s="51" t="str">
        <f>IFERROR(IF(VLOOKUP(E240,extracto!C:C,1,FALSE)=E240,"pagado","no pagado"),"no pagado")</f>
        <v>pagado</v>
      </c>
      <c r="J240" s="52" t="str">
        <f t="shared" si="174"/>
        <v>pagado</v>
      </c>
      <c r="K240" s="51" t="str">
        <f t="shared" ca="1" si="175"/>
        <v>excluir</v>
      </c>
      <c r="L240" s="51" t="str">
        <f t="shared" ca="1" si="176"/>
        <v>no semana</v>
      </c>
      <c r="M240" s="51" t="str">
        <f>IFERROR(VLOOKUP(E240,'cheques a conf'!A:D,4,FALSE),"no clearing")</f>
        <v>no clearing</v>
      </c>
      <c r="N240" s="51">
        <f t="shared" si="177"/>
        <v>17</v>
      </c>
      <c r="O240" s="53">
        <f t="shared" si="178"/>
        <v>4</v>
      </c>
      <c r="P240" s="53">
        <f t="shared" si="179"/>
        <v>2025</v>
      </c>
      <c r="Q240" s="53"/>
    </row>
    <row r="241" spans="1:17" customFormat="1" x14ac:dyDescent="0.25">
      <c r="A241">
        <v>3000001794</v>
      </c>
      <c r="B241" s="22">
        <v>45761</v>
      </c>
      <c r="C241" s="50">
        <v>10000000</v>
      </c>
      <c r="D241" t="s">
        <v>645</v>
      </c>
      <c r="E241">
        <v>91002364</v>
      </c>
      <c r="F241" s="50">
        <v>10000000</v>
      </c>
      <c r="G241" s="22">
        <v>45763</v>
      </c>
      <c r="H241" t="s">
        <v>79</v>
      </c>
      <c r="I241" s="51" t="str">
        <f>IFERROR(IF(VLOOKUP(E241,extracto!C:C,1,FALSE)=E241,"pagado","no pagado"),"no pagado")</f>
        <v>pagado</v>
      </c>
      <c r="J241" s="52" t="str">
        <f t="shared" si="174"/>
        <v>pagado</v>
      </c>
      <c r="K241" s="51" t="str">
        <f t="shared" ca="1" si="175"/>
        <v>excluir</v>
      </c>
      <c r="L241" s="51" t="str">
        <f t="shared" ca="1" si="176"/>
        <v>no semana</v>
      </c>
      <c r="M241" s="51" t="str">
        <f>IFERROR(VLOOKUP(E241,'cheques a conf'!A:D,4,FALSE),"no clearing")</f>
        <v>no clearing</v>
      </c>
      <c r="N241" s="51">
        <f t="shared" si="177"/>
        <v>16</v>
      </c>
      <c r="O241" s="53">
        <f t="shared" si="178"/>
        <v>4</v>
      </c>
      <c r="P241" s="53">
        <f t="shared" si="179"/>
        <v>2025</v>
      </c>
      <c r="Q241" s="53"/>
    </row>
    <row r="242" spans="1:17" customFormat="1" x14ac:dyDescent="0.25">
      <c r="A242">
        <v>3000001794</v>
      </c>
      <c r="B242" s="22">
        <v>45761</v>
      </c>
      <c r="C242" s="50">
        <v>6295298.71</v>
      </c>
      <c r="D242" t="s">
        <v>645</v>
      </c>
      <c r="E242">
        <v>91002365</v>
      </c>
      <c r="F242" s="50">
        <v>6295298.71</v>
      </c>
      <c r="G242" s="22">
        <v>45768</v>
      </c>
      <c r="H242" t="s">
        <v>79</v>
      </c>
      <c r="I242" s="51" t="str">
        <f>IFERROR(IF(VLOOKUP(E242,extracto!C:C,1,FALSE)=E242,"pagado","no pagado"),"no pagado")</f>
        <v>pagado</v>
      </c>
      <c r="J242" s="52" t="str">
        <f t="shared" si="174"/>
        <v>pagado</v>
      </c>
      <c r="K242" s="51" t="str">
        <f t="shared" ca="1" si="175"/>
        <v>excluir</v>
      </c>
      <c r="L242" s="51" t="str">
        <f t="shared" ca="1" si="176"/>
        <v>no semana</v>
      </c>
      <c r="M242" s="51" t="str">
        <f>IFERROR(VLOOKUP(E242,'cheques a conf'!A:D,4,FALSE),"no clearing")</f>
        <v>no clearing</v>
      </c>
      <c r="N242" s="51">
        <f t="shared" si="177"/>
        <v>17</v>
      </c>
      <c r="O242" s="53">
        <f t="shared" si="178"/>
        <v>4</v>
      </c>
      <c r="P242" s="53">
        <f t="shared" si="179"/>
        <v>2025</v>
      </c>
      <c r="Q242" s="53"/>
    </row>
    <row r="243" spans="1:17" customFormat="1" x14ac:dyDescent="0.25">
      <c r="A243">
        <v>3000001797</v>
      </c>
      <c r="B243" s="22">
        <v>45761</v>
      </c>
      <c r="C243" s="50">
        <v>20000000</v>
      </c>
      <c r="D243" t="s">
        <v>592</v>
      </c>
      <c r="E243">
        <v>91002368</v>
      </c>
      <c r="F243" s="50">
        <v>20000000</v>
      </c>
      <c r="G243" s="22">
        <v>45763</v>
      </c>
      <c r="H243" t="s">
        <v>79</v>
      </c>
      <c r="I243" s="51" t="str">
        <f>IFERROR(IF(VLOOKUP(E243,extracto!C:C,1,FALSE)=E243,"pagado","no pagado"),"no pagado")</f>
        <v>pagado</v>
      </c>
      <c r="J243" s="52" t="str">
        <f t="shared" si="174"/>
        <v>pagado</v>
      </c>
      <c r="K243" s="51" t="str">
        <f t="shared" ca="1" si="175"/>
        <v>excluir</v>
      </c>
      <c r="L243" s="51" t="str">
        <f t="shared" ca="1" si="176"/>
        <v>no semana</v>
      </c>
      <c r="M243" s="51" t="str">
        <f>IFERROR(VLOOKUP(E243,'cheques a conf'!A:D,4,FALSE),"no clearing")</f>
        <v>no clearing</v>
      </c>
      <c r="N243" s="51">
        <f t="shared" si="177"/>
        <v>16</v>
      </c>
      <c r="O243" s="53">
        <f t="shared" si="178"/>
        <v>4</v>
      </c>
      <c r="P243" s="53">
        <f t="shared" si="179"/>
        <v>2025</v>
      </c>
      <c r="Q243" s="53"/>
    </row>
    <row r="244" spans="1:17" customFormat="1" x14ac:dyDescent="0.25">
      <c r="A244">
        <v>3000001797</v>
      </c>
      <c r="B244" s="22">
        <v>45761</v>
      </c>
      <c r="C244" s="50">
        <v>15075417.92</v>
      </c>
      <c r="D244" t="s">
        <v>592</v>
      </c>
      <c r="E244">
        <v>91002369</v>
      </c>
      <c r="F244" s="50">
        <v>15075417.92</v>
      </c>
      <c r="G244" s="22">
        <v>45768</v>
      </c>
      <c r="H244" t="s">
        <v>79</v>
      </c>
      <c r="I244" s="51" t="str">
        <f>IFERROR(IF(VLOOKUP(E244,extracto!C:C,1,FALSE)=E244,"pagado","no pagado"),"no pagado")</f>
        <v>pagado</v>
      </c>
      <c r="J244" s="52" t="str">
        <f t="shared" si="174"/>
        <v>pagado</v>
      </c>
      <c r="K244" s="51" t="str">
        <f t="shared" ca="1" si="175"/>
        <v>excluir</v>
      </c>
      <c r="L244" s="51" t="str">
        <f t="shared" ca="1" si="176"/>
        <v>no semana</v>
      </c>
      <c r="M244" s="51" t="str">
        <f>IFERROR(VLOOKUP(E244,'cheques a conf'!A:D,4,FALSE),"no clearing")</f>
        <v>no clearing</v>
      </c>
      <c r="N244" s="51">
        <f t="shared" si="177"/>
        <v>17</v>
      </c>
      <c r="O244" s="53">
        <f t="shared" si="178"/>
        <v>4</v>
      </c>
      <c r="P244" s="53">
        <f t="shared" si="179"/>
        <v>2025</v>
      </c>
      <c r="Q244" s="53"/>
    </row>
    <row r="245" spans="1:17" customFormat="1" x14ac:dyDescent="0.25">
      <c r="A245">
        <v>3000001798</v>
      </c>
      <c r="B245" s="22">
        <v>45761</v>
      </c>
      <c r="C245" s="50">
        <v>20000000</v>
      </c>
      <c r="D245" t="s">
        <v>634</v>
      </c>
      <c r="E245">
        <v>91002370</v>
      </c>
      <c r="F245" s="50">
        <v>20000000</v>
      </c>
      <c r="G245" s="22">
        <v>45763</v>
      </c>
      <c r="H245" t="s">
        <v>79</v>
      </c>
      <c r="I245" s="51" t="str">
        <f>IFERROR(IF(VLOOKUP(E245,extracto!C:C,1,FALSE)=E245,"pagado","no pagado"),"no pagado")</f>
        <v>pagado</v>
      </c>
      <c r="J245" s="52" t="str">
        <f t="shared" si="174"/>
        <v>pagado</v>
      </c>
      <c r="K245" s="51" t="str">
        <f t="shared" ca="1" si="175"/>
        <v>excluir</v>
      </c>
      <c r="L245" s="51" t="str">
        <f t="shared" ca="1" si="176"/>
        <v>no semana</v>
      </c>
      <c r="M245" s="51" t="str">
        <f>IFERROR(VLOOKUP(E245,'cheques a conf'!A:D,4,FALSE),"no clearing")</f>
        <v>no clearing</v>
      </c>
      <c r="N245" s="51">
        <f t="shared" si="177"/>
        <v>16</v>
      </c>
      <c r="O245" s="53">
        <f t="shared" si="178"/>
        <v>4</v>
      </c>
      <c r="P245" s="53">
        <f t="shared" si="179"/>
        <v>2025</v>
      </c>
      <c r="Q245" s="53"/>
    </row>
    <row r="246" spans="1:17" customFormat="1" x14ac:dyDescent="0.25">
      <c r="A246">
        <v>3000001798</v>
      </c>
      <c r="B246" s="22">
        <v>45761</v>
      </c>
      <c r="C246" s="50">
        <v>16728942.050000001</v>
      </c>
      <c r="D246" t="s">
        <v>634</v>
      </c>
      <c r="E246">
        <v>91002371</v>
      </c>
      <c r="F246" s="50">
        <v>16728942.050000001</v>
      </c>
      <c r="G246" s="22">
        <v>45768</v>
      </c>
      <c r="H246" t="s">
        <v>79</v>
      </c>
      <c r="I246" s="51" t="str">
        <f>IFERROR(IF(VLOOKUP(E246,extracto!C:C,1,FALSE)=E246,"pagado","no pagado"),"no pagado")</f>
        <v>pagado</v>
      </c>
      <c r="J246" s="52" t="str">
        <f t="shared" si="174"/>
        <v>pagado</v>
      </c>
      <c r="K246" s="51" t="str">
        <f t="shared" ca="1" si="175"/>
        <v>excluir</v>
      </c>
      <c r="L246" s="51" t="str">
        <f t="shared" ca="1" si="176"/>
        <v>no semana</v>
      </c>
      <c r="M246" s="51" t="str">
        <f>IFERROR(VLOOKUP(E246,'cheques a conf'!A:D,4,FALSE),"no clearing")</f>
        <v>no clearing</v>
      </c>
      <c r="N246" s="51">
        <f t="shared" si="177"/>
        <v>17</v>
      </c>
      <c r="O246" s="53">
        <f t="shared" si="178"/>
        <v>4</v>
      </c>
      <c r="P246" s="53">
        <f t="shared" si="179"/>
        <v>2025</v>
      </c>
      <c r="Q246" s="53"/>
    </row>
    <row r="247" spans="1:17" customFormat="1" x14ac:dyDescent="0.25">
      <c r="A247">
        <v>3000001787</v>
      </c>
      <c r="B247" s="22">
        <v>45761</v>
      </c>
      <c r="C247" s="50">
        <v>13815000</v>
      </c>
      <c r="D247" t="s">
        <v>641</v>
      </c>
      <c r="E247">
        <v>91002352</v>
      </c>
      <c r="F247" s="50">
        <v>13815000</v>
      </c>
      <c r="G247" s="22">
        <v>45763</v>
      </c>
      <c r="H247" t="s">
        <v>79</v>
      </c>
      <c r="I247" s="51" t="str">
        <f>IFERROR(IF(VLOOKUP(E247,extracto!C:C,1,FALSE)=E247,"pagado","no pagado"),"no pagado")</f>
        <v>pagado</v>
      </c>
      <c r="J247" s="52" t="str">
        <f t="shared" si="174"/>
        <v>pagado</v>
      </c>
      <c r="K247" s="51" t="str">
        <f t="shared" ca="1" si="175"/>
        <v>excluir</v>
      </c>
      <c r="L247" s="51" t="str">
        <f t="shared" ca="1" si="176"/>
        <v>no semana</v>
      </c>
      <c r="M247" s="51" t="str">
        <f>IFERROR(VLOOKUP(E247,'cheques a conf'!A:D,4,FALSE),"no clearing")</f>
        <v>no clearing</v>
      </c>
      <c r="N247" s="51">
        <f t="shared" si="177"/>
        <v>16</v>
      </c>
      <c r="O247" s="53">
        <f t="shared" si="178"/>
        <v>4</v>
      </c>
      <c r="P247" s="53">
        <f t="shared" si="179"/>
        <v>2025</v>
      </c>
      <c r="Q247" s="53"/>
    </row>
    <row r="248" spans="1:17" customFormat="1" x14ac:dyDescent="0.25">
      <c r="A248">
        <v>3000001790</v>
      </c>
      <c r="B248" s="22">
        <v>45761</v>
      </c>
      <c r="C248" s="50">
        <v>11420400</v>
      </c>
      <c r="D248" t="s">
        <v>640</v>
      </c>
      <c r="E248">
        <v>91002357</v>
      </c>
      <c r="F248" s="50">
        <v>11420400</v>
      </c>
      <c r="G248" s="22">
        <v>45763</v>
      </c>
      <c r="H248" t="s">
        <v>79</v>
      </c>
      <c r="I248" s="51" t="str">
        <f>IFERROR(IF(VLOOKUP(E248,extracto!C:C,1,FALSE)=E248,"pagado","no pagado"),"no pagado")</f>
        <v>pagado</v>
      </c>
      <c r="J248" s="52" t="str">
        <f t="shared" si="174"/>
        <v>pagado</v>
      </c>
      <c r="K248" s="51" t="str">
        <f t="shared" ca="1" si="175"/>
        <v>excluir</v>
      </c>
      <c r="L248" s="51" t="str">
        <f t="shared" ca="1" si="176"/>
        <v>no semana</v>
      </c>
      <c r="M248" s="51" t="str">
        <f>IFERROR(VLOOKUP(E248,'cheques a conf'!A:D,4,FALSE),"no clearing")</f>
        <v>no clearing</v>
      </c>
      <c r="N248" s="51">
        <f t="shared" si="177"/>
        <v>16</v>
      </c>
      <c r="O248" s="53">
        <f t="shared" si="178"/>
        <v>4</v>
      </c>
      <c r="P248" s="53">
        <f t="shared" si="179"/>
        <v>2025</v>
      </c>
      <c r="Q248" s="53"/>
    </row>
    <row r="249" spans="1:17" customFormat="1" x14ac:dyDescent="0.25">
      <c r="A249">
        <v>3000001795</v>
      </c>
      <c r="B249" s="22">
        <v>45761</v>
      </c>
      <c r="C249" s="50">
        <v>5097847.7699999996</v>
      </c>
      <c r="D249" t="s">
        <v>78</v>
      </c>
      <c r="E249">
        <v>91002366</v>
      </c>
      <c r="F249" s="50">
        <v>5097847.7699999996</v>
      </c>
      <c r="G249" s="22">
        <v>45763</v>
      </c>
      <c r="H249" t="s">
        <v>79</v>
      </c>
      <c r="I249" s="51" t="str">
        <f>IFERROR(IF(VLOOKUP(E249,extracto!C:C,1,FALSE)=E249,"pagado","no pagado"),"no pagado")</f>
        <v>pagado</v>
      </c>
      <c r="J249" s="52" t="str">
        <f t="shared" si="174"/>
        <v>pagado</v>
      </c>
      <c r="K249" s="51" t="str">
        <f t="shared" ca="1" si="175"/>
        <v>excluir</v>
      </c>
      <c r="L249" s="51" t="str">
        <f t="shared" ca="1" si="176"/>
        <v>no semana</v>
      </c>
      <c r="M249" s="51" t="str">
        <f>IFERROR(VLOOKUP(E249,'cheques a conf'!A:D,4,FALSE),"no clearing")</f>
        <v>no clearing</v>
      </c>
      <c r="N249" s="51">
        <f t="shared" si="177"/>
        <v>16</v>
      </c>
      <c r="O249" s="53">
        <f t="shared" si="178"/>
        <v>4</v>
      </c>
      <c r="P249" s="53">
        <f t="shared" si="179"/>
        <v>2025</v>
      </c>
      <c r="Q249" s="53"/>
    </row>
    <row r="250" spans="1:17" customFormat="1" x14ac:dyDescent="0.25">
      <c r="A250">
        <v>3000001796</v>
      </c>
      <c r="B250" s="22">
        <v>45761</v>
      </c>
      <c r="C250" s="50">
        <v>7403131.7400000002</v>
      </c>
      <c r="D250" t="s">
        <v>619</v>
      </c>
      <c r="E250">
        <v>91002367</v>
      </c>
      <c r="F250" s="50">
        <v>7403131.7400000002</v>
      </c>
      <c r="G250" s="22">
        <v>45763</v>
      </c>
      <c r="H250" t="s">
        <v>79</v>
      </c>
      <c r="I250" s="51" t="str">
        <f>IFERROR(IF(VLOOKUP(E250,extracto!C:C,1,FALSE)=E250,"pagado","no pagado"),"no pagado")</f>
        <v>pagado</v>
      </c>
      <c r="J250" s="52" t="str">
        <f t="shared" si="174"/>
        <v>pagado</v>
      </c>
      <c r="K250" s="51" t="str">
        <f t="shared" ca="1" si="175"/>
        <v>excluir</v>
      </c>
      <c r="L250" s="51" t="str">
        <f t="shared" ca="1" si="176"/>
        <v>no semana</v>
      </c>
      <c r="M250" s="51" t="str">
        <f>IFERROR(VLOOKUP(E250,'cheques a conf'!A:D,4,FALSE),"no clearing")</f>
        <v>no clearing</v>
      </c>
      <c r="N250" s="51">
        <f t="shared" si="177"/>
        <v>16</v>
      </c>
      <c r="O250" s="53">
        <f t="shared" si="178"/>
        <v>4</v>
      </c>
      <c r="P250" s="53">
        <f t="shared" si="179"/>
        <v>2025</v>
      </c>
      <c r="Q250" s="53"/>
    </row>
    <row r="251" spans="1:17" customFormat="1" x14ac:dyDescent="0.25">
      <c r="A251">
        <v>3000001827</v>
      </c>
      <c r="B251" s="22">
        <v>45762</v>
      </c>
      <c r="C251" s="50">
        <v>92007690</v>
      </c>
      <c r="D251" t="s">
        <v>25</v>
      </c>
      <c r="E251">
        <v>94326825</v>
      </c>
      <c r="F251" s="50">
        <v>92007690</v>
      </c>
      <c r="G251" s="22">
        <v>45763</v>
      </c>
      <c r="H251" t="s">
        <v>13</v>
      </c>
      <c r="I251" s="51" t="str">
        <f>IFERROR(IF(VLOOKUP(E251,extracto!C:C,1,FALSE)=E251,"pagado","no pagado"),"no pagado")</f>
        <v>pagado</v>
      </c>
      <c r="J251" s="52" t="str">
        <f t="shared" ref="J251" si="180">IF(I251="pagado","pagado",IF(G251&lt;$V$1-30,"fuera de fecha","en periodo de pago"))</f>
        <v>pagado</v>
      </c>
      <c r="K251" s="51" t="str">
        <f t="shared" ref="K251" ca="1" si="181">+IF(B251&gt;$V$1,"excluir",IF(J251="en periodo de pago",IF($V$1&gt;G251,"a pagar","proximo a vencer"),"excluir"))</f>
        <v>excluir</v>
      </c>
      <c r="L251" s="51" t="str">
        <f t="shared" ref="L251" ca="1" si="182">+IF(K251="proximo a vencer",IF($V$1+5&gt;G251,"para la semana","no semana"),"no semana")</f>
        <v>no semana</v>
      </c>
      <c r="M251" s="51" t="str">
        <f>IFERROR(VLOOKUP(E251,'cheques a conf'!A:D,4,FALSE),"no clearing")</f>
        <v>no clearing</v>
      </c>
      <c r="N251" s="51">
        <f t="shared" ref="N251" si="183">+WEEKNUM(G251,2)</f>
        <v>16</v>
      </c>
      <c r="O251" s="53">
        <f t="shared" ref="O251" si="184">+MONTH(G251)</f>
        <v>4</v>
      </c>
      <c r="P251" s="53">
        <f t="shared" ref="P251" si="185">+YEAR(G251)</f>
        <v>2025</v>
      </c>
    </row>
    <row r="252" spans="1:17" customFormat="1" x14ac:dyDescent="0.25">
      <c r="A252">
        <v>3000001867</v>
      </c>
      <c r="B252" s="22">
        <v>45763</v>
      </c>
      <c r="C252" s="54">
        <v>6232980</v>
      </c>
      <c r="D252" t="s">
        <v>25</v>
      </c>
      <c r="E252">
        <v>94326826</v>
      </c>
      <c r="F252" s="54">
        <v>6232980</v>
      </c>
      <c r="G252" s="22">
        <v>45768</v>
      </c>
      <c r="H252" t="s">
        <v>13</v>
      </c>
      <c r="I252" s="51" t="str">
        <f>IFERROR(IF(VLOOKUP(E252,extracto!C:C,1,FALSE)=E252,"pagado","no pagado"),"no pagado")</f>
        <v>pagado</v>
      </c>
      <c r="J252" s="52" t="str">
        <f t="shared" ref="J252" si="186">IF(I252="pagado","pagado",IF(G252&lt;$V$1-30,"fuera de fecha","en periodo de pago"))</f>
        <v>pagado</v>
      </c>
      <c r="K252" s="51" t="str">
        <f t="shared" ref="K252" ca="1" si="187">+IF(B252&gt;$V$1,"excluir",IF(J252="en periodo de pago",IF($V$1&gt;G252,"a pagar","proximo a vencer"),"excluir"))</f>
        <v>excluir</v>
      </c>
      <c r="L252" s="51" t="str">
        <f t="shared" ref="L252" ca="1" si="188">+IF(K252="proximo a vencer",IF($V$1+5&gt;G252,"para la semana","no semana"),"no semana")</f>
        <v>no semana</v>
      </c>
      <c r="M252" s="51" t="str">
        <f>IFERROR(VLOOKUP(E252,'cheques a conf'!A:D,4,FALSE),"no clearing")</f>
        <v>no clearing</v>
      </c>
      <c r="N252" s="51">
        <f t="shared" ref="N252" si="189">+WEEKNUM(G252,2)</f>
        <v>17</v>
      </c>
      <c r="O252" s="53">
        <f t="shared" ref="O252" si="190">+MONTH(G252)</f>
        <v>4</v>
      </c>
      <c r="P252" s="53">
        <f t="shared" ref="P252" si="191">+YEAR(G252)</f>
        <v>2025</v>
      </c>
    </row>
    <row r="253" spans="1:17" customFormat="1" x14ac:dyDescent="0.25">
      <c r="A253" s="21">
        <v>3000001906</v>
      </c>
      <c r="B253" s="22">
        <v>45768</v>
      </c>
      <c r="C253" s="54">
        <v>3780852.71</v>
      </c>
      <c r="D253" s="21" t="s">
        <v>646</v>
      </c>
      <c r="E253" s="21">
        <v>91002372</v>
      </c>
      <c r="F253" s="54">
        <v>3780852.71</v>
      </c>
      <c r="G253" s="22">
        <v>45770</v>
      </c>
      <c r="H253" t="s">
        <v>79</v>
      </c>
      <c r="I253" s="51" t="str">
        <f>IFERROR(IF(VLOOKUP(E253,extracto!C:C,1,FALSE)=E253,"pagado","no pagado"),"no pagado")</f>
        <v>pagado</v>
      </c>
      <c r="J253" s="52" t="str">
        <f t="shared" ref="J253:J255" si="192">IF(I253="pagado","pagado",IF(G253&lt;$V$1-30,"fuera de fecha","en periodo de pago"))</f>
        <v>pagado</v>
      </c>
      <c r="K253" s="51" t="str">
        <f t="shared" ref="K253:K255" ca="1" si="193">+IF(B253&gt;$V$1,"excluir",IF(J253="en periodo de pago",IF($V$1&gt;G253,"a pagar","proximo a vencer"),"excluir"))</f>
        <v>excluir</v>
      </c>
      <c r="L253" s="51" t="str">
        <f t="shared" ref="L253:L255" ca="1" si="194">+IF(K253="proximo a vencer",IF($V$1+5&gt;G253,"para la semana","no semana"),"no semana")</f>
        <v>no semana</v>
      </c>
      <c r="M253" s="51" t="str">
        <f>IFERROR(VLOOKUP(E253,'cheques a conf'!A:D,4,FALSE),"no clearing")</f>
        <v>no clearing</v>
      </c>
      <c r="N253" s="51">
        <f t="shared" ref="N253:N255" si="195">+WEEKNUM(G253,2)</f>
        <v>17</v>
      </c>
      <c r="O253" s="53">
        <f t="shared" ref="O253:O255" si="196">+MONTH(G253)</f>
        <v>4</v>
      </c>
      <c r="P253" s="53">
        <f t="shared" ref="P253:P255" si="197">+YEAR(G253)</f>
        <v>2025</v>
      </c>
    </row>
    <row r="254" spans="1:17" customFormat="1" x14ac:dyDescent="0.25">
      <c r="A254" s="21">
        <v>3000001908</v>
      </c>
      <c r="B254" s="22">
        <v>45768</v>
      </c>
      <c r="C254" s="54">
        <v>5763890.4000000004</v>
      </c>
      <c r="D254" s="21" t="s">
        <v>647</v>
      </c>
      <c r="E254" s="21">
        <v>91002374</v>
      </c>
      <c r="F254" s="54">
        <v>5763890.4000000004</v>
      </c>
      <c r="G254" s="22">
        <v>45770</v>
      </c>
      <c r="H254" t="s">
        <v>79</v>
      </c>
      <c r="I254" s="51" t="str">
        <f>IFERROR(IF(VLOOKUP(E254,extracto!C:C,1,FALSE)=E254,"pagado","no pagado"),"no pagado")</f>
        <v>pagado</v>
      </c>
      <c r="J254" s="52" t="str">
        <f t="shared" si="192"/>
        <v>pagado</v>
      </c>
      <c r="K254" s="51" t="str">
        <f t="shared" ca="1" si="193"/>
        <v>excluir</v>
      </c>
      <c r="L254" s="51" t="str">
        <f t="shared" ca="1" si="194"/>
        <v>no semana</v>
      </c>
      <c r="M254" s="51" t="str">
        <f>IFERROR(VLOOKUP(E254,'cheques a conf'!A:D,4,FALSE),"no clearing")</f>
        <v>no clearing</v>
      </c>
      <c r="N254" s="51">
        <f t="shared" si="195"/>
        <v>17</v>
      </c>
      <c r="O254" s="53">
        <f t="shared" si="196"/>
        <v>4</v>
      </c>
      <c r="P254" s="53">
        <f t="shared" si="197"/>
        <v>2025</v>
      </c>
    </row>
    <row r="255" spans="1:17" customFormat="1" x14ac:dyDescent="0.25">
      <c r="A255" s="21">
        <v>3000001907</v>
      </c>
      <c r="B255" s="22">
        <v>45768</v>
      </c>
      <c r="C255" s="54">
        <v>7855457.96</v>
      </c>
      <c r="D255" s="21" t="s">
        <v>600</v>
      </c>
      <c r="E255" s="21">
        <v>91002373</v>
      </c>
      <c r="F255" s="54">
        <v>7855457.96</v>
      </c>
      <c r="G255" s="22">
        <v>45770</v>
      </c>
      <c r="H255" t="s">
        <v>79</v>
      </c>
      <c r="I255" s="51" t="str">
        <f>IFERROR(IF(VLOOKUP(E255,extracto!C:C,1,FALSE)=E255,"pagado","no pagado"),"no pagado")</f>
        <v>pagado</v>
      </c>
      <c r="J255" s="52" t="str">
        <f t="shared" si="192"/>
        <v>pagado</v>
      </c>
      <c r="K255" s="51" t="str">
        <f t="shared" ca="1" si="193"/>
        <v>excluir</v>
      </c>
      <c r="L255" s="51" t="str">
        <f t="shared" ca="1" si="194"/>
        <v>no semana</v>
      </c>
      <c r="M255" s="51" t="str">
        <f>IFERROR(VLOOKUP(E255,'cheques a conf'!A:D,4,FALSE),"no clearing")</f>
        <v>no clearing</v>
      </c>
      <c r="N255" s="51">
        <f t="shared" si="195"/>
        <v>17</v>
      </c>
      <c r="O255" s="53">
        <f t="shared" si="196"/>
        <v>4</v>
      </c>
      <c r="P255" s="53">
        <f t="shared" si="197"/>
        <v>2025</v>
      </c>
    </row>
    <row r="256" spans="1:17" customFormat="1" x14ac:dyDescent="0.25">
      <c r="A256" s="21">
        <v>3000001924</v>
      </c>
      <c r="B256" s="22">
        <v>45769</v>
      </c>
      <c r="C256" s="54">
        <v>4300000</v>
      </c>
      <c r="D256" s="21" t="s">
        <v>648</v>
      </c>
      <c r="E256" s="21">
        <v>2927405</v>
      </c>
      <c r="F256" s="54">
        <v>4300000</v>
      </c>
      <c r="G256" s="22">
        <v>45770</v>
      </c>
      <c r="H256" t="s">
        <v>13</v>
      </c>
      <c r="I256" s="51" t="str">
        <f>IFERROR(IF(VLOOKUP(E256,extracto!C:C,1,FALSE)=E256,"pagado","no pagado"),"no pagado")</f>
        <v>pagado</v>
      </c>
      <c r="J256" s="52" t="str">
        <f t="shared" ref="J256:J257" si="198">IF(I256="pagado","pagado",IF(G256&lt;$V$1-30,"fuera de fecha","en periodo de pago"))</f>
        <v>pagado</v>
      </c>
      <c r="K256" s="51" t="str">
        <f t="shared" ref="K256:K257" ca="1" si="199">+IF(B256&gt;$V$1,"excluir",IF(J256="en periodo de pago",IF($V$1&gt;G256,"a pagar","proximo a vencer"),"excluir"))</f>
        <v>excluir</v>
      </c>
      <c r="L256" s="51" t="str">
        <f t="shared" ref="L256:L257" ca="1" si="200">+IF(K256="proximo a vencer",IF($V$1+5&gt;G256,"para la semana","no semana"),"no semana")</f>
        <v>no semana</v>
      </c>
      <c r="M256" s="51" t="str">
        <f>IFERROR(VLOOKUP(E256,'cheques a conf'!A:D,4,FALSE),"no clearing")</f>
        <v>no clearing</v>
      </c>
      <c r="N256" s="51">
        <f t="shared" ref="N256:N257" si="201">+WEEKNUM(G256,2)</f>
        <v>17</v>
      </c>
      <c r="O256" s="53">
        <f t="shared" ref="O256:O257" si="202">+MONTH(G256)</f>
        <v>4</v>
      </c>
      <c r="P256" s="53">
        <f t="shared" ref="P256:P257" si="203">+YEAR(G256)</f>
        <v>2025</v>
      </c>
    </row>
    <row r="257" spans="1:16" customFormat="1" x14ac:dyDescent="0.25">
      <c r="A257" s="21">
        <v>3000001925</v>
      </c>
      <c r="B257" s="22">
        <v>45769</v>
      </c>
      <c r="C257" s="54">
        <v>106215990</v>
      </c>
      <c r="D257" s="21" t="s">
        <v>25</v>
      </c>
      <c r="E257" s="21">
        <v>94326827</v>
      </c>
      <c r="F257" s="54">
        <v>106215990</v>
      </c>
      <c r="G257" s="22">
        <v>45770</v>
      </c>
      <c r="H257" t="s">
        <v>13</v>
      </c>
      <c r="I257" s="51" t="str">
        <f>IFERROR(IF(VLOOKUP(E257,extracto!C:C,1,FALSE)=E257,"pagado","no pagado"),"no pagado")</f>
        <v>pagado</v>
      </c>
      <c r="J257" s="52" t="str">
        <f t="shared" si="198"/>
        <v>pagado</v>
      </c>
      <c r="K257" s="51" t="str">
        <f t="shared" ca="1" si="199"/>
        <v>excluir</v>
      </c>
      <c r="L257" s="51" t="str">
        <f t="shared" ca="1" si="200"/>
        <v>no semana</v>
      </c>
      <c r="M257" s="51" t="str">
        <f>IFERROR(VLOOKUP(E257,'cheques a conf'!A:D,4,FALSE),"no clearing")</f>
        <v>no clearing</v>
      </c>
      <c r="N257" s="51">
        <f t="shared" si="201"/>
        <v>17</v>
      </c>
      <c r="O257" s="53">
        <f t="shared" si="202"/>
        <v>4</v>
      </c>
      <c r="P257" s="53">
        <f t="shared" si="203"/>
        <v>2025</v>
      </c>
    </row>
    <row r="258" spans="1:16" customFormat="1" x14ac:dyDescent="0.25">
      <c r="A258" s="21">
        <v>3000001955</v>
      </c>
      <c r="B258" s="22">
        <v>45770</v>
      </c>
      <c r="C258" s="54">
        <v>14000000</v>
      </c>
      <c r="D258" s="21" t="s">
        <v>649</v>
      </c>
      <c r="E258" s="21">
        <v>91002381</v>
      </c>
      <c r="F258" s="54">
        <v>14000000</v>
      </c>
      <c r="G258" s="22">
        <v>45775</v>
      </c>
      <c r="H258" t="s">
        <v>79</v>
      </c>
      <c r="I258" s="51" t="str">
        <f>IFERROR(IF(VLOOKUP(E258,extracto!C:C,1,FALSE)=E258,"pagado","no pagado"),"no pagado")</f>
        <v>pagado</v>
      </c>
      <c r="J258" s="52" t="str">
        <f t="shared" ref="J258:J265" si="204">IF(I258="pagado","pagado",IF(G258&lt;$V$1-30,"fuera de fecha","en periodo de pago"))</f>
        <v>pagado</v>
      </c>
      <c r="K258" s="51" t="str">
        <f t="shared" ref="K258:K265" ca="1" si="205">+IF(B258&gt;$V$1,"excluir",IF(J258="en periodo de pago",IF($V$1&gt;G258,"a pagar","proximo a vencer"),"excluir"))</f>
        <v>excluir</v>
      </c>
      <c r="L258" s="51" t="str">
        <f t="shared" ref="L258:L265" ca="1" si="206">+IF(K258="proximo a vencer",IF($V$1+5&gt;G258,"para la semana","no semana"),"no semana")</f>
        <v>no semana</v>
      </c>
      <c r="M258" s="51" t="str">
        <f>IFERROR(VLOOKUP(E258,'cheques a conf'!A:D,4,FALSE),"no clearing")</f>
        <v>no clearing</v>
      </c>
      <c r="N258" s="51">
        <f t="shared" ref="N258:N265" si="207">+WEEKNUM(G258,2)</f>
        <v>18</v>
      </c>
      <c r="O258" s="53">
        <f t="shared" ref="O258:O265" si="208">+MONTH(G258)</f>
        <v>4</v>
      </c>
      <c r="P258" s="53">
        <f t="shared" ref="P258:P265" si="209">+YEAR(G258)</f>
        <v>2025</v>
      </c>
    </row>
    <row r="259" spans="1:16" customFormat="1" x14ac:dyDescent="0.25">
      <c r="A259" s="21">
        <v>3000001955</v>
      </c>
      <c r="B259" s="22">
        <v>45770</v>
      </c>
      <c r="C259" s="54">
        <v>14516201.91</v>
      </c>
      <c r="D259" s="21" t="s">
        <v>649</v>
      </c>
      <c r="E259" s="21">
        <v>91002382</v>
      </c>
      <c r="F259" s="54">
        <v>14516201.91</v>
      </c>
      <c r="G259" s="22">
        <v>45776</v>
      </c>
      <c r="H259" t="s">
        <v>79</v>
      </c>
      <c r="I259" s="51" t="str">
        <f>IFERROR(IF(VLOOKUP(E259,extracto!C:C,1,FALSE)=E259,"pagado","no pagado"),"no pagado")</f>
        <v>pagado</v>
      </c>
      <c r="J259" s="52" t="str">
        <f t="shared" si="204"/>
        <v>pagado</v>
      </c>
      <c r="K259" s="51" t="str">
        <f t="shared" ca="1" si="205"/>
        <v>excluir</v>
      </c>
      <c r="L259" s="51" t="str">
        <f t="shared" ca="1" si="206"/>
        <v>no semana</v>
      </c>
      <c r="M259" s="51" t="str">
        <f>IFERROR(VLOOKUP(E259,'cheques a conf'!A:D,4,FALSE),"no clearing")</f>
        <v>no clearing</v>
      </c>
      <c r="N259" s="51">
        <f t="shared" si="207"/>
        <v>18</v>
      </c>
      <c r="O259" s="53">
        <f t="shared" si="208"/>
        <v>4</v>
      </c>
      <c r="P259" s="53">
        <f t="shared" si="209"/>
        <v>2025</v>
      </c>
    </row>
    <row r="260" spans="1:16" customFormat="1" x14ac:dyDescent="0.25">
      <c r="A260" s="21">
        <v>3000001949</v>
      </c>
      <c r="B260" s="22">
        <v>45770</v>
      </c>
      <c r="C260" s="54">
        <v>7060640.9400000004</v>
      </c>
      <c r="D260" s="21" t="s">
        <v>650</v>
      </c>
      <c r="E260" s="21">
        <v>91002375</v>
      </c>
      <c r="F260" s="54">
        <v>7060640.9400000004</v>
      </c>
      <c r="G260" s="22">
        <v>45775</v>
      </c>
      <c r="H260" t="s">
        <v>79</v>
      </c>
      <c r="I260" s="51" t="str">
        <f>IFERROR(IF(VLOOKUP(E260,extracto!C:C,1,FALSE)=E260,"pagado","no pagado"),"no pagado")</f>
        <v>pagado</v>
      </c>
      <c r="J260" s="52" t="str">
        <f t="shared" si="204"/>
        <v>pagado</v>
      </c>
      <c r="K260" s="51" t="str">
        <f t="shared" ca="1" si="205"/>
        <v>excluir</v>
      </c>
      <c r="L260" s="51" t="str">
        <f t="shared" ca="1" si="206"/>
        <v>no semana</v>
      </c>
      <c r="M260" s="51" t="str">
        <f>IFERROR(VLOOKUP(E260,'cheques a conf'!A:D,4,FALSE),"no clearing")</f>
        <v>no clearing</v>
      </c>
      <c r="N260" s="51">
        <f t="shared" si="207"/>
        <v>18</v>
      </c>
      <c r="O260" s="53">
        <f t="shared" si="208"/>
        <v>4</v>
      </c>
      <c r="P260" s="53">
        <f t="shared" si="209"/>
        <v>2025</v>
      </c>
    </row>
    <row r="261" spans="1:16" customFormat="1" x14ac:dyDescent="0.25">
      <c r="A261" s="21">
        <v>3000001950</v>
      </c>
      <c r="B261" s="22">
        <v>45770</v>
      </c>
      <c r="C261" s="54">
        <v>5219613.87</v>
      </c>
      <c r="D261" s="21" t="s">
        <v>651</v>
      </c>
      <c r="E261" s="21">
        <v>91002376</v>
      </c>
      <c r="F261" s="54">
        <v>5219613.87</v>
      </c>
      <c r="G261" s="22">
        <v>45775</v>
      </c>
      <c r="H261" t="s">
        <v>79</v>
      </c>
      <c r="I261" s="51" t="str">
        <f>IFERROR(IF(VLOOKUP(E261,extracto!C:C,1,FALSE)=E261,"pagado","no pagado"),"no pagado")</f>
        <v>pagado</v>
      </c>
      <c r="J261" s="52" t="str">
        <f t="shared" si="204"/>
        <v>pagado</v>
      </c>
      <c r="K261" s="51" t="str">
        <f t="shared" ca="1" si="205"/>
        <v>excluir</v>
      </c>
      <c r="L261" s="51" t="str">
        <f t="shared" ca="1" si="206"/>
        <v>no semana</v>
      </c>
      <c r="M261" s="51" t="str">
        <f>IFERROR(VLOOKUP(E261,'cheques a conf'!A:D,4,FALSE),"no clearing")</f>
        <v>no clearing</v>
      </c>
      <c r="N261" s="51">
        <f t="shared" si="207"/>
        <v>18</v>
      </c>
      <c r="O261" s="53">
        <f t="shared" si="208"/>
        <v>4</v>
      </c>
      <c r="P261" s="53">
        <f t="shared" si="209"/>
        <v>2025</v>
      </c>
    </row>
    <row r="262" spans="1:16" customFormat="1" x14ac:dyDescent="0.25">
      <c r="A262" s="21">
        <v>3000001951</v>
      </c>
      <c r="B262" s="22">
        <v>45770</v>
      </c>
      <c r="C262" s="54">
        <v>9195647.3100000005</v>
      </c>
      <c r="D262" s="21" t="s">
        <v>652</v>
      </c>
      <c r="E262" s="21">
        <v>91002377</v>
      </c>
      <c r="F262" s="54">
        <v>9195647.3100000005</v>
      </c>
      <c r="G262" s="22">
        <v>45775</v>
      </c>
      <c r="H262" t="s">
        <v>79</v>
      </c>
      <c r="I262" s="51" t="str">
        <f>IFERROR(IF(VLOOKUP(E262,extracto!C:C,1,FALSE)=E262,"pagado","no pagado"),"no pagado")</f>
        <v>pagado</v>
      </c>
      <c r="J262" s="52" t="str">
        <f t="shared" si="204"/>
        <v>pagado</v>
      </c>
      <c r="K262" s="51" t="str">
        <f t="shared" ca="1" si="205"/>
        <v>excluir</v>
      </c>
      <c r="L262" s="51" t="str">
        <f t="shared" ca="1" si="206"/>
        <v>no semana</v>
      </c>
      <c r="M262" s="51" t="str">
        <f>IFERROR(VLOOKUP(E262,'cheques a conf'!A:D,4,FALSE),"no clearing")</f>
        <v>no clearing</v>
      </c>
      <c r="N262" s="51">
        <f t="shared" si="207"/>
        <v>18</v>
      </c>
      <c r="O262" s="53">
        <f t="shared" si="208"/>
        <v>4</v>
      </c>
      <c r="P262" s="53">
        <f t="shared" si="209"/>
        <v>2025</v>
      </c>
    </row>
    <row r="263" spans="1:16" customFormat="1" x14ac:dyDescent="0.25">
      <c r="A263" s="21">
        <v>3000001952</v>
      </c>
      <c r="B263" s="22">
        <v>45770</v>
      </c>
      <c r="C263" s="54">
        <v>12413816.960000001</v>
      </c>
      <c r="D263" s="21" t="s">
        <v>653</v>
      </c>
      <c r="E263" s="21">
        <v>91002378</v>
      </c>
      <c r="F263" s="54">
        <v>12413816.960000001</v>
      </c>
      <c r="G263" s="22">
        <v>45775</v>
      </c>
      <c r="H263" t="s">
        <v>79</v>
      </c>
      <c r="I263" s="51" t="str">
        <f>IFERROR(IF(VLOOKUP(E263,extracto!C:C,1,FALSE)=E263,"pagado","no pagado"),"no pagado")</f>
        <v>pagado</v>
      </c>
      <c r="J263" s="52" t="str">
        <f t="shared" si="204"/>
        <v>pagado</v>
      </c>
      <c r="K263" s="51" t="str">
        <f t="shared" ca="1" si="205"/>
        <v>excluir</v>
      </c>
      <c r="L263" s="51" t="str">
        <f t="shared" ca="1" si="206"/>
        <v>no semana</v>
      </c>
      <c r="M263" s="51" t="str">
        <f>IFERROR(VLOOKUP(E263,'cheques a conf'!A:D,4,FALSE),"no clearing")</f>
        <v>no clearing</v>
      </c>
      <c r="N263" s="51">
        <f t="shared" si="207"/>
        <v>18</v>
      </c>
      <c r="O263" s="53">
        <f t="shared" si="208"/>
        <v>4</v>
      </c>
      <c r="P263" s="53">
        <f t="shared" si="209"/>
        <v>2025</v>
      </c>
    </row>
    <row r="264" spans="1:16" customFormat="1" x14ac:dyDescent="0.25">
      <c r="A264" s="21">
        <v>3000001953</v>
      </c>
      <c r="B264" s="22">
        <v>45770</v>
      </c>
      <c r="C264" s="54">
        <v>7787644.6500000004</v>
      </c>
      <c r="D264" s="21" t="s">
        <v>654</v>
      </c>
      <c r="E264" s="21">
        <v>91002379</v>
      </c>
      <c r="F264" s="54">
        <v>7787644.6500000004</v>
      </c>
      <c r="G264" s="22">
        <v>45775</v>
      </c>
      <c r="H264" t="s">
        <v>79</v>
      </c>
      <c r="I264" s="51" t="str">
        <f>IFERROR(IF(VLOOKUP(E264,extracto!C:C,1,FALSE)=E264,"pagado","no pagado"),"no pagado")</f>
        <v>pagado</v>
      </c>
      <c r="J264" s="52" t="str">
        <f t="shared" si="204"/>
        <v>pagado</v>
      </c>
      <c r="K264" s="51" t="str">
        <f t="shared" ca="1" si="205"/>
        <v>excluir</v>
      </c>
      <c r="L264" s="51" t="str">
        <f t="shared" ca="1" si="206"/>
        <v>no semana</v>
      </c>
      <c r="M264" s="51" t="str">
        <f>IFERROR(VLOOKUP(E264,'cheques a conf'!A:D,4,FALSE),"no clearing")</f>
        <v>no clearing</v>
      </c>
      <c r="N264" s="51">
        <f t="shared" si="207"/>
        <v>18</v>
      </c>
      <c r="O264" s="53">
        <f t="shared" si="208"/>
        <v>4</v>
      </c>
      <c r="P264" s="53">
        <f t="shared" si="209"/>
        <v>2025</v>
      </c>
    </row>
    <row r="265" spans="1:16" customFormat="1" x14ac:dyDescent="0.25">
      <c r="A265" s="21">
        <v>3000001954</v>
      </c>
      <c r="B265" s="22">
        <v>45770</v>
      </c>
      <c r="C265" s="54">
        <v>9326652.8200000003</v>
      </c>
      <c r="D265" s="21" t="s">
        <v>655</v>
      </c>
      <c r="E265" s="21">
        <v>91002380</v>
      </c>
      <c r="F265" s="54">
        <v>9326652.8200000003</v>
      </c>
      <c r="G265" s="22">
        <v>45775</v>
      </c>
      <c r="H265" t="s">
        <v>79</v>
      </c>
      <c r="I265" s="51" t="str">
        <f>IFERROR(IF(VLOOKUP(E265,extracto!C:C,1,FALSE)=E265,"pagado","no pagado"),"no pagado")</f>
        <v>pagado</v>
      </c>
      <c r="J265" s="52" t="str">
        <f t="shared" si="204"/>
        <v>pagado</v>
      </c>
      <c r="K265" s="51" t="str">
        <f t="shared" ca="1" si="205"/>
        <v>excluir</v>
      </c>
      <c r="L265" s="51" t="str">
        <f t="shared" ca="1" si="206"/>
        <v>no semana</v>
      </c>
      <c r="M265" s="51" t="str">
        <f>IFERROR(VLOOKUP(E265,'cheques a conf'!A:D,4,FALSE),"no clearing")</f>
        <v>no clearing</v>
      </c>
      <c r="N265" s="51">
        <f t="shared" si="207"/>
        <v>18</v>
      </c>
      <c r="O265" s="53">
        <f t="shared" si="208"/>
        <v>4</v>
      </c>
      <c r="P265" s="53">
        <f t="shared" si="209"/>
        <v>2025</v>
      </c>
    </row>
    <row r="266" spans="1:16" customFormat="1" x14ac:dyDescent="0.25">
      <c r="A266" s="21">
        <v>3000002048</v>
      </c>
      <c r="B266" s="22">
        <v>45775</v>
      </c>
      <c r="C266" s="54">
        <v>5729492.2300000004</v>
      </c>
      <c r="D266" s="21" t="s">
        <v>656</v>
      </c>
      <c r="E266" s="21">
        <v>1170</v>
      </c>
      <c r="F266" s="54">
        <v>5729492.2300000004</v>
      </c>
      <c r="G266" s="22">
        <v>45777</v>
      </c>
      <c r="H266" t="s">
        <v>32</v>
      </c>
      <c r="I266" s="51" t="str">
        <f>IFERROR(IF(VLOOKUP(E266,extracto!C:C,1,FALSE)=E266,"pagado","no pagado"),"no pagado")</f>
        <v>pagado</v>
      </c>
      <c r="J266" s="52" t="str">
        <f t="shared" ref="J266" si="210">IF(I266="pagado","pagado",IF(G266&lt;$V$1-30,"fuera de fecha","en periodo de pago"))</f>
        <v>pagado</v>
      </c>
      <c r="K266" s="51" t="str">
        <f t="shared" ref="K266" ca="1" si="211">+IF(B266&gt;$V$1,"excluir",IF(J266="en periodo de pago",IF($V$1&gt;G266,"a pagar","proximo a vencer"),"excluir"))</f>
        <v>excluir</v>
      </c>
      <c r="L266" s="51" t="str">
        <f t="shared" ref="L266" ca="1" si="212">+IF(K266="proximo a vencer",IF($V$1+5&gt;G266,"para la semana","no semana"),"no semana")</f>
        <v>no semana</v>
      </c>
      <c r="M266" s="51" t="str">
        <f>IFERROR(VLOOKUP(E266,'cheques a conf'!A:D,4,FALSE),"no clearing")</f>
        <v>no clearing</v>
      </c>
      <c r="N266" s="51">
        <f t="shared" ref="N266" si="213">+WEEKNUM(G266,2)</f>
        <v>18</v>
      </c>
      <c r="O266" s="53">
        <f t="shared" ref="O266" si="214">+MONTH(G266)</f>
        <v>4</v>
      </c>
      <c r="P266" s="53">
        <f t="shared" ref="P266" si="215">+YEAR(G266)</f>
        <v>2025</v>
      </c>
    </row>
    <row r="267" spans="1:16" customFormat="1" x14ac:dyDescent="0.25">
      <c r="A267" s="21">
        <v>3000002049</v>
      </c>
      <c r="B267" s="22">
        <v>45775</v>
      </c>
      <c r="C267" s="54">
        <v>5213600</v>
      </c>
      <c r="D267" s="21" t="s">
        <v>606</v>
      </c>
      <c r="E267" s="21">
        <v>1171</v>
      </c>
      <c r="F267" s="54">
        <v>5213600</v>
      </c>
      <c r="G267" s="22">
        <v>45777</v>
      </c>
      <c r="H267" t="s">
        <v>32</v>
      </c>
      <c r="I267" s="51" t="str">
        <f>IFERROR(IF(VLOOKUP(E267,extracto!C:C,1,FALSE)=E267,"pagado","no pagado"),"no pagado")</f>
        <v>pagado</v>
      </c>
      <c r="J267" s="52" t="str">
        <f t="shared" ref="J267:J293" si="216">IF(I267="pagado","pagado",IF(G267&lt;$V$1-30,"fuera de fecha","en periodo de pago"))</f>
        <v>pagado</v>
      </c>
      <c r="K267" s="51" t="str">
        <f t="shared" ref="K267:K293" ca="1" si="217">+IF(B267&gt;$V$1,"excluir",IF(J267="en periodo de pago",IF($V$1&gt;G267,"a pagar","proximo a vencer"),"excluir"))</f>
        <v>excluir</v>
      </c>
      <c r="L267" s="51" t="str">
        <f t="shared" ref="L267:L293" ca="1" si="218">+IF(K267="proximo a vencer",IF($V$1+5&gt;G267,"para la semana","no semana"),"no semana")</f>
        <v>no semana</v>
      </c>
      <c r="M267" s="51" t="str">
        <f>IFERROR(VLOOKUP(E267,'cheques a conf'!A:D,4,FALSE),"no clearing")</f>
        <v>no clearing</v>
      </c>
      <c r="N267" s="51">
        <f t="shared" ref="N267:N293" si="219">+WEEKNUM(G267,2)</f>
        <v>18</v>
      </c>
      <c r="O267" s="53">
        <f t="shared" ref="O267:O293" si="220">+MONTH(G267)</f>
        <v>4</v>
      </c>
      <c r="P267" s="53">
        <f t="shared" ref="P267:P293" si="221">+YEAR(G267)</f>
        <v>2025</v>
      </c>
    </row>
    <row r="268" spans="1:16" customFormat="1" x14ac:dyDescent="0.25">
      <c r="A268" s="21">
        <v>3000002050</v>
      </c>
      <c r="B268" s="22">
        <v>45775</v>
      </c>
      <c r="C268" s="54">
        <v>4500000</v>
      </c>
      <c r="D268" s="21" t="s">
        <v>586</v>
      </c>
      <c r="E268" s="21">
        <v>1172</v>
      </c>
      <c r="F268" s="54">
        <v>4500000</v>
      </c>
      <c r="G268" s="22">
        <v>45782</v>
      </c>
      <c r="H268" t="s">
        <v>32</v>
      </c>
      <c r="I268" s="51" t="str">
        <f>IFERROR(IF(VLOOKUP(E268,extracto!C:C,1,FALSE)=E268,"pagado","no pagado"),"no pagado")</f>
        <v>pagado</v>
      </c>
      <c r="J268" s="52" t="str">
        <f t="shared" si="216"/>
        <v>pagado</v>
      </c>
      <c r="K268" s="51" t="str">
        <f t="shared" ca="1" si="217"/>
        <v>excluir</v>
      </c>
      <c r="L268" s="51" t="str">
        <f t="shared" ca="1" si="218"/>
        <v>no semana</v>
      </c>
      <c r="M268" s="51" t="str">
        <f>IFERROR(VLOOKUP(E268,'cheques a conf'!A:D,4,FALSE),"no clearing")</f>
        <v>no clearing</v>
      </c>
      <c r="N268" s="51">
        <f t="shared" si="219"/>
        <v>19</v>
      </c>
      <c r="O268" s="53">
        <f t="shared" si="220"/>
        <v>5</v>
      </c>
      <c r="P268" s="53">
        <f t="shared" si="221"/>
        <v>2025</v>
      </c>
    </row>
    <row r="269" spans="1:16" customFormat="1" x14ac:dyDescent="0.25">
      <c r="A269" s="21">
        <v>3000002050</v>
      </c>
      <c r="B269" s="22">
        <v>45775</v>
      </c>
      <c r="C269" s="54">
        <v>4198498.4000000004</v>
      </c>
      <c r="D269" s="21" t="s">
        <v>586</v>
      </c>
      <c r="E269" s="21">
        <v>1173</v>
      </c>
      <c r="F269" s="54">
        <v>4198498.4000000004</v>
      </c>
      <c r="G269" s="22">
        <v>45787</v>
      </c>
      <c r="H269" t="s">
        <v>32</v>
      </c>
      <c r="I269" s="51" t="str">
        <f>IFERROR(IF(VLOOKUP(E269,extracto!C:C,1,FALSE)=E269,"pagado","no pagado"),"no pagado")</f>
        <v>pagado</v>
      </c>
      <c r="J269" s="52" t="str">
        <f t="shared" si="216"/>
        <v>pagado</v>
      </c>
      <c r="K269" s="51" t="str">
        <f t="shared" ca="1" si="217"/>
        <v>excluir</v>
      </c>
      <c r="L269" s="51" t="str">
        <f t="shared" ca="1" si="218"/>
        <v>no semana</v>
      </c>
      <c r="M269" s="51" t="str">
        <f>IFERROR(VLOOKUP(E269,'cheques a conf'!A:D,4,FALSE),"no clearing")</f>
        <v>no clearing</v>
      </c>
      <c r="N269" s="51">
        <f t="shared" si="219"/>
        <v>19</v>
      </c>
      <c r="O269" s="53">
        <f t="shared" si="220"/>
        <v>5</v>
      </c>
      <c r="P269" s="53">
        <f t="shared" si="221"/>
        <v>2025</v>
      </c>
    </row>
    <row r="270" spans="1:16" customFormat="1" x14ac:dyDescent="0.25">
      <c r="A270" s="21">
        <v>3000002051</v>
      </c>
      <c r="B270" s="22">
        <v>45775</v>
      </c>
      <c r="C270" s="54">
        <v>5827443.4000000004</v>
      </c>
      <c r="D270" s="21" t="s">
        <v>587</v>
      </c>
      <c r="E270" s="21">
        <v>1174</v>
      </c>
      <c r="F270" s="54">
        <v>5827443.4000000004</v>
      </c>
      <c r="G270" s="22">
        <v>45777</v>
      </c>
      <c r="H270" t="s">
        <v>32</v>
      </c>
      <c r="I270" s="51" t="str">
        <f>IFERROR(IF(VLOOKUP(E270,extracto!C:C,1,FALSE)=E270,"pagado","no pagado"),"no pagado")</f>
        <v>pagado</v>
      </c>
      <c r="J270" s="52" t="str">
        <f t="shared" si="216"/>
        <v>pagado</v>
      </c>
      <c r="K270" s="51" t="str">
        <f t="shared" ca="1" si="217"/>
        <v>excluir</v>
      </c>
      <c r="L270" s="51" t="str">
        <f t="shared" ca="1" si="218"/>
        <v>no semana</v>
      </c>
      <c r="M270" s="51" t="str">
        <f>IFERROR(VLOOKUP(E270,'cheques a conf'!A:D,4,FALSE),"no clearing")</f>
        <v>no clearing</v>
      </c>
      <c r="N270" s="51">
        <f t="shared" si="219"/>
        <v>18</v>
      </c>
      <c r="O270" s="53">
        <f t="shared" si="220"/>
        <v>4</v>
      </c>
      <c r="P270" s="53">
        <f t="shared" si="221"/>
        <v>2025</v>
      </c>
    </row>
    <row r="271" spans="1:16" customFormat="1" x14ac:dyDescent="0.25">
      <c r="A271" s="21">
        <v>3000002052</v>
      </c>
      <c r="B271" s="22">
        <v>45775</v>
      </c>
      <c r="C271" s="54">
        <v>6277887.79</v>
      </c>
      <c r="D271" s="21" t="s">
        <v>626</v>
      </c>
      <c r="E271" s="21">
        <v>1175</v>
      </c>
      <c r="F271" s="54">
        <v>6277887.79</v>
      </c>
      <c r="G271" s="22">
        <v>45777</v>
      </c>
      <c r="H271" t="s">
        <v>32</v>
      </c>
      <c r="I271" s="51" t="str">
        <f>IFERROR(IF(VLOOKUP(E271,extracto!C:C,1,FALSE)=E271,"pagado","no pagado"),"no pagado")</f>
        <v>pagado</v>
      </c>
      <c r="J271" s="52" t="str">
        <f t="shared" si="216"/>
        <v>pagado</v>
      </c>
      <c r="K271" s="51" t="str">
        <f t="shared" ca="1" si="217"/>
        <v>excluir</v>
      </c>
      <c r="L271" s="51" t="str">
        <f t="shared" ca="1" si="218"/>
        <v>no semana</v>
      </c>
      <c r="M271" s="51" t="str">
        <f>IFERROR(VLOOKUP(E271,'cheques a conf'!A:D,4,FALSE),"no clearing")</f>
        <v>no clearing</v>
      </c>
      <c r="N271" s="51">
        <f t="shared" si="219"/>
        <v>18</v>
      </c>
      <c r="O271" s="53">
        <f t="shared" si="220"/>
        <v>4</v>
      </c>
      <c r="P271" s="53">
        <f t="shared" si="221"/>
        <v>2025</v>
      </c>
    </row>
    <row r="272" spans="1:16" customFormat="1" x14ac:dyDescent="0.25">
      <c r="A272" s="21">
        <v>3000002053</v>
      </c>
      <c r="B272" s="22">
        <v>45775</v>
      </c>
      <c r="C272" s="54">
        <v>8771216.5299999993</v>
      </c>
      <c r="D272" s="21" t="s">
        <v>631</v>
      </c>
      <c r="E272" s="21">
        <v>1176</v>
      </c>
      <c r="F272" s="54">
        <v>8771216.5299999993</v>
      </c>
      <c r="G272" s="22">
        <v>45777</v>
      </c>
      <c r="H272" t="s">
        <v>32</v>
      </c>
      <c r="I272" s="51" t="str">
        <f>IFERROR(IF(VLOOKUP(E272,extracto!C:C,1,FALSE)=E272,"pagado","no pagado"),"no pagado")</f>
        <v>pagado</v>
      </c>
      <c r="J272" s="52" t="str">
        <f t="shared" si="216"/>
        <v>pagado</v>
      </c>
      <c r="K272" s="51" t="str">
        <f t="shared" ca="1" si="217"/>
        <v>excluir</v>
      </c>
      <c r="L272" s="51" t="str">
        <f t="shared" ca="1" si="218"/>
        <v>no semana</v>
      </c>
      <c r="M272" s="51" t="str">
        <f>IFERROR(VLOOKUP(E272,'cheques a conf'!A:D,4,FALSE),"no clearing")</f>
        <v>no clearing</v>
      </c>
      <c r="N272" s="51">
        <f t="shared" si="219"/>
        <v>18</v>
      </c>
      <c r="O272" s="53">
        <f t="shared" si="220"/>
        <v>4</v>
      </c>
      <c r="P272" s="53">
        <f t="shared" si="221"/>
        <v>2025</v>
      </c>
    </row>
    <row r="273" spans="1:16" customFormat="1" x14ac:dyDescent="0.25">
      <c r="A273" s="21">
        <v>3000002054</v>
      </c>
      <c r="B273" s="22">
        <v>45775</v>
      </c>
      <c r="C273" s="54">
        <v>5825048.9199999999</v>
      </c>
      <c r="D273" s="21" t="s">
        <v>619</v>
      </c>
      <c r="E273" s="21">
        <v>1177</v>
      </c>
      <c r="F273" s="54">
        <v>5825048.9199999999</v>
      </c>
      <c r="G273" s="22">
        <v>45777</v>
      </c>
      <c r="H273" t="s">
        <v>32</v>
      </c>
      <c r="I273" s="51" t="str">
        <f>IFERROR(IF(VLOOKUP(E273,extracto!C:C,1,FALSE)=E273,"pagado","no pagado"),"no pagado")</f>
        <v>pagado</v>
      </c>
      <c r="J273" s="52" t="str">
        <f t="shared" si="216"/>
        <v>pagado</v>
      </c>
      <c r="K273" s="51" t="str">
        <f t="shared" ca="1" si="217"/>
        <v>excluir</v>
      </c>
      <c r="L273" s="51" t="str">
        <f t="shared" ca="1" si="218"/>
        <v>no semana</v>
      </c>
      <c r="M273" s="51" t="str">
        <f>IFERROR(VLOOKUP(E273,'cheques a conf'!A:D,4,FALSE),"no clearing")</f>
        <v>no clearing</v>
      </c>
      <c r="N273" s="51">
        <f t="shared" si="219"/>
        <v>18</v>
      </c>
      <c r="O273" s="53">
        <f t="shared" si="220"/>
        <v>4</v>
      </c>
      <c r="P273" s="53">
        <f t="shared" si="221"/>
        <v>2025</v>
      </c>
    </row>
    <row r="274" spans="1:16" customFormat="1" x14ac:dyDescent="0.25">
      <c r="A274" s="21">
        <v>3000002055</v>
      </c>
      <c r="B274" s="22">
        <v>45775</v>
      </c>
      <c r="C274" s="54">
        <v>5165591.09</v>
      </c>
      <c r="D274" s="21" t="s">
        <v>623</v>
      </c>
      <c r="E274" s="21">
        <v>1178</v>
      </c>
      <c r="F274" s="54">
        <v>5165591.09</v>
      </c>
      <c r="G274" s="22">
        <v>45777</v>
      </c>
      <c r="H274" t="s">
        <v>32</v>
      </c>
      <c r="I274" s="51" t="str">
        <f>IFERROR(IF(VLOOKUP(E274,extracto!C:C,1,FALSE)=E274,"pagado","no pagado"),"no pagado")</f>
        <v>no pagado</v>
      </c>
      <c r="J274" s="52" t="str">
        <f t="shared" ca="1" si="216"/>
        <v>fuera de fecha</v>
      </c>
      <c r="K274" s="51" t="str">
        <f t="shared" ca="1" si="217"/>
        <v>excluir</v>
      </c>
      <c r="L274" s="51" t="str">
        <f t="shared" ca="1" si="218"/>
        <v>no semana</v>
      </c>
      <c r="M274" s="51" t="str">
        <f>IFERROR(VLOOKUP(E274,'cheques a conf'!A:D,4,FALSE),"no clearing")</f>
        <v>no clearing</v>
      </c>
      <c r="N274" s="51">
        <f t="shared" si="219"/>
        <v>18</v>
      </c>
      <c r="O274" s="53">
        <f t="shared" si="220"/>
        <v>4</v>
      </c>
      <c r="P274" s="53">
        <f t="shared" si="221"/>
        <v>2025</v>
      </c>
    </row>
    <row r="275" spans="1:16" customFormat="1" x14ac:dyDescent="0.25">
      <c r="A275" s="21">
        <v>3000002056</v>
      </c>
      <c r="B275" s="22">
        <v>45775</v>
      </c>
      <c r="C275" s="54">
        <v>6646805.7800000003</v>
      </c>
      <c r="D275" s="21" t="s">
        <v>657</v>
      </c>
      <c r="E275" s="21">
        <v>1179</v>
      </c>
      <c r="F275" s="54">
        <v>6646805.7800000003</v>
      </c>
      <c r="G275" s="22">
        <v>45777</v>
      </c>
      <c r="H275" t="s">
        <v>32</v>
      </c>
      <c r="I275" s="51" t="str">
        <f>IFERROR(IF(VLOOKUP(E275,extracto!C:C,1,FALSE)=E275,"pagado","no pagado"),"no pagado")</f>
        <v>pagado</v>
      </c>
      <c r="J275" s="52" t="str">
        <f t="shared" si="216"/>
        <v>pagado</v>
      </c>
      <c r="K275" s="51" t="str">
        <f t="shared" ca="1" si="217"/>
        <v>excluir</v>
      </c>
      <c r="L275" s="51" t="str">
        <f t="shared" ca="1" si="218"/>
        <v>no semana</v>
      </c>
      <c r="M275" s="51" t="str">
        <f>IFERROR(VLOOKUP(E275,'cheques a conf'!A:D,4,FALSE),"no clearing")</f>
        <v>no clearing</v>
      </c>
      <c r="N275" s="51">
        <f t="shared" si="219"/>
        <v>18</v>
      </c>
      <c r="O275" s="53">
        <f t="shared" si="220"/>
        <v>4</v>
      </c>
      <c r="P275" s="53">
        <f t="shared" si="221"/>
        <v>2025</v>
      </c>
    </row>
    <row r="276" spans="1:16" customFormat="1" x14ac:dyDescent="0.25">
      <c r="A276" s="21">
        <v>3000002057</v>
      </c>
      <c r="B276" s="22">
        <v>45775</v>
      </c>
      <c r="C276" s="54">
        <v>14607941.49</v>
      </c>
      <c r="D276" s="21" t="s">
        <v>658</v>
      </c>
      <c r="E276" s="21">
        <v>1180</v>
      </c>
      <c r="F276" s="54">
        <v>14607941.49</v>
      </c>
      <c r="G276" s="22">
        <v>45782</v>
      </c>
      <c r="H276" t="s">
        <v>32</v>
      </c>
      <c r="I276" s="51" t="str">
        <f>IFERROR(IF(VLOOKUP(E276,extracto!C:C,1,FALSE)=E276,"pagado","no pagado"),"no pagado")</f>
        <v>pagado</v>
      </c>
      <c r="J276" s="52" t="str">
        <f t="shared" si="216"/>
        <v>pagado</v>
      </c>
      <c r="K276" s="51" t="str">
        <f t="shared" ca="1" si="217"/>
        <v>excluir</v>
      </c>
      <c r="L276" s="51" t="str">
        <f t="shared" ca="1" si="218"/>
        <v>no semana</v>
      </c>
      <c r="M276" s="51" t="str">
        <f>IFERROR(VLOOKUP(E276,'cheques a conf'!A:D,4,FALSE),"no clearing")</f>
        <v>no clearing</v>
      </c>
      <c r="N276" s="51">
        <f t="shared" si="219"/>
        <v>19</v>
      </c>
      <c r="O276" s="53">
        <f t="shared" si="220"/>
        <v>5</v>
      </c>
      <c r="P276" s="53">
        <f t="shared" si="221"/>
        <v>2025</v>
      </c>
    </row>
    <row r="277" spans="1:16" customFormat="1" x14ac:dyDescent="0.25">
      <c r="A277" s="21">
        <v>3000002058</v>
      </c>
      <c r="B277" s="22">
        <v>45775</v>
      </c>
      <c r="C277" s="54">
        <v>12404481.689999999</v>
      </c>
      <c r="D277" s="21" t="s">
        <v>578</v>
      </c>
      <c r="E277" s="21">
        <v>1181</v>
      </c>
      <c r="F277" s="54">
        <v>12404481.689999999</v>
      </c>
      <c r="G277" s="22">
        <v>45782</v>
      </c>
      <c r="H277" t="s">
        <v>32</v>
      </c>
      <c r="I277" s="51" t="str">
        <f>IFERROR(IF(VLOOKUP(E277,extracto!C:C,1,FALSE)=E277,"pagado","no pagado"),"no pagado")</f>
        <v>pagado</v>
      </c>
      <c r="J277" s="52" t="str">
        <f t="shared" si="216"/>
        <v>pagado</v>
      </c>
      <c r="K277" s="51" t="str">
        <f t="shared" ca="1" si="217"/>
        <v>excluir</v>
      </c>
      <c r="L277" s="51" t="str">
        <f t="shared" ca="1" si="218"/>
        <v>no semana</v>
      </c>
      <c r="M277" s="51" t="str">
        <f>IFERROR(VLOOKUP(E277,'cheques a conf'!A:D,4,FALSE),"no clearing")</f>
        <v>no clearing</v>
      </c>
      <c r="N277" s="51">
        <f t="shared" si="219"/>
        <v>19</v>
      </c>
      <c r="O277" s="53">
        <f t="shared" si="220"/>
        <v>5</v>
      </c>
      <c r="P277" s="53">
        <f t="shared" si="221"/>
        <v>2025</v>
      </c>
    </row>
    <row r="278" spans="1:16" customFormat="1" x14ac:dyDescent="0.25">
      <c r="A278" s="21">
        <v>3000002059</v>
      </c>
      <c r="B278" s="22">
        <v>45775</v>
      </c>
      <c r="C278" s="54">
        <v>16619834.470000001</v>
      </c>
      <c r="D278" s="21" t="s">
        <v>645</v>
      </c>
      <c r="E278" s="21">
        <v>1182</v>
      </c>
      <c r="F278" s="54">
        <v>16619834.470000001</v>
      </c>
      <c r="G278" s="22">
        <v>45782</v>
      </c>
      <c r="H278" t="s">
        <v>32</v>
      </c>
      <c r="I278" s="51" t="str">
        <f>IFERROR(IF(VLOOKUP(E278,extracto!C:C,1,FALSE)=E278,"pagado","no pagado"),"no pagado")</f>
        <v>pagado</v>
      </c>
      <c r="J278" s="52" t="str">
        <f t="shared" si="216"/>
        <v>pagado</v>
      </c>
      <c r="K278" s="51" t="str">
        <f t="shared" ca="1" si="217"/>
        <v>excluir</v>
      </c>
      <c r="L278" s="51" t="str">
        <f t="shared" ca="1" si="218"/>
        <v>no semana</v>
      </c>
      <c r="M278" s="51" t="str">
        <f>IFERROR(VLOOKUP(E278,'cheques a conf'!A:D,4,FALSE),"no clearing")</f>
        <v>no clearing</v>
      </c>
      <c r="N278" s="51">
        <f t="shared" si="219"/>
        <v>19</v>
      </c>
      <c r="O278" s="53">
        <f t="shared" si="220"/>
        <v>5</v>
      </c>
      <c r="P278" s="53">
        <f t="shared" si="221"/>
        <v>2025</v>
      </c>
    </row>
    <row r="279" spans="1:16" customFormat="1" x14ac:dyDescent="0.25">
      <c r="A279" s="21">
        <v>3000002060</v>
      </c>
      <c r="B279" s="22">
        <v>45775</v>
      </c>
      <c r="C279" s="54">
        <v>10551591.060000001</v>
      </c>
      <c r="D279" s="21" t="s">
        <v>632</v>
      </c>
      <c r="E279" s="21">
        <v>1183</v>
      </c>
      <c r="F279" s="54">
        <v>10551591.060000001</v>
      </c>
      <c r="G279" s="22">
        <v>45782</v>
      </c>
      <c r="H279" t="s">
        <v>32</v>
      </c>
      <c r="I279" s="51" t="str">
        <f>IFERROR(IF(VLOOKUP(E279,extracto!C:C,1,FALSE)=E279,"pagado","no pagado"),"no pagado")</f>
        <v>pagado</v>
      </c>
      <c r="J279" s="52" t="str">
        <f t="shared" si="216"/>
        <v>pagado</v>
      </c>
      <c r="K279" s="51" t="str">
        <f t="shared" ca="1" si="217"/>
        <v>excluir</v>
      </c>
      <c r="L279" s="51" t="str">
        <f t="shared" ca="1" si="218"/>
        <v>no semana</v>
      </c>
      <c r="M279" s="51" t="str">
        <f>IFERROR(VLOOKUP(E279,'cheques a conf'!A:D,4,FALSE),"no clearing")</f>
        <v>no clearing</v>
      </c>
      <c r="N279" s="51">
        <f t="shared" si="219"/>
        <v>19</v>
      </c>
      <c r="O279" s="53">
        <f t="shared" si="220"/>
        <v>5</v>
      </c>
      <c r="P279" s="53">
        <f t="shared" si="221"/>
        <v>2025</v>
      </c>
    </row>
    <row r="280" spans="1:16" customFormat="1" x14ac:dyDescent="0.25">
      <c r="A280" s="21">
        <v>3000002061</v>
      </c>
      <c r="B280" s="22">
        <v>45775</v>
      </c>
      <c r="C280" s="54">
        <v>10478610.35</v>
      </c>
      <c r="D280" s="21" t="s">
        <v>593</v>
      </c>
      <c r="E280" s="21">
        <v>1184</v>
      </c>
      <c r="F280" s="54">
        <v>10478610.35</v>
      </c>
      <c r="G280" s="22">
        <v>45782</v>
      </c>
      <c r="H280" t="s">
        <v>32</v>
      </c>
      <c r="I280" s="51" t="str">
        <f>IFERROR(IF(VLOOKUP(E280,extracto!C:C,1,FALSE)=E280,"pagado","no pagado"),"no pagado")</f>
        <v>pagado</v>
      </c>
      <c r="J280" s="52" t="str">
        <f t="shared" si="216"/>
        <v>pagado</v>
      </c>
      <c r="K280" s="51" t="str">
        <f t="shared" ca="1" si="217"/>
        <v>excluir</v>
      </c>
      <c r="L280" s="51" t="str">
        <f t="shared" ca="1" si="218"/>
        <v>no semana</v>
      </c>
      <c r="M280" s="51" t="str">
        <f>IFERROR(VLOOKUP(E280,'cheques a conf'!A:D,4,FALSE),"no clearing")</f>
        <v>no clearing</v>
      </c>
      <c r="N280" s="51">
        <f t="shared" si="219"/>
        <v>19</v>
      </c>
      <c r="O280" s="53">
        <f t="shared" si="220"/>
        <v>5</v>
      </c>
      <c r="P280" s="53">
        <f t="shared" si="221"/>
        <v>2025</v>
      </c>
    </row>
    <row r="281" spans="1:16" customFormat="1" x14ac:dyDescent="0.25">
      <c r="A281" s="21">
        <v>3000002062</v>
      </c>
      <c r="B281" s="22">
        <v>45775</v>
      </c>
      <c r="C281" s="54">
        <v>12186379.640000001</v>
      </c>
      <c r="D281" s="21" t="s">
        <v>613</v>
      </c>
      <c r="E281" s="21">
        <v>1185</v>
      </c>
      <c r="F281" s="54">
        <v>12186379.640000001</v>
      </c>
      <c r="G281" s="22">
        <v>45782</v>
      </c>
      <c r="H281" t="s">
        <v>32</v>
      </c>
      <c r="I281" s="51" t="str">
        <f>IFERROR(IF(VLOOKUP(E281,extracto!C:C,1,FALSE)=E281,"pagado","no pagado"),"no pagado")</f>
        <v>pagado</v>
      </c>
      <c r="J281" s="52" t="str">
        <f t="shared" si="216"/>
        <v>pagado</v>
      </c>
      <c r="K281" s="51" t="str">
        <f t="shared" ca="1" si="217"/>
        <v>excluir</v>
      </c>
      <c r="L281" s="51" t="str">
        <f t="shared" ca="1" si="218"/>
        <v>no semana</v>
      </c>
      <c r="M281" s="51" t="str">
        <f>IFERROR(VLOOKUP(E281,'cheques a conf'!A:D,4,FALSE),"no clearing")</f>
        <v>no clearing</v>
      </c>
      <c r="N281" s="51">
        <f t="shared" si="219"/>
        <v>19</v>
      </c>
      <c r="O281" s="53">
        <f t="shared" si="220"/>
        <v>5</v>
      </c>
      <c r="P281" s="53">
        <f t="shared" si="221"/>
        <v>2025</v>
      </c>
    </row>
    <row r="282" spans="1:16" customFormat="1" x14ac:dyDescent="0.25">
      <c r="A282" s="21">
        <v>3000002063</v>
      </c>
      <c r="B282" s="22">
        <v>45775</v>
      </c>
      <c r="C282" s="54">
        <v>20366767.350000001</v>
      </c>
      <c r="D282" s="21" t="s">
        <v>644</v>
      </c>
      <c r="E282" s="21">
        <v>1186</v>
      </c>
      <c r="F282" s="54">
        <v>20366767.350000001</v>
      </c>
      <c r="G282" s="22">
        <v>45782</v>
      </c>
      <c r="H282" t="s">
        <v>32</v>
      </c>
      <c r="I282" s="51" t="str">
        <f>IFERROR(IF(VLOOKUP(E282,extracto!C:C,1,FALSE)=E282,"pagado","no pagado"),"no pagado")</f>
        <v>pagado</v>
      </c>
      <c r="J282" s="52" t="str">
        <f t="shared" si="216"/>
        <v>pagado</v>
      </c>
      <c r="K282" s="51" t="str">
        <f t="shared" ca="1" si="217"/>
        <v>excluir</v>
      </c>
      <c r="L282" s="51" t="str">
        <f t="shared" ca="1" si="218"/>
        <v>no semana</v>
      </c>
      <c r="M282" s="51" t="str">
        <f>IFERROR(VLOOKUP(E282,'cheques a conf'!A:D,4,FALSE),"no clearing")</f>
        <v>no clearing</v>
      </c>
      <c r="N282" s="51">
        <f t="shared" si="219"/>
        <v>19</v>
      </c>
      <c r="O282" s="53">
        <f t="shared" si="220"/>
        <v>5</v>
      </c>
      <c r="P282" s="53">
        <f t="shared" si="221"/>
        <v>2025</v>
      </c>
    </row>
    <row r="283" spans="1:16" customFormat="1" x14ac:dyDescent="0.25">
      <c r="A283" s="21">
        <v>3000002064</v>
      </c>
      <c r="B283" s="22">
        <v>45775</v>
      </c>
      <c r="C283" s="54">
        <v>20366767.350000001</v>
      </c>
      <c r="D283" s="21" t="s">
        <v>644</v>
      </c>
      <c r="E283" s="21">
        <v>1187</v>
      </c>
      <c r="F283" s="54">
        <v>20366767.350000001</v>
      </c>
      <c r="G283" s="22">
        <v>45782</v>
      </c>
      <c r="H283" t="s">
        <v>32</v>
      </c>
      <c r="I283" s="51" t="str">
        <f>IFERROR(IF(VLOOKUP(E283,extracto!C:C,1,FALSE)=E283,"pagado","no pagado"),"no pagado")</f>
        <v>pagado</v>
      </c>
      <c r="J283" s="52" t="str">
        <f t="shared" si="216"/>
        <v>pagado</v>
      </c>
      <c r="K283" s="51" t="str">
        <f t="shared" ca="1" si="217"/>
        <v>excluir</v>
      </c>
      <c r="L283" s="51" t="str">
        <f t="shared" ca="1" si="218"/>
        <v>no semana</v>
      </c>
      <c r="M283" s="51" t="str">
        <f>IFERROR(VLOOKUP(E283,'cheques a conf'!A:D,4,FALSE),"no clearing")</f>
        <v>no clearing</v>
      </c>
      <c r="N283" s="51">
        <f t="shared" si="219"/>
        <v>19</v>
      </c>
      <c r="O283" s="53">
        <f t="shared" si="220"/>
        <v>5</v>
      </c>
      <c r="P283" s="53">
        <f t="shared" si="221"/>
        <v>2025</v>
      </c>
    </row>
    <row r="284" spans="1:16" customFormat="1" x14ac:dyDescent="0.25">
      <c r="A284" s="21">
        <v>3000002065</v>
      </c>
      <c r="B284" s="22">
        <v>45775</v>
      </c>
      <c r="C284" s="54">
        <v>1288083.04</v>
      </c>
      <c r="D284" s="21" t="s">
        <v>640</v>
      </c>
      <c r="E284" s="21">
        <v>1188</v>
      </c>
      <c r="F284" s="54">
        <v>1288083.04</v>
      </c>
      <c r="G284" s="22">
        <v>45777</v>
      </c>
      <c r="H284" t="s">
        <v>32</v>
      </c>
      <c r="I284" s="51" t="str">
        <f>IFERROR(IF(VLOOKUP(E284,extracto!C:C,1,FALSE)=E284,"pagado","no pagado"),"no pagado")</f>
        <v>pagado</v>
      </c>
      <c r="J284" s="52" t="str">
        <f t="shared" si="216"/>
        <v>pagado</v>
      </c>
      <c r="K284" s="51" t="str">
        <f t="shared" ca="1" si="217"/>
        <v>excluir</v>
      </c>
      <c r="L284" s="51" t="str">
        <f t="shared" ca="1" si="218"/>
        <v>no semana</v>
      </c>
      <c r="M284" s="51" t="str">
        <f>IFERROR(VLOOKUP(E284,'cheques a conf'!A:D,4,FALSE),"no clearing")</f>
        <v>no clearing</v>
      </c>
      <c r="N284" s="51">
        <f t="shared" si="219"/>
        <v>18</v>
      </c>
      <c r="O284" s="53">
        <f t="shared" si="220"/>
        <v>4</v>
      </c>
      <c r="P284" s="53">
        <f t="shared" si="221"/>
        <v>2025</v>
      </c>
    </row>
    <row r="285" spans="1:16" customFormat="1" x14ac:dyDescent="0.25">
      <c r="A285" s="21">
        <v>3000002066</v>
      </c>
      <c r="B285" s="22">
        <v>45775</v>
      </c>
      <c r="C285" s="54">
        <v>1288083.04</v>
      </c>
      <c r="D285" s="21" t="s">
        <v>640</v>
      </c>
      <c r="E285" s="21">
        <v>1189</v>
      </c>
      <c r="F285" s="54">
        <v>1288083.04</v>
      </c>
      <c r="G285" s="22">
        <v>45777</v>
      </c>
      <c r="H285" t="s">
        <v>32</v>
      </c>
      <c r="I285" s="51" t="str">
        <f>IFERROR(IF(VLOOKUP(E285,extracto!C:C,1,FALSE)=E285,"pagado","no pagado"),"no pagado")</f>
        <v>pagado</v>
      </c>
      <c r="J285" s="52" t="str">
        <f t="shared" si="216"/>
        <v>pagado</v>
      </c>
      <c r="K285" s="51" t="str">
        <f t="shared" ca="1" si="217"/>
        <v>excluir</v>
      </c>
      <c r="L285" s="51" t="str">
        <f t="shared" ca="1" si="218"/>
        <v>no semana</v>
      </c>
      <c r="M285" s="51" t="str">
        <f>IFERROR(VLOOKUP(E285,'cheques a conf'!A:D,4,FALSE),"no clearing")</f>
        <v>no clearing</v>
      </c>
      <c r="N285" s="51">
        <f t="shared" si="219"/>
        <v>18</v>
      </c>
      <c r="O285" s="53">
        <f t="shared" si="220"/>
        <v>4</v>
      </c>
      <c r="P285" s="53">
        <f t="shared" si="221"/>
        <v>2025</v>
      </c>
    </row>
    <row r="286" spans="1:16" customFormat="1" x14ac:dyDescent="0.25">
      <c r="A286" s="21">
        <v>3000002067</v>
      </c>
      <c r="B286" s="22">
        <v>45775</v>
      </c>
      <c r="C286" s="54">
        <v>2344000</v>
      </c>
      <c r="D286" s="21" t="s">
        <v>595</v>
      </c>
      <c r="E286" s="21">
        <v>1190</v>
      </c>
      <c r="F286" s="54">
        <v>2344000</v>
      </c>
      <c r="G286" s="22">
        <v>45777</v>
      </c>
      <c r="H286" t="s">
        <v>32</v>
      </c>
      <c r="I286" s="51" t="str">
        <f>IFERROR(IF(VLOOKUP(E286,extracto!C:C,1,FALSE)=E286,"pagado","no pagado"),"no pagado")</f>
        <v>pagado</v>
      </c>
      <c r="J286" s="52" t="str">
        <f t="shared" si="216"/>
        <v>pagado</v>
      </c>
      <c r="K286" s="51" t="str">
        <f t="shared" ca="1" si="217"/>
        <v>excluir</v>
      </c>
      <c r="L286" s="51" t="str">
        <f t="shared" ca="1" si="218"/>
        <v>no semana</v>
      </c>
      <c r="M286" s="51" t="str">
        <f>IFERROR(VLOOKUP(E286,'cheques a conf'!A:D,4,FALSE),"no clearing")</f>
        <v>no clearing</v>
      </c>
      <c r="N286" s="51">
        <f t="shared" si="219"/>
        <v>18</v>
      </c>
      <c r="O286" s="53">
        <f t="shared" si="220"/>
        <v>4</v>
      </c>
      <c r="P286" s="53">
        <f t="shared" si="221"/>
        <v>2025</v>
      </c>
    </row>
    <row r="287" spans="1:16" customFormat="1" x14ac:dyDescent="0.25">
      <c r="A287" s="21">
        <v>3000002067</v>
      </c>
      <c r="B287" s="22">
        <v>45775</v>
      </c>
      <c r="C287" s="54">
        <v>3788354</v>
      </c>
      <c r="D287" s="21" t="s">
        <v>595</v>
      </c>
      <c r="E287" s="21">
        <v>1191</v>
      </c>
      <c r="F287" s="54">
        <v>3788354</v>
      </c>
      <c r="G287" s="22">
        <v>45777</v>
      </c>
      <c r="H287" t="s">
        <v>32</v>
      </c>
      <c r="I287" s="51" t="str">
        <f>IFERROR(IF(VLOOKUP(E287,extracto!C:C,1,FALSE)=E287,"pagado","no pagado"),"no pagado")</f>
        <v>pagado</v>
      </c>
      <c r="J287" s="52" t="str">
        <f t="shared" si="216"/>
        <v>pagado</v>
      </c>
      <c r="K287" s="51" t="str">
        <f t="shared" ca="1" si="217"/>
        <v>excluir</v>
      </c>
      <c r="L287" s="51" t="str">
        <f t="shared" ca="1" si="218"/>
        <v>no semana</v>
      </c>
      <c r="M287" s="51" t="str">
        <f>IFERROR(VLOOKUP(E287,'cheques a conf'!A:D,4,FALSE),"no clearing")</f>
        <v>no clearing</v>
      </c>
      <c r="N287" s="51">
        <f t="shared" si="219"/>
        <v>18</v>
      </c>
      <c r="O287" s="53">
        <f t="shared" si="220"/>
        <v>4</v>
      </c>
      <c r="P287" s="53">
        <f t="shared" si="221"/>
        <v>2025</v>
      </c>
    </row>
    <row r="288" spans="1:16" customFormat="1" x14ac:dyDescent="0.25">
      <c r="A288" s="21">
        <v>3000002067</v>
      </c>
      <c r="B288" s="22">
        <v>45775</v>
      </c>
      <c r="C288" s="54">
        <v>9565507</v>
      </c>
      <c r="D288" s="21" t="s">
        <v>595</v>
      </c>
      <c r="E288" s="21">
        <v>1192</v>
      </c>
      <c r="F288" s="54">
        <v>9565507</v>
      </c>
      <c r="G288" s="22">
        <v>45777</v>
      </c>
      <c r="H288" t="s">
        <v>32</v>
      </c>
      <c r="I288" s="51" t="str">
        <f>IFERROR(IF(VLOOKUP(E288,extracto!C:C,1,FALSE)=E288,"pagado","no pagado"),"no pagado")</f>
        <v>pagado</v>
      </c>
      <c r="J288" s="52" t="str">
        <f t="shared" si="216"/>
        <v>pagado</v>
      </c>
      <c r="K288" s="51" t="str">
        <f t="shared" ca="1" si="217"/>
        <v>excluir</v>
      </c>
      <c r="L288" s="51" t="str">
        <f t="shared" ca="1" si="218"/>
        <v>no semana</v>
      </c>
      <c r="M288" s="51" t="str">
        <f>IFERROR(VLOOKUP(E288,'cheques a conf'!A:D,4,FALSE),"no clearing")</f>
        <v>no clearing</v>
      </c>
      <c r="N288" s="51">
        <f t="shared" si="219"/>
        <v>18</v>
      </c>
      <c r="O288" s="53">
        <f t="shared" si="220"/>
        <v>4</v>
      </c>
      <c r="P288" s="53">
        <f t="shared" si="221"/>
        <v>2025</v>
      </c>
    </row>
    <row r="289" spans="1:16" customFormat="1" x14ac:dyDescent="0.25">
      <c r="A289" s="21">
        <v>3000002067</v>
      </c>
      <c r="B289" s="22">
        <v>45775</v>
      </c>
      <c r="C289" s="54">
        <v>1000000</v>
      </c>
      <c r="D289" s="21" t="s">
        <v>595</v>
      </c>
      <c r="E289" s="21">
        <v>1193</v>
      </c>
      <c r="F289" s="54">
        <v>1000000</v>
      </c>
      <c r="G289" s="22">
        <v>45777</v>
      </c>
      <c r="H289" t="s">
        <v>32</v>
      </c>
      <c r="I289" s="51" t="str">
        <f>IFERROR(IF(VLOOKUP(E289,extracto!C:C,1,FALSE)=E289,"pagado","no pagado"),"no pagado")</f>
        <v>pagado</v>
      </c>
      <c r="J289" s="52" t="str">
        <f t="shared" si="216"/>
        <v>pagado</v>
      </c>
      <c r="K289" s="51" t="str">
        <f t="shared" ca="1" si="217"/>
        <v>excluir</v>
      </c>
      <c r="L289" s="51" t="str">
        <f t="shared" ca="1" si="218"/>
        <v>no semana</v>
      </c>
      <c r="M289" s="51" t="str">
        <f>IFERROR(VLOOKUP(E289,'cheques a conf'!A:D,4,FALSE),"no clearing")</f>
        <v>no clearing</v>
      </c>
      <c r="N289" s="51">
        <f t="shared" si="219"/>
        <v>18</v>
      </c>
      <c r="O289" s="53">
        <f t="shared" si="220"/>
        <v>4</v>
      </c>
      <c r="P289" s="53">
        <f t="shared" si="221"/>
        <v>2025</v>
      </c>
    </row>
    <row r="290" spans="1:16" customFormat="1" x14ac:dyDescent="0.25">
      <c r="A290" s="21">
        <v>3000002067</v>
      </c>
      <c r="B290" s="22">
        <v>45775</v>
      </c>
      <c r="C290" s="54">
        <v>2100000</v>
      </c>
      <c r="D290" s="21" t="s">
        <v>595</v>
      </c>
      <c r="E290" s="21">
        <v>1194</v>
      </c>
      <c r="F290" s="54">
        <v>2100000</v>
      </c>
      <c r="G290" s="22">
        <v>45777</v>
      </c>
      <c r="H290" t="s">
        <v>32</v>
      </c>
      <c r="I290" s="51" t="str">
        <f>IFERROR(IF(VLOOKUP(E290,extracto!C:C,1,FALSE)=E290,"pagado","no pagado"),"no pagado")</f>
        <v>pagado</v>
      </c>
      <c r="J290" s="52" t="str">
        <f t="shared" si="216"/>
        <v>pagado</v>
      </c>
      <c r="K290" s="51" t="str">
        <f t="shared" ca="1" si="217"/>
        <v>excluir</v>
      </c>
      <c r="L290" s="51" t="str">
        <f t="shared" ca="1" si="218"/>
        <v>no semana</v>
      </c>
      <c r="M290" s="51" t="str">
        <f>IFERROR(VLOOKUP(E290,'cheques a conf'!A:D,4,FALSE),"no clearing")</f>
        <v>no clearing</v>
      </c>
      <c r="N290" s="51">
        <f t="shared" si="219"/>
        <v>18</v>
      </c>
      <c r="O290" s="53">
        <f t="shared" si="220"/>
        <v>4</v>
      </c>
      <c r="P290" s="53">
        <f t="shared" si="221"/>
        <v>2025</v>
      </c>
    </row>
    <row r="291" spans="1:16" customFormat="1" x14ac:dyDescent="0.25">
      <c r="A291" s="21">
        <v>3000002067</v>
      </c>
      <c r="B291" s="22">
        <v>45775</v>
      </c>
      <c r="C291" s="54">
        <v>1892714</v>
      </c>
      <c r="D291" s="21" t="s">
        <v>595</v>
      </c>
      <c r="E291" s="21">
        <v>1195</v>
      </c>
      <c r="F291" s="54">
        <v>1892714</v>
      </c>
      <c r="G291" s="22">
        <v>45777</v>
      </c>
      <c r="H291" t="s">
        <v>32</v>
      </c>
      <c r="I291" s="51" t="str">
        <f>IFERROR(IF(VLOOKUP(E291,extracto!C:C,1,FALSE)=E291,"pagado","no pagado"),"no pagado")</f>
        <v>pagado</v>
      </c>
      <c r="J291" s="52" t="str">
        <f t="shared" si="216"/>
        <v>pagado</v>
      </c>
      <c r="K291" s="51" t="str">
        <f t="shared" ca="1" si="217"/>
        <v>excluir</v>
      </c>
      <c r="L291" s="51" t="str">
        <f t="shared" ca="1" si="218"/>
        <v>no semana</v>
      </c>
      <c r="M291" s="51" t="str">
        <f>IFERROR(VLOOKUP(E291,'cheques a conf'!A:D,4,FALSE),"no clearing")</f>
        <v>no clearing</v>
      </c>
      <c r="N291" s="51">
        <f t="shared" si="219"/>
        <v>18</v>
      </c>
      <c r="O291" s="53">
        <f t="shared" si="220"/>
        <v>4</v>
      </c>
      <c r="P291" s="53">
        <f t="shared" si="221"/>
        <v>2025</v>
      </c>
    </row>
    <row r="292" spans="1:16" customFormat="1" x14ac:dyDescent="0.25">
      <c r="A292" s="21">
        <v>3000002067</v>
      </c>
      <c r="B292" s="22">
        <v>45775</v>
      </c>
      <c r="C292" s="54">
        <v>7000000</v>
      </c>
      <c r="D292" s="21" t="s">
        <v>595</v>
      </c>
      <c r="E292" s="21">
        <v>1196</v>
      </c>
      <c r="F292" s="54">
        <v>7000000</v>
      </c>
      <c r="G292" s="22">
        <v>45777</v>
      </c>
      <c r="H292" t="s">
        <v>32</v>
      </c>
      <c r="I292" s="51" t="str">
        <f>IFERROR(IF(VLOOKUP(E292,extracto!C:C,1,FALSE)=E292,"pagado","no pagado"),"no pagado")</f>
        <v>pagado</v>
      </c>
      <c r="J292" s="52" t="str">
        <f t="shared" si="216"/>
        <v>pagado</v>
      </c>
      <c r="K292" s="51" t="str">
        <f t="shared" ca="1" si="217"/>
        <v>excluir</v>
      </c>
      <c r="L292" s="51" t="str">
        <f t="shared" ca="1" si="218"/>
        <v>no semana</v>
      </c>
      <c r="M292" s="51" t="str">
        <f>IFERROR(VLOOKUP(E292,'cheques a conf'!A:D,4,FALSE),"no clearing")</f>
        <v>no clearing</v>
      </c>
      <c r="N292" s="51">
        <f t="shared" si="219"/>
        <v>18</v>
      </c>
      <c r="O292" s="53">
        <f t="shared" si="220"/>
        <v>4</v>
      </c>
      <c r="P292" s="53">
        <f t="shared" si="221"/>
        <v>2025</v>
      </c>
    </row>
    <row r="293" spans="1:16" customFormat="1" x14ac:dyDescent="0.25">
      <c r="A293" s="21">
        <v>3000002067</v>
      </c>
      <c r="B293" s="22">
        <v>45775</v>
      </c>
      <c r="C293" s="54">
        <v>26590581.440000001</v>
      </c>
      <c r="D293" s="21" t="s">
        <v>595</v>
      </c>
      <c r="E293" s="21">
        <v>1197</v>
      </c>
      <c r="F293" s="54">
        <v>26590581.440000001</v>
      </c>
      <c r="G293" s="22">
        <v>45777</v>
      </c>
      <c r="H293" t="s">
        <v>32</v>
      </c>
      <c r="I293" s="51" t="str">
        <f>IFERROR(IF(VLOOKUP(E293,extracto!C:C,1,FALSE)=E293,"pagado","no pagado"),"no pagado")</f>
        <v>pagado</v>
      </c>
      <c r="J293" s="52" t="str">
        <f t="shared" si="216"/>
        <v>pagado</v>
      </c>
      <c r="K293" s="51" t="str">
        <f t="shared" ca="1" si="217"/>
        <v>excluir</v>
      </c>
      <c r="L293" s="51" t="str">
        <f t="shared" ca="1" si="218"/>
        <v>no semana</v>
      </c>
      <c r="M293" s="51" t="str">
        <f>IFERROR(VLOOKUP(E293,'cheques a conf'!A:D,4,FALSE),"no clearing")</f>
        <v>no clearing</v>
      </c>
      <c r="N293" s="51">
        <f t="shared" si="219"/>
        <v>18</v>
      </c>
      <c r="O293" s="53">
        <f t="shared" si="220"/>
        <v>4</v>
      </c>
      <c r="P293" s="53">
        <f t="shared" si="221"/>
        <v>2025</v>
      </c>
    </row>
    <row r="294" spans="1:16" customFormat="1" x14ac:dyDescent="0.25">
      <c r="A294" s="21">
        <v>3000002068</v>
      </c>
      <c r="B294" s="22">
        <v>45775</v>
      </c>
      <c r="C294" s="54">
        <v>2187069.77</v>
      </c>
      <c r="D294" s="21" t="s">
        <v>659</v>
      </c>
      <c r="E294" s="21">
        <v>94326828</v>
      </c>
      <c r="F294" s="54">
        <v>2187069.77</v>
      </c>
      <c r="G294" s="22">
        <v>45776</v>
      </c>
      <c r="H294" t="s">
        <v>13</v>
      </c>
      <c r="I294" s="51" t="str">
        <f>IFERROR(IF(VLOOKUP(E294,extracto!C:C,1,FALSE)=E294,"pagado","no pagado"),"no pagado")</f>
        <v>pagado</v>
      </c>
      <c r="J294" s="52" t="str">
        <f t="shared" ref="J294" si="222">IF(I294="pagado","pagado",IF(G294&lt;$V$1-30,"fuera de fecha","en periodo de pago"))</f>
        <v>pagado</v>
      </c>
      <c r="K294" s="51" t="str">
        <f t="shared" ref="K294" ca="1" si="223">+IF(B294&gt;$V$1,"excluir",IF(J294="en periodo de pago",IF($V$1&gt;G294,"a pagar","proximo a vencer"),"excluir"))</f>
        <v>excluir</v>
      </c>
      <c r="L294" s="51" t="str">
        <f t="shared" ref="L294" ca="1" si="224">+IF(K294="proximo a vencer",IF($V$1+5&gt;G294,"para la semana","no semana"),"no semana")</f>
        <v>no semana</v>
      </c>
      <c r="M294" s="51" t="str">
        <f>IFERROR(VLOOKUP(E294,'cheques a conf'!A:D,4,FALSE),"no clearing")</f>
        <v>no clearing</v>
      </c>
      <c r="N294" s="51">
        <f t="shared" ref="N294" si="225">+WEEKNUM(G294,2)</f>
        <v>18</v>
      </c>
      <c r="O294" s="53">
        <f t="shared" ref="O294" si="226">+MONTH(G294)</f>
        <v>4</v>
      </c>
      <c r="P294" s="53">
        <f t="shared" ref="P294" si="227">+YEAR(G294)</f>
        <v>2025</v>
      </c>
    </row>
    <row r="295" spans="1:16" customFormat="1" x14ac:dyDescent="0.25">
      <c r="A295" s="21">
        <v>3000002169</v>
      </c>
      <c r="B295" s="22">
        <v>45782</v>
      </c>
      <c r="C295" s="54">
        <v>7600950</v>
      </c>
      <c r="D295" s="21" t="s">
        <v>660</v>
      </c>
      <c r="E295" s="21">
        <v>1198</v>
      </c>
      <c r="F295" s="54">
        <v>7600950</v>
      </c>
      <c r="G295" s="22">
        <v>45784</v>
      </c>
      <c r="H295" t="s">
        <v>32</v>
      </c>
      <c r="I295" s="51" t="str">
        <f>IFERROR(IF(VLOOKUP(E295,extracto!C:C,1,FALSE)=E295,"pagado","no pagado"),"no pagado")</f>
        <v>pagado</v>
      </c>
      <c r="J295" s="52" t="str">
        <f t="shared" ref="J295:J318" si="228">IF(I295="pagado","pagado",IF(G295&lt;$V$1-30,"fuera de fecha","en periodo de pago"))</f>
        <v>pagado</v>
      </c>
      <c r="K295" s="51" t="str">
        <f t="shared" ref="K295:K318" ca="1" si="229">+IF(B295&gt;$V$1,"excluir",IF(J295="en periodo de pago",IF($V$1&gt;G295,"a pagar","proximo a vencer"),"excluir"))</f>
        <v>excluir</v>
      </c>
      <c r="L295" s="51" t="str">
        <f t="shared" ref="L295:L318" ca="1" si="230">+IF(K295="proximo a vencer",IF($V$1+5&gt;G295,"para la semana","no semana"),"no semana")</f>
        <v>no semana</v>
      </c>
      <c r="M295" s="51" t="str">
        <f>IFERROR(VLOOKUP(E295,'cheques a conf'!A:D,4,FALSE),"no clearing")</f>
        <v>no clearing</v>
      </c>
      <c r="N295" s="51">
        <f t="shared" ref="N295:N318" si="231">+WEEKNUM(G295,2)</f>
        <v>19</v>
      </c>
      <c r="O295" s="53">
        <f t="shared" ref="O295:O318" si="232">+MONTH(G295)</f>
        <v>5</v>
      </c>
      <c r="P295" s="53">
        <f t="shared" ref="P295:P318" si="233">+YEAR(G295)</f>
        <v>2025</v>
      </c>
    </row>
    <row r="296" spans="1:16" customFormat="1" x14ac:dyDescent="0.25">
      <c r="A296" s="21">
        <v>3000002170</v>
      </c>
      <c r="B296" s="22">
        <v>45782</v>
      </c>
      <c r="C296" s="54">
        <v>6838027.4000000004</v>
      </c>
      <c r="D296" s="21" t="s">
        <v>610</v>
      </c>
      <c r="E296" s="21">
        <v>1199</v>
      </c>
      <c r="F296" s="54">
        <v>6838027.4000000004</v>
      </c>
      <c r="G296" s="22">
        <v>45785</v>
      </c>
      <c r="H296" t="s">
        <v>32</v>
      </c>
      <c r="I296" s="51" t="str">
        <f>IFERROR(IF(VLOOKUP(E296,extracto!C:C,1,FALSE)=E296,"pagado","no pagado"),"no pagado")</f>
        <v>no pagado</v>
      </c>
      <c r="J296" s="52" t="str">
        <f t="shared" ca="1" si="228"/>
        <v>fuera de fecha</v>
      </c>
      <c r="K296" s="51" t="str">
        <f t="shared" ca="1" si="229"/>
        <v>excluir</v>
      </c>
      <c r="L296" s="51" t="str">
        <f t="shared" ca="1" si="230"/>
        <v>no semana</v>
      </c>
      <c r="M296" s="51" t="str">
        <f>IFERROR(VLOOKUP(E296,'cheques a conf'!A:D,4,FALSE),"no clearing")</f>
        <v>no clearing</v>
      </c>
      <c r="N296" s="51">
        <f t="shared" si="231"/>
        <v>19</v>
      </c>
      <c r="O296" s="53">
        <f t="shared" si="232"/>
        <v>5</v>
      </c>
      <c r="P296" s="53">
        <f t="shared" si="233"/>
        <v>2025</v>
      </c>
    </row>
    <row r="297" spans="1:16" customFormat="1" x14ac:dyDescent="0.25">
      <c r="A297" s="21">
        <v>3000002171</v>
      </c>
      <c r="B297" s="22">
        <v>45782</v>
      </c>
      <c r="C297" s="54">
        <v>4467346.46</v>
      </c>
      <c r="D297" s="21" t="s">
        <v>628</v>
      </c>
      <c r="E297" s="21">
        <v>1200</v>
      </c>
      <c r="F297" s="54">
        <v>4467346.46</v>
      </c>
      <c r="G297" s="22">
        <v>45784</v>
      </c>
      <c r="H297" t="s">
        <v>32</v>
      </c>
      <c r="I297" s="51" t="str">
        <f>IFERROR(IF(VLOOKUP(E297,extracto!C:C,1,FALSE)=E297,"pagado","no pagado"),"no pagado")</f>
        <v>pagado</v>
      </c>
      <c r="J297" s="52" t="str">
        <f t="shared" si="228"/>
        <v>pagado</v>
      </c>
      <c r="K297" s="51" t="str">
        <f t="shared" ca="1" si="229"/>
        <v>excluir</v>
      </c>
      <c r="L297" s="51" t="str">
        <f t="shared" ca="1" si="230"/>
        <v>no semana</v>
      </c>
      <c r="M297" s="51" t="str">
        <f>IFERROR(VLOOKUP(E297,'cheques a conf'!A:D,4,FALSE),"no clearing")</f>
        <v>no clearing</v>
      </c>
      <c r="N297" s="51">
        <f t="shared" si="231"/>
        <v>19</v>
      </c>
      <c r="O297" s="53">
        <f t="shared" si="232"/>
        <v>5</v>
      </c>
      <c r="P297" s="53">
        <f t="shared" si="233"/>
        <v>2025</v>
      </c>
    </row>
    <row r="298" spans="1:16" customFormat="1" x14ac:dyDescent="0.25">
      <c r="A298" s="21">
        <v>3000002172</v>
      </c>
      <c r="B298" s="22">
        <v>45782</v>
      </c>
      <c r="C298" s="54">
        <v>17123544.879999999</v>
      </c>
      <c r="D298" s="21" t="s">
        <v>631</v>
      </c>
      <c r="E298" s="21">
        <v>1201</v>
      </c>
      <c r="F298" s="54">
        <v>17123544.879999999</v>
      </c>
      <c r="G298" s="22">
        <v>45784</v>
      </c>
      <c r="H298" t="s">
        <v>32</v>
      </c>
      <c r="I298" s="51" t="str">
        <f>IFERROR(IF(VLOOKUP(E298,extracto!C:C,1,FALSE)=E298,"pagado","no pagado"),"no pagado")</f>
        <v>pagado</v>
      </c>
      <c r="J298" s="52" t="str">
        <f t="shared" si="228"/>
        <v>pagado</v>
      </c>
      <c r="K298" s="51" t="str">
        <f t="shared" ca="1" si="229"/>
        <v>excluir</v>
      </c>
      <c r="L298" s="51" t="str">
        <f t="shared" ca="1" si="230"/>
        <v>no semana</v>
      </c>
      <c r="M298" s="51" t="str">
        <f>IFERROR(VLOOKUP(E298,'cheques a conf'!A:D,4,FALSE),"no clearing")</f>
        <v>no clearing</v>
      </c>
      <c r="N298" s="51">
        <f t="shared" si="231"/>
        <v>19</v>
      </c>
      <c r="O298" s="53">
        <f t="shared" si="232"/>
        <v>5</v>
      </c>
      <c r="P298" s="53">
        <f t="shared" si="233"/>
        <v>2025</v>
      </c>
    </row>
    <row r="299" spans="1:16" customFormat="1" x14ac:dyDescent="0.25">
      <c r="A299" s="21">
        <v>3000002173</v>
      </c>
      <c r="B299" s="22">
        <v>45782</v>
      </c>
      <c r="C299" s="54">
        <v>17154865.93</v>
      </c>
      <c r="D299" s="21" t="s">
        <v>631</v>
      </c>
      <c r="E299" s="21">
        <v>1202</v>
      </c>
      <c r="F299" s="54">
        <v>17154865.93</v>
      </c>
      <c r="G299" s="22">
        <v>45785</v>
      </c>
      <c r="H299" t="s">
        <v>32</v>
      </c>
      <c r="I299" s="51" t="str">
        <f>IFERROR(IF(VLOOKUP(E299,extracto!C:C,1,FALSE)=E299,"pagado","no pagado"),"no pagado")</f>
        <v>pagado</v>
      </c>
      <c r="J299" s="52" t="str">
        <f t="shared" si="228"/>
        <v>pagado</v>
      </c>
      <c r="K299" s="51" t="str">
        <f t="shared" ca="1" si="229"/>
        <v>excluir</v>
      </c>
      <c r="L299" s="51" t="str">
        <f t="shared" ca="1" si="230"/>
        <v>no semana</v>
      </c>
      <c r="M299" s="51" t="str">
        <f>IFERROR(VLOOKUP(E299,'cheques a conf'!A:D,4,FALSE),"no clearing")</f>
        <v>no clearing</v>
      </c>
      <c r="N299" s="51">
        <f t="shared" si="231"/>
        <v>19</v>
      </c>
      <c r="O299" s="53">
        <f t="shared" si="232"/>
        <v>5</v>
      </c>
      <c r="P299" s="53">
        <f t="shared" si="233"/>
        <v>2025</v>
      </c>
    </row>
    <row r="300" spans="1:16" customFormat="1" x14ac:dyDescent="0.25">
      <c r="A300" s="21">
        <v>3000002174</v>
      </c>
      <c r="B300" s="22">
        <v>45782</v>
      </c>
      <c r="C300" s="54">
        <v>12185040.48</v>
      </c>
      <c r="D300" s="21" t="s">
        <v>626</v>
      </c>
      <c r="E300" s="21">
        <v>1203</v>
      </c>
      <c r="F300" s="54">
        <v>12185040.48</v>
      </c>
      <c r="G300" s="22">
        <v>45784</v>
      </c>
      <c r="H300" t="s">
        <v>32</v>
      </c>
      <c r="I300" s="51" t="str">
        <f>IFERROR(IF(VLOOKUP(E300,extracto!C:C,1,FALSE)=E300,"pagado","no pagado"),"no pagado")</f>
        <v>pagado</v>
      </c>
      <c r="J300" s="52" t="str">
        <f t="shared" si="228"/>
        <v>pagado</v>
      </c>
      <c r="K300" s="51" t="str">
        <f t="shared" ca="1" si="229"/>
        <v>excluir</v>
      </c>
      <c r="L300" s="51" t="str">
        <f t="shared" ca="1" si="230"/>
        <v>no semana</v>
      </c>
      <c r="M300" s="51" t="str">
        <f>IFERROR(VLOOKUP(E300,'cheques a conf'!A:D,4,FALSE),"no clearing")</f>
        <v>no clearing</v>
      </c>
      <c r="N300" s="51">
        <f t="shared" si="231"/>
        <v>19</v>
      </c>
      <c r="O300" s="53">
        <f t="shared" si="232"/>
        <v>5</v>
      </c>
      <c r="P300" s="53">
        <f t="shared" si="233"/>
        <v>2025</v>
      </c>
    </row>
    <row r="301" spans="1:16" customFormat="1" x14ac:dyDescent="0.25">
      <c r="A301" s="21">
        <v>3000002175</v>
      </c>
      <c r="B301" s="22">
        <v>45782</v>
      </c>
      <c r="C301" s="54">
        <v>12153231.51</v>
      </c>
      <c r="D301" s="21" t="s">
        <v>626</v>
      </c>
      <c r="E301" s="21">
        <v>1204</v>
      </c>
      <c r="F301" s="54">
        <v>12153231.51</v>
      </c>
      <c r="G301" s="22">
        <v>45785</v>
      </c>
      <c r="H301" t="s">
        <v>32</v>
      </c>
      <c r="I301" s="51" t="str">
        <f>IFERROR(IF(VLOOKUP(E301,extracto!C:C,1,FALSE)=E301,"pagado","no pagado"),"no pagado")</f>
        <v>pagado</v>
      </c>
      <c r="J301" s="52" t="str">
        <f t="shared" si="228"/>
        <v>pagado</v>
      </c>
      <c r="K301" s="51" t="str">
        <f t="shared" ca="1" si="229"/>
        <v>excluir</v>
      </c>
      <c r="L301" s="51" t="str">
        <f t="shared" ca="1" si="230"/>
        <v>no semana</v>
      </c>
      <c r="M301" s="51" t="str">
        <f>IFERROR(VLOOKUP(E301,'cheques a conf'!A:D,4,FALSE),"no clearing")</f>
        <v>no clearing</v>
      </c>
      <c r="N301" s="51">
        <f t="shared" si="231"/>
        <v>19</v>
      </c>
      <c r="O301" s="53">
        <f t="shared" si="232"/>
        <v>5</v>
      </c>
      <c r="P301" s="53">
        <f t="shared" si="233"/>
        <v>2025</v>
      </c>
    </row>
    <row r="302" spans="1:16" customFormat="1" x14ac:dyDescent="0.25">
      <c r="A302">
        <v>3000002262</v>
      </c>
      <c r="B302" s="22">
        <v>45785</v>
      </c>
      <c r="C302" s="4">
        <v>9227933</v>
      </c>
      <c r="D302" t="s">
        <v>88</v>
      </c>
      <c r="E302">
        <v>94326829</v>
      </c>
      <c r="F302" s="4">
        <v>9227933</v>
      </c>
      <c r="G302" s="3">
        <v>45786</v>
      </c>
      <c r="H302" t="s">
        <v>13</v>
      </c>
      <c r="I302" s="51" t="str">
        <f>IFERROR(IF(VLOOKUP(E302,extracto!C:C,1,FALSE)=E302,"pagado","no pagado"),"no pagado")</f>
        <v>pagado</v>
      </c>
      <c r="J302" s="52" t="str">
        <f t="shared" si="228"/>
        <v>pagado</v>
      </c>
      <c r="K302" s="51" t="str">
        <f t="shared" ca="1" si="229"/>
        <v>excluir</v>
      </c>
      <c r="L302" s="51" t="str">
        <f t="shared" ca="1" si="230"/>
        <v>no semana</v>
      </c>
      <c r="M302" s="51" t="str">
        <f>IFERROR(VLOOKUP(E302,'cheques a conf'!A:D,4,FALSE),"no clearing")</f>
        <v>no clearing</v>
      </c>
      <c r="N302" s="51">
        <f t="shared" si="231"/>
        <v>19</v>
      </c>
      <c r="O302" s="53">
        <f t="shared" si="232"/>
        <v>5</v>
      </c>
      <c r="P302" s="53">
        <f t="shared" si="233"/>
        <v>2025</v>
      </c>
    </row>
    <row r="303" spans="1:16" customFormat="1" x14ac:dyDescent="0.25">
      <c r="A303">
        <v>3000002229</v>
      </c>
      <c r="B303" s="22">
        <v>45784</v>
      </c>
      <c r="C303" s="4">
        <v>12000000</v>
      </c>
      <c r="D303" t="s">
        <v>619</v>
      </c>
      <c r="E303">
        <v>91002396</v>
      </c>
      <c r="F303" s="4">
        <v>12000000</v>
      </c>
      <c r="G303" s="3">
        <v>45786</v>
      </c>
      <c r="H303" t="s">
        <v>79</v>
      </c>
      <c r="I303" s="51" t="str">
        <f>IFERROR(IF(VLOOKUP(E303,extracto!C:C,1,FALSE)=E303,"pagado","no pagado"),"no pagado")</f>
        <v>pagado</v>
      </c>
      <c r="J303" s="52" t="str">
        <f t="shared" si="228"/>
        <v>pagado</v>
      </c>
      <c r="K303" s="51" t="str">
        <f t="shared" ca="1" si="229"/>
        <v>excluir</v>
      </c>
      <c r="L303" s="51" t="str">
        <f t="shared" ca="1" si="230"/>
        <v>no semana</v>
      </c>
      <c r="M303" s="51" t="str">
        <f>IFERROR(VLOOKUP(E303,'cheques a conf'!A:D,4,FALSE),"no clearing")</f>
        <v>no clearing</v>
      </c>
      <c r="N303" s="51">
        <f t="shared" si="231"/>
        <v>19</v>
      </c>
      <c r="O303" s="53">
        <f t="shared" si="232"/>
        <v>5</v>
      </c>
      <c r="P303" s="53">
        <f t="shared" si="233"/>
        <v>2025</v>
      </c>
    </row>
    <row r="304" spans="1:16" customFormat="1" x14ac:dyDescent="0.25">
      <c r="A304">
        <v>3000002229</v>
      </c>
      <c r="B304" s="22">
        <v>45784</v>
      </c>
      <c r="C304" s="4">
        <v>11268737.619999999</v>
      </c>
      <c r="D304" t="s">
        <v>619</v>
      </c>
      <c r="E304">
        <v>91002397</v>
      </c>
      <c r="F304" s="4">
        <v>11268737.619999999</v>
      </c>
      <c r="G304" s="3">
        <v>45789</v>
      </c>
      <c r="H304" t="s">
        <v>79</v>
      </c>
      <c r="I304" s="51" t="str">
        <f>IFERROR(IF(VLOOKUP(E304,extracto!C:C,1,FALSE)=E304,"pagado","no pagado"),"no pagado")</f>
        <v>pagado</v>
      </c>
      <c r="J304" s="52" t="str">
        <f t="shared" si="228"/>
        <v>pagado</v>
      </c>
      <c r="K304" s="51" t="str">
        <f t="shared" ca="1" si="229"/>
        <v>excluir</v>
      </c>
      <c r="L304" s="51" t="str">
        <f t="shared" ca="1" si="230"/>
        <v>no semana</v>
      </c>
      <c r="M304" s="51" t="str">
        <f>IFERROR(VLOOKUP(E304,'cheques a conf'!A:D,4,FALSE),"no clearing")</f>
        <v>no clearing</v>
      </c>
      <c r="N304" s="51">
        <f t="shared" si="231"/>
        <v>20</v>
      </c>
      <c r="O304" s="53">
        <f t="shared" si="232"/>
        <v>5</v>
      </c>
      <c r="P304" s="53">
        <f t="shared" si="233"/>
        <v>2025</v>
      </c>
    </row>
    <row r="305" spans="1:16" customFormat="1" x14ac:dyDescent="0.25">
      <c r="A305">
        <v>3000002231</v>
      </c>
      <c r="B305" s="22">
        <v>45784</v>
      </c>
      <c r="C305" s="4">
        <v>15000000</v>
      </c>
      <c r="D305" t="s">
        <v>661</v>
      </c>
      <c r="E305">
        <v>91002399</v>
      </c>
      <c r="F305" s="4">
        <v>15000000</v>
      </c>
      <c r="G305" s="3">
        <v>45786</v>
      </c>
      <c r="H305" t="s">
        <v>79</v>
      </c>
      <c r="I305" s="51" t="str">
        <f>IFERROR(IF(VLOOKUP(E305,extracto!C:C,1,FALSE)=E305,"pagado","no pagado"),"no pagado")</f>
        <v>pagado</v>
      </c>
      <c r="J305" s="52" t="str">
        <f t="shared" si="228"/>
        <v>pagado</v>
      </c>
      <c r="K305" s="51" t="str">
        <f t="shared" ca="1" si="229"/>
        <v>excluir</v>
      </c>
      <c r="L305" s="51" t="str">
        <f t="shared" ca="1" si="230"/>
        <v>no semana</v>
      </c>
      <c r="M305" s="51" t="str">
        <f>IFERROR(VLOOKUP(E305,'cheques a conf'!A:D,4,FALSE),"no clearing")</f>
        <v>no clearing</v>
      </c>
      <c r="N305" s="51">
        <f t="shared" si="231"/>
        <v>19</v>
      </c>
      <c r="O305" s="53">
        <f t="shared" si="232"/>
        <v>5</v>
      </c>
      <c r="P305" s="53">
        <f t="shared" si="233"/>
        <v>2025</v>
      </c>
    </row>
    <row r="306" spans="1:16" customFormat="1" x14ac:dyDescent="0.25">
      <c r="A306">
        <v>3000002231</v>
      </c>
      <c r="B306" s="22">
        <v>45784</v>
      </c>
      <c r="C306" s="4">
        <v>16429407.18</v>
      </c>
      <c r="D306" t="s">
        <v>661</v>
      </c>
      <c r="E306">
        <v>91002400</v>
      </c>
      <c r="F306" s="4">
        <v>16429407.18</v>
      </c>
      <c r="G306" s="3">
        <v>45789</v>
      </c>
      <c r="H306" t="s">
        <v>79</v>
      </c>
      <c r="I306" s="51" t="str">
        <f>IFERROR(IF(VLOOKUP(E306,extracto!C:C,1,FALSE)=E306,"pagado","no pagado"),"no pagado")</f>
        <v>pagado</v>
      </c>
      <c r="J306" s="52" t="str">
        <f t="shared" si="228"/>
        <v>pagado</v>
      </c>
      <c r="K306" s="51" t="str">
        <f t="shared" ca="1" si="229"/>
        <v>excluir</v>
      </c>
      <c r="L306" s="51" t="str">
        <f t="shared" ca="1" si="230"/>
        <v>no semana</v>
      </c>
      <c r="M306" s="51" t="str">
        <f>IFERROR(VLOOKUP(E306,'cheques a conf'!A:D,4,FALSE),"no clearing")</f>
        <v>no clearing</v>
      </c>
      <c r="N306" s="51">
        <f t="shared" si="231"/>
        <v>20</v>
      </c>
      <c r="O306" s="53">
        <f t="shared" si="232"/>
        <v>5</v>
      </c>
      <c r="P306" s="53">
        <f t="shared" si="233"/>
        <v>2025</v>
      </c>
    </row>
    <row r="307" spans="1:16" customFormat="1" x14ac:dyDescent="0.25">
      <c r="A307">
        <v>3000002216</v>
      </c>
      <c r="B307" s="22">
        <v>45784</v>
      </c>
      <c r="C307" s="4">
        <v>2692869.92</v>
      </c>
      <c r="D307" t="s">
        <v>662</v>
      </c>
      <c r="E307">
        <v>91002383</v>
      </c>
      <c r="F307" s="4">
        <v>2692869.92</v>
      </c>
      <c r="G307" s="3">
        <v>45786</v>
      </c>
      <c r="H307" t="s">
        <v>79</v>
      </c>
      <c r="I307" s="51" t="str">
        <f>IFERROR(IF(VLOOKUP(E307,extracto!C:C,1,FALSE)=E307,"pagado","no pagado"),"no pagado")</f>
        <v>pagado</v>
      </c>
      <c r="J307" s="52" t="str">
        <f t="shared" si="228"/>
        <v>pagado</v>
      </c>
      <c r="K307" s="51" t="str">
        <f t="shared" ca="1" si="229"/>
        <v>excluir</v>
      </c>
      <c r="L307" s="51" t="str">
        <f t="shared" ca="1" si="230"/>
        <v>no semana</v>
      </c>
      <c r="M307" s="51" t="str">
        <f>IFERROR(VLOOKUP(E307,'cheques a conf'!A:D,4,FALSE),"no clearing")</f>
        <v>no clearing</v>
      </c>
      <c r="N307" s="51">
        <f t="shared" si="231"/>
        <v>19</v>
      </c>
      <c r="O307" s="53">
        <f t="shared" si="232"/>
        <v>5</v>
      </c>
      <c r="P307" s="53">
        <f t="shared" si="233"/>
        <v>2025</v>
      </c>
    </row>
    <row r="308" spans="1:16" customFormat="1" x14ac:dyDescent="0.25">
      <c r="A308">
        <v>3000002217</v>
      </c>
      <c r="B308" s="22">
        <v>45784</v>
      </c>
      <c r="C308" s="4">
        <v>4535357.83</v>
      </c>
      <c r="D308" t="s">
        <v>663</v>
      </c>
      <c r="E308">
        <v>91002384</v>
      </c>
      <c r="F308" s="4">
        <v>4535357.83</v>
      </c>
      <c r="G308" s="3">
        <v>45786</v>
      </c>
      <c r="H308" t="s">
        <v>79</v>
      </c>
      <c r="I308" s="51" t="str">
        <f>IFERROR(IF(VLOOKUP(E308,extracto!C:C,1,FALSE)=E308,"pagado","no pagado"),"no pagado")</f>
        <v>pagado</v>
      </c>
      <c r="J308" s="52" t="str">
        <f t="shared" si="228"/>
        <v>pagado</v>
      </c>
      <c r="K308" s="51" t="str">
        <f t="shared" ca="1" si="229"/>
        <v>excluir</v>
      </c>
      <c r="L308" s="51" t="str">
        <f t="shared" ca="1" si="230"/>
        <v>no semana</v>
      </c>
      <c r="M308" s="51" t="str">
        <f>IFERROR(VLOOKUP(E308,'cheques a conf'!A:D,4,FALSE),"no clearing")</f>
        <v>no clearing</v>
      </c>
      <c r="N308" s="51">
        <f t="shared" si="231"/>
        <v>19</v>
      </c>
      <c r="O308" s="53">
        <f t="shared" si="232"/>
        <v>5</v>
      </c>
      <c r="P308" s="53">
        <f t="shared" si="233"/>
        <v>2025</v>
      </c>
    </row>
    <row r="309" spans="1:16" customFormat="1" x14ac:dyDescent="0.25">
      <c r="A309">
        <v>3000002218</v>
      </c>
      <c r="B309" s="22">
        <v>45784</v>
      </c>
      <c r="C309" s="4">
        <v>11519821.869999999</v>
      </c>
      <c r="D309" t="s">
        <v>657</v>
      </c>
      <c r="E309">
        <v>91002385</v>
      </c>
      <c r="F309" s="4">
        <v>11519821.869999999</v>
      </c>
      <c r="G309" s="3">
        <v>45786</v>
      </c>
      <c r="H309" t="s">
        <v>79</v>
      </c>
      <c r="I309" s="51" t="str">
        <f>IFERROR(IF(VLOOKUP(E309,extracto!C:C,1,FALSE)=E309,"pagado","no pagado"),"no pagado")</f>
        <v>pagado</v>
      </c>
      <c r="J309" s="52" t="str">
        <f t="shared" si="228"/>
        <v>pagado</v>
      </c>
      <c r="K309" s="51" t="str">
        <f t="shared" ca="1" si="229"/>
        <v>excluir</v>
      </c>
      <c r="L309" s="51" t="str">
        <f t="shared" ca="1" si="230"/>
        <v>no semana</v>
      </c>
      <c r="M309" s="51" t="str">
        <f>IFERROR(VLOOKUP(E309,'cheques a conf'!A:D,4,FALSE),"no clearing")</f>
        <v>no clearing</v>
      </c>
      <c r="N309" s="51">
        <f t="shared" si="231"/>
        <v>19</v>
      </c>
      <c r="O309" s="53">
        <f t="shared" si="232"/>
        <v>5</v>
      </c>
      <c r="P309" s="53">
        <f t="shared" si="233"/>
        <v>2025</v>
      </c>
    </row>
    <row r="310" spans="1:16" customFormat="1" x14ac:dyDescent="0.25">
      <c r="A310">
        <v>3000002219</v>
      </c>
      <c r="B310" s="22">
        <v>45784</v>
      </c>
      <c r="C310" s="4">
        <v>5830302.0599999996</v>
      </c>
      <c r="D310" t="s">
        <v>664</v>
      </c>
      <c r="E310">
        <v>91002386</v>
      </c>
      <c r="F310" s="4">
        <v>5830302.0599999996</v>
      </c>
      <c r="G310" s="3">
        <v>45786</v>
      </c>
      <c r="H310" t="s">
        <v>79</v>
      </c>
      <c r="I310" s="51" t="str">
        <f>IFERROR(IF(VLOOKUP(E310,extracto!C:C,1,FALSE)=E310,"pagado","no pagado"),"no pagado")</f>
        <v>pagado</v>
      </c>
      <c r="J310" s="52" t="str">
        <f t="shared" si="228"/>
        <v>pagado</v>
      </c>
      <c r="K310" s="51" t="str">
        <f t="shared" ca="1" si="229"/>
        <v>excluir</v>
      </c>
      <c r="L310" s="51" t="str">
        <f t="shared" ca="1" si="230"/>
        <v>no semana</v>
      </c>
      <c r="M310" s="51" t="str">
        <f>IFERROR(VLOOKUP(E310,'cheques a conf'!A:D,4,FALSE),"no clearing")</f>
        <v>no clearing</v>
      </c>
      <c r="N310" s="51">
        <f t="shared" si="231"/>
        <v>19</v>
      </c>
      <c r="O310" s="53">
        <f t="shared" si="232"/>
        <v>5</v>
      </c>
      <c r="P310" s="53">
        <f t="shared" si="233"/>
        <v>2025</v>
      </c>
    </row>
    <row r="311" spans="1:16" customFormat="1" x14ac:dyDescent="0.25">
      <c r="A311">
        <v>3000002220</v>
      </c>
      <c r="B311" s="22">
        <v>45784</v>
      </c>
      <c r="C311" s="4">
        <v>3661506.06</v>
      </c>
      <c r="D311" t="s">
        <v>665</v>
      </c>
      <c r="E311">
        <v>91002387</v>
      </c>
      <c r="F311" s="4">
        <v>3661506.06</v>
      </c>
      <c r="G311" s="3">
        <v>45786</v>
      </c>
      <c r="H311" t="s">
        <v>79</v>
      </c>
      <c r="I311" s="51" t="str">
        <f>IFERROR(IF(VLOOKUP(E311,extracto!C:C,1,FALSE)=E311,"pagado","no pagado"),"no pagado")</f>
        <v>pagado</v>
      </c>
      <c r="J311" s="52" t="str">
        <f t="shared" si="228"/>
        <v>pagado</v>
      </c>
      <c r="K311" s="51" t="str">
        <f t="shared" ca="1" si="229"/>
        <v>excluir</v>
      </c>
      <c r="L311" s="51" t="str">
        <f t="shared" ca="1" si="230"/>
        <v>no semana</v>
      </c>
      <c r="M311" s="51" t="str">
        <f>IFERROR(VLOOKUP(E311,'cheques a conf'!A:D,4,FALSE),"no clearing")</f>
        <v>no clearing</v>
      </c>
      <c r="N311" s="51">
        <f t="shared" si="231"/>
        <v>19</v>
      </c>
      <c r="O311" s="53">
        <f t="shared" si="232"/>
        <v>5</v>
      </c>
      <c r="P311" s="53">
        <f t="shared" si="233"/>
        <v>2025</v>
      </c>
    </row>
    <row r="312" spans="1:16" customFormat="1" x14ac:dyDescent="0.25">
      <c r="A312">
        <v>3000002221</v>
      </c>
      <c r="B312" s="22">
        <v>45784</v>
      </c>
      <c r="C312" s="4">
        <v>2735445.29</v>
      </c>
      <c r="D312" t="s">
        <v>666</v>
      </c>
      <c r="E312">
        <v>91002388</v>
      </c>
      <c r="F312" s="4">
        <v>2735445.29</v>
      </c>
      <c r="G312" s="3">
        <v>45786</v>
      </c>
      <c r="H312" t="s">
        <v>79</v>
      </c>
      <c r="I312" s="51" t="str">
        <f>IFERROR(IF(VLOOKUP(E312,extracto!C:C,1,FALSE)=E312,"pagado","no pagado"),"no pagado")</f>
        <v>pagado</v>
      </c>
      <c r="J312" s="52" t="str">
        <f t="shared" si="228"/>
        <v>pagado</v>
      </c>
      <c r="K312" s="51" t="str">
        <f t="shared" ca="1" si="229"/>
        <v>excluir</v>
      </c>
      <c r="L312" s="51" t="str">
        <f t="shared" ca="1" si="230"/>
        <v>no semana</v>
      </c>
      <c r="M312" s="51" t="str">
        <f>IFERROR(VLOOKUP(E312,'cheques a conf'!A:D,4,FALSE),"no clearing")</f>
        <v>no clearing</v>
      </c>
      <c r="N312" s="51">
        <f t="shared" si="231"/>
        <v>19</v>
      </c>
      <c r="O312" s="53">
        <f t="shared" si="232"/>
        <v>5</v>
      </c>
      <c r="P312" s="53">
        <f t="shared" si="233"/>
        <v>2025</v>
      </c>
    </row>
    <row r="313" spans="1:16" customFormat="1" x14ac:dyDescent="0.25">
      <c r="A313">
        <v>3000002222</v>
      </c>
      <c r="B313" s="22">
        <v>45784</v>
      </c>
      <c r="C313" s="4">
        <v>6199166.4900000002</v>
      </c>
      <c r="D313" t="s">
        <v>667</v>
      </c>
      <c r="E313">
        <v>91002389</v>
      </c>
      <c r="F313" s="4">
        <v>6199166.4900000002</v>
      </c>
      <c r="G313" s="3">
        <v>45786</v>
      </c>
      <c r="H313" t="s">
        <v>79</v>
      </c>
      <c r="I313" s="51" t="str">
        <f>IFERROR(IF(VLOOKUP(E313,extracto!C:C,1,FALSE)=E313,"pagado","no pagado"),"no pagado")</f>
        <v>pagado</v>
      </c>
      <c r="J313" s="52" t="str">
        <f t="shared" si="228"/>
        <v>pagado</v>
      </c>
      <c r="K313" s="51" t="str">
        <f t="shared" ca="1" si="229"/>
        <v>excluir</v>
      </c>
      <c r="L313" s="51" t="str">
        <f t="shared" ca="1" si="230"/>
        <v>no semana</v>
      </c>
      <c r="M313" s="51" t="str">
        <f>IFERROR(VLOOKUP(E313,'cheques a conf'!A:D,4,FALSE),"no clearing")</f>
        <v>no clearing</v>
      </c>
      <c r="N313" s="51">
        <f t="shared" si="231"/>
        <v>19</v>
      </c>
      <c r="O313" s="53">
        <f t="shared" si="232"/>
        <v>5</v>
      </c>
      <c r="P313" s="53">
        <f t="shared" si="233"/>
        <v>2025</v>
      </c>
    </row>
    <row r="314" spans="1:16" customFormat="1" x14ac:dyDescent="0.25">
      <c r="A314">
        <v>3000002223</v>
      </c>
      <c r="B314" s="22">
        <v>45784</v>
      </c>
      <c r="C314" s="4">
        <v>6149354.9299999997</v>
      </c>
      <c r="D314" t="s">
        <v>668</v>
      </c>
      <c r="E314">
        <v>91002390</v>
      </c>
      <c r="F314" s="4">
        <v>6149354.9299999997</v>
      </c>
      <c r="G314" s="3">
        <v>45786</v>
      </c>
      <c r="H314" t="s">
        <v>79</v>
      </c>
      <c r="I314" s="51" t="str">
        <f>IFERROR(IF(VLOOKUP(E314,extracto!C:C,1,FALSE)=E314,"pagado","no pagado"),"no pagado")</f>
        <v>pagado</v>
      </c>
      <c r="J314" s="52" t="str">
        <f t="shared" si="228"/>
        <v>pagado</v>
      </c>
      <c r="K314" s="51" t="str">
        <f t="shared" ca="1" si="229"/>
        <v>excluir</v>
      </c>
      <c r="L314" s="51" t="str">
        <f t="shared" ca="1" si="230"/>
        <v>no semana</v>
      </c>
      <c r="M314" s="51" t="str">
        <f>IFERROR(VLOOKUP(E314,'cheques a conf'!A:D,4,FALSE),"no clearing")</f>
        <v>no clearing</v>
      </c>
      <c r="N314" s="51">
        <f t="shared" si="231"/>
        <v>19</v>
      </c>
      <c r="O314" s="53">
        <f t="shared" si="232"/>
        <v>5</v>
      </c>
      <c r="P314" s="53">
        <f t="shared" si="233"/>
        <v>2025</v>
      </c>
    </row>
    <row r="315" spans="1:16" customFormat="1" x14ac:dyDescent="0.25">
      <c r="A315">
        <v>3000002224</v>
      </c>
      <c r="B315" s="22">
        <v>45784</v>
      </c>
      <c r="C315" s="4">
        <v>5720794.4100000001</v>
      </c>
      <c r="D315" t="s">
        <v>31</v>
      </c>
      <c r="E315">
        <v>91002391</v>
      </c>
      <c r="F315" s="4">
        <v>5720794.4100000001</v>
      </c>
      <c r="G315" s="3">
        <v>45786</v>
      </c>
      <c r="H315" t="s">
        <v>79</v>
      </c>
      <c r="I315" s="51" t="str">
        <f>IFERROR(IF(VLOOKUP(E315,extracto!C:C,1,FALSE)=E315,"pagado","no pagado"),"no pagado")</f>
        <v>pagado</v>
      </c>
      <c r="J315" s="52" t="str">
        <f t="shared" si="228"/>
        <v>pagado</v>
      </c>
      <c r="K315" s="51" t="str">
        <f t="shared" ca="1" si="229"/>
        <v>excluir</v>
      </c>
      <c r="L315" s="51" t="str">
        <f t="shared" ca="1" si="230"/>
        <v>no semana</v>
      </c>
      <c r="M315" s="51" t="str">
        <f>IFERROR(VLOOKUP(E315,'cheques a conf'!A:D,4,FALSE),"no clearing")</f>
        <v>no clearing</v>
      </c>
      <c r="N315" s="51">
        <f t="shared" si="231"/>
        <v>19</v>
      </c>
      <c r="O315" s="53">
        <f t="shared" si="232"/>
        <v>5</v>
      </c>
      <c r="P315" s="53">
        <f t="shared" si="233"/>
        <v>2025</v>
      </c>
    </row>
    <row r="316" spans="1:16" customFormat="1" x14ac:dyDescent="0.25">
      <c r="A316">
        <v>3000002225</v>
      </c>
      <c r="B316" s="22">
        <v>45784</v>
      </c>
      <c r="C316" s="4">
        <v>4256646.51</v>
      </c>
      <c r="D316" t="s">
        <v>669</v>
      </c>
      <c r="E316">
        <v>91002392</v>
      </c>
      <c r="F316" s="4">
        <v>4256646.51</v>
      </c>
      <c r="G316" s="3">
        <v>45786</v>
      </c>
      <c r="H316" t="s">
        <v>79</v>
      </c>
      <c r="I316" s="51" t="str">
        <f>IFERROR(IF(VLOOKUP(E316,extracto!C:C,1,FALSE)=E316,"pagado","no pagado"),"no pagado")</f>
        <v>pagado</v>
      </c>
      <c r="J316" s="52" t="str">
        <f t="shared" si="228"/>
        <v>pagado</v>
      </c>
      <c r="K316" s="51" t="str">
        <f t="shared" ca="1" si="229"/>
        <v>excluir</v>
      </c>
      <c r="L316" s="51" t="str">
        <f t="shared" ca="1" si="230"/>
        <v>no semana</v>
      </c>
      <c r="M316" s="51" t="str">
        <f>IFERROR(VLOOKUP(E316,'cheques a conf'!A:D,4,FALSE),"no clearing")</f>
        <v>no clearing</v>
      </c>
      <c r="N316" s="51">
        <f t="shared" si="231"/>
        <v>19</v>
      </c>
      <c r="O316" s="53">
        <f t="shared" si="232"/>
        <v>5</v>
      </c>
      <c r="P316" s="53">
        <f t="shared" si="233"/>
        <v>2025</v>
      </c>
    </row>
    <row r="317" spans="1:16" customFormat="1" x14ac:dyDescent="0.25">
      <c r="A317">
        <v>3000002226</v>
      </c>
      <c r="B317" s="22">
        <v>45784</v>
      </c>
      <c r="C317" s="4">
        <v>4018981.05</v>
      </c>
      <c r="D317" t="s">
        <v>612</v>
      </c>
      <c r="E317">
        <v>91002393</v>
      </c>
      <c r="F317" s="4">
        <v>4018981.05</v>
      </c>
      <c r="G317" s="3">
        <v>45786</v>
      </c>
      <c r="H317" t="s">
        <v>79</v>
      </c>
      <c r="I317" s="51" t="str">
        <f>IFERROR(IF(VLOOKUP(E317,extracto!C:C,1,FALSE)=E317,"pagado","no pagado"),"no pagado")</f>
        <v>pagado</v>
      </c>
      <c r="J317" s="52" t="str">
        <f t="shared" si="228"/>
        <v>pagado</v>
      </c>
      <c r="K317" s="51" t="str">
        <f t="shared" ca="1" si="229"/>
        <v>excluir</v>
      </c>
      <c r="L317" s="51" t="str">
        <f t="shared" ca="1" si="230"/>
        <v>no semana</v>
      </c>
      <c r="M317" s="51" t="str">
        <f>IFERROR(VLOOKUP(E317,'cheques a conf'!A:D,4,FALSE),"no clearing")</f>
        <v>no clearing</v>
      </c>
      <c r="N317" s="51">
        <f t="shared" si="231"/>
        <v>19</v>
      </c>
      <c r="O317" s="53">
        <f t="shared" si="232"/>
        <v>5</v>
      </c>
      <c r="P317" s="53">
        <f t="shared" si="233"/>
        <v>2025</v>
      </c>
    </row>
    <row r="318" spans="1:16" customFormat="1" x14ac:dyDescent="0.25">
      <c r="A318">
        <v>3000002227</v>
      </c>
      <c r="B318" s="22">
        <v>45784</v>
      </c>
      <c r="C318" s="4">
        <v>4112784.02</v>
      </c>
      <c r="D318" t="s">
        <v>623</v>
      </c>
      <c r="E318">
        <v>91002394</v>
      </c>
      <c r="F318" s="4">
        <v>4112784.02</v>
      </c>
      <c r="G318" s="3">
        <v>45786</v>
      </c>
      <c r="H318" t="s">
        <v>79</v>
      </c>
      <c r="I318" s="51" t="str">
        <f>IFERROR(IF(VLOOKUP(E318,extracto!C:C,1,FALSE)=E318,"pagado","no pagado"),"no pagado")</f>
        <v>pagado</v>
      </c>
      <c r="J318" s="52" t="str">
        <f t="shared" si="228"/>
        <v>pagado</v>
      </c>
      <c r="K318" s="51" t="str">
        <f t="shared" ca="1" si="229"/>
        <v>excluir</v>
      </c>
      <c r="L318" s="51" t="str">
        <f t="shared" ca="1" si="230"/>
        <v>no semana</v>
      </c>
      <c r="M318" s="51" t="str">
        <f>IFERROR(VLOOKUP(E318,'cheques a conf'!A:D,4,FALSE),"no clearing")</f>
        <v>no clearing</v>
      </c>
      <c r="N318" s="51">
        <f t="shared" si="231"/>
        <v>19</v>
      </c>
      <c r="O318" s="53">
        <f t="shared" si="232"/>
        <v>5</v>
      </c>
      <c r="P318" s="53">
        <f t="shared" si="233"/>
        <v>2025</v>
      </c>
    </row>
    <row r="319" spans="1:16" customFormat="1" x14ac:dyDescent="0.25">
      <c r="A319">
        <v>3000002228</v>
      </c>
      <c r="B319" s="22">
        <v>45784</v>
      </c>
      <c r="C319" s="4">
        <v>3624413.92</v>
      </c>
      <c r="D319" t="s">
        <v>670</v>
      </c>
      <c r="E319">
        <v>91002395</v>
      </c>
      <c r="F319" s="4">
        <v>3624413.92</v>
      </c>
      <c r="G319" s="3">
        <v>45786</v>
      </c>
      <c r="H319" t="s">
        <v>79</v>
      </c>
      <c r="I319" s="51" t="str">
        <f>IFERROR(IF(VLOOKUP(E319,extracto!C:C,1,FALSE)=E319,"pagado","no pagado"),"no pagado")</f>
        <v>pagado</v>
      </c>
      <c r="J319" s="52" t="str">
        <f t="shared" ref="J319:J320" si="234">IF(I319="pagado","pagado",IF(G319&lt;$V$1-30,"fuera de fecha","en periodo de pago"))</f>
        <v>pagado</v>
      </c>
      <c r="K319" s="51" t="str">
        <f t="shared" ref="K319:K320" ca="1" si="235">+IF(B319&gt;$V$1,"excluir",IF(J319="en periodo de pago",IF($V$1&gt;G319,"a pagar","proximo a vencer"),"excluir"))</f>
        <v>excluir</v>
      </c>
      <c r="L319" s="51" t="str">
        <f t="shared" ref="L319:L320" ca="1" si="236">+IF(K319="proximo a vencer",IF($V$1+5&gt;G319,"para la semana","no semana"),"no semana")</f>
        <v>no semana</v>
      </c>
      <c r="M319" s="51" t="str">
        <f>IFERROR(VLOOKUP(E319,'cheques a conf'!A:D,4,FALSE),"no clearing")</f>
        <v>no clearing</v>
      </c>
      <c r="N319" s="51">
        <f t="shared" ref="N319:N320" si="237">+WEEKNUM(G319,2)</f>
        <v>19</v>
      </c>
      <c r="O319" s="53">
        <f t="shared" ref="O319:O320" si="238">+MONTH(G319)</f>
        <v>5</v>
      </c>
      <c r="P319" s="53">
        <f t="shared" ref="P319:P320" si="239">+YEAR(G319)</f>
        <v>2025</v>
      </c>
    </row>
    <row r="320" spans="1:16" customFormat="1" x14ac:dyDescent="0.25">
      <c r="A320">
        <v>3000002230</v>
      </c>
      <c r="B320" s="22">
        <v>45784</v>
      </c>
      <c r="C320" s="4">
        <v>10716513.73</v>
      </c>
      <c r="D320" t="s">
        <v>650</v>
      </c>
      <c r="E320">
        <v>91002398</v>
      </c>
      <c r="F320" s="4">
        <v>10716513.73</v>
      </c>
      <c r="G320" s="3">
        <v>45786</v>
      </c>
      <c r="H320" t="s">
        <v>79</v>
      </c>
      <c r="I320" s="51" t="str">
        <f>IFERROR(IF(VLOOKUP(E320,extracto!C:C,1,FALSE)=E320,"pagado","no pagado"),"no pagado")</f>
        <v>pagado</v>
      </c>
      <c r="J320" s="52" t="str">
        <f t="shared" si="234"/>
        <v>pagado</v>
      </c>
      <c r="K320" s="51" t="str">
        <f t="shared" ca="1" si="235"/>
        <v>excluir</v>
      </c>
      <c r="L320" s="51" t="str">
        <f t="shared" ca="1" si="236"/>
        <v>no semana</v>
      </c>
      <c r="M320" s="51" t="str">
        <f>IFERROR(VLOOKUP(E320,'cheques a conf'!A:D,4,FALSE),"no clearing")</f>
        <v>no clearing</v>
      </c>
      <c r="N320" s="51">
        <f t="shared" si="237"/>
        <v>19</v>
      </c>
      <c r="O320" s="53">
        <f t="shared" si="238"/>
        <v>5</v>
      </c>
      <c r="P320" s="53">
        <f t="shared" si="239"/>
        <v>2025</v>
      </c>
    </row>
    <row r="321" spans="1:16" customFormat="1" x14ac:dyDescent="0.25">
      <c r="A321">
        <v>3000002311</v>
      </c>
      <c r="B321" s="22">
        <v>45789</v>
      </c>
      <c r="C321" s="4">
        <v>33276593.399999999</v>
      </c>
      <c r="D321" t="s">
        <v>629</v>
      </c>
      <c r="E321">
        <v>1205</v>
      </c>
      <c r="F321" s="4">
        <v>33276593.399999999</v>
      </c>
      <c r="G321" s="3">
        <v>45791</v>
      </c>
      <c r="H321" t="s">
        <v>32</v>
      </c>
      <c r="I321" s="51" t="str">
        <f>IFERROR(IF(VLOOKUP(E321,extracto!C:C,1,FALSE)=E321,"pagado","no pagado"),"no pagado")</f>
        <v>pagado</v>
      </c>
      <c r="J321" s="52" t="str">
        <f t="shared" ref="J321:J336" si="240">IF(I321="pagado","pagado",IF(G321&lt;$V$1-30,"fuera de fecha","en periodo de pago"))</f>
        <v>pagado</v>
      </c>
      <c r="K321" s="51" t="str">
        <f t="shared" ref="K321:K336" ca="1" si="241">+IF(B321&gt;$V$1,"excluir",IF(J321="en periodo de pago",IF($V$1&gt;G321,"a pagar","proximo a vencer"),"excluir"))</f>
        <v>excluir</v>
      </c>
      <c r="L321" s="51" t="str">
        <f t="shared" ref="L321:L336" ca="1" si="242">+IF(K321="proximo a vencer",IF($V$1+5&gt;G321,"para la semana","no semana"),"no semana")</f>
        <v>no semana</v>
      </c>
      <c r="M321" s="51" t="str">
        <f>IFERROR(VLOOKUP(E321,'cheques a conf'!A:D,4,FALSE),"no clearing")</f>
        <v>no clearing</v>
      </c>
      <c r="N321" s="51">
        <f t="shared" ref="N321:N336" si="243">+WEEKNUM(G321,2)</f>
        <v>20</v>
      </c>
      <c r="O321" s="53">
        <f t="shared" ref="O321:O336" si="244">+MONTH(G321)</f>
        <v>5</v>
      </c>
      <c r="P321" s="53">
        <f t="shared" ref="P321:P336" si="245">+YEAR(G321)</f>
        <v>2025</v>
      </c>
    </row>
    <row r="322" spans="1:16" customFormat="1" x14ac:dyDescent="0.25">
      <c r="A322">
        <v>3000002312</v>
      </c>
      <c r="B322" s="22">
        <v>45789</v>
      </c>
      <c r="C322" s="4">
        <v>30447393.280000001</v>
      </c>
      <c r="D322" t="s">
        <v>607</v>
      </c>
      <c r="E322">
        <v>1206</v>
      </c>
      <c r="F322" s="4">
        <v>30447393.280000001</v>
      </c>
      <c r="G322" s="3">
        <v>45791</v>
      </c>
      <c r="H322" t="s">
        <v>32</v>
      </c>
      <c r="I322" s="51" t="str">
        <f>IFERROR(IF(VLOOKUP(E322,extracto!C:C,1,FALSE)=E322,"pagado","no pagado"),"no pagado")</f>
        <v>pagado</v>
      </c>
      <c r="J322" s="52" t="str">
        <f t="shared" si="240"/>
        <v>pagado</v>
      </c>
      <c r="K322" s="51" t="str">
        <f t="shared" ca="1" si="241"/>
        <v>excluir</v>
      </c>
      <c r="L322" s="51" t="str">
        <f t="shared" ca="1" si="242"/>
        <v>no semana</v>
      </c>
      <c r="M322" s="51" t="str">
        <f>IFERROR(VLOOKUP(E322,'cheques a conf'!A:D,4,FALSE),"no clearing")</f>
        <v>no clearing</v>
      </c>
      <c r="N322" s="51">
        <f t="shared" si="243"/>
        <v>20</v>
      </c>
      <c r="O322" s="53">
        <f t="shared" si="244"/>
        <v>5</v>
      </c>
      <c r="P322" s="53">
        <f t="shared" si="245"/>
        <v>2025</v>
      </c>
    </row>
    <row r="323" spans="1:16" customFormat="1" x14ac:dyDescent="0.25">
      <c r="A323">
        <v>3000002313</v>
      </c>
      <c r="B323" s="22">
        <v>45789</v>
      </c>
      <c r="C323" s="4">
        <v>19320905.600000001</v>
      </c>
      <c r="D323" t="s">
        <v>632</v>
      </c>
      <c r="E323">
        <v>1207</v>
      </c>
      <c r="F323" s="4">
        <v>19320905.600000001</v>
      </c>
      <c r="G323" s="3">
        <v>45791</v>
      </c>
      <c r="H323" t="s">
        <v>32</v>
      </c>
      <c r="I323" s="51" t="str">
        <f>IFERROR(IF(VLOOKUP(E323,extracto!C:C,1,FALSE)=E323,"pagado","no pagado"),"no pagado")</f>
        <v>pagado</v>
      </c>
      <c r="J323" s="52" t="str">
        <f t="shared" si="240"/>
        <v>pagado</v>
      </c>
      <c r="K323" s="51" t="str">
        <f t="shared" ca="1" si="241"/>
        <v>excluir</v>
      </c>
      <c r="L323" s="51" t="str">
        <f t="shared" ca="1" si="242"/>
        <v>no semana</v>
      </c>
      <c r="M323" s="51" t="str">
        <f>IFERROR(VLOOKUP(E323,'cheques a conf'!A:D,4,FALSE),"no clearing")</f>
        <v>no clearing</v>
      </c>
      <c r="N323" s="51">
        <f t="shared" si="243"/>
        <v>20</v>
      </c>
      <c r="O323" s="53">
        <f t="shared" si="244"/>
        <v>5</v>
      </c>
      <c r="P323" s="53">
        <f t="shared" si="245"/>
        <v>2025</v>
      </c>
    </row>
    <row r="324" spans="1:16" customFormat="1" x14ac:dyDescent="0.25">
      <c r="A324">
        <v>3000002314</v>
      </c>
      <c r="B324" s="22">
        <v>45789</v>
      </c>
      <c r="C324" s="4">
        <v>7084711.4400000004</v>
      </c>
      <c r="D324" t="s">
        <v>74</v>
      </c>
      <c r="E324">
        <v>1208</v>
      </c>
      <c r="F324" s="4">
        <v>7084711.4400000004</v>
      </c>
      <c r="G324" s="3">
        <v>45791</v>
      </c>
      <c r="H324" t="s">
        <v>32</v>
      </c>
      <c r="I324" s="51" t="str">
        <f>IFERROR(IF(VLOOKUP(E324,extracto!C:C,1,FALSE)=E324,"pagado","no pagado"),"no pagado")</f>
        <v>pagado</v>
      </c>
      <c r="J324" s="52" t="str">
        <f t="shared" si="240"/>
        <v>pagado</v>
      </c>
      <c r="K324" s="51" t="str">
        <f t="shared" ca="1" si="241"/>
        <v>excluir</v>
      </c>
      <c r="L324" s="51" t="str">
        <f t="shared" ca="1" si="242"/>
        <v>no semana</v>
      </c>
      <c r="M324" s="51" t="str">
        <f>IFERROR(VLOOKUP(E324,'cheques a conf'!A:D,4,FALSE),"no clearing")</f>
        <v>no clearing</v>
      </c>
      <c r="N324" s="51">
        <f t="shared" si="243"/>
        <v>20</v>
      </c>
      <c r="O324" s="53">
        <f t="shared" si="244"/>
        <v>5</v>
      </c>
      <c r="P324" s="53">
        <f t="shared" si="245"/>
        <v>2025</v>
      </c>
    </row>
    <row r="325" spans="1:16" customFormat="1" x14ac:dyDescent="0.25">
      <c r="A325">
        <v>3000002315</v>
      </c>
      <c r="B325" s="22">
        <v>45789</v>
      </c>
      <c r="C325" s="4">
        <v>36868867.93</v>
      </c>
      <c r="D325" t="s">
        <v>671</v>
      </c>
      <c r="E325">
        <v>1209</v>
      </c>
      <c r="F325" s="4">
        <v>36868867.93</v>
      </c>
      <c r="G325" s="3">
        <v>45791</v>
      </c>
      <c r="H325" t="s">
        <v>32</v>
      </c>
      <c r="I325" s="51" t="str">
        <f>IFERROR(IF(VLOOKUP(E325,extracto!C:C,1,FALSE)=E325,"pagado","no pagado"),"no pagado")</f>
        <v>pagado</v>
      </c>
      <c r="J325" s="52" t="str">
        <f t="shared" si="240"/>
        <v>pagado</v>
      </c>
      <c r="K325" s="51" t="str">
        <f t="shared" ca="1" si="241"/>
        <v>excluir</v>
      </c>
      <c r="L325" s="51" t="str">
        <f t="shared" ca="1" si="242"/>
        <v>no semana</v>
      </c>
      <c r="M325" s="51" t="str">
        <f>IFERROR(VLOOKUP(E325,'cheques a conf'!A:D,4,FALSE),"no clearing")</f>
        <v>no clearing</v>
      </c>
      <c r="N325" s="51">
        <f t="shared" si="243"/>
        <v>20</v>
      </c>
      <c r="O325" s="53">
        <f t="shared" si="244"/>
        <v>5</v>
      </c>
      <c r="P325" s="53">
        <f t="shared" si="245"/>
        <v>2025</v>
      </c>
    </row>
    <row r="326" spans="1:16" customFormat="1" x14ac:dyDescent="0.25">
      <c r="A326">
        <v>3000002316</v>
      </c>
      <c r="B326" s="22">
        <v>45789</v>
      </c>
      <c r="C326" s="4">
        <v>5392607.0599999996</v>
      </c>
      <c r="D326" t="s">
        <v>645</v>
      </c>
      <c r="E326">
        <v>1210</v>
      </c>
      <c r="F326" s="4">
        <v>5392607.0599999996</v>
      </c>
      <c r="G326" s="3">
        <v>45791</v>
      </c>
      <c r="H326" t="s">
        <v>32</v>
      </c>
      <c r="I326" s="51" t="str">
        <f>IFERROR(IF(VLOOKUP(E326,extracto!C:C,1,FALSE)=E326,"pagado","no pagado"),"no pagado")</f>
        <v>pagado</v>
      </c>
      <c r="J326" s="52" t="str">
        <f t="shared" si="240"/>
        <v>pagado</v>
      </c>
      <c r="K326" s="51" t="str">
        <f t="shared" ca="1" si="241"/>
        <v>excluir</v>
      </c>
      <c r="L326" s="51" t="str">
        <f t="shared" ca="1" si="242"/>
        <v>no semana</v>
      </c>
      <c r="M326" s="51" t="str">
        <f>IFERROR(VLOOKUP(E326,'cheques a conf'!A:D,4,FALSE),"no clearing")</f>
        <v>no clearing</v>
      </c>
      <c r="N326" s="51">
        <f t="shared" si="243"/>
        <v>20</v>
      </c>
      <c r="O326" s="53">
        <f t="shared" si="244"/>
        <v>5</v>
      </c>
      <c r="P326" s="53">
        <f t="shared" si="245"/>
        <v>2025</v>
      </c>
    </row>
    <row r="327" spans="1:16" customFormat="1" x14ac:dyDescent="0.25">
      <c r="A327">
        <v>3000002317</v>
      </c>
      <c r="B327" s="22">
        <v>45789</v>
      </c>
      <c r="C327" s="4">
        <v>6385601.3399999999</v>
      </c>
      <c r="D327" t="s">
        <v>672</v>
      </c>
      <c r="E327">
        <v>1211</v>
      </c>
      <c r="F327" s="4">
        <v>6385601.3399999999</v>
      </c>
      <c r="G327" s="3">
        <v>45791</v>
      </c>
      <c r="H327" t="s">
        <v>32</v>
      </c>
      <c r="I327" s="51" t="str">
        <f>IFERROR(IF(VLOOKUP(E327,extracto!C:C,1,FALSE)=E327,"pagado","no pagado"),"no pagado")</f>
        <v>pagado</v>
      </c>
      <c r="J327" s="52" t="str">
        <f t="shared" si="240"/>
        <v>pagado</v>
      </c>
      <c r="K327" s="51" t="str">
        <f t="shared" ca="1" si="241"/>
        <v>excluir</v>
      </c>
      <c r="L327" s="51" t="str">
        <f t="shared" ca="1" si="242"/>
        <v>no semana</v>
      </c>
      <c r="M327" s="51" t="str">
        <f>IFERROR(VLOOKUP(E327,'cheques a conf'!A:D,4,FALSE),"no clearing")</f>
        <v>no clearing</v>
      </c>
      <c r="N327" s="51">
        <f t="shared" si="243"/>
        <v>20</v>
      </c>
      <c r="O327" s="53">
        <f t="shared" si="244"/>
        <v>5</v>
      </c>
      <c r="P327" s="53">
        <f t="shared" si="245"/>
        <v>2025</v>
      </c>
    </row>
    <row r="328" spans="1:16" customFormat="1" x14ac:dyDescent="0.25">
      <c r="A328">
        <v>3000002318</v>
      </c>
      <c r="B328" s="22">
        <v>45789</v>
      </c>
      <c r="C328" s="4">
        <v>5054808.78</v>
      </c>
      <c r="D328" t="s">
        <v>673</v>
      </c>
      <c r="E328">
        <v>1212</v>
      </c>
      <c r="F328" s="4">
        <v>5054808.78</v>
      </c>
      <c r="G328" s="3">
        <v>45791</v>
      </c>
      <c r="H328" t="s">
        <v>32</v>
      </c>
      <c r="I328" s="51" t="str">
        <f>IFERROR(IF(VLOOKUP(E328,extracto!C:C,1,FALSE)=E328,"pagado","no pagado"),"no pagado")</f>
        <v>pagado</v>
      </c>
      <c r="J328" s="52" t="str">
        <f t="shared" si="240"/>
        <v>pagado</v>
      </c>
      <c r="K328" s="51" t="str">
        <f t="shared" ca="1" si="241"/>
        <v>excluir</v>
      </c>
      <c r="L328" s="51" t="str">
        <f t="shared" ca="1" si="242"/>
        <v>no semana</v>
      </c>
      <c r="M328" s="51" t="str">
        <f>IFERROR(VLOOKUP(E328,'cheques a conf'!A:D,4,FALSE),"no clearing")</f>
        <v>no clearing</v>
      </c>
      <c r="N328" s="51">
        <f t="shared" si="243"/>
        <v>20</v>
      </c>
      <c r="O328" s="53">
        <f t="shared" si="244"/>
        <v>5</v>
      </c>
      <c r="P328" s="53">
        <f t="shared" si="245"/>
        <v>2025</v>
      </c>
    </row>
    <row r="329" spans="1:16" customFormat="1" x14ac:dyDescent="0.25">
      <c r="A329">
        <v>3000002319</v>
      </c>
      <c r="B329" s="22">
        <v>45789</v>
      </c>
      <c r="C329" s="4">
        <v>15228403.48</v>
      </c>
      <c r="D329" t="s">
        <v>653</v>
      </c>
      <c r="E329">
        <v>1213</v>
      </c>
      <c r="F329" s="4">
        <v>15228403.48</v>
      </c>
      <c r="G329" s="3">
        <v>45791</v>
      </c>
      <c r="H329" t="s">
        <v>32</v>
      </c>
      <c r="I329" s="51" t="str">
        <f>IFERROR(IF(VLOOKUP(E329,extracto!C:C,1,FALSE)=E329,"pagado","no pagado"),"no pagado")</f>
        <v>pagado</v>
      </c>
      <c r="J329" s="52" t="str">
        <f t="shared" si="240"/>
        <v>pagado</v>
      </c>
      <c r="K329" s="51" t="str">
        <f t="shared" ca="1" si="241"/>
        <v>excluir</v>
      </c>
      <c r="L329" s="51" t="str">
        <f t="shared" ca="1" si="242"/>
        <v>no semana</v>
      </c>
      <c r="M329" s="51" t="str">
        <f>IFERROR(VLOOKUP(E329,'cheques a conf'!A:D,4,FALSE),"no clearing")</f>
        <v>no clearing</v>
      </c>
      <c r="N329" s="51">
        <f t="shared" si="243"/>
        <v>20</v>
      </c>
      <c r="O329" s="53">
        <f t="shared" si="244"/>
        <v>5</v>
      </c>
      <c r="P329" s="53">
        <f t="shared" si="245"/>
        <v>2025</v>
      </c>
    </row>
    <row r="330" spans="1:16" customFormat="1" x14ac:dyDescent="0.25">
      <c r="A330">
        <v>3000002320</v>
      </c>
      <c r="B330" s="22">
        <v>45789</v>
      </c>
      <c r="C330" s="4">
        <v>14607941.49</v>
      </c>
      <c r="D330" t="s">
        <v>658</v>
      </c>
      <c r="E330">
        <v>1214</v>
      </c>
      <c r="F330" s="4">
        <v>14607941.49</v>
      </c>
      <c r="G330" s="3">
        <v>45793</v>
      </c>
      <c r="H330" t="s">
        <v>32</v>
      </c>
      <c r="I330" s="51" t="str">
        <f>IFERROR(IF(VLOOKUP(E330,extracto!C:C,1,FALSE)=E330,"pagado","no pagado"),"no pagado")</f>
        <v>pagado</v>
      </c>
      <c r="J330" s="52" t="str">
        <f t="shared" si="240"/>
        <v>pagado</v>
      </c>
      <c r="K330" s="51" t="str">
        <f t="shared" ca="1" si="241"/>
        <v>excluir</v>
      </c>
      <c r="L330" s="51" t="str">
        <f t="shared" ca="1" si="242"/>
        <v>no semana</v>
      </c>
      <c r="M330" s="51" t="str">
        <f>IFERROR(VLOOKUP(E330,'cheques a conf'!A:D,4,FALSE),"no clearing")</f>
        <v>no clearing</v>
      </c>
      <c r="N330" s="51">
        <f t="shared" si="243"/>
        <v>20</v>
      </c>
      <c r="O330" s="53">
        <f t="shared" si="244"/>
        <v>5</v>
      </c>
      <c r="P330" s="53">
        <f t="shared" si="245"/>
        <v>2025</v>
      </c>
    </row>
    <row r="331" spans="1:16" customFormat="1" x14ac:dyDescent="0.25">
      <c r="A331">
        <v>3000002321</v>
      </c>
      <c r="B331" s="22">
        <v>45789</v>
      </c>
      <c r="C331" s="4">
        <v>28251232.370000001</v>
      </c>
      <c r="D331" t="s">
        <v>649</v>
      </c>
      <c r="E331">
        <v>1215</v>
      </c>
      <c r="F331" s="4">
        <v>28251232.370000001</v>
      </c>
      <c r="G331" s="3">
        <v>45793</v>
      </c>
      <c r="H331" t="s">
        <v>32</v>
      </c>
      <c r="I331" s="51" t="str">
        <f>IFERROR(IF(VLOOKUP(E331,extracto!C:C,1,FALSE)=E331,"pagado","no pagado"),"no pagado")</f>
        <v>pagado</v>
      </c>
      <c r="J331" s="52" t="str">
        <f t="shared" si="240"/>
        <v>pagado</v>
      </c>
      <c r="K331" s="51" t="str">
        <f t="shared" ca="1" si="241"/>
        <v>excluir</v>
      </c>
      <c r="L331" s="51" t="str">
        <f t="shared" ca="1" si="242"/>
        <v>no semana</v>
      </c>
      <c r="M331" s="51" t="str">
        <f>IFERROR(VLOOKUP(E331,'cheques a conf'!A:D,4,FALSE),"no clearing")</f>
        <v>no clearing</v>
      </c>
      <c r="N331" s="51">
        <f t="shared" si="243"/>
        <v>20</v>
      </c>
      <c r="O331" s="53">
        <f t="shared" si="244"/>
        <v>5</v>
      </c>
      <c r="P331" s="53">
        <f t="shared" si="245"/>
        <v>2025</v>
      </c>
    </row>
    <row r="332" spans="1:16" customFormat="1" x14ac:dyDescent="0.25">
      <c r="A332">
        <v>3000002323</v>
      </c>
      <c r="B332" s="22">
        <v>45789</v>
      </c>
      <c r="C332" s="4">
        <v>12932034.08</v>
      </c>
      <c r="D332" t="s">
        <v>652</v>
      </c>
      <c r="E332">
        <v>1216</v>
      </c>
      <c r="F332" s="4">
        <v>12932034.08</v>
      </c>
      <c r="G332" s="3">
        <v>45791</v>
      </c>
      <c r="H332" t="s">
        <v>32</v>
      </c>
      <c r="I332" s="51" t="str">
        <f>IFERROR(IF(VLOOKUP(E332,extracto!C:C,1,FALSE)=E332,"pagado","no pagado"),"no pagado")</f>
        <v>pagado</v>
      </c>
      <c r="J332" s="52" t="str">
        <f t="shared" si="240"/>
        <v>pagado</v>
      </c>
      <c r="K332" s="51" t="str">
        <f t="shared" ca="1" si="241"/>
        <v>excluir</v>
      </c>
      <c r="L332" s="51" t="str">
        <f t="shared" ca="1" si="242"/>
        <v>no semana</v>
      </c>
      <c r="M332" s="51" t="str">
        <f>IFERROR(VLOOKUP(E332,'cheques a conf'!A:D,4,FALSE),"no clearing")</f>
        <v>no clearing</v>
      </c>
      <c r="N332" s="51">
        <f t="shared" si="243"/>
        <v>20</v>
      </c>
      <c r="O332" s="53">
        <f t="shared" si="244"/>
        <v>5</v>
      </c>
      <c r="P332" s="53">
        <f t="shared" si="245"/>
        <v>2025</v>
      </c>
    </row>
    <row r="333" spans="1:16" customFormat="1" x14ac:dyDescent="0.25">
      <c r="A333">
        <v>3000002354</v>
      </c>
      <c r="B333" s="22">
        <v>45790</v>
      </c>
      <c r="C333" s="4">
        <v>27000000</v>
      </c>
      <c r="D333" t="s">
        <v>643</v>
      </c>
      <c r="E333">
        <v>91002401</v>
      </c>
      <c r="F333" s="4">
        <v>27000000</v>
      </c>
      <c r="G333" s="3">
        <v>45791</v>
      </c>
      <c r="H333" t="s">
        <v>79</v>
      </c>
      <c r="I333" s="51" t="str">
        <f>IFERROR(IF(VLOOKUP(E333,extracto!C:C,1,FALSE)=E333,"pagado","no pagado"),"no pagado")</f>
        <v>pagado</v>
      </c>
      <c r="J333" s="52" t="str">
        <f t="shared" si="240"/>
        <v>pagado</v>
      </c>
      <c r="K333" s="51" t="str">
        <f t="shared" ca="1" si="241"/>
        <v>excluir</v>
      </c>
      <c r="L333" s="51" t="str">
        <f t="shared" ca="1" si="242"/>
        <v>no semana</v>
      </c>
      <c r="M333" s="51" t="str">
        <f>IFERROR(VLOOKUP(E333,'cheques a conf'!A:D,4,FALSE),"no clearing")</f>
        <v>no clearing</v>
      </c>
      <c r="N333" s="51">
        <f t="shared" si="243"/>
        <v>20</v>
      </c>
      <c r="O333" s="53">
        <f t="shared" si="244"/>
        <v>5</v>
      </c>
      <c r="P333" s="53">
        <f t="shared" si="245"/>
        <v>2025</v>
      </c>
    </row>
    <row r="334" spans="1:16" customFormat="1" x14ac:dyDescent="0.25">
      <c r="A334">
        <v>3000002324</v>
      </c>
      <c r="B334" s="22">
        <v>45789</v>
      </c>
      <c r="C334" s="4">
        <v>6951570</v>
      </c>
      <c r="D334" t="s">
        <v>595</v>
      </c>
      <c r="E334">
        <v>94326830</v>
      </c>
      <c r="F334" s="4">
        <v>6951570</v>
      </c>
      <c r="G334" s="3">
        <v>45792</v>
      </c>
      <c r="H334" t="s">
        <v>13</v>
      </c>
      <c r="I334" s="51" t="str">
        <f>IFERROR(IF(VLOOKUP(E334,extracto!C:C,1,FALSE)=E334,"pagado","no pagado"),"no pagado")</f>
        <v>pagado</v>
      </c>
      <c r="J334" s="52" t="str">
        <f t="shared" si="240"/>
        <v>pagado</v>
      </c>
      <c r="K334" s="51" t="str">
        <f t="shared" ca="1" si="241"/>
        <v>excluir</v>
      </c>
      <c r="L334" s="51" t="str">
        <f t="shared" ca="1" si="242"/>
        <v>no semana</v>
      </c>
      <c r="M334" s="51" t="str">
        <f>IFERROR(VLOOKUP(E334,'cheques a conf'!A:D,4,FALSE),"no clearing")</f>
        <v>no clearing</v>
      </c>
      <c r="N334" s="51">
        <f t="shared" si="243"/>
        <v>20</v>
      </c>
      <c r="O334" s="53">
        <f t="shared" si="244"/>
        <v>5</v>
      </c>
      <c r="P334" s="53">
        <f t="shared" si="245"/>
        <v>2025</v>
      </c>
    </row>
    <row r="335" spans="1:16" customFormat="1" x14ac:dyDescent="0.25">
      <c r="A335">
        <v>3000002324</v>
      </c>
      <c r="B335" s="22">
        <v>45789</v>
      </c>
      <c r="C335" s="4">
        <v>3900000</v>
      </c>
      <c r="D335" t="s">
        <v>595</v>
      </c>
      <c r="E335">
        <v>94326831</v>
      </c>
      <c r="F335" s="4">
        <v>3900000</v>
      </c>
      <c r="G335" s="3">
        <v>45792</v>
      </c>
      <c r="H335" t="s">
        <v>13</v>
      </c>
      <c r="I335" s="51" t="str">
        <f>IFERROR(IF(VLOOKUP(E335,extracto!C:C,1,FALSE)=E335,"pagado","no pagado"),"no pagado")</f>
        <v>pagado</v>
      </c>
      <c r="J335" s="52" t="str">
        <f t="shared" si="240"/>
        <v>pagado</v>
      </c>
      <c r="K335" s="51" t="str">
        <f t="shared" ca="1" si="241"/>
        <v>excluir</v>
      </c>
      <c r="L335" s="51" t="str">
        <f t="shared" ca="1" si="242"/>
        <v>no semana</v>
      </c>
      <c r="M335" s="51" t="str">
        <f>IFERROR(VLOOKUP(E335,'cheques a conf'!A:D,4,FALSE),"no clearing")</f>
        <v>no clearing</v>
      </c>
      <c r="N335" s="51">
        <f t="shared" si="243"/>
        <v>20</v>
      </c>
      <c r="O335" s="53">
        <f t="shared" si="244"/>
        <v>5</v>
      </c>
      <c r="P335" s="53">
        <f t="shared" si="245"/>
        <v>2025</v>
      </c>
    </row>
    <row r="336" spans="1:16" customFormat="1" x14ac:dyDescent="0.25">
      <c r="A336">
        <v>3000002324</v>
      </c>
      <c r="B336" s="22">
        <v>45789</v>
      </c>
      <c r="C336" s="4">
        <v>3027000</v>
      </c>
      <c r="D336" t="s">
        <v>595</v>
      </c>
      <c r="E336">
        <v>94326832</v>
      </c>
      <c r="F336" s="4">
        <v>3027000</v>
      </c>
      <c r="G336" s="3">
        <v>45792</v>
      </c>
      <c r="H336" t="s">
        <v>13</v>
      </c>
      <c r="I336" s="51" t="str">
        <f>IFERROR(IF(VLOOKUP(E336,extracto!C:C,1,FALSE)=E336,"pagado","no pagado"),"no pagado")</f>
        <v>pagado</v>
      </c>
      <c r="J336" s="52" t="str">
        <f t="shared" si="240"/>
        <v>pagado</v>
      </c>
      <c r="K336" s="51" t="str">
        <f t="shared" ca="1" si="241"/>
        <v>excluir</v>
      </c>
      <c r="L336" s="51" t="str">
        <f t="shared" ca="1" si="242"/>
        <v>no semana</v>
      </c>
      <c r="M336" s="51" t="str">
        <f>IFERROR(VLOOKUP(E336,'cheques a conf'!A:D,4,FALSE),"no clearing")</f>
        <v>no clearing</v>
      </c>
      <c r="N336" s="51">
        <f t="shared" si="243"/>
        <v>20</v>
      </c>
      <c r="O336" s="53">
        <f t="shared" si="244"/>
        <v>5</v>
      </c>
      <c r="P336" s="53">
        <f t="shared" si="245"/>
        <v>2025</v>
      </c>
    </row>
    <row r="337" spans="1:16" customFormat="1" x14ac:dyDescent="0.25">
      <c r="A337">
        <v>3000002324</v>
      </c>
      <c r="B337" s="22">
        <v>45789</v>
      </c>
      <c r="C337" s="4">
        <v>10000000</v>
      </c>
      <c r="D337" t="s">
        <v>595</v>
      </c>
      <c r="E337">
        <v>94326833</v>
      </c>
      <c r="F337" s="4">
        <v>10000000</v>
      </c>
      <c r="G337" s="3">
        <v>45792</v>
      </c>
      <c r="H337" t="s">
        <v>13</v>
      </c>
      <c r="I337" s="51" t="str">
        <f>IFERROR(IF(VLOOKUP(E337,extracto!C:C,1,FALSE)=E337,"pagado","no pagado"),"no pagado")</f>
        <v>pagado</v>
      </c>
      <c r="J337" s="52" t="str">
        <f t="shared" ref="J337:J341" si="246">IF(I337="pagado","pagado",IF(G337&lt;$V$1-30,"fuera de fecha","en periodo de pago"))</f>
        <v>pagado</v>
      </c>
      <c r="K337" s="51" t="str">
        <f t="shared" ref="K337:K341" ca="1" si="247">+IF(B337&gt;$V$1,"excluir",IF(J337="en periodo de pago",IF($V$1&gt;G337,"a pagar","proximo a vencer"),"excluir"))</f>
        <v>excluir</v>
      </c>
      <c r="L337" s="51" t="str">
        <f t="shared" ref="L337:L341" ca="1" si="248">+IF(K337="proximo a vencer",IF($V$1+5&gt;G337,"para la semana","no semana"),"no semana")</f>
        <v>no semana</v>
      </c>
      <c r="M337" s="51" t="str">
        <f>IFERROR(VLOOKUP(E337,'cheques a conf'!A:D,4,FALSE),"no clearing")</f>
        <v>no clearing</v>
      </c>
      <c r="N337" s="51">
        <f t="shared" ref="N337:N341" si="249">+WEEKNUM(G337,2)</f>
        <v>20</v>
      </c>
      <c r="O337" s="53">
        <f t="shared" ref="O337:O341" si="250">+MONTH(G337)</f>
        <v>5</v>
      </c>
      <c r="P337" s="53">
        <f t="shared" ref="P337:P341" si="251">+YEAR(G337)</f>
        <v>2025</v>
      </c>
    </row>
    <row r="338" spans="1:16" customFormat="1" x14ac:dyDescent="0.25">
      <c r="A338">
        <v>3000002324</v>
      </c>
      <c r="B338" s="22">
        <v>45789</v>
      </c>
      <c r="C338" s="4">
        <v>46807100</v>
      </c>
      <c r="D338" t="s">
        <v>595</v>
      </c>
      <c r="E338">
        <v>94326834</v>
      </c>
      <c r="F338" s="4">
        <v>46807100</v>
      </c>
      <c r="G338" s="3">
        <v>45791</v>
      </c>
      <c r="H338" t="s">
        <v>13</v>
      </c>
      <c r="I338" s="51" t="str">
        <f>IFERROR(IF(VLOOKUP(E338,extracto!C:C,1,FALSE)=E338,"pagado","no pagado"),"no pagado")</f>
        <v>pagado</v>
      </c>
      <c r="J338" s="52" t="str">
        <f t="shared" si="246"/>
        <v>pagado</v>
      </c>
      <c r="K338" s="51" t="str">
        <f t="shared" ca="1" si="247"/>
        <v>excluir</v>
      </c>
      <c r="L338" s="51" t="str">
        <f t="shared" ca="1" si="248"/>
        <v>no semana</v>
      </c>
      <c r="M338" s="51" t="str">
        <f>IFERROR(VLOOKUP(E338,'cheques a conf'!A:D,4,FALSE),"no clearing")</f>
        <v>no clearing</v>
      </c>
      <c r="N338" s="51">
        <f t="shared" si="249"/>
        <v>20</v>
      </c>
      <c r="O338" s="53">
        <f t="shared" si="250"/>
        <v>5</v>
      </c>
      <c r="P338" s="53">
        <f t="shared" si="251"/>
        <v>2025</v>
      </c>
    </row>
    <row r="339" spans="1:16" customFormat="1" x14ac:dyDescent="0.25">
      <c r="A339">
        <v>3000002324</v>
      </c>
      <c r="B339" s="22">
        <v>45789</v>
      </c>
      <c r="C339" s="4">
        <v>46807100.57</v>
      </c>
      <c r="D339" t="s">
        <v>595</v>
      </c>
      <c r="E339">
        <v>94326835</v>
      </c>
      <c r="F339" s="4">
        <v>46807100.57</v>
      </c>
      <c r="G339" s="3">
        <v>45791</v>
      </c>
      <c r="H339" t="s">
        <v>13</v>
      </c>
      <c r="I339" s="51" t="str">
        <f>IFERROR(IF(VLOOKUP(E339,extracto!C:C,1,FALSE)=E339,"pagado","no pagado"),"no pagado")</f>
        <v>pagado</v>
      </c>
      <c r="J339" s="52" t="str">
        <f t="shared" si="246"/>
        <v>pagado</v>
      </c>
      <c r="K339" s="51" t="str">
        <f t="shared" ca="1" si="247"/>
        <v>excluir</v>
      </c>
      <c r="L339" s="51" t="str">
        <f t="shared" ca="1" si="248"/>
        <v>no semana</v>
      </c>
      <c r="M339" s="51" t="str">
        <f>IFERROR(VLOOKUP(E339,'cheques a conf'!A:D,4,FALSE),"no clearing")</f>
        <v>no clearing</v>
      </c>
      <c r="N339" s="51">
        <f t="shared" si="249"/>
        <v>20</v>
      </c>
      <c r="O339" s="53">
        <f t="shared" si="250"/>
        <v>5</v>
      </c>
      <c r="P339" s="53">
        <f t="shared" si="251"/>
        <v>2025</v>
      </c>
    </row>
    <row r="340" spans="1:16" customFormat="1" x14ac:dyDescent="0.25">
      <c r="A340">
        <v>3000002357</v>
      </c>
      <c r="B340" s="22">
        <v>45790</v>
      </c>
      <c r="C340" s="4">
        <v>585558.64</v>
      </c>
      <c r="D340" t="s">
        <v>611</v>
      </c>
      <c r="E340">
        <v>94326836</v>
      </c>
      <c r="F340" s="4">
        <v>585558.64</v>
      </c>
      <c r="G340" s="3">
        <v>45791</v>
      </c>
      <c r="H340" t="s">
        <v>13</v>
      </c>
      <c r="I340" s="51" t="str">
        <f>IFERROR(IF(VLOOKUP(E340,extracto!C:C,1,FALSE)=E340,"pagado","no pagado"),"no pagado")</f>
        <v>pagado</v>
      </c>
      <c r="J340" s="52" t="str">
        <f t="shared" si="246"/>
        <v>pagado</v>
      </c>
      <c r="K340" s="51" t="str">
        <f t="shared" ca="1" si="247"/>
        <v>excluir</v>
      </c>
      <c r="L340" s="51" t="str">
        <f t="shared" ca="1" si="248"/>
        <v>no semana</v>
      </c>
      <c r="M340" s="51" t="str">
        <f>IFERROR(VLOOKUP(E340,'cheques a conf'!A:D,4,FALSE),"no clearing")</f>
        <v>no clearing</v>
      </c>
      <c r="N340" s="51">
        <f t="shared" si="249"/>
        <v>20</v>
      </c>
      <c r="O340" s="53">
        <f t="shared" si="250"/>
        <v>5</v>
      </c>
      <c r="P340" s="53">
        <f t="shared" si="251"/>
        <v>2025</v>
      </c>
    </row>
    <row r="341" spans="1:16" customFormat="1" x14ac:dyDescent="0.25">
      <c r="A341">
        <v>3000002358</v>
      </c>
      <c r="B341" s="22">
        <v>45790</v>
      </c>
      <c r="C341" s="4">
        <v>839522.13</v>
      </c>
      <c r="D341" t="s">
        <v>611</v>
      </c>
      <c r="E341">
        <v>94326837</v>
      </c>
      <c r="F341" s="4">
        <v>839522.13</v>
      </c>
      <c r="G341" s="3">
        <v>45791</v>
      </c>
      <c r="H341" t="s">
        <v>13</v>
      </c>
      <c r="I341" s="51" t="str">
        <f>IFERROR(IF(VLOOKUP(E341,extracto!C:C,1,FALSE)=E341,"pagado","no pagado"),"no pagado")</f>
        <v>pagado</v>
      </c>
      <c r="J341" s="52" t="str">
        <f t="shared" si="246"/>
        <v>pagado</v>
      </c>
      <c r="K341" s="51" t="str">
        <f t="shared" ca="1" si="247"/>
        <v>excluir</v>
      </c>
      <c r="L341" s="51" t="str">
        <f t="shared" ca="1" si="248"/>
        <v>no semana</v>
      </c>
      <c r="M341" s="51" t="str">
        <f>IFERROR(VLOOKUP(E341,'cheques a conf'!A:D,4,FALSE),"no clearing")</f>
        <v>no clearing</v>
      </c>
      <c r="N341" s="51">
        <f t="shared" si="249"/>
        <v>20</v>
      </c>
      <c r="O341" s="53">
        <f t="shared" si="250"/>
        <v>5</v>
      </c>
      <c r="P341" s="53">
        <f t="shared" si="251"/>
        <v>2025</v>
      </c>
    </row>
    <row r="342" spans="1:16" customFormat="1" x14ac:dyDescent="0.25">
      <c r="A342">
        <v>3000002408</v>
      </c>
      <c r="B342" s="22">
        <v>45791</v>
      </c>
      <c r="C342" s="4">
        <v>2385141.9900000002</v>
      </c>
      <c r="D342" t="s">
        <v>674</v>
      </c>
      <c r="E342">
        <v>94326838</v>
      </c>
      <c r="F342" s="4">
        <v>2385141.9900000002</v>
      </c>
      <c r="G342" s="3">
        <v>45796</v>
      </c>
      <c r="H342" t="s">
        <v>13</v>
      </c>
      <c r="I342" s="51" t="str">
        <f>IFERROR(IF(VLOOKUP(E342,extracto!C:C,1,FALSE)=E342,"pagado","no pagado"),"no pagado")</f>
        <v>pagado</v>
      </c>
      <c r="J342" s="52" t="str">
        <f t="shared" ref="J342:J364" si="252">IF(I342="pagado","pagado",IF(G342&lt;$V$1-30,"fuera de fecha","en periodo de pago"))</f>
        <v>pagado</v>
      </c>
      <c r="K342" s="51" t="str">
        <f t="shared" ref="K342:K364" ca="1" si="253">+IF(B342&gt;$V$1,"excluir",IF(J342="en periodo de pago",IF($V$1&gt;G342,"a pagar","proximo a vencer"),"excluir"))</f>
        <v>excluir</v>
      </c>
      <c r="L342" s="51" t="str">
        <f t="shared" ref="L342:L364" ca="1" si="254">+IF(K342="proximo a vencer",IF($V$1+5&gt;G342,"para la semana","no semana"),"no semana")</f>
        <v>no semana</v>
      </c>
      <c r="M342" s="51" t="str">
        <f>IFERROR(VLOOKUP(E342,'cheques a conf'!A:D,4,FALSE),"no clearing")</f>
        <v>no clearing</v>
      </c>
      <c r="N342" s="51">
        <f t="shared" ref="N342:N364" si="255">+WEEKNUM(G342,2)</f>
        <v>21</v>
      </c>
      <c r="O342" s="53">
        <f t="shared" ref="O342:O364" si="256">+MONTH(G342)</f>
        <v>5</v>
      </c>
      <c r="P342" s="53">
        <f t="shared" ref="P342:P364" si="257">+YEAR(G342)</f>
        <v>2025</v>
      </c>
    </row>
    <row r="343" spans="1:16" customFormat="1" x14ac:dyDescent="0.25">
      <c r="A343">
        <v>3000002391</v>
      </c>
      <c r="B343" s="22">
        <v>45791</v>
      </c>
      <c r="C343" s="4">
        <v>30000000</v>
      </c>
      <c r="D343" t="s">
        <v>644</v>
      </c>
      <c r="E343">
        <v>1217</v>
      </c>
      <c r="F343" s="4">
        <v>30000000</v>
      </c>
      <c r="G343" s="3">
        <v>45796</v>
      </c>
      <c r="H343" t="s">
        <v>32</v>
      </c>
      <c r="I343" s="51" t="str">
        <f>IFERROR(IF(VLOOKUP(E343,extracto!C:C,1,FALSE)=E343,"pagado","no pagado"),"no pagado")</f>
        <v>pagado</v>
      </c>
      <c r="J343" s="52" t="str">
        <f t="shared" si="252"/>
        <v>pagado</v>
      </c>
      <c r="K343" s="51" t="str">
        <f t="shared" ca="1" si="253"/>
        <v>excluir</v>
      </c>
      <c r="L343" s="51" t="str">
        <f t="shared" ca="1" si="254"/>
        <v>no semana</v>
      </c>
      <c r="M343" s="51" t="str">
        <f>IFERROR(VLOOKUP(E343,'cheques a conf'!A:D,4,FALSE),"no clearing")</f>
        <v>no clearing</v>
      </c>
      <c r="N343" s="51">
        <f t="shared" si="255"/>
        <v>21</v>
      </c>
      <c r="O343" s="53">
        <f t="shared" si="256"/>
        <v>5</v>
      </c>
      <c r="P343" s="53">
        <f t="shared" si="257"/>
        <v>2025</v>
      </c>
    </row>
    <row r="344" spans="1:16" customFormat="1" x14ac:dyDescent="0.25">
      <c r="A344">
        <v>3000002391</v>
      </c>
      <c r="B344" s="22">
        <v>45791</v>
      </c>
      <c r="C344" s="4">
        <v>25433952.27</v>
      </c>
      <c r="D344" t="s">
        <v>644</v>
      </c>
      <c r="E344">
        <v>1218</v>
      </c>
      <c r="F344" s="4">
        <v>25433952.27</v>
      </c>
      <c r="G344" s="3">
        <v>45797</v>
      </c>
      <c r="H344" t="s">
        <v>32</v>
      </c>
      <c r="I344" s="51" t="str">
        <f>IFERROR(IF(VLOOKUP(E344,extracto!C:C,1,FALSE)=E344,"pagado","no pagado"),"no pagado")</f>
        <v>pagado</v>
      </c>
      <c r="J344" s="52" t="str">
        <f t="shared" si="252"/>
        <v>pagado</v>
      </c>
      <c r="K344" s="51" t="str">
        <f t="shared" ca="1" si="253"/>
        <v>excluir</v>
      </c>
      <c r="L344" s="51" t="str">
        <f t="shared" ca="1" si="254"/>
        <v>no semana</v>
      </c>
      <c r="M344" s="51" t="str">
        <f>IFERROR(VLOOKUP(E344,'cheques a conf'!A:D,4,FALSE),"no clearing")</f>
        <v>no clearing</v>
      </c>
      <c r="N344" s="51">
        <f t="shared" si="255"/>
        <v>21</v>
      </c>
      <c r="O344" s="53">
        <f t="shared" si="256"/>
        <v>5</v>
      </c>
      <c r="P344" s="53">
        <f t="shared" si="257"/>
        <v>2025</v>
      </c>
    </row>
    <row r="345" spans="1:16" customFormat="1" x14ac:dyDescent="0.25">
      <c r="A345">
        <v>3000002392</v>
      </c>
      <c r="B345" s="22">
        <v>45791</v>
      </c>
      <c r="C345" s="4">
        <v>25000000</v>
      </c>
      <c r="D345" t="s">
        <v>631</v>
      </c>
      <c r="E345">
        <v>1219</v>
      </c>
      <c r="F345" s="4">
        <v>25000000</v>
      </c>
      <c r="G345" s="3">
        <v>45796</v>
      </c>
      <c r="H345" t="s">
        <v>32</v>
      </c>
      <c r="I345" s="51" t="str">
        <f>IFERROR(IF(VLOOKUP(E345,extracto!C:C,1,FALSE)=E345,"pagado","no pagado"),"no pagado")</f>
        <v>pagado</v>
      </c>
      <c r="J345" s="52" t="str">
        <f t="shared" si="252"/>
        <v>pagado</v>
      </c>
      <c r="K345" s="51" t="str">
        <f t="shared" ca="1" si="253"/>
        <v>excluir</v>
      </c>
      <c r="L345" s="51" t="str">
        <f t="shared" ca="1" si="254"/>
        <v>no semana</v>
      </c>
      <c r="M345" s="51" t="str">
        <f>IFERROR(VLOOKUP(E345,'cheques a conf'!A:D,4,FALSE),"no clearing")</f>
        <v>no clearing</v>
      </c>
      <c r="N345" s="51">
        <f t="shared" si="255"/>
        <v>21</v>
      </c>
      <c r="O345" s="53">
        <f t="shared" si="256"/>
        <v>5</v>
      </c>
      <c r="P345" s="53">
        <f t="shared" si="257"/>
        <v>2025</v>
      </c>
    </row>
    <row r="346" spans="1:16" customFormat="1" x14ac:dyDescent="0.25">
      <c r="A346">
        <v>3000002392</v>
      </c>
      <c r="B346" s="22">
        <v>45791</v>
      </c>
      <c r="C346" s="4">
        <v>21605498.289999999</v>
      </c>
      <c r="D346" t="s">
        <v>631</v>
      </c>
      <c r="E346">
        <v>1220</v>
      </c>
      <c r="F346" s="4">
        <v>21605498.289999999</v>
      </c>
      <c r="G346" s="3">
        <v>45797</v>
      </c>
      <c r="H346" t="s">
        <v>32</v>
      </c>
      <c r="I346" s="51" t="str">
        <f>IFERROR(IF(VLOOKUP(E346,extracto!C:C,1,FALSE)=E346,"pagado","no pagado"),"no pagado")</f>
        <v>pagado</v>
      </c>
      <c r="J346" s="52" t="str">
        <f t="shared" si="252"/>
        <v>pagado</v>
      </c>
      <c r="K346" s="51" t="str">
        <f t="shared" ca="1" si="253"/>
        <v>excluir</v>
      </c>
      <c r="L346" s="51" t="str">
        <f t="shared" ca="1" si="254"/>
        <v>no semana</v>
      </c>
      <c r="M346" s="51" t="str">
        <f>IFERROR(VLOOKUP(E346,'cheques a conf'!A:D,4,FALSE),"no clearing")</f>
        <v>no clearing</v>
      </c>
      <c r="N346" s="51">
        <f t="shared" si="255"/>
        <v>21</v>
      </c>
      <c r="O346" s="53">
        <f t="shared" si="256"/>
        <v>5</v>
      </c>
      <c r="P346" s="53">
        <f t="shared" si="257"/>
        <v>2025</v>
      </c>
    </row>
    <row r="347" spans="1:16" customFormat="1" x14ac:dyDescent="0.25">
      <c r="A347">
        <v>3000002393</v>
      </c>
      <c r="B347" s="22">
        <v>45791</v>
      </c>
      <c r="C347" s="4">
        <v>30000000</v>
      </c>
      <c r="D347" t="s">
        <v>595</v>
      </c>
      <c r="E347">
        <v>1221</v>
      </c>
      <c r="F347" s="4">
        <v>30000000</v>
      </c>
      <c r="G347" s="3">
        <v>45796</v>
      </c>
      <c r="H347" t="s">
        <v>32</v>
      </c>
      <c r="I347" s="51" t="str">
        <f>IFERROR(IF(VLOOKUP(E347,extracto!C:C,1,FALSE)=E347,"pagado","no pagado"),"no pagado")</f>
        <v>pagado</v>
      </c>
      <c r="J347" s="52" t="str">
        <f t="shared" si="252"/>
        <v>pagado</v>
      </c>
      <c r="K347" s="51" t="str">
        <f t="shared" ca="1" si="253"/>
        <v>excluir</v>
      </c>
      <c r="L347" s="51" t="str">
        <f t="shared" ca="1" si="254"/>
        <v>no semana</v>
      </c>
      <c r="M347" s="51" t="str">
        <f>IFERROR(VLOOKUP(E347,'cheques a conf'!A:D,4,FALSE),"no clearing")</f>
        <v>no clearing</v>
      </c>
      <c r="N347" s="51">
        <f t="shared" si="255"/>
        <v>21</v>
      </c>
      <c r="O347" s="53">
        <f t="shared" si="256"/>
        <v>5</v>
      </c>
      <c r="P347" s="53">
        <f t="shared" si="257"/>
        <v>2025</v>
      </c>
    </row>
    <row r="348" spans="1:16" customFormat="1" x14ac:dyDescent="0.25">
      <c r="A348">
        <v>3000002393</v>
      </c>
      <c r="B348" s="22">
        <v>45791</v>
      </c>
      <c r="C348" s="4">
        <v>23838706.789999999</v>
      </c>
      <c r="D348" t="s">
        <v>595</v>
      </c>
      <c r="E348">
        <v>1222</v>
      </c>
      <c r="F348" s="4">
        <v>23838706.789999999</v>
      </c>
      <c r="G348" s="3">
        <v>45797</v>
      </c>
      <c r="H348" t="s">
        <v>32</v>
      </c>
      <c r="I348" s="51" t="str">
        <f>IFERROR(IF(VLOOKUP(E348,extracto!C:C,1,FALSE)=E348,"pagado","no pagado"),"no pagado")</f>
        <v>pagado</v>
      </c>
      <c r="J348" s="52" t="str">
        <f t="shared" si="252"/>
        <v>pagado</v>
      </c>
      <c r="K348" s="51" t="str">
        <f t="shared" ca="1" si="253"/>
        <v>excluir</v>
      </c>
      <c r="L348" s="51" t="str">
        <f t="shared" ca="1" si="254"/>
        <v>no semana</v>
      </c>
      <c r="M348" s="51" t="str">
        <f>IFERROR(VLOOKUP(E348,'cheques a conf'!A:D,4,FALSE),"no clearing")</f>
        <v>no clearing</v>
      </c>
      <c r="N348" s="51">
        <f t="shared" si="255"/>
        <v>21</v>
      </c>
      <c r="O348" s="53">
        <f t="shared" si="256"/>
        <v>5</v>
      </c>
      <c r="P348" s="53">
        <f t="shared" si="257"/>
        <v>2025</v>
      </c>
    </row>
    <row r="349" spans="1:16" customFormat="1" x14ac:dyDescent="0.25">
      <c r="A349">
        <v>3000002394</v>
      </c>
      <c r="B349" s="22">
        <v>45791</v>
      </c>
      <c r="C349" s="4">
        <v>15000000</v>
      </c>
      <c r="D349" t="s">
        <v>626</v>
      </c>
      <c r="E349">
        <v>1223</v>
      </c>
      <c r="F349" s="4">
        <v>15000000</v>
      </c>
      <c r="G349" s="3">
        <v>45796</v>
      </c>
      <c r="H349" t="s">
        <v>32</v>
      </c>
      <c r="I349" s="51" t="str">
        <f>IFERROR(IF(VLOOKUP(E349,extracto!C:C,1,FALSE)=E349,"pagado","no pagado"),"no pagado")</f>
        <v>pagado</v>
      </c>
      <c r="J349" s="52" t="str">
        <f t="shared" si="252"/>
        <v>pagado</v>
      </c>
      <c r="K349" s="51" t="str">
        <f t="shared" ca="1" si="253"/>
        <v>excluir</v>
      </c>
      <c r="L349" s="51" t="str">
        <f t="shared" ca="1" si="254"/>
        <v>no semana</v>
      </c>
      <c r="M349" s="51" t="str">
        <f>IFERROR(VLOOKUP(E349,'cheques a conf'!A:D,4,FALSE),"no clearing")</f>
        <v>no clearing</v>
      </c>
      <c r="N349" s="51">
        <f t="shared" si="255"/>
        <v>21</v>
      </c>
      <c r="O349" s="53">
        <f t="shared" si="256"/>
        <v>5</v>
      </c>
      <c r="P349" s="53">
        <f t="shared" si="257"/>
        <v>2025</v>
      </c>
    </row>
    <row r="350" spans="1:16" customFormat="1" x14ac:dyDescent="0.25">
      <c r="A350">
        <v>3000002394</v>
      </c>
      <c r="B350" s="22">
        <v>45791</v>
      </c>
      <c r="C350" s="4">
        <v>16975231.34</v>
      </c>
      <c r="D350" t="s">
        <v>626</v>
      </c>
      <c r="E350">
        <v>1224</v>
      </c>
      <c r="F350" s="4">
        <v>16975231.34</v>
      </c>
      <c r="G350" s="3">
        <v>45797</v>
      </c>
      <c r="H350" t="s">
        <v>32</v>
      </c>
      <c r="I350" s="51" t="str">
        <f>IFERROR(IF(VLOOKUP(E350,extracto!C:C,1,FALSE)=E350,"pagado","no pagado"),"no pagado")</f>
        <v>pagado</v>
      </c>
      <c r="J350" s="52" t="str">
        <f t="shared" si="252"/>
        <v>pagado</v>
      </c>
      <c r="K350" s="51" t="str">
        <f t="shared" ca="1" si="253"/>
        <v>excluir</v>
      </c>
      <c r="L350" s="51" t="str">
        <f t="shared" ca="1" si="254"/>
        <v>no semana</v>
      </c>
      <c r="M350" s="51" t="str">
        <f>IFERROR(VLOOKUP(E350,'cheques a conf'!A:D,4,FALSE),"no clearing")</f>
        <v>no clearing</v>
      </c>
      <c r="N350" s="51">
        <f t="shared" si="255"/>
        <v>21</v>
      </c>
      <c r="O350" s="53">
        <f t="shared" si="256"/>
        <v>5</v>
      </c>
      <c r="P350" s="53">
        <f t="shared" si="257"/>
        <v>2025</v>
      </c>
    </row>
    <row r="351" spans="1:16" customFormat="1" x14ac:dyDescent="0.25">
      <c r="A351">
        <v>3000002404</v>
      </c>
      <c r="B351" s="22">
        <v>45791</v>
      </c>
      <c r="C351" s="4">
        <v>13000000</v>
      </c>
      <c r="D351" t="s">
        <v>613</v>
      </c>
      <c r="E351">
        <v>1234</v>
      </c>
      <c r="F351" s="4">
        <v>13000000</v>
      </c>
      <c r="G351" s="3">
        <v>45796</v>
      </c>
      <c r="H351" t="s">
        <v>32</v>
      </c>
      <c r="I351" s="51" t="str">
        <f>IFERROR(IF(VLOOKUP(E351,extracto!C:C,1,FALSE)=E351,"pagado","no pagado"),"no pagado")</f>
        <v>pagado</v>
      </c>
      <c r="J351" s="52" t="str">
        <f t="shared" si="252"/>
        <v>pagado</v>
      </c>
      <c r="K351" s="51" t="str">
        <f t="shared" ca="1" si="253"/>
        <v>excluir</v>
      </c>
      <c r="L351" s="51" t="str">
        <f t="shared" ca="1" si="254"/>
        <v>no semana</v>
      </c>
      <c r="M351" s="51" t="str">
        <f>IFERROR(VLOOKUP(E351,'cheques a conf'!A:D,4,FALSE),"no clearing")</f>
        <v>no clearing</v>
      </c>
      <c r="N351" s="51">
        <f t="shared" si="255"/>
        <v>21</v>
      </c>
      <c r="O351" s="53">
        <f t="shared" si="256"/>
        <v>5</v>
      </c>
      <c r="P351" s="53">
        <f t="shared" si="257"/>
        <v>2025</v>
      </c>
    </row>
    <row r="352" spans="1:16" customFormat="1" x14ac:dyDescent="0.25">
      <c r="A352">
        <v>3000002404</v>
      </c>
      <c r="B352" s="22">
        <v>45791</v>
      </c>
      <c r="C352" s="4">
        <v>10111952.289999999</v>
      </c>
      <c r="D352" t="s">
        <v>613</v>
      </c>
      <c r="E352">
        <v>1235</v>
      </c>
      <c r="F352" s="4">
        <v>10111952.289999999</v>
      </c>
      <c r="G352" s="3">
        <v>45797</v>
      </c>
      <c r="H352" t="s">
        <v>32</v>
      </c>
      <c r="I352" s="51" t="str">
        <f>IFERROR(IF(VLOOKUP(E352,extracto!C:C,1,FALSE)=E352,"pagado","no pagado"),"no pagado")</f>
        <v>pagado</v>
      </c>
      <c r="J352" s="52" t="str">
        <f t="shared" si="252"/>
        <v>pagado</v>
      </c>
      <c r="K352" s="51" t="str">
        <f t="shared" ca="1" si="253"/>
        <v>excluir</v>
      </c>
      <c r="L352" s="51" t="str">
        <f t="shared" ca="1" si="254"/>
        <v>no semana</v>
      </c>
      <c r="M352" s="51" t="str">
        <f>IFERROR(VLOOKUP(E352,'cheques a conf'!A:D,4,FALSE),"no clearing")</f>
        <v>no clearing</v>
      </c>
      <c r="N352" s="51">
        <f t="shared" si="255"/>
        <v>21</v>
      </c>
      <c r="O352" s="53">
        <f t="shared" si="256"/>
        <v>5</v>
      </c>
      <c r="P352" s="53">
        <f t="shared" si="257"/>
        <v>2025</v>
      </c>
    </row>
    <row r="353" spans="1:16" customFormat="1" x14ac:dyDescent="0.25">
      <c r="A353">
        <v>3000002406</v>
      </c>
      <c r="B353" s="22">
        <v>45791</v>
      </c>
      <c r="C353" s="4">
        <v>13000000</v>
      </c>
      <c r="D353" t="s">
        <v>634</v>
      </c>
      <c r="E353">
        <v>1237</v>
      </c>
      <c r="F353" s="4">
        <v>13000000</v>
      </c>
      <c r="G353" s="3">
        <v>45796</v>
      </c>
      <c r="H353" t="s">
        <v>32</v>
      </c>
      <c r="I353" s="51" t="str">
        <f>IFERROR(IF(VLOOKUP(E353,extracto!C:C,1,FALSE)=E353,"pagado","no pagado"),"no pagado")</f>
        <v>pagado</v>
      </c>
      <c r="J353" s="52" t="str">
        <f t="shared" si="252"/>
        <v>pagado</v>
      </c>
      <c r="K353" s="51" t="str">
        <f t="shared" ca="1" si="253"/>
        <v>excluir</v>
      </c>
      <c r="L353" s="51" t="str">
        <f t="shared" ca="1" si="254"/>
        <v>no semana</v>
      </c>
      <c r="M353" s="51" t="str">
        <f>IFERROR(VLOOKUP(E353,'cheques a conf'!A:D,4,FALSE),"no clearing")</f>
        <v>no clearing</v>
      </c>
      <c r="N353" s="51">
        <f t="shared" si="255"/>
        <v>21</v>
      </c>
      <c r="O353" s="53">
        <f t="shared" si="256"/>
        <v>5</v>
      </c>
      <c r="P353" s="53">
        <f t="shared" si="257"/>
        <v>2025</v>
      </c>
    </row>
    <row r="354" spans="1:16" customFormat="1" x14ac:dyDescent="0.25">
      <c r="A354">
        <v>3000002406</v>
      </c>
      <c r="B354" s="22">
        <v>45791</v>
      </c>
      <c r="C354" s="4">
        <v>13767776.15</v>
      </c>
      <c r="D354" t="s">
        <v>634</v>
      </c>
      <c r="E354">
        <v>1238</v>
      </c>
      <c r="F354" s="4">
        <v>13767776.15</v>
      </c>
      <c r="G354" s="3">
        <v>45797</v>
      </c>
      <c r="H354" t="s">
        <v>32</v>
      </c>
      <c r="I354" s="51" t="str">
        <f>IFERROR(IF(VLOOKUP(E354,extracto!C:C,1,FALSE)=E354,"pagado","no pagado"),"no pagado")</f>
        <v>pagado</v>
      </c>
      <c r="J354" s="52" t="str">
        <f t="shared" si="252"/>
        <v>pagado</v>
      </c>
      <c r="K354" s="51" t="str">
        <f t="shared" ca="1" si="253"/>
        <v>excluir</v>
      </c>
      <c r="L354" s="51" t="str">
        <f t="shared" ca="1" si="254"/>
        <v>no semana</v>
      </c>
      <c r="M354" s="51" t="str">
        <f>IFERROR(VLOOKUP(E354,'cheques a conf'!A:D,4,FALSE),"no clearing")</f>
        <v>no clearing</v>
      </c>
      <c r="N354" s="51">
        <f t="shared" si="255"/>
        <v>21</v>
      </c>
      <c r="O354" s="53">
        <f t="shared" si="256"/>
        <v>5</v>
      </c>
      <c r="P354" s="53">
        <f t="shared" si="257"/>
        <v>2025</v>
      </c>
    </row>
    <row r="355" spans="1:16" customFormat="1" x14ac:dyDescent="0.25">
      <c r="A355">
        <v>3000002395</v>
      </c>
      <c r="B355" s="22">
        <v>45791</v>
      </c>
      <c r="C355" s="4">
        <v>7444087.8899999997</v>
      </c>
      <c r="D355" t="s">
        <v>640</v>
      </c>
      <c r="E355">
        <v>1225</v>
      </c>
      <c r="F355" s="4">
        <v>7444087.8899999997</v>
      </c>
      <c r="G355" s="3">
        <v>45796</v>
      </c>
      <c r="H355" t="s">
        <v>32</v>
      </c>
      <c r="I355" s="51" t="str">
        <f>IFERROR(IF(VLOOKUP(E355,extracto!C:C,1,FALSE)=E355,"pagado","no pagado"),"no pagado")</f>
        <v>pagado</v>
      </c>
      <c r="J355" s="52" t="str">
        <f t="shared" si="252"/>
        <v>pagado</v>
      </c>
      <c r="K355" s="51" t="str">
        <f t="shared" ca="1" si="253"/>
        <v>excluir</v>
      </c>
      <c r="L355" s="51" t="str">
        <f t="shared" ca="1" si="254"/>
        <v>no semana</v>
      </c>
      <c r="M355" s="51" t="str">
        <f>IFERROR(VLOOKUP(E355,'cheques a conf'!A:D,4,FALSE),"no clearing")</f>
        <v>no clearing</v>
      </c>
      <c r="N355" s="51">
        <f t="shared" si="255"/>
        <v>21</v>
      </c>
      <c r="O355" s="53">
        <f t="shared" si="256"/>
        <v>5</v>
      </c>
      <c r="P355" s="53">
        <f t="shared" si="257"/>
        <v>2025</v>
      </c>
    </row>
    <row r="356" spans="1:16" customFormat="1" x14ac:dyDescent="0.25">
      <c r="A356">
        <v>3000002396</v>
      </c>
      <c r="B356" s="22">
        <v>45791</v>
      </c>
      <c r="C356" s="4">
        <v>6067519.3399999999</v>
      </c>
      <c r="D356" t="s">
        <v>675</v>
      </c>
      <c r="E356">
        <v>1226</v>
      </c>
      <c r="F356" s="4">
        <v>6067519.3399999999</v>
      </c>
      <c r="G356" s="3">
        <v>45796</v>
      </c>
      <c r="H356" t="s">
        <v>32</v>
      </c>
      <c r="I356" s="51" t="str">
        <f>IFERROR(IF(VLOOKUP(E356,extracto!C:C,1,FALSE)=E356,"pagado","no pagado"),"no pagado")</f>
        <v>pagado</v>
      </c>
      <c r="J356" s="52" t="str">
        <f t="shared" si="252"/>
        <v>pagado</v>
      </c>
      <c r="K356" s="51" t="str">
        <f t="shared" ca="1" si="253"/>
        <v>excluir</v>
      </c>
      <c r="L356" s="51" t="str">
        <f t="shared" ca="1" si="254"/>
        <v>no semana</v>
      </c>
      <c r="M356" s="51" t="str">
        <f>IFERROR(VLOOKUP(E356,'cheques a conf'!A:D,4,FALSE),"no clearing")</f>
        <v>no clearing</v>
      </c>
      <c r="N356" s="51">
        <f t="shared" si="255"/>
        <v>21</v>
      </c>
      <c r="O356" s="53">
        <f t="shared" si="256"/>
        <v>5</v>
      </c>
      <c r="P356" s="53">
        <f t="shared" si="257"/>
        <v>2025</v>
      </c>
    </row>
    <row r="357" spans="1:16" customFormat="1" x14ac:dyDescent="0.25">
      <c r="A357">
        <v>3000002397</v>
      </c>
      <c r="B357" s="22">
        <v>45791</v>
      </c>
      <c r="C357" s="4">
        <v>3861031.53</v>
      </c>
      <c r="D357" t="s">
        <v>676</v>
      </c>
      <c r="E357">
        <v>1227</v>
      </c>
      <c r="F357" s="4">
        <v>3861031.53</v>
      </c>
      <c r="G357" s="3">
        <v>45796</v>
      </c>
      <c r="H357" t="s">
        <v>32</v>
      </c>
      <c r="I357" s="51" t="str">
        <f>IFERROR(IF(VLOOKUP(E357,extracto!C:C,1,FALSE)=E357,"pagado","no pagado"),"no pagado")</f>
        <v>pagado</v>
      </c>
      <c r="J357" s="52" t="str">
        <f t="shared" si="252"/>
        <v>pagado</v>
      </c>
      <c r="K357" s="51" t="str">
        <f t="shared" ca="1" si="253"/>
        <v>excluir</v>
      </c>
      <c r="L357" s="51" t="str">
        <f t="shared" ca="1" si="254"/>
        <v>no semana</v>
      </c>
      <c r="M357" s="51" t="str">
        <f>IFERROR(VLOOKUP(E357,'cheques a conf'!A:D,4,FALSE),"no clearing")</f>
        <v>no clearing</v>
      </c>
      <c r="N357" s="51">
        <f t="shared" si="255"/>
        <v>21</v>
      </c>
      <c r="O357" s="53">
        <f t="shared" si="256"/>
        <v>5</v>
      </c>
      <c r="P357" s="53">
        <f t="shared" si="257"/>
        <v>2025</v>
      </c>
    </row>
    <row r="358" spans="1:16" customFormat="1" x14ac:dyDescent="0.25">
      <c r="A358">
        <v>3000002398</v>
      </c>
      <c r="B358" s="22">
        <v>45791</v>
      </c>
      <c r="C358" s="4">
        <v>3077915.34</v>
      </c>
      <c r="D358" t="s">
        <v>677</v>
      </c>
      <c r="E358">
        <v>1228</v>
      </c>
      <c r="F358" s="4">
        <v>3077915.34</v>
      </c>
      <c r="G358" s="3">
        <v>45796</v>
      </c>
      <c r="H358" t="s">
        <v>32</v>
      </c>
      <c r="I358" s="51" t="str">
        <f>IFERROR(IF(VLOOKUP(E358,extracto!C:C,1,FALSE)=E358,"pagado","no pagado"),"no pagado")</f>
        <v>pagado</v>
      </c>
      <c r="J358" s="52" t="str">
        <f t="shared" si="252"/>
        <v>pagado</v>
      </c>
      <c r="K358" s="51" t="str">
        <f t="shared" ca="1" si="253"/>
        <v>excluir</v>
      </c>
      <c r="L358" s="51" t="str">
        <f t="shared" ca="1" si="254"/>
        <v>no semana</v>
      </c>
      <c r="M358" s="51" t="str">
        <f>IFERROR(VLOOKUP(E358,'cheques a conf'!A:D,4,FALSE),"no clearing")</f>
        <v>no clearing</v>
      </c>
      <c r="N358" s="51">
        <f t="shared" si="255"/>
        <v>21</v>
      </c>
      <c r="O358" s="53">
        <f t="shared" si="256"/>
        <v>5</v>
      </c>
      <c r="P358" s="53">
        <f t="shared" si="257"/>
        <v>2025</v>
      </c>
    </row>
    <row r="359" spans="1:16" customFormat="1" x14ac:dyDescent="0.25">
      <c r="A359">
        <v>3000002399</v>
      </c>
      <c r="B359" s="22">
        <v>45791</v>
      </c>
      <c r="C359" s="4">
        <v>3290202.86</v>
      </c>
      <c r="D359" t="s">
        <v>678</v>
      </c>
      <c r="E359">
        <v>1229</v>
      </c>
      <c r="F359" s="4">
        <v>3290202.86</v>
      </c>
      <c r="G359" s="3">
        <v>45796</v>
      </c>
      <c r="H359" t="s">
        <v>32</v>
      </c>
      <c r="I359" s="51" t="str">
        <f>IFERROR(IF(VLOOKUP(E359,extracto!C:C,1,FALSE)=E359,"pagado","no pagado"),"no pagado")</f>
        <v>pagado</v>
      </c>
      <c r="J359" s="52" t="str">
        <f t="shared" si="252"/>
        <v>pagado</v>
      </c>
      <c r="K359" s="51" t="str">
        <f t="shared" ca="1" si="253"/>
        <v>excluir</v>
      </c>
      <c r="L359" s="51" t="str">
        <f t="shared" ca="1" si="254"/>
        <v>no semana</v>
      </c>
      <c r="M359" s="51" t="str">
        <f>IFERROR(VLOOKUP(E359,'cheques a conf'!A:D,4,FALSE),"no clearing")</f>
        <v>no clearing</v>
      </c>
      <c r="N359" s="51">
        <f t="shared" si="255"/>
        <v>21</v>
      </c>
      <c r="O359" s="53">
        <f t="shared" si="256"/>
        <v>5</v>
      </c>
      <c r="P359" s="53">
        <f t="shared" si="257"/>
        <v>2025</v>
      </c>
    </row>
    <row r="360" spans="1:16" customFormat="1" x14ac:dyDescent="0.25">
      <c r="A360">
        <v>3000002400</v>
      </c>
      <c r="B360" s="22">
        <v>45791</v>
      </c>
      <c r="C360" s="4">
        <v>7019571.29</v>
      </c>
      <c r="D360" t="s">
        <v>679</v>
      </c>
      <c r="E360">
        <v>1230</v>
      </c>
      <c r="F360" s="4">
        <v>7019571.29</v>
      </c>
      <c r="G360" s="3">
        <v>45796</v>
      </c>
      <c r="H360" t="s">
        <v>32</v>
      </c>
      <c r="I360" s="51" t="str">
        <f>IFERROR(IF(VLOOKUP(E360,extracto!C:C,1,FALSE)=E360,"pagado","no pagado"),"no pagado")</f>
        <v>pagado</v>
      </c>
      <c r="J360" s="52" t="str">
        <f t="shared" si="252"/>
        <v>pagado</v>
      </c>
      <c r="K360" s="51" t="str">
        <f t="shared" ca="1" si="253"/>
        <v>excluir</v>
      </c>
      <c r="L360" s="51" t="str">
        <f t="shared" ca="1" si="254"/>
        <v>no semana</v>
      </c>
      <c r="M360" s="51" t="str">
        <f>IFERROR(VLOOKUP(E360,'cheques a conf'!A:D,4,FALSE),"no clearing")</f>
        <v>no clearing</v>
      </c>
      <c r="N360" s="51">
        <f t="shared" si="255"/>
        <v>21</v>
      </c>
      <c r="O360" s="53">
        <f t="shared" si="256"/>
        <v>5</v>
      </c>
      <c r="P360" s="53">
        <f t="shared" si="257"/>
        <v>2025</v>
      </c>
    </row>
    <row r="361" spans="1:16" customFormat="1" x14ac:dyDescent="0.25">
      <c r="A361">
        <v>3000002401</v>
      </c>
      <c r="B361" s="22">
        <v>45791</v>
      </c>
      <c r="C361" s="4">
        <v>6118915.0499999998</v>
      </c>
      <c r="D361" t="s">
        <v>663</v>
      </c>
      <c r="E361">
        <v>1231</v>
      </c>
      <c r="F361" s="4">
        <v>6118915.0499999998</v>
      </c>
      <c r="G361" s="3">
        <v>45796</v>
      </c>
      <c r="H361" t="s">
        <v>32</v>
      </c>
      <c r="I361" s="51" t="str">
        <f>IFERROR(IF(VLOOKUP(E361,extracto!C:C,1,FALSE)=E361,"pagado","no pagado"),"no pagado")</f>
        <v>pagado</v>
      </c>
      <c r="J361" s="52" t="str">
        <f t="shared" si="252"/>
        <v>pagado</v>
      </c>
      <c r="K361" s="51" t="str">
        <f t="shared" ca="1" si="253"/>
        <v>excluir</v>
      </c>
      <c r="L361" s="51" t="str">
        <f t="shared" ca="1" si="254"/>
        <v>no semana</v>
      </c>
      <c r="M361" s="51" t="str">
        <f>IFERROR(VLOOKUP(E361,'cheques a conf'!A:D,4,FALSE),"no clearing")</f>
        <v>no clearing</v>
      </c>
      <c r="N361" s="51">
        <f t="shared" si="255"/>
        <v>21</v>
      </c>
      <c r="O361" s="53">
        <f t="shared" si="256"/>
        <v>5</v>
      </c>
      <c r="P361" s="53">
        <f t="shared" si="257"/>
        <v>2025</v>
      </c>
    </row>
    <row r="362" spans="1:16" customFormat="1" x14ac:dyDescent="0.25">
      <c r="A362">
        <v>3000002402</v>
      </c>
      <c r="B362" s="22">
        <v>45791</v>
      </c>
      <c r="C362" s="4">
        <v>11943173.76</v>
      </c>
      <c r="D362" t="s">
        <v>654</v>
      </c>
      <c r="E362">
        <v>1232</v>
      </c>
      <c r="F362" s="4">
        <v>11943173.76</v>
      </c>
      <c r="G362" s="3">
        <v>45796</v>
      </c>
      <c r="H362" t="s">
        <v>32</v>
      </c>
      <c r="I362" s="51" t="str">
        <f>IFERROR(IF(VLOOKUP(E362,extracto!C:C,1,FALSE)=E362,"pagado","no pagado"),"no pagado")</f>
        <v>pagado</v>
      </c>
      <c r="J362" s="52" t="str">
        <f t="shared" si="252"/>
        <v>pagado</v>
      </c>
      <c r="K362" s="51" t="str">
        <f t="shared" ca="1" si="253"/>
        <v>excluir</v>
      </c>
      <c r="L362" s="51" t="str">
        <f t="shared" ca="1" si="254"/>
        <v>no semana</v>
      </c>
      <c r="M362" s="51" t="str">
        <f>IFERROR(VLOOKUP(E362,'cheques a conf'!A:D,4,FALSE),"no clearing")</f>
        <v>no clearing</v>
      </c>
      <c r="N362" s="51">
        <f t="shared" si="255"/>
        <v>21</v>
      </c>
      <c r="O362" s="53">
        <f t="shared" si="256"/>
        <v>5</v>
      </c>
      <c r="P362" s="53">
        <f t="shared" si="257"/>
        <v>2025</v>
      </c>
    </row>
    <row r="363" spans="1:16" customFormat="1" x14ac:dyDescent="0.25">
      <c r="A363">
        <v>3000002403</v>
      </c>
      <c r="B363" s="22">
        <v>45791</v>
      </c>
      <c r="C363" s="4">
        <v>6347733.6299999999</v>
      </c>
      <c r="D363" t="s">
        <v>616</v>
      </c>
      <c r="E363">
        <v>1233</v>
      </c>
      <c r="F363" s="4">
        <v>6347733.6299999999</v>
      </c>
      <c r="G363" s="3">
        <v>45796</v>
      </c>
      <c r="H363" t="s">
        <v>32</v>
      </c>
      <c r="I363" s="51" t="str">
        <f>IFERROR(IF(VLOOKUP(E363,extracto!C:C,1,FALSE)=E363,"pagado","no pagado"),"no pagado")</f>
        <v>pagado</v>
      </c>
      <c r="J363" s="52" t="str">
        <f t="shared" si="252"/>
        <v>pagado</v>
      </c>
      <c r="K363" s="51" t="str">
        <f t="shared" ca="1" si="253"/>
        <v>excluir</v>
      </c>
      <c r="L363" s="51" t="str">
        <f t="shared" ca="1" si="254"/>
        <v>no semana</v>
      </c>
      <c r="M363" s="51" t="str">
        <f>IFERROR(VLOOKUP(E363,'cheques a conf'!A:D,4,FALSE),"no clearing")</f>
        <v>no clearing</v>
      </c>
      <c r="N363" s="51">
        <f t="shared" si="255"/>
        <v>21</v>
      </c>
      <c r="O363" s="53">
        <f t="shared" si="256"/>
        <v>5</v>
      </c>
      <c r="P363" s="53">
        <f t="shared" si="257"/>
        <v>2025</v>
      </c>
    </row>
    <row r="364" spans="1:16" customFormat="1" x14ac:dyDescent="0.25">
      <c r="A364">
        <v>3000002405</v>
      </c>
      <c r="B364" s="22">
        <v>45791</v>
      </c>
      <c r="C364" s="4">
        <v>4957927.6100000003</v>
      </c>
      <c r="D364" t="s">
        <v>680</v>
      </c>
      <c r="E364">
        <v>1236</v>
      </c>
      <c r="F364" s="4">
        <v>4957927.6100000003</v>
      </c>
      <c r="G364" s="3">
        <v>45796</v>
      </c>
      <c r="H364" t="s">
        <v>32</v>
      </c>
      <c r="I364" s="51" t="str">
        <f>IFERROR(IF(VLOOKUP(E364,extracto!C:C,1,FALSE)=E364,"pagado","no pagado"),"no pagado")</f>
        <v>pagado</v>
      </c>
      <c r="J364" s="52" t="str">
        <f t="shared" si="252"/>
        <v>pagado</v>
      </c>
      <c r="K364" s="51" t="str">
        <f t="shared" ca="1" si="253"/>
        <v>excluir</v>
      </c>
      <c r="L364" s="51" t="str">
        <f t="shared" ca="1" si="254"/>
        <v>no semana</v>
      </c>
      <c r="M364" s="51" t="str">
        <f>IFERROR(VLOOKUP(E364,'cheques a conf'!A:D,4,FALSE),"no clearing")</f>
        <v>no clearing</v>
      </c>
      <c r="N364" s="51">
        <f t="shared" si="255"/>
        <v>21</v>
      </c>
      <c r="O364" s="53">
        <f t="shared" si="256"/>
        <v>5</v>
      </c>
      <c r="P364" s="53">
        <f t="shared" si="257"/>
        <v>2025</v>
      </c>
    </row>
    <row r="365" spans="1:16" customFormat="1" x14ac:dyDescent="0.25">
      <c r="A365">
        <v>3000002518</v>
      </c>
      <c r="B365" s="22">
        <v>45797</v>
      </c>
      <c r="C365" s="4">
        <v>23000000</v>
      </c>
      <c r="D365" t="s">
        <v>613</v>
      </c>
      <c r="E365">
        <v>1244</v>
      </c>
      <c r="F365" s="4">
        <v>23000000</v>
      </c>
      <c r="G365" s="3">
        <v>45799</v>
      </c>
      <c r="H365" t="s">
        <v>32</v>
      </c>
      <c r="I365" s="51" t="str">
        <f>IFERROR(IF(VLOOKUP(E365,extracto!C:C,1,FALSE)=E365,"pagado","no pagado"),"no pagado")</f>
        <v>pagado</v>
      </c>
      <c r="J365" s="52" t="str">
        <f t="shared" ref="J365:J382" si="258">IF(I365="pagado","pagado",IF(G365&lt;$V$1-30,"fuera de fecha","en periodo de pago"))</f>
        <v>pagado</v>
      </c>
      <c r="K365" s="51" t="str">
        <f t="shared" ref="K365:K382" ca="1" si="259">+IF(B365&gt;$V$1,"excluir",IF(J365="en periodo de pago",IF($V$1&gt;G365,"a pagar","proximo a vencer"),"excluir"))</f>
        <v>excluir</v>
      </c>
      <c r="L365" s="51" t="str">
        <f t="shared" ref="L365:L382" ca="1" si="260">+IF(K365="proximo a vencer",IF($V$1+5&gt;G365,"para la semana","no semana"),"no semana")</f>
        <v>no semana</v>
      </c>
      <c r="M365" s="51" t="str">
        <f>IFERROR(VLOOKUP(E365,'cheques a conf'!A:D,4,FALSE),"no clearing")</f>
        <v>no clearing</v>
      </c>
      <c r="N365" s="51">
        <f t="shared" ref="N365:N382" si="261">+WEEKNUM(G365,2)</f>
        <v>21</v>
      </c>
      <c r="O365" s="53">
        <f t="shared" ref="O365:O382" si="262">+MONTH(G365)</f>
        <v>5</v>
      </c>
      <c r="P365" s="53">
        <f t="shared" ref="P365:P382" si="263">+YEAR(G365)</f>
        <v>2025</v>
      </c>
    </row>
    <row r="366" spans="1:16" customFormat="1" x14ac:dyDescent="0.25">
      <c r="A366">
        <v>3000002518</v>
      </c>
      <c r="B366" s="22">
        <v>45797</v>
      </c>
      <c r="C366" s="4">
        <v>23674382.829999998</v>
      </c>
      <c r="D366" t="s">
        <v>613</v>
      </c>
      <c r="E366">
        <v>1245</v>
      </c>
      <c r="F366" s="4">
        <v>23674382.829999998</v>
      </c>
      <c r="G366" s="3">
        <v>45800</v>
      </c>
      <c r="H366" t="s">
        <v>32</v>
      </c>
      <c r="I366" s="51" t="str">
        <f>IFERROR(IF(VLOOKUP(E366,extracto!C:C,1,FALSE)=E366,"pagado","no pagado"),"no pagado")</f>
        <v>pagado</v>
      </c>
      <c r="J366" s="52" t="str">
        <f t="shared" si="258"/>
        <v>pagado</v>
      </c>
      <c r="K366" s="51" t="str">
        <f t="shared" ca="1" si="259"/>
        <v>excluir</v>
      </c>
      <c r="L366" s="51" t="str">
        <f t="shared" ca="1" si="260"/>
        <v>no semana</v>
      </c>
      <c r="M366" s="51" t="str">
        <f>IFERROR(VLOOKUP(E366,'cheques a conf'!A:D,4,FALSE),"no clearing")</f>
        <v>no clearing</v>
      </c>
      <c r="N366" s="51">
        <f t="shared" si="261"/>
        <v>21</v>
      </c>
      <c r="O366" s="53">
        <f t="shared" si="262"/>
        <v>5</v>
      </c>
      <c r="P366" s="53">
        <f t="shared" si="263"/>
        <v>2025</v>
      </c>
    </row>
    <row r="367" spans="1:16" customFormat="1" x14ac:dyDescent="0.25">
      <c r="A367">
        <v>3000002521</v>
      </c>
      <c r="B367" s="22">
        <v>45797</v>
      </c>
      <c r="C367" s="4">
        <v>1500000</v>
      </c>
      <c r="D367" t="s">
        <v>623</v>
      </c>
      <c r="E367">
        <v>1248</v>
      </c>
      <c r="F367" s="4">
        <v>1500000</v>
      </c>
      <c r="G367" s="3">
        <v>45800</v>
      </c>
      <c r="H367" t="s">
        <v>32</v>
      </c>
      <c r="I367" s="51" t="str">
        <f>IFERROR(IF(VLOOKUP(E367,extracto!C:C,1,FALSE)=E367,"pagado","no pagado"),"no pagado")</f>
        <v>pagado</v>
      </c>
      <c r="J367" s="52" t="str">
        <f t="shared" si="258"/>
        <v>pagado</v>
      </c>
      <c r="K367" s="51" t="str">
        <f t="shared" ca="1" si="259"/>
        <v>excluir</v>
      </c>
      <c r="L367" s="51" t="str">
        <f t="shared" ca="1" si="260"/>
        <v>no semana</v>
      </c>
      <c r="M367" s="51" t="str">
        <f>IFERROR(VLOOKUP(E367,'cheques a conf'!A:D,4,FALSE),"no clearing")</f>
        <v>no clearing</v>
      </c>
      <c r="N367" s="51">
        <f t="shared" si="261"/>
        <v>21</v>
      </c>
      <c r="O367" s="53">
        <f t="shared" si="262"/>
        <v>5</v>
      </c>
      <c r="P367" s="53">
        <f t="shared" si="263"/>
        <v>2025</v>
      </c>
    </row>
    <row r="368" spans="1:16" customFormat="1" x14ac:dyDescent="0.25">
      <c r="A368">
        <v>3000002521</v>
      </c>
      <c r="B368" s="22">
        <v>45797</v>
      </c>
      <c r="C368" s="4">
        <v>1500000</v>
      </c>
      <c r="D368" t="s">
        <v>623</v>
      </c>
      <c r="E368">
        <v>1249</v>
      </c>
      <c r="F368" s="4">
        <v>1500000</v>
      </c>
      <c r="G368" s="3">
        <v>45800</v>
      </c>
      <c r="H368" t="s">
        <v>32</v>
      </c>
      <c r="I368" s="51" t="str">
        <f>IFERROR(IF(VLOOKUP(E368,extracto!C:C,1,FALSE)=E368,"pagado","no pagado"),"no pagado")</f>
        <v>pagado</v>
      </c>
      <c r="J368" s="52" t="str">
        <f t="shared" si="258"/>
        <v>pagado</v>
      </c>
      <c r="K368" s="51" t="str">
        <f t="shared" ca="1" si="259"/>
        <v>excluir</v>
      </c>
      <c r="L368" s="51" t="str">
        <f t="shared" ca="1" si="260"/>
        <v>no semana</v>
      </c>
      <c r="M368" s="51" t="str">
        <f>IFERROR(VLOOKUP(E368,'cheques a conf'!A:D,4,FALSE),"no clearing")</f>
        <v>no clearing</v>
      </c>
      <c r="N368" s="51">
        <f t="shared" si="261"/>
        <v>21</v>
      </c>
      <c r="O368" s="53">
        <f t="shared" si="262"/>
        <v>5</v>
      </c>
      <c r="P368" s="53">
        <f t="shared" si="263"/>
        <v>2025</v>
      </c>
    </row>
    <row r="369" spans="1:16" customFormat="1" x14ac:dyDescent="0.25">
      <c r="A369">
        <v>3000002521</v>
      </c>
      <c r="B369" s="22">
        <v>45797</v>
      </c>
      <c r="C369" s="4">
        <v>1112616.1000000001</v>
      </c>
      <c r="D369" t="s">
        <v>623</v>
      </c>
      <c r="E369">
        <v>1250</v>
      </c>
      <c r="F369" s="4">
        <v>1112616.1000000001</v>
      </c>
      <c r="G369" s="3">
        <v>45800</v>
      </c>
      <c r="H369" t="s">
        <v>32</v>
      </c>
      <c r="I369" s="51" t="str">
        <f>IFERROR(IF(VLOOKUP(E369,extracto!C:C,1,FALSE)=E369,"pagado","no pagado"),"no pagado")</f>
        <v>pagado</v>
      </c>
      <c r="J369" s="52" t="str">
        <f t="shared" si="258"/>
        <v>pagado</v>
      </c>
      <c r="K369" s="51" t="str">
        <f t="shared" ca="1" si="259"/>
        <v>excluir</v>
      </c>
      <c r="L369" s="51" t="str">
        <f t="shared" ca="1" si="260"/>
        <v>no semana</v>
      </c>
      <c r="M369" s="51" t="str">
        <f>IFERROR(VLOOKUP(E369,'cheques a conf'!A:D,4,FALSE),"no clearing")</f>
        <v>no clearing</v>
      </c>
      <c r="N369" s="51">
        <f t="shared" si="261"/>
        <v>21</v>
      </c>
      <c r="O369" s="53">
        <f t="shared" si="262"/>
        <v>5</v>
      </c>
      <c r="P369" s="53">
        <f t="shared" si="263"/>
        <v>2025</v>
      </c>
    </row>
    <row r="370" spans="1:16" customFormat="1" x14ac:dyDescent="0.25">
      <c r="A370">
        <v>3000002522</v>
      </c>
      <c r="B370" s="22">
        <v>45797</v>
      </c>
      <c r="C370" s="4">
        <v>23000000</v>
      </c>
      <c r="D370" t="s">
        <v>619</v>
      </c>
      <c r="E370">
        <v>1251</v>
      </c>
      <c r="F370" s="4">
        <v>23000000</v>
      </c>
      <c r="G370" s="3">
        <v>45799</v>
      </c>
      <c r="H370" t="s">
        <v>32</v>
      </c>
      <c r="I370" s="51" t="str">
        <f>IFERROR(IF(VLOOKUP(E370,extracto!C:C,1,FALSE)=E370,"pagado","no pagado"),"no pagado")</f>
        <v>pagado</v>
      </c>
      <c r="J370" s="52" t="str">
        <f t="shared" si="258"/>
        <v>pagado</v>
      </c>
      <c r="K370" s="51" t="str">
        <f t="shared" ca="1" si="259"/>
        <v>excluir</v>
      </c>
      <c r="L370" s="51" t="str">
        <f t="shared" ca="1" si="260"/>
        <v>no semana</v>
      </c>
      <c r="M370" s="51" t="str">
        <f>IFERROR(VLOOKUP(E370,'cheques a conf'!A:D,4,FALSE),"no clearing")</f>
        <v>no clearing</v>
      </c>
      <c r="N370" s="51">
        <f t="shared" si="261"/>
        <v>21</v>
      </c>
      <c r="O370" s="53">
        <f t="shared" si="262"/>
        <v>5</v>
      </c>
      <c r="P370" s="53">
        <f t="shared" si="263"/>
        <v>2025</v>
      </c>
    </row>
    <row r="371" spans="1:16" customFormat="1" x14ac:dyDescent="0.25">
      <c r="A371">
        <v>3000002522</v>
      </c>
      <c r="B371" s="22">
        <v>45797</v>
      </c>
      <c r="C371" s="4">
        <v>20074788.77</v>
      </c>
      <c r="D371" t="s">
        <v>619</v>
      </c>
      <c r="E371">
        <v>1252</v>
      </c>
      <c r="F371" s="4">
        <v>20074788.77</v>
      </c>
      <c r="G371" s="3">
        <v>45800</v>
      </c>
      <c r="H371" t="s">
        <v>32</v>
      </c>
      <c r="I371" s="51" t="str">
        <f>IFERROR(IF(VLOOKUP(E371,extracto!C:C,1,FALSE)=E371,"pagado","no pagado"),"no pagado")</f>
        <v>pagado</v>
      </c>
      <c r="J371" s="52" t="str">
        <f t="shared" si="258"/>
        <v>pagado</v>
      </c>
      <c r="K371" s="51" t="str">
        <f t="shared" ca="1" si="259"/>
        <v>excluir</v>
      </c>
      <c r="L371" s="51" t="str">
        <f t="shared" ca="1" si="260"/>
        <v>no semana</v>
      </c>
      <c r="M371" s="51" t="str">
        <f>IFERROR(VLOOKUP(E371,'cheques a conf'!A:D,4,FALSE),"no clearing")</f>
        <v>no clearing</v>
      </c>
      <c r="N371" s="51">
        <f t="shared" si="261"/>
        <v>21</v>
      </c>
      <c r="O371" s="53">
        <f t="shared" si="262"/>
        <v>5</v>
      </c>
      <c r="P371" s="53">
        <f t="shared" si="263"/>
        <v>2025</v>
      </c>
    </row>
    <row r="372" spans="1:16" customFormat="1" x14ac:dyDescent="0.25">
      <c r="A372">
        <v>3000002510</v>
      </c>
      <c r="B372" s="22">
        <v>45797</v>
      </c>
      <c r="C372" s="4">
        <v>2997156.71</v>
      </c>
      <c r="D372" t="s">
        <v>600</v>
      </c>
      <c r="E372">
        <v>1239</v>
      </c>
      <c r="F372" s="4">
        <v>2997156.71</v>
      </c>
      <c r="G372" s="3">
        <v>45798</v>
      </c>
      <c r="H372" t="s">
        <v>32</v>
      </c>
      <c r="I372" s="51" t="str">
        <f>IFERROR(IF(VLOOKUP(E372,extracto!C:C,1,FALSE)=E372,"pagado","no pagado"),"no pagado")</f>
        <v>pagado</v>
      </c>
      <c r="J372" s="52" t="str">
        <f t="shared" si="258"/>
        <v>pagado</v>
      </c>
      <c r="K372" s="51" t="str">
        <f t="shared" ca="1" si="259"/>
        <v>excluir</v>
      </c>
      <c r="L372" s="51" t="str">
        <f t="shared" ca="1" si="260"/>
        <v>no semana</v>
      </c>
      <c r="M372" s="51" t="str">
        <f>IFERROR(VLOOKUP(E372,'cheques a conf'!A:D,4,FALSE),"no clearing")</f>
        <v>no clearing</v>
      </c>
      <c r="N372" s="51">
        <f t="shared" si="261"/>
        <v>21</v>
      </c>
      <c r="O372" s="53">
        <f t="shared" si="262"/>
        <v>5</v>
      </c>
      <c r="P372" s="53">
        <f t="shared" si="263"/>
        <v>2025</v>
      </c>
    </row>
    <row r="373" spans="1:16" customFormat="1" x14ac:dyDescent="0.25">
      <c r="A373">
        <v>3000002513</v>
      </c>
      <c r="B373" s="22">
        <v>45797</v>
      </c>
      <c r="C373" s="4">
        <v>9254379.5700000003</v>
      </c>
      <c r="D373" t="s">
        <v>681</v>
      </c>
      <c r="E373">
        <v>1240</v>
      </c>
      <c r="F373" s="4">
        <v>9254379.5700000003</v>
      </c>
      <c r="G373" s="3">
        <v>45800</v>
      </c>
      <c r="H373" t="s">
        <v>32</v>
      </c>
      <c r="I373" s="51" t="str">
        <f>IFERROR(IF(VLOOKUP(E373,extracto!C:C,1,FALSE)=E373,"pagado","no pagado"),"no pagado")</f>
        <v>pagado</v>
      </c>
      <c r="J373" s="52" t="str">
        <f t="shared" si="258"/>
        <v>pagado</v>
      </c>
      <c r="K373" s="51" t="str">
        <f t="shared" ca="1" si="259"/>
        <v>excluir</v>
      </c>
      <c r="L373" s="51" t="str">
        <f t="shared" ca="1" si="260"/>
        <v>no semana</v>
      </c>
      <c r="M373" s="51" t="str">
        <f>IFERROR(VLOOKUP(E373,'cheques a conf'!A:D,4,FALSE),"no clearing")</f>
        <v>no clearing</v>
      </c>
      <c r="N373" s="51">
        <f t="shared" si="261"/>
        <v>21</v>
      </c>
      <c r="O373" s="53">
        <f t="shared" si="262"/>
        <v>5</v>
      </c>
      <c r="P373" s="53">
        <f t="shared" si="263"/>
        <v>2025</v>
      </c>
    </row>
    <row r="374" spans="1:16" customFormat="1" x14ac:dyDescent="0.25">
      <c r="A374">
        <v>3000002514</v>
      </c>
      <c r="B374" s="22">
        <v>45797</v>
      </c>
      <c r="C374" s="4">
        <v>7650994.7699999996</v>
      </c>
      <c r="D374" t="s">
        <v>588</v>
      </c>
      <c r="E374">
        <v>1241</v>
      </c>
      <c r="F374" s="4">
        <v>7650994.7699999996</v>
      </c>
      <c r="G374" s="3">
        <v>45800</v>
      </c>
      <c r="H374" t="s">
        <v>32</v>
      </c>
      <c r="I374" s="51" t="str">
        <f>IFERROR(IF(VLOOKUP(E374,extracto!C:C,1,FALSE)=E374,"pagado","no pagado"),"no pagado")</f>
        <v>pagado</v>
      </c>
      <c r="J374" s="52" t="str">
        <f t="shared" si="258"/>
        <v>pagado</v>
      </c>
      <c r="K374" s="51" t="str">
        <f t="shared" ca="1" si="259"/>
        <v>excluir</v>
      </c>
      <c r="L374" s="51" t="str">
        <f t="shared" ca="1" si="260"/>
        <v>no semana</v>
      </c>
      <c r="M374" s="51" t="str">
        <f>IFERROR(VLOOKUP(E374,'cheques a conf'!A:D,4,FALSE),"no clearing")</f>
        <v>no clearing</v>
      </c>
      <c r="N374" s="51">
        <f t="shared" si="261"/>
        <v>21</v>
      </c>
      <c r="O374" s="53">
        <f t="shared" si="262"/>
        <v>5</v>
      </c>
      <c r="P374" s="53">
        <f t="shared" si="263"/>
        <v>2025</v>
      </c>
    </row>
    <row r="375" spans="1:16" customFormat="1" x14ac:dyDescent="0.25">
      <c r="A375">
        <v>3000002515</v>
      </c>
      <c r="B375" s="22">
        <v>45797</v>
      </c>
      <c r="C375" s="4">
        <v>2146156.1800000002</v>
      </c>
      <c r="D375" t="s">
        <v>682</v>
      </c>
      <c r="E375">
        <v>1242</v>
      </c>
      <c r="F375" s="4">
        <v>2146156.1800000002</v>
      </c>
      <c r="G375" s="3">
        <v>45800</v>
      </c>
      <c r="H375" t="s">
        <v>32</v>
      </c>
      <c r="I375" s="51" t="str">
        <f>IFERROR(IF(VLOOKUP(E375,extracto!C:C,1,FALSE)=E375,"pagado","no pagado"),"no pagado")</f>
        <v>pagado</v>
      </c>
      <c r="J375" s="52" t="str">
        <f t="shared" si="258"/>
        <v>pagado</v>
      </c>
      <c r="K375" s="51" t="str">
        <f t="shared" ca="1" si="259"/>
        <v>excluir</v>
      </c>
      <c r="L375" s="51" t="str">
        <f t="shared" ca="1" si="260"/>
        <v>no semana</v>
      </c>
      <c r="M375" s="51" t="str">
        <f>IFERROR(VLOOKUP(E375,'cheques a conf'!A:D,4,FALSE),"no clearing")</f>
        <v>no clearing</v>
      </c>
      <c r="N375" s="51">
        <f t="shared" si="261"/>
        <v>21</v>
      </c>
      <c r="O375" s="53">
        <f t="shared" si="262"/>
        <v>5</v>
      </c>
      <c r="P375" s="53">
        <f t="shared" si="263"/>
        <v>2025</v>
      </c>
    </row>
    <row r="376" spans="1:16" customFormat="1" x14ac:dyDescent="0.25">
      <c r="A376">
        <v>3000002517</v>
      </c>
      <c r="B376" s="22">
        <v>45797</v>
      </c>
      <c r="C376" s="4">
        <v>10666090.949999999</v>
      </c>
      <c r="D376" t="s">
        <v>593</v>
      </c>
      <c r="E376">
        <v>1243</v>
      </c>
      <c r="F376" s="4">
        <v>10666090.949999999</v>
      </c>
      <c r="G376" s="3">
        <v>45800</v>
      </c>
      <c r="H376" t="s">
        <v>32</v>
      </c>
      <c r="I376" s="51" t="str">
        <f>IFERROR(IF(VLOOKUP(E376,extracto!C:C,1,FALSE)=E376,"pagado","no pagado"),"no pagado")</f>
        <v>pagado</v>
      </c>
      <c r="J376" s="52" t="str">
        <f t="shared" si="258"/>
        <v>pagado</v>
      </c>
      <c r="K376" s="51" t="str">
        <f t="shared" ca="1" si="259"/>
        <v>excluir</v>
      </c>
      <c r="L376" s="51" t="str">
        <f t="shared" ca="1" si="260"/>
        <v>no semana</v>
      </c>
      <c r="M376" s="51" t="str">
        <f>IFERROR(VLOOKUP(E376,'cheques a conf'!A:D,4,FALSE),"no clearing")</f>
        <v>no clearing</v>
      </c>
      <c r="N376" s="51">
        <f t="shared" si="261"/>
        <v>21</v>
      </c>
      <c r="O376" s="53">
        <f t="shared" si="262"/>
        <v>5</v>
      </c>
      <c r="P376" s="53">
        <f t="shared" si="263"/>
        <v>2025</v>
      </c>
    </row>
    <row r="377" spans="1:16" customFormat="1" x14ac:dyDescent="0.25">
      <c r="A377">
        <v>3000002519</v>
      </c>
      <c r="B377" s="22">
        <v>45797</v>
      </c>
      <c r="C377" s="4">
        <v>5855240.5</v>
      </c>
      <c r="D377" t="s">
        <v>642</v>
      </c>
      <c r="E377">
        <v>1246</v>
      </c>
      <c r="F377" s="4">
        <v>5855240.5</v>
      </c>
      <c r="G377" s="3">
        <v>45800</v>
      </c>
      <c r="H377" t="s">
        <v>32</v>
      </c>
      <c r="I377" s="51" t="str">
        <f>IFERROR(IF(VLOOKUP(E377,extracto!C:C,1,FALSE)=E377,"pagado","no pagado"),"no pagado")</f>
        <v>pagado</v>
      </c>
      <c r="J377" s="52" t="str">
        <f t="shared" si="258"/>
        <v>pagado</v>
      </c>
      <c r="K377" s="51" t="str">
        <f t="shared" ca="1" si="259"/>
        <v>excluir</v>
      </c>
      <c r="L377" s="51" t="str">
        <f t="shared" ca="1" si="260"/>
        <v>no semana</v>
      </c>
      <c r="M377" s="51" t="str">
        <f>IFERROR(VLOOKUP(E377,'cheques a conf'!A:D,4,FALSE),"no clearing")</f>
        <v>no clearing</v>
      </c>
      <c r="N377" s="51">
        <f t="shared" si="261"/>
        <v>21</v>
      </c>
      <c r="O377" s="53">
        <f t="shared" si="262"/>
        <v>5</v>
      </c>
      <c r="P377" s="53">
        <f t="shared" si="263"/>
        <v>2025</v>
      </c>
    </row>
    <row r="378" spans="1:16" customFormat="1" x14ac:dyDescent="0.25">
      <c r="A378">
        <v>3000002520</v>
      </c>
      <c r="B378" s="22">
        <v>45797</v>
      </c>
      <c r="C378" s="4">
        <v>4138777.78</v>
      </c>
      <c r="D378" t="s">
        <v>612</v>
      </c>
      <c r="E378">
        <v>1247</v>
      </c>
      <c r="F378" s="4">
        <v>4138777.78</v>
      </c>
      <c r="G378" s="3">
        <v>45800</v>
      </c>
      <c r="H378" t="s">
        <v>32</v>
      </c>
      <c r="I378" s="51" t="str">
        <f>IFERROR(IF(VLOOKUP(E378,extracto!C:C,1,FALSE)=E378,"pagado","no pagado"),"no pagado")</f>
        <v>pagado</v>
      </c>
      <c r="J378" s="52" t="str">
        <f t="shared" si="258"/>
        <v>pagado</v>
      </c>
      <c r="K378" s="51" t="str">
        <f t="shared" ca="1" si="259"/>
        <v>excluir</v>
      </c>
      <c r="L378" s="51" t="str">
        <f t="shared" ca="1" si="260"/>
        <v>no semana</v>
      </c>
      <c r="M378" s="51" t="str">
        <f>IFERROR(VLOOKUP(E378,'cheques a conf'!A:D,4,FALSE),"no clearing")</f>
        <v>no clearing</v>
      </c>
      <c r="N378" s="51">
        <f t="shared" si="261"/>
        <v>21</v>
      </c>
      <c r="O378" s="53">
        <f t="shared" si="262"/>
        <v>5</v>
      </c>
      <c r="P378" s="53">
        <f t="shared" si="263"/>
        <v>2025</v>
      </c>
    </row>
    <row r="379" spans="1:16" customFormat="1" x14ac:dyDescent="0.25">
      <c r="A379">
        <v>3000002523</v>
      </c>
      <c r="B379" s="22">
        <v>45797</v>
      </c>
      <c r="C379" s="4">
        <v>6720095.0300000003</v>
      </c>
      <c r="D379" t="s">
        <v>668</v>
      </c>
      <c r="E379">
        <v>1253</v>
      </c>
      <c r="F379" s="4">
        <v>6720095.0300000003</v>
      </c>
      <c r="G379" s="3">
        <v>45800</v>
      </c>
      <c r="H379" t="s">
        <v>32</v>
      </c>
      <c r="I379" s="51" t="str">
        <f>IFERROR(IF(VLOOKUP(E379,extracto!C:C,1,FALSE)=E379,"pagado","no pagado"),"no pagado")</f>
        <v>pagado</v>
      </c>
      <c r="J379" s="52" t="str">
        <f t="shared" si="258"/>
        <v>pagado</v>
      </c>
      <c r="K379" s="51" t="str">
        <f t="shared" ca="1" si="259"/>
        <v>excluir</v>
      </c>
      <c r="L379" s="51" t="str">
        <f t="shared" ca="1" si="260"/>
        <v>no semana</v>
      </c>
      <c r="M379" s="51" t="str">
        <f>IFERROR(VLOOKUP(E379,'cheques a conf'!A:D,4,FALSE),"no clearing")</f>
        <v>no clearing</v>
      </c>
      <c r="N379" s="51">
        <f t="shared" si="261"/>
        <v>21</v>
      </c>
      <c r="O379" s="53">
        <f t="shared" si="262"/>
        <v>5</v>
      </c>
      <c r="P379" s="53">
        <f t="shared" si="263"/>
        <v>2025</v>
      </c>
    </row>
    <row r="380" spans="1:16" customFormat="1" x14ac:dyDescent="0.25">
      <c r="A380">
        <v>3000002524</v>
      </c>
      <c r="B380" s="22">
        <v>45797</v>
      </c>
      <c r="C380" s="4">
        <v>5757903.9800000004</v>
      </c>
      <c r="D380" t="s">
        <v>651</v>
      </c>
      <c r="E380">
        <v>1254</v>
      </c>
      <c r="F380" s="4">
        <v>5757903.9800000004</v>
      </c>
      <c r="G380" s="3">
        <v>45800</v>
      </c>
      <c r="H380" t="s">
        <v>32</v>
      </c>
      <c r="I380" s="51" t="str">
        <f>IFERROR(IF(VLOOKUP(E380,extracto!C:C,1,FALSE)=E380,"pagado","no pagado"),"no pagado")</f>
        <v>pagado</v>
      </c>
      <c r="J380" s="52" t="str">
        <f t="shared" si="258"/>
        <v>pagado</v>
      </c>
      <c r="K380" s="51" t="str">
        <f t="shared" ca="1" si="259"/>
        <v>excluir</v>
      </c>
      <c r="L380" s="51" t="str">
        <f t="shared" ca="1" si="260"/>
        <v>no semana</v>
      </c>
      <c r="M380" s="51" t="str">
        <f>IFERROR(VLOOKUP(E380,'cheques a conf'!A:D,4,FALSE),"no clearing")</f>
        <v>no clearing</v>
      </c>
      <c r="N380" s="51">
        <f t="shared" si="261"/>
        <v>21</v>
      </c>
      <c r="O380" s="53">
        <f t="shared" si="262"/>
        <v>5</v>
      </c>
      <c r="P380" s="53">
        <f t="shared" si="263"/>
        <v>2025</v>
      </c>
    </row>
    <row r="381" spans="1:16" customFormat="1" x14ac:dyDescent="0.25">
      <c r="A381">
        <v>3000002525</v>
      </c>
      <c r="B381" s="22">
        <v>45797</v>
      </c>
      <c r="C381" s="4">
        <v>5402046.1399999997</v>
      </c>
      <c r="D381" t="s">
        <v>644</v>
      </c>
      <c r="E381">
        <v>1255</v>
      </c>
      <c r="F381" s="4">
        <v>5402046.1399999997</v>
      </c>
      <c r="G381" s="3">
        <v>45800</v>
      </c>
      <c r="H381" t="s">
        <v>32</v>
      </c>
      <c r="I381" s="51" t="str">
        <f>IFERROR(IF(VLOOKUP(E381,extracto!C:C,1,FALSE)=E381,"pagado","no pagado"),"no pagado")</f>
        <v>pagado</v>
      </c>
      <c r="J381" s="52" t="str">
        <f t="shared" si="258"/>
        <v>pagado</v>
      </c>
      <c r="K381" s="51" t="str">
        <f t="shared" ca="1" si="259"/>
        <v>excluir</v>
      </c>
      <c r="L381" s="51" t="str">
        <f t="shared" ca="1" si="260"/>
        <v>no semana</v>
      </c>
      <c r="M381" s="51" t="str">
        <f>IFERROR(VLOOKUP(E381,'cheques a conf'!A:D,4,FALSE),"no clearing")</f>
        <v>no clearing</v>
      </c>
      <c r="N381" s="51">
        <f t="shared" si="261"/>
        <v>21</v>
      </c>
      <c r="O381" s="53">
        <f t="shared" si="262"/>
        <v>5</v>
      </c>
      <c r="P381" s="53">
        <f t="shared" si="263"/>
        <v>2025</v>
      </c>
    </row>
    <row r="382" spans="1:16" customFormat="1" x14ac:dyDescent="0.25">
      <c r="A382">
        <v>3000002526</v>
      </c>
      <c r="B382" s="22">
        <v>45797</v>
      </c>
      <c r="C382" s="4">
        <v>5589772.1699999999</v>
      </c>
      <c r="D382" t="s">
        <v>667</v>
      </c>
      <c r="E382">
        <v>1256</v>
      </c>
      <c r="F382" s="4">
        <v>5589772.1699999999</v>
      </c>
      <c r="G382" s="3">
        <v>45800</v>
      </c>
      <c r="H382" t="s">
        <v>32</v>
      </c>
      <c r="I382" s="51" t="str">
        <f>IFERROR(IF(VLOOKUP(E382,extracto!C:C,1,FALSE)=E382,"pagado","no pagado"),"no pagado")</f>
        <v>pagado</v>
      </c>
      <c r="J382" s="52" t="str">
        <f t="shared" si="258"/>
        <v>pagado</v>
      </c>
      <c r="K382" s="51" t="str">
        <f t="shared" ca="1" si="259"/>
        <v>excluir</v>
      </c>
      <c r="L382" s="51" t="str">
        <f t="shared" ca="1" si="260"/>
        <v>no semana</v>
      </c>
      <c r="M382" s="51" t="str">
        <f>IFERROR(VLOOKUP(E382,'cheques a conf'!A:D,4,FALSE),"no clearing")</f>
        <v>no clearing</v>
      </c>
      <c r="N382" s="51">
        <f t="shared" si="261"/>
        <v>21</v>
      </c>
      <c r="O382" s="53">
        <f t="shared" si="262"/>
        <v>5</v>
      </c>
      <c r="P382" s="53">
        <f t="shared" si="263"/>
        <v>2025</v>
      </c>
    </row>
    <row r="383" spans="1:16" customFormat="1" x14ac:dyDescent="0.25">
      <c r="A383">
        <v>3000002468</v>
      </c>
      <c r="B383" s="22">
        <v>45796</v>
      </c>
      <c r="C383" s="4">
        <v>114648500</v>
      </c>
      <c r="D383" t="s">
        <v>25</v>
      </c>
      <c r="E383">
        <v>94326839</v>
      </c>
      <c r="F383" s="4">
        <v>114648500</v>
      </c>
      <c r="G383" s="3">
        <v>45797</v>
      </c>
      <c r="H383" t="s">
        <v>13</v>
      </c>
      <c r="I383" s="51" t="str">
        <f>IFERROR(IF(VLOOKUP(E383,extracto!C:C,1,FALSE)=E383,"pagado","no pagado"),"no pagado")</f>
        <v>pagado</v>
      </c>
      <c r="J383" s="52" t="str">
        <f t="shared" ref="J383" si="264">IF(I383="pagado","pagado",IF(G383&lt;$V$1-30,"fuera de fecha","en periodo de pago"))</f>
        <v>pagado</v>
      </c>
      <c r="K383" s="51" t="str">
        <f t="shared" ref="K383" ca="1" si="265">+IF(B383&gt;$V$1,"excluir",IF(J383="en periodo de pago",IF($V$1&gt;G383,"a pagar","proximo a vencer"),"excluir"))</f>
        <v>excluir</v>
      </c>
      <c r="L383" s="51" t="str">
        <f t="shared" ref="L383" ca="1" si="266">+IF(K383="proximo a vencer",IF($V$1+5&gt;G383,"para la semana","no semana"),"no semana")</f>
        <v>no semana</v>
      </c>
      <c r="M383" s="51" t="str">
        <f>IFERROR(VLOOKUP(E383,'cheques a conf'!A:D,4,FALSE),"no clearing")</f>
        <v>no clearing</v>
      </c>
      <c r="N383" s="51">
        <f t="shared" ref="N383" si="267">+WEEKNUM(G383,2)</f>
        <v>21</v>
      </c>
      <c r="O383" s="53">
        <f t="shared" ref="O383" si="268">+MONTH(G383)</f>
        <v>5</v>
      </c>
      <c r="P383" s="53">
        <f t="shared" ref="P383" si="269">+YEAR(G383)</f>
        <v>2025</v>
      </c>
    </row>
    <row r="384" spans="1:16" customFormat="1" x14ac:dyDescent="0.25">
      <c r="A384">
        <v>3000002577</v>
      </c>
      <c r="B384" s="22">
        <v>45799</v>
      </c>
      <c r="C384" s="4">
        <v>163996880</v>
      </c>
      <c r="D384" t="s">
        <v>25</v>
      </c>
      <c r="E384">
        <v>94326840</v>
      </c>
      <c r="F384" s="4">
        <v>163996880</v>
      </c>
      <c r="G384" s="3">
        <v>45800</v>
      </c>
      <c r="H384" t="s">
        <v>13</v>
      </c>
      <c r="I384" s="51" t="str">
        <f>IFERROR(IF(VLOOKUP(E384,extracto!C:C,1,FALSE)=E384,"pagado","no pagado"),"no pagado")</f>
        <v>pagado</v>
      </c>
      <c r="J384" s="52" t="str">
        <f t="shared" ref="J384" si="270">IF(I384="pagado","pagado",IF(G384&lt;$V$1-30,"fuera de fecha","en periodo de pago"))</f>
        <v>pagado</v>
      </c>
      <c r="K384" s="51" t="str">
        <f t="shared" ref="K384" ca="1" si="271">+IF(B384&gt;$V$1,"excluir",IF(J384="en periodo de pago",IF($V$1&gt;G384,"a pagar","proximo a vencer"),"excluir"))</f>
        <v>excluir</v>
      </c>
      <c r="L384" s="51" t="str">
        <f t="shared" ref="L384" ca="1" si="272">+IF(K384="proximo a vencer",IF($V$1+5&gt;G384,"para la semana","no semana"),"no semana")</f>
        <v>no semana</v>
      </c>
      <c r="M384" s="51" t="str">
        <f>IFERROR(VLOOKUP(E384,'cheques a conf'!A:D,4,FALSE),"no clearing")</f>
        <v>no clearing</v>
      </c>
      <c r="N384" s="51">
        <f t="shared" ref="N384" si="273">+WEEKNUM(G384,2)</f>
        <v>21</v>
      </c>
      <c r="O384" s="53">
        <f t="shared" ref="O384" si="274">+MONTH(G384)</f>
        <v>5</v>
      </c>
      <c r="P384" s="53">
        <f t="shared" ref="P384" si="275">+YEAR(G384)</f>
        <v>2025</v>
      </c>
    </row>
    <row r="385" spans="1:16" customFormat="1" x14ac:dyDescent="0.25">
      <c r="A385">
        <v>3000002635</v>
      </c>
      <c r="B385" s="22">
        <v>45803</v>
      </c>
      <c r="C385" s="4">
        <v>0</v>
      </c>
      <c r="D385" t="s">
        <v>162</v>
      </c>
      <c r="E385">
        <v>1257</v>
      </c>
      <c r="F385" s="4">
        <v>0</v>
      </c>
      <c r="G385" s="3">
        <v>45803</v>
      </c>
      <c r="H385" t="s">
        <v>32</v>
      </c>
      <c r="I385" s="51" t="str">
        <f>IFERROR(IF(VLOOKUP(E385,extracto!C:C,1,FALSE)=E385,"pagado","no pagado"),"no pagado")</f>
        <v>no pagado</v>
      </c>
      <c r="J385" s="52" t="str">
        <f t="shared" ref="J385" ca="1" si="276">IF(I385="pagado","pagado",IF(G385&lt;$V$1-30,"fuera de fecha","en periodo de pago"))</f>
        <v>fuera de fecha</v>
      </c>
      <c r="K385" s="51" t="str">
        <f t="shared" ref="K385" ca="1" si="277">+IF(B385&gt;$V$1,"excluir",IF(J385="en periodo de pago",IF($V$1&gt;G385,"a pagar","proximo a vencer"),"excluir"))</f>
        <v>excluir</v>
      </c>
      <c r="L385" s="51" t="str">
        <f t="shared" ref="L385" ca="1" si="278">+IF(K385="proximo a vencer",IF($V$1+5&gt;G385,"para la semana","no semana"),"no semana")</f>
        <v>no semana</v>
      </c>
      <c r="M385" s="51" t="str">
        <f>IFERROR(VLOOKUP(E385,'cheques a conf'!A:D,4,FALSE),"no clearing")</f>
        <v>no clearing</v>
      </c>
      <c r="N385" s="51">
        <f t="shared" ref="N385" si="279">+WEEKNUM(G385,2)</f>
        <v>22</v>
      </c>
      <c r="O385" s="53">
        <f t="shared" ref="O385" si="280">+MONTH(G385)</f>
        <v>5</v>
      </c>
      <c r="P385" s="53">
        <f t="shared" ref="P385" si="281">+YEAR(G385)</f>
        <v>2025</v>
      </c>
    </row>
    <row r="386" spans="1:16" customFormat="1" x14ac:dyDescent="0.25">
      <c r="A386">
        <v>3000002636</v>
      </c>
      <c r="B386" s="22">
        <v>45803</v>
      </c>
      <c r="C386" s="4">
        <v>0</v>
      </c>
      <c r="D386" t="s">
        <v>162</v>
      </c>
      <c r="E386">
        <v>1258</v>
      </c>
      <c r="F386" s="4">
        <v>0</v>
      </c>
      <c r="G386" s="3">
        <v>45803</v>
      </c>
      <c r="H386" t="s">
        <v>32</v>
      </c>
      <c r="I386" s="51" t="str">
        <f>IFERROR(IF(VLOOKUP(E386,extracto!C:C,1,FALSE)=E386,"pagado","no pagado"),"no pagado")</f>
        <v>no pagado</v>
      </c>
      <c r="J386" s="52" t="str">
        <f t="shared" ref="J386:J429" ca="1" si="282">IF(I386="pagado","pagado",IF(G386&lt;$V$1-30,"fuera de fecha","en periodo de pago"))</f>
        <v>fuera de fecha</v>
      </c>
      <c r="K386" s="51" t="str">
        <f t="shared" ref="K386:K429" ca="1" si="283">+IF(B386&gt;$V$1,"excluir",IF(J386="en periodo de pago",IF($V$1&gt;G386,"a pagar","proximo a vencer"),"excluir"))</f>
        <v>excluir</v>
      </c>
      <c r="L386" s="51" t="str">
        <f t="shared" ref="L386:L429" ca="1" si="284">+IF(K386="proximo a vencer",IF($V$1+5&gt;G386,"para la semana","no semana"),"no semana")</f>
        <v>no semana</v>
      </c>
      <c r="M386" s="51" t="str">
        <f>IFERROR(VLOOKUP(E386,'cheques a conf'!A:D,4,FALSE),"no clearing")</f>
        <v>no clearing</v>
      </c>
      <c r="N386" s="51">
        <f t="shared" ref="N386:N429" si="285">+WEEKNUM(G386,2)</f>
        <v>22</v>
      </c>
      <c r="O386" s="53">
        <f t="shared" ref="O386:O429" si="286">+MONTH(G386)</f>
        <v>5</v>
      </c>
      <c r="P386" s="53">
        <f t="shared" ref="P386:P429" si="287">+YEAR(G386)</f>
        <v>2025</v>
      </c>
    </row>
    <row r="387" spans="1:16" customFormat="1" x14ac:dyDescent="0.25">
      <c r="A387">
        <v>3000002637</v>
      </c>
      <c r="B387" s="22">
        <v>45803</v>
      </c>
      <c r="C387" s="4">
        <v>0</v>
      </c>
      <c r="D387" t="s">
        <v>162</v>
      </c>
      <c r="E387">
        <v>1259</v>
      </c>
      <c r="F387" s="4">
        <v>0</v>
      </c>
      <c r="G387" s="3">
        <v>45803</v>
      </c>
      <c r="H387" t="s">
        <v>32</v>
      </c>
      <c r="I387" s="51" t="str">
        <f>IFERROR(IF(VLOOKUP(E387,extracto!C:C,1,FALSE)=E387,"pagado","no pagado"),"no pagado")</f>
        <v>no pagado</v>
      </c>
      <c r="J387" s="52" t="str">
        <f t="shared" ca="1" si="282"/>
        <v>fuera de fecha</v>
      </c>
      <c r="K387" s="51" t="str">
        <f t="shared" ca="1" si="283"/>
        <v>excluir</v>
      </c>
      <c r="L387" s="51" t="str">
        <f t="shared" ca="1" si="284"/>
        <v>no semana</v>
      </c>
      <c r="M387" s="51" t="str">
        <f>IFERROR(VLOOKUP(E387,'cheques a conf'!A:D,4,FALSE),"no clearing")</f>
        <v>no clearing</v>
      </c>
      <c r="N387" s="51">
        <f t="shared" si="285"/>
        <v>22</v>
      </c>
      <c r="O387" s="53">
        <f t="shared" si="286"/>
        <v>5</v>
      </c>
      <c r="P387" s="53">
        <f t="shared" si="287"/>
        <v>2025</v>
      </c>
    </row>
    <row r="388" spans="1:16" customFormat="1" x14ac:dyDescent="0.25">
      <c r="A388">
        <v>3000002638</v>
      </c>
      <c r="B388" s="22">
        <v>45803</v>
      </c>
      <c r="C388" s="4">
        <v>0</v>
      </c>
      <c r="D388" t="s">
        <v>162</v>
      </c>
      <c r="E388">
        <v>1260</v>
      </c>
      <c r="F388" s="4">
        <v>0</v>
      </c>
      <c r="G388" s="3">
        <v>45803</v>
      </c>
      <c r="H388" t="s">
        <v>32</v>
      </c>
      <c r="I388" s="51" t="str">
        <f>IFERROR(IF(VLOOKUP(E388,extracto!C:C,1,FALSE)=E388,"pagado","no pagado"),"no pagado")</f>
        <v>no pagado</v>
      </c>
      <c r="J388" s="52" t="str">
        <f t="shared" ca="1" si="282"/>
        <v>fuera de fecha</v>
      </c>
      <c r="K388" s="51" t="str">
        <f t="shared" ca="1" si="283"/>
        <v>excluir</v>
      </c>
      <c r="L388" s="51" t="str">
        <f t="shared" ca="1" si="284"/>
        <v>no semana</v>
      </c>
      <c r="M388" s="51" t="str">
        <f>IFERROR(VLOOKUP(E388,'cheques a conf'!A:D,4,FALSE),"no clearing")</f>
        <v>no clearing</v>
      </c>
      <c r="N388" s="51">
        <f t="shared" si="285"/>
        <v>22</v>
      </c>
      <c r="O388" s="53">
        <f t="shared" si="286"/>
        <v>5</v>
      </c>
      <c r="P388" s="53">
        <f t="shared" si="287"/>
        <v>2025</v>
      </c>
    </row>
    <row r="389" spans="1:16" customFormat="1" x14ac:dyDescent="0.25">
      <c r="A389">
        <v>3000002638</v>
      </c>
      <c r="B389" s="22">
        <v>45803</v>
      </c>
      <c r="C389" s="4">
        <v>0</v>
      </c>
      <c r="D389" t="s">
        <v>162</v>
      </c>
      <c r="E389">
        <v>1261</v>
      </c>
      <c r="F389" s="4">
        <v>0</v>
      </c>
      <c r="G389" s="3">
        <v>45803</v>
      </c>
      <c r="H389" t="s">
        <v>32</v>
      </c>
      <c r="I389" s="51" t="str">
        <f>IFERROR(IF(VLOOKUP(E389,extracto!C:C,1,FALSE)=E389,"pagado","no pagado"),"no pagado")</f>
        <v>no pagado</v>
      </c>
      <c r="J389" s="52" t="str">
        <f t="shared" ca="1" si="282"/>
        <v>fuera de fecha</v>
      </c>
      <c r="K389" s="51" t="str">
        <f t="shared" ca="1" si="283"/>
        <v>excluir</v>
      </c>
      <c r="L389" s="51" t="str">
        <f t="shared" ca="1" si="284"/>
        <v>no semana</v>
      </c>
      <c r="M389" s="51" t="str">
        <f>IFERROR(VLOOKUP(E389,'cheques a conf'!A:D,4,FALSE),"no clearing")</f>
        <v>no clearing</v>
      </c>
      <c r="N389" s="51">
        <f t="shared" si="285"/>
        <v>22</v>
      </c>
      <c r="O389" s="53">
        <f t="shared" si="286"/>
        <v>5</v>
      </c>
      <c r="P389" s="53">
        <f t="shared" si="287"/>
        <v>2025</v>
      </c>
    </row>
    <row r="390" spans="1:16" customFormat="1" x14ac:dyDescent="0.25">
      <c r="A390">
        <v>3000002639</v>
      </c>
      <c r="B390" s="22">
        <v>45803</v>
      </c>
      <c r="C390" s="4">
        <v>0</v>
      </c>
      <c r="D390" t="s">
        <v>162</v>
      </c>
      <c r="E390">
        <v>1262</v>
      </c>
      <c r="F390" s="4">
        <v>0</v>
      </c>
      <c r="G390" s="3">
        <v>45803</v>
      </c>
      <c r="H390" t="s">
        <v>32</v>
      </c>
      <c r="I390" s="51" t="str">
        <f>IFERROR(IF(VLOOKUP(E390,extracto!C:C,1,FALSE)=E390,"pagado","no pagado"),"no pagado")</f>
        <v>no pagado</v>
      </c>
      <c r="J390" s="52" t="str">
        <f t="shared" ca="1" si="282"/>
        <v>fuera de fecha</v>
      </c>
      <c r="K390" s="51" t="str">
        <f t="shared" ca="1" si="283"/>
        <v>excluir</v>
      </c>
      <c r="L390" s="51" t="str">
        <f t="shared" ca="1" si="284"/>
        <v>no semana</v>
      </c>
      <c r="M390" s="51" t="str">
        <f>IFERROR(VLOOKUP(E390,'cheques a conf'!A:D,4,FALSE),"no clearing")</f>
        <v>no clearing</v>
      </c>
      <c r="N390" s="51">
        <f t="shared" si="285"/>
        <v>22</v>
      </c>
      <c r="O390" s="53">
        <f t="shared" si="286"/>
        <v>5</v>
      </c>
      <c r="P390" s="53">
        <f t="shared" si="287"/>
        <v>2025</v>
      </c>
    </row>
    <row r="391" spans="1:16" customFormat="1" x14ac:dyDescent="0.25">
      <c r="A391">
        <v>3000002639</v>
      </c>
      <c r="B391" s="22">
        <v>45803</v>
      </c>
      <c r="C391" s="4">
        <v>0</v>
      </c>
      <c r="D391" t="s">
        <v>162</v>
      </c>
      <c r="E391">
        <v>1263</v>
      </c>
      <c r="F391" s="4">
        <v>0</v>
      </c>
      <c r="G391" s="3">
        <v>45803</v>
      </c>
      <c r="H391" t="s">
        <v>32</v>
      </c>
      <c r="I391" s="51" t="str">
        <f>IFERROR(IF(VLOOKUP(E391,extracto!C:C,1,FALSE)=E391,"pagado","no pagado"),"no pagado")</f>
        <v>no pagado</v>
      </c>
      <c r="J391" s="52" t="str">
        <f t="shared" ca="1" si="282"/>
        <v>fuera de fecha</v>
      </c>
      <c r="K391" s="51" t="str">
        <f t="shared" ca="1" si="283"/>
        <v>excluir</v>
      </c>
      <c r="L391" s="51" t="str">
        <f t="shared" ca="1" si="284"/>
        <v>no semana</v>
      </c>
      <c r="M391" s="51" t="str">
        <f>IFERROR(VLOOKUP(E391,'cheques a conf'!A:D,4,FALSE),"no clearing")</f>
        <v>no clearing</v>
      </c>
      <c r="N391" s="51">
        <f t="shared" si="285"/>
        <v>22</v>
      </c>
      <c r="O391" s="53">
        <f t="shared" si="286"/>
        <v>5</v>
      </c>
      <c r="P391" s="53">
        <f t="shared" si="287"/>
        <v>2025</v>
      </c>
    </row>
    <row r="392" spans="1:16" customFormat="1" x14ac:dyDescent="0.25">
      <c r="A392">
        <v>3000002640</v>
      </c>
      <c r="B392" s="22">
        <v>45803</v>
      </c>
      <c r="C392" s="4">
        <v>0</v>
      </c>
      <c r="D392" t="s">
        <v>162</v>
      </c>
      <c r="E392">
        <v>1264</v>
      </c>
      <c r="F392" s="4">
        <v>0</v>
      </c>
      <c r="G392" s="3">
        <v>45803</v>
      </c>
      <c r="H392" t="s">
        <v>32</v>
      </c>
      <c r="I392" s="51" t="str">
        <f>IFERROR(IF(VLOOKUP(E392,extracto!C:C,1,FALSE)=E392,"pagado","no pagado"),"no pagado")</f>
        <v>no pagado</v>
      </c>
      <c r="J392" s="52" t="str">
        <f t="shared" ca="1" si="282"/>
        <v>fuera de fecha</v>
      </c>
      <c r="K392" s="51" t="str">
        <f t="shared" ca="1" si="283"/>
        <v>excluir</v>
      </c>
      <c r="L392" s="51" t="str">
        <f t="shared" ca="1" si="284"/>
        <v>no semana</v>
      </c>
      <c r="M392" s="51" t="str">
        <f>IFERROR(VLOOKUP(E392,'cheques a conf'!A:D,4,FALSE),"no clearing")</f>
        <v>no clearing</v>
      </c>
      <c r="N392" s="51">
        <f t="shared" si="285"/>
        <v>22</v>
      </c>
      <c r="O392" s="53">
        <f t="shared" si="286"/>
        <v>5</v>
      </c>
      <c r="P392" s="53">
        <f t="shared" si="287"/>
        <v>2025</v>
      </c>
    </row>
    <row r="393" spans="1:16" customFormat="1" x14ac:dyDescent="0.25">
      <c r="A393">
        <v>3000002641</v>
      </c>
      <c r="B393" s="22">
        <v>45803</v>
      </c>
      <c r="C393" s="4">
        <v>0</v>
      </c>
      <c r="D393" t="s">
        <v>162</v>
      </c>
      <c r="E393">
        <v>1265</v>
      </c>
      <c r="F393" s="4">
        <v>0</v>
      </c>
      <c r="G393" s="3">
        <v>45803</v>
      </c>
      <c r="H393" t="s">
        <v>32</v>
      </c>
      <c r="I393" s="51" t="str">
        <f>IFERROR(IF(VLOOKUP(E393,extracto!C:C,1,FALSE)=E393,"pagado","no pagado"),"no pagado")</f>
        <v>no pagado</v>
      </c>
      <c r="J393" s="52" t="str">
        <f t="shared" ca="1" si="282"/>
        <v>fuera de fecha</v>
      </c>
      <c r="K393" s="51" t="str">
        <f t="shared" ca="1" si="283"/>
        <v>excluir</v>
      </c>
      <c r="L393" s="51" t="str">
        <f t="shared" ca="1" si="284"/>
        <v>no semana</v>
      </c>
      <c r="M393" s="51" t="str">
        <f>IFERROR(VLOOKUP(E393,'cheques a conf'!A:D,4,FALSE),"no clearing")</f>
        <v>no clearing</v>
      </c>
      <c r="N393" s="51">
        <f t="shared" si="285"/>
        <v>22</v>
      </c>
      <c r="O393" s="53">
        <f t="shared" si="286"/>
        <v>5</v>
      </c>
      <c r="P393" s="53">
        <f t="shared" si="287"/>
        <v>2025</v>
      </c>
    </row>
    <row r="394" spans="1:16" customFormat="1" x14ac:dyDescent="0.25">
      <c r="A394">
        <v>3000002641</v>
      </c>
      <c r="B394" s="22">
        <v>45803</v>
      </c>
      <c r="C394" s="4">
        <v>0</v>
      </c>
      <c r="D394" t="s">
        <v>162</v>
      </c>
      <c r="E394">
        <v>1266</v>
      </c>
      <c r="F394" s="4">
        <v>0</v>
      </c>
      <c r="G394" s="3">
        <v>45803</v>
      </c>
      <c r="H394" t="s">
        <v>32</v>
      </c>
      <c r="I394" s="51" t="str">
        <f>IFERROR(IF(VLOOKUP(E394,extracto!C:C,1,FALSE)=E394,"pagado","no pagado"),"no pagado")</f>
        <v>no pagado</v>
      </c>
      <c r="J394" s="52" t="str">
        <f t="shared" ca="1" si="282"/>
        <v>fuera de fecha</v>
      </c>
      <c r="K394" s="51" t="str">
        <f t="shared" ca="1" si="283"/>
        <v>excluir</v>
      </c>
      <c r="L394" s="51" t="str">
        <f t="shared" ca="1" si="284"/>
        <v>no semana</v>
      </c>
      <c r="M394" s="51" t="str">
        <f>IFERROR(VLOOKUP(E394,'cheques a conf'!A:D,4,FALSE),"no clearing")</f>
        <v>no clearing</v>
      </c>
      <c r="N394" s="51">
        <f t="shared" si="285"/>
        <v>22</v>
      </c>
      <c r="O394" s="53">
        <f t="shared" si="286"/>
        <v>5</v>
      </c>
      <c r="P394" s="53">
        <f t="shared" si="287"/>
        <v>2025</v>
      </c>
    </row>
    <row r="395" spans="1:16" customFormat="1" x14ac:dyDescent="0.25">
      <c r="A395">
        <v>3000002642</v>
      </c>
      <c r="B395" s="22">
        <v>45803</v>
      </c>
      <c r="C395" s="4">
        <v>0</v>
      </c>
      <c r="D395" t="s">
        <v>162</v>
      </c>
      <c r="E395">
        <v>1267</v>
      </c>
      <c r="F395" s="4">
        <v>0</v>
      </c>
      <c r="G395" s="3">
        <v>45803</v>
      </c>
      <c r="H395" t="s">
        <v>32</v>
      </c>
      <c r="I395" s="51" t="str">
        <f>IFERROR(IF(VLOOKUP(E395,extracto!C:C,1,FALSE)=E395,"pagado","no pagado"),"no pagado")</f>
        <v>no pagado</v>
      </c>
      <c r="J395" s="52" t="str">
        <f t="shared" ca="1" si="282"/>
        <v>fuera de fecha</v>
      </c>
      <c r="K395" s="51" t="str">
        <f t="shared" ca="1" si="283"/>
        <v>excluir</v>
      </c>
      <c r="L395" s="51" t="str">
        <f t="shared" ca="1" si="284"/>
        <v>no semana</v>
      </c>
      <c r="M395" s="51" t="str">
        <f>IFERROR(VLOOKUP(E395,'cheques a conf'!A:D,4,FALSE),"no clearing")</f>
        <v>no clearing</v>
      </c>
      <c r="N395" s="51">
        <f t="shared" si="285"/>
        <v>22</v>
      </c>
      <c r="O395" s="53">
        <f t="shared" si="286"/>
        <v>5</v>
      </c>
      <c r="P395" s="53">
        <f t="shared" si="287"/>
        <v>2025</v>
      </c>
    </row>
    <row r="396" spans="1:16" customFormat="1" x14ac:dyDescent="0.25">
      <c r="A396">
        <v>3000002642</v>
      </c>
      <c r="B396" s="22">
        <v>45803</v>
      </c>
      <c r="C396" s="4">
        <v>0</v>
      </c>
      <c r="D396" t="s">
        <v>162</v>
      </c>
      <c r="E396">
        <v>1268</v>
      </c>
      <c r="F396" s="4">
        <v>0</v>
      </c>
      <c r="G396" s="3">
        <v>45803</v>
      </c>
      <c r="H396" t="s">
        <v>32</v>
      </c>
      <c r="I396" s="51" t="str">
        <f>IFERROR(IF(VLOOKUP(E396,extracto!C:C,1,FALSE)=E396,"pagado","no pagado"),"no pagado")</f>
        <v>no pagado</v>
      </c>
      <c r="J396" s="52" t="str">
        <f t="shared" ca="1" si="282"/>
        <v>fuera de fecha</v>
      </c>
      <c r="K396" s="51" t="str">
        <f t="shared" ca="1" si="283"/>
        <v>excluir</v>
      </c>
      <c r="L396" s="51" t="str">
        <f t="shared" ca="1" si="284"/>
        <v>no semana</v>
      </c>
      <c r="M396" s="51" t="str">
        <f>IFERROR(VLOOKUP(E396,'cheques a conf'!A:D,4,FALSE),"no clearing")</f>
        <v>no clearing</v>
      </c>
      <c r="N396" s="51">
        <f t="shared" si="285"/>
        <v>22</v>
      </c>
      <c r="O396" s="53">
        <f t="shared" si="286"/>
        <v>5</v>
      </c>
      <c r="P396" s="53">
        <f t="shared" si="287"/>
        <v>2025</v>
      </c>
    </row>
    <row r="397" spans="1:16" customFormat="1" x14ac:dyDescent="0.25">
      <c r="A397">
        <v>3000002643</v>
      </c>
      <c r="B397" s="22">
        <v>45803</v>
      </c>
      <c r="C397" s="4">
        <v>0</v>
      </c>
      <c r="D397" t="s">
        <v>162</v>
      </c>
      <c r="E397">
        <v>1269</v>
      </c>
      <c r="F397" s="4">
        <v>0</v>
      </c>
      <c r="G397" s="3">
        <v>45803</v>
      </c>
      <c r="H397" t="s">
        <v>32</v>
      </c>
      <c r="I397" s="51" t="str">
        <f>IFERROR(IF(VLOOKUP(E397,extracto!C:C,1,FALSE)=E397,"pagado","no pagado"),"no pagado")</f>
        <v>no pagado</v>
      </c>
      <c r="J397" s="52" t="str">
        <f t="shared" ca="1" si="282"/>
        <v>fuera de fecha</v>
      </c>
      <c r="K397" s="51" t="str">
        <f t="shared" ca="1" si="283"/>
        <v>excluir</v>
      </c>
      <c r="L397" s="51" t="str">
        <f t="shared" ca="1" si="284"/>
        <v>no semana</v>
      </c>
      <c r="M397" s="51" t="str">
        <f>IFERROR(VLOOKUP(E397,'cheques a conf'!A:D,4,FALSE),"no clearing")</f>
        <v>no clearing</v>
      </c>
      <c r="N397" s="51">
        <f t="shared" si="285"/>
        <v>22</v>
      </c>
      <c r="O397" s="53">
        <f t="shared" si="286"/>
        <v>5</v>
      </c>
      <c r="P397" s="53">
        <f t="shared" si="287"/>
        <v>2025</v>
      </c>
    </row>
    <row r="398" spans="1:16" customFormat="1" x14ac:dyDescent="0.25">
      <c r="A398">
        <v>3000002643</v>
      </c>
      <c r="B398" s="22">
        <v>45803</v>
      </c>
      <c r="C398" s="4">
        <v>0</v>
      </c>
      <c r="D398" t="s">
        <v>162</v>
      </c>
      <c r="E398">
        <v>1270</v>
      </c>
      <c r="F398" s="4">
        <v>0</v>
      </c>
      <c r="G398" s="3">
        <v>45803</v>
      </c>
      <c r="H398" t="s">
        <v>32</v>
      </c>
      <c r="I398" s="51" t="str">
        <f>IFERROR(IF(VLOOKUP(E398,extracto!C:C,1,FALSE)=E398,"pagado","no pagado"),"no pagado")</f>
        <v>no pagado</v>
      </c>
      <c r="J398" s="52" t="str">
        <f t="shared" ca="1" si="282"/>
        <v>fuera de fecha</v>
      </c>
      <c r="K398" s="51" t="str">
        <f t="shared" ca="1" si="283"/>
        <v>excluir</v>
      </c>
      <c r="L398" s="51" t="str">
        <f t="shared" ca="1" si="284"/>
        <v>no semana</v>
      </c>
      <c r="M398" s="51" t="str">
        <f>IFERROR(VLOOKUP(E398,'cheques a conf'!A:D,4,FALSE),"no clearing")</f>
        <v>no clearing</v>
      </c>
      <c r="N398" s="51">
        <f t="shared" si="285"/>
        <v>22</v>
      </c>
      <c r="O398" s="53">
        <f t="shared" si="286"/>
        <v>5</v>
      </c>
      <c r="P398" s="53">
        <f t="shared" si="287"/>
        <v>2025</v>
      </c>
    </row>
    <row r="399" spans="1:16" customFormat="1" x14ac:dyDescent="0.25">
      <c r="A399">
        <v>3000002644</v>
      </c>
      <c r="B399" s="22">
        <v>45803</v>
      </c>
      <c r="C399" s="4">
        <v>0</v>
      </c>
      <c r="D399" t="s">
        <v>162</v>
      </c>
      <c r="E399">
        <v>1271</v>
      </c>
      <c r="F399" s="4">
        <v>0</v>
      </c>
      <c r="G399" s="3">
        <v>45803</v>
      </c>
      <c r="H399" t="s">
        <v>32</v>
      </c>
      <c r="I399" s="51" t="str">
        <f>IFERROR(IF(VLOOKUP(E399,extracto!C:C,1,FALSE)=E399,"pagado","no pagado"),"no pagado")</f>
        <v>no pagado</v>
      </c>
      <c r="J399" s="52" t="str">
        <f t="shared" ca="1" si="282"/>
        <v>fuera de fecha</v>
      </c>
      <c r="K399" s="51" t="str">
        <f t="shared" ca="1" si="283"/>
        <v>excluir</v>
      </c>
      <c r="L399" s="51" t="str">
        <f t="shared" ca="1" si="284"/>
        <v>no semana</v>
      </c>
      <c r="M399" s="51" t="str">
        <f>IFERROR(VLOOKUP(E399,'cheques a conf'!A:D,4,FALSE),"no clearing")</f>
        <v>no clearing</v>
      </c>
      <c r="N399" s="51">
        <f t="shared" si="285"/>
        <v>22</v>
      </c>
      <c r="O399" s="53">
        <f t="shared" si="286"/>
        <v>5</v>
      </c>
      <c r="P399" s="53">
        <f t="shared" si="287"/>
        <v>2025</v>
      </c>
    </row>
    <row r="400" spans="1:16" customFormat="1" x14ac:dyDescent="0.25">
      <c r="A400">
        <v>3000002644</v>
      </c>
      <c r="B400" s="22">
        <v>45803</v>
      </c>
      <c r="C400" s="4">
        <v>0</v>
      </c>
      <c r="D400" t="s">
        <v>162</v>
      </c>
      <c r="E400">
        <v>1272</v>
      </c>
      <c r="F400" s="4">
        <v>0</v>
      </c>
      <c r="G400" s="3">
        <v>45803</v>
      </c>
      <c r="H400" t="s">
        <v>32</v>
      </c>
      <c r="I400" s="51" t="str">
        <f>IFERROR(IF(VLOOKUP(E400,extracto!C:C,1,FALSE)=E400,"pagado","no pagado"),"no pagado")</f>
        <v>no pagado</v>
      </c>
      <c r="J400" s="52" t="str">
        <f t="shared" ca="1" si="282"/>
        <v>fuera de fecha</v>
      </c>
      <c r="K400" s="51" t="str">
        <f t="shared" ca="1" si="283"/>
        <v>excluir</v>
      </c>
      <c r="L400" s="51" t="str">
        <f t="shared" ca="1" si="284"/>
        <v>no semana</v>
      </c>
      <c r="M400" s="51" t="str">
        <f>IFERROR(VLOOKUP(E400,'cheques a conf'!A:D,4,FALSE),"no clearing")</f>
        <v>no clearing</v>
      </c>
      <c r="N400" s="51">
        <f t="shared" si="285"/>
        <v>22</v>
      </c>
      <c r="O400" s="53">
        <f t="shared" si="286"/>
        <v>5</v>
      </c>
      <c r="P400" s="53">
        <f t="shared" si="287"/>
        <v>2025</v>
      </c>
    </row>
    <row r="401" spans="1:16" customFormat="1" x14ac:dyDescent="0.25">
      <c r="A401">
        <v>3000002645</v>
      </c>
      <c r="B401" s="22">
        <v>45803</v>
      </c>
      <c r="C401" s="4">
        <v>0</v>
      </c>
      <c r="D401" t="s">
        <v>162</v>
      </c>
      <c r="E401">
        <v>1273</v>
      </c>
      <c r="F401" s="4">
        <v>0</v>
      </c>
      <c r="G401" s="3">
        <v>45803</v>
      </c>
      <c r="H401" t="s">
        <v>32</v>
      </c>
      <c r="I401" s="51" t="str">
        <f>IFERROR(IF(VLOOKUP(E401,extracto!C:C,1,FALSE)=E401,"pagado","no pagado"),"no pagado")</f>
        <v>no pagado</v>
      </c>
      <c r="J401" s="52" t="str">
        <f t="shared" ca="1" si="282"/>
        <v>fuera de fecha</v>
      </c>
      <c r="K401" s="51" t="str">
        <f t="shared" ca="1" si="283"/>
        <v>excluir</v>
      </c>
      <c r="L401" s="51" t="str">
        <f t="shared" ca="1" si="284"/>
        <v>no semana</v>
      </c>
      <c r="M401" s="51" t="str">
        <f>IFERROR(VLOOKUP(E401,'cheques a conf'!A:D,4,FALSE),"no clearing")</f>
        <v>no clearing</v>
      </c>
      <c r="N401" s="51">
        <f t="shared" si="285"/>
        <v>22</v>
      </c>
      <c r="O401" s="53">
        <f t="shared" si="286"/>
        <v>5</v>
      </c>
      <c r="P401" s="53">
        <f t="shared" si="287"/>
        <v>2025</v>
      </c>
    </row>
    <row r="402" spans="1:16" customFormat="1" x14ac:dyDescent="0.25">
      <c r="A402">
        <v>3000002646</v>
      </c>
      <c r="B402" s="22">
        <v>45803</v>
      </c>
      <c r="C402" s="4">
        <v>0</v>
      </c>
      <c r="D402" t="s">
        <v>162</v>
      </c>
      <c r="E402">
        <v>1274</v>
      </c>
      <c r="F402" s="4">
        <v>0</v>
      </c>
      <c r="G402" s="3">
        <v>45803</v>
      </c>
      <c r="H402" t="s">
        <v>32</v>
      </c>
      <c r="I402" s="51" t="str">
        <f>IFERROR(IF(VLOOKUP(E402,extracto!C:C,1,FALSE)=E402,"pagado","no pagado"),"no pagado")</f>
        <v>no pagado</v>
      </c>
      <c r="J402" s="52" t="str">
        <f t="shared" ca="1" si="282"/>
        <v>fuera de fecha</v>
      </c>
      <c r="K402" s="51" t="str">
        <f t="shared" ca="1" si="283"/>
        <v>excluir</v>
      </c>
      <c r="L402" s="51" t="str">
        <f t="shared" ca="1" si="284"/>
        <v>no semana</v>
      </c>
      <c r="M402" s="51" t="str">
        <f>IFERROR(VLOOKUP(E402,'cheques a conf'!A:D,4,FALSE),"no clearing")</f>
        <v>no clearing</v>
      </c>
      <c r="N402" s="51">
        <f t="shared" si="285"/>
        <v>22</v>
      </c>
      <c r="O402" s="53">
        <f t="shared" si="286"/>
        <v>5</v>
      </c>
      <c r="P402" s="53">
        <f t="shared" si="287"/>
        <v>2025</v>
      </c>
    </row>
    <row r="403" spans="1:16" customFormat="1" x14ac:dyDescent="0.25">
      <c r="A403">
        <v>3000002647</v>
      </c>
      <c r="B403" s="22">
        <v>45803</v>
      </c>
      <c r="C403" s="4">
        <v>0</v>
      </c>
      <c r="D403" t="s">
        <v>162</v>
      </c>
      <c r="E403">
        <v>1275</v>
      </c>
      <c r="F403" s="4">
        <v>0</v>
      </c>
      <c r="G403" s="3">
        <v>45803</v>
      </c>
      <c r="H403" t="s">
        <v>32</v>
      </c>
      <c r="I403" s="51" t="str">
        <f>IFERROR(IF(VLOOKUP(E403,extracto!C:C,1,FALSE)=E403,"pagado","no pagado"),"no pagado")</f>
        <v>no pagado</v>
      </c>
      <c r="J403" s="52" t="str">
        <f t="shared" ca="1" si="282"/>
        <v>fuera de fecha</v>
      </c>
      <c r="K403" s="51" t="str">
        <f t="shared" ca="1" si="283"/>
        <v>excluir</v>
      </c>
      <c r="L403" s="51" t="str">
        <f t="shared" ca="1" si="284"/>
        <v>no semana</v>
      </c>
      <c r="M403" s="51" t="str">
        <f>IFERROR(VLOOKUP(E403,'cheques a conf'!A:D,4,FALSE),"no clearing")</f>
        <v>no clearing</v>
      </c>
      <c r="N403" s="51">
        <f t="shared" si="285"/>
        <v>22</v>
      </c>
      <c r="O403" s="53">
        <f t="shared" si="286"/>
        <v>5</v>
      </c>
      <c r="P403" s="53">
        <f t="shared" si="287"/>
        <v>2025</v>
      </c>
    </row>
    <row r="404" spans="1:16" customFormat="1" x14ac:dyDescent="0.25">
      <c r="A404">
        <v>3000002647</v>
      </c>
      <c r="B404" s="22">
        <v>45803</v>
      </c>
      <c r="C404" s="4">
        <v>0</v>
      </c>
      <c r="D404" t="s">
        <v>162</v>
      </c>
      <c r="E404">
        <v>1276</v>
      </c>
      <c r="F404" s="4">
        <v>0</v>
      </c>
      <c r="G404" s="3">
        <v>45803</v>
      </c>
      <c r="H404" t="s">
        <v>32</v>
      </c>
      <c r="I404" s="51" t="str">
        <f>IFERROR(IF(VLOOKUP(E404,extracto!C:C,1,FALSE)=E404,"pagado","no pagado"),"no pagado")</f>
        <v>no pagado</v>
      </c>
      <c r="J404" s="52" t="str">
        <f t="shared" ca="1" si="282"/>
        <v>fuera de fecha</v>
      </c>
      <c r="K404" s="51" t="str">
        <f t="shared" ca="1" si="283"/>
        <v>excluir</v>
      </c>
      <c r="L404" s="51" t="str">
        <f t="shared" ca="1" si="284"/>
        <v>no semana</v>
      </c>
      <c r="M404" s="51" t="str">
        <f>IFERROR(VLOOKUP(E404,'cheques a conf'!A:D,4,FALSE),"no clearing")</f>
        <v>no clearing</v>
      </c>
      <c r="N404" s="51">
        <f t="shared" si="285"/>
        <v>22</v>
      </c>
      <c r="O404" s="53">
        <f t="shared" si="286"/>
        <v>5</v>
      </c>
      <c r="P404" s="53">
        <f t="shared" si="287"/>
        <v>2025</v>
      </c>
    </row>
    <row r="405" spans="1:16" customFormat="1" x14ac:dyDescent="0.25">
      <c r="A405">
        <v>3000002635</v>
      </c>
      <c r="B405" s="22">
        <v>45804</v>
      </c>
      <c r="C405" s="4">
        <v>10952596.109999999</v>
      </c>
      <c r="D405" t="s">
        <v>658</v>
      </c>
      <c r="E405">
        <v>1277</v>
      </c>
      <c r="F405" s="4">
        <v>10952596.109999999</v>
      </c>
      <c r="G405" s="3">
        <v>45806</v>
      </c>
      <c r="H405" t="s">
        <v>32</v>
      </c>
      <c r="I405" s="51" t="str">
        <f>IFERROR(IF(VLOOKUP(E405,extracto!C:C,1,FALSE)=E405,"pagado","no pagado"),"no pagado")</f>
        <v>pagado</v>
      </c>
      <c r="J405" s="52" t="str">
        <f t="shared" si="282"/>
        <v>pagado</v>
      </c>
      <c r="K405" s="51" t="str">
        <f t="shared" ca="1" si="283"/>
        <v>excluir</v>
      </c>
      <c r="L405" s="51" t="str">
        <f t="shared" ca="1" si="284"/>
        <v>no semana</v>
      </c>
      <c r="M405" s="51" t="str">
        <f>IFERROR(VLOOKUP(E405,'cheques a conf'!A:D,4,FALSE),"no clearing")</f>
        <v>no clearing</v>
      </c>
      <c r="N405" s="51">
        <f t="shared" si="285"/>
        <v>22</v>
      </c>
      <c r="O405" s="53">
        <f t="shared" si="286"/>
        <v>5</v>
      </c>
      <c r="P405" s="53">
        <f t="shared" si="287"/>
        <v>2025</v>
      </c>
    </row>
    <row r="406" spans="1:16" customFormat="1" x14ac:dyDescent="0.25">
      <c r="A406">
        <v>3000002636</v>
      </c>
      <c r="B406" s="22">
        <v>45804</v>
      </c>
      <c r="C406" s="4">
        <v>9575958.4900000002</v>
      </c>
      <c r="D406" t="s">
        <v>163</v>
      </c>
      <c r="E406">
        <v>1278</v>
      </c>
      <c r="F406" s="4">
        <v>9575958.4900000002</v>
      </c>
      <c r="G406" s="3">
        <v>45806</v>
      </c>
      <c r="H406" t="s">
        <v>32</v>
      </c>
      <c r="I406" s="51" t="str">
        <f>IFERROR(IF(VLOOKUP(E406,extracto!C:C,1,FALSE)=E406,"pagado","no pagado"),"no pagado")</f>
        <v>pagado</v>
      </c>
      <c r="J406" s="52" t="str">
        <f t="shared" si="282"/>
        <v>pagado</v>
      </c>
      <c r="K406" s="51" t="str">
        <f t="shared" ca="1" si="283"/>
        <v>excluir</v>
      </c>
      <c r="L406" s="51" t="str">
        <f t="shared" ca="1" si="284"/>
        <v>no semana</v>
      </c>
      <c r="M406" s="51" t="str">
        <f>IFERROR(VLOOKUP(E406,'cheques a conf'!A:D,4,FALSE),"no clearing")</f>
        <v>no clearing</v>
      </c>
      <c r="N406" s="51">
        <f t="shared" si="285"/>
        <v>22</v>
      </c>
      <c r="O406" s="53">
        <f t="shared" si="286"/>
        <v>5</v>
      </c>
      <c r="P406" s="53">
        <f t="shared" si="287"/>
        <v>2025</v>
      </c>
    </row>
    <row r="407" spans="1:16" customFormat="1" x14ac:dyDescent="0.25">
      <c r="A407">
        <v>3000002637</v>
      </c>
      <c r="B407" s="22">
        <v>45804</v>
      </c>
      <c r="C407" s="4">
        <v>4316841.83</v>
      </c>
      <c r="D407" t="s">
        <v>595</v>
      </c>
      <c r="E407">
        <v>1279</v>
      </c>
      <c r="F407" s="4">
        <v>4316841.83</v>
      </c>
      <c r="G407" s="3">
        <v>45806</v>
      </c>
      <c r="H407" t="s">
        <v>32</v>
      </c>
      <c r="I407" s="51" t="str">
        <f>IFERROR(IF(VLOOKUP(E407,extracto!C:C,1,FALSE)=E407,"pagado","no pagado"),"no pagado")</f>
        <v>pagado</v>
      </c>
      <c r="J407" s="52" t="str">
        <f t="shared" si="282"/>
        <v>pagado</v>
      </c>
      <c r="K407" s="51" t="str">
        <f t="shared" ca="1" si="283"/>
        <v>excluir</v>
      </c>
      <c r="L407" s="51" t="str">
        <f t="shared" ca="1" si="284"/>
        <v>no semana</v>
      </c>
      <c r="M407" s="51" t="str">
        <f>IFERROR(VLOOKUP(E407,'cheques a conf'!A:D,4,FALSE),"no clearing")</f>
        <v>no clearing</v>
      </c>
      <c r="N407" s="51">
        <f t="shared" si="285"/>
        <v>22</v>
      </c>
      <c r="O407" s="53">
        <f t="shared" si="286"/>
        <v>5</v>
      </c>
      <c r="P407" s="53">
        <f t="shared" si="287"/>
        <v>2025</v>
      </c>
    </row>
    <row r="408" spans="1:16" customFormat="1" x14ac:dyDescent="0.25">
      <c r="A408">
        <v>3000002638</v>
      </c>
      <c r="B408" s="22">
        <v>45804</v>
      </c>
      <c r="C408" s="4">
        <v>20000000</v>
      </c>
      <c r="D408" t="s">
        <v>649</v>
      </c>
      <c r="E408">
        <v>1280</v>
      </c>
      <c r="F408" s="4">
        <v>20000000</v>
      </c>
      <c r="G408" s="3">
        <v>45806</v>
      </c>
      <c r="H408" t="s">
        <v>32</v>
      </c>
      <c r="I408" s="51" t="str">
        <f>IFERROR(IF(VLOOKUP(E408,extracto!C:C,1,FALSE)=E408,"pagado","no pagado"),"no pagado")</f>
        <v>pagado</v>
      </c>
      <c r="J408" s="52" t="str">
        <f t="shared" si="282"/>
        <v>pagado</v>
      </c>
      <c r="K408" s="51" t="str">
        <f t="shared" ca="1" si="283"/>
        <v>excluir</v>
      </c>
      <c r="L408" s="51" t="str">
        <f t="shared" ca="1" si="284"/>
        <v>no semana</v>
      </c>
      <c r="M408" s="51" t="str">
        <f>IFERROR(VLOOKUP(E408,'cheques a conf'!A:D,4,FALSE),"no clearing")</f>
        <v>no clearing</v>
      </c>
      <c r="N408" s="51">
        <f t="shared" si="285"/>
        <v>22</v>
      </c>
      <c r="O408" s="53">
        <f t="shared" si="286"/>
        <v>5</v>
      </c>
      <c r="P408" s="53">
        <f t="shared" si="287"/>
        <v>2025</v>
      </c>
    </row>
    <row r="409" spans="1:16" customFormat="1" x14ac:dyDescent="0.25">
      <c r="A409">
        <v>3000002638</v>
      </c>
      <c r="B409" s="22">
        <v>45804</v>
      </c>
      <c r="C409" s="4">
        <v>21600217.09</v>
      </c>
      <c r="D409" t="s">
        <v>649</v>
      </c>
      <c r="E409">
        <v>1281</v>
      </c>
      <c r="F409" s="4">
        <v>21600217.09</v>
      </c>
      <c r="G409" s="3">
        <v>45807</v>
      </c>
      <c r="H409" t="s">
        <v>32</v>
      </c>
      <c r="I409" s="51" t="str">
        <f>IFERROR(IF(VLOOKUP(E409,extracto!C:C,1,FALSE)=E409,"pagado","no pagado"),"no pagado")</f>
        <v>pagado</v>
      </c>
      <c r="J409" s="52" t="str">
        <f t="shared" si="282"/>
        <v>pagado</v>
      </c>
      <c r="K409" s="51" t="str">
        <f t="shared" ca="1" si="283"/>
        <v>excluir</v>
      </c>
      <c r="L409" s="51" t="str">
        <f t="shared" ca="1" si="284"/>
        <v>no semana</v>
      </c>
      <c r="M409" s="51" t="str">
        <f>IFERROR(VLOOKUP(E409,'cheques a conf'!A:D,4,FALSE),"no clearing")</f>
        <v>no clearing</v>
      </c>
      <c r="N409" s="51">
        <f t="shared" si="285"/>
        <v>22</v>
      </c>
      <c r="O409" s="53">
        <f t="shared" si="286"/>
        <v>5</v>
      </c>
      <c r="P409" s="53">
        <f t="shared" si="287"/>
        <v>2025</v>
      </c>
    </row>
    <row r="410" spans="1:16" customFormat="1" x14ac:dyDescent="0.25">
      <c r="A410">
        <v>3000002639</v>
      </c>
      <c r="B410" s="22">
        <v>45804</v>
      </c>
      <c r="C410" s="4">
        <v>15000000</v>
      </c>
      <c r="D410" t="s">
        <v>72</v>
      </c>
      <c r="E410">
        <v>1282</v>
      </c>
      <c r="F410" s="4">
        <v>15000000</v>
      </c>
      <c r="G410" s="3">
        <v>45806</v>
      </c>
      <c r="H410" t="s">
        <v>32</v>
      </c>
      <c r="I410" s="51" t="str">
        <f>IFERROR(IF(VLOOKUP(E410,extracto!C:C,1,FALSE)=E410,"pagado","no pagado"),"no pagado")</f>
        <v>pagado</v>
      </c>
      <c r="J410" s="52" t="str">
        <f t="shared" si="282"/>
        <v>pagado</v>
      </c>
      <c r="K410" s="51" t="str">
        <f t="shared" ca="1" si="283"/>
        <v>excluir</v>
      </c>
      <c r="L410" s="51" t="str">
        <f t="shared" ca="1" si="284"/>
        <v>no semana</v>
      </c>
      <c r="M410" s="51" t="str">
        <f>IFERROR(VLOOKUP(E410,'cheques a conf'!A:D,4,FALSE),"no clearing")</f>
        <v>no clearing</v>
      </c>
      <c r="N410" s="51">
        <f t="shared" si="285"/>
        <v>22</v>
      </c>
      <c r="O410" s="53">
        <f t="shared" si="286"/>
        <v>5</v>
      </c>
      <c r="P410" s="53">
        <f t="shared" si="287"/>
        <v>2025</v>
      </c>
    </row>
    <row r="411" spans="1:16" customFormat="1" x14ac:dyDescent="0.25">
      <c r="A411">
        <v>3000002639</v>
      </c>
      <c r="B411" s="22">
        <v>45804</v>
      </c>
      <c r="C411" s="4">
        <v>16978029.890000001</v>
      </c>
      <c r="D411" t="s">
        <v>72</v>
      </c>
      <c r="E411">
        <v>1283</v>
      </c>
      <c r="F411" s="4">
        <v>16978029.890000001</v>
      </c>
      <c r="G411" s="3">
        <v>45807</v>
      </c>
      <c r="H411" t="s">
        <v>32</v>
      </c>
      <c r="I411" s="51" t="str">
        <f>IFERROR(IF(VLOOKUP(E411,extracto!C:C,1,FALSE)=E411,"pagado","no pagado"),"no pagado")</f>
        <v>pagado</v>
      </c>
      <c r="J411" s="52" t="str">
        <f t="shared" si="282"/>
        <v>pagado</v>
      </c>
      <c r="K411" s="51" t="str">
        <f t="shared" ca="1" si="283"/>
        <v>excluir</v>
      </c>
      <c r="L411" s="51" t="str">
        <f t="shared" ca="1" si="284"/>
        <v>no semana</v>
      </c>
      <c r="M411" s="51" t="str">
        <f>IFERROR(VLOOKUP(E411,'cheques a conf'!A:D,4,FALSE),"no clearing")</f>
        <v>no clearing</v>
      </c>
      <c r="N411" s="51">
        <f t="shared" si="285"/>
        <v>22</v>
      </c>
      <c r="O411" s="53">
        <f t="shared" si="286"/>
        <v>5</v>
      </c>
      <c r="P411" s="53">
        <f t="shared" si="287"/>
        <v>2025</v>
      </c>
    </row>
    <row r="412" spans="1:16" customFormat="1" x14ac:dyDescent="0.25">
      <c r="A412">
        <v>3000002640</v>
      </c>
      <c r="B412" s="22">
        <v>45804</v>
      </c>
      <c r="C412" s="4">
        <v>8678438.1699999999</v>
      </c>
      <c r="D412" t="s">
        <v>626</v>
      </c>
      <c r="E412">
        <v>1284</v>
      </c>
      <c r="F412" s="4">
        <v>8678438.1699999999</v>
      </c>
      <c r="G412" s="3">
        <v>45806</v>
      </c>
      <c r="H412" t="s">
        <v>32</v>
      </c>
      <c r="I412" s="51" t="str">
        <f>IFERROR(IF(VLOOKUP(E412,extracto!C:C,1,FALSE)=E412,"pagado","no pagado"),"no pagado")</f>
        <v>pagado</v>
      </c>
      <c r="J412" s="52" t="str">
        <f t="shared" si="282"/>
        <v>pagado</v>
      </c>
      <c r="K412" s="51" t="str">
        <f t="shared" ca="1" si="283"/>
        <v>excluir</v>
      </c>
      <c r="L412" s="51" t="str">
        <f t="shared" ca="1" si="284"/>
        <v>no semana</v>
      </c>
      <c r="M412" s="51" t="str">
        <f>IFERROR(VLOOKUP(E412,'cheques a conf'!A:D,4,FALSE),"no clearing")</f>
        <v>no clearing</v>
      </c>
      <c r="N412" s="51">
        <f t="shared" si="285"/>
        <v>22</v>
      </c>
      <c r="O412" s="53">
        <f t="shared" si="286"/>
        <v>5</v>
      </c>
      <c r="P412" s="53">
        <f t="shared" si="287"/>
        <v>2025</v>
      </c>
    </row>
    <row r="413" spans="1:16" customFormat="1" x14ac:dyDescent="0.25">
      <c r="A413">
        <v>3000002641</v>
      </c>
      <c r="B413" s="22">
        <v>45804</v>
      </c>
      <c r="C413" s="4">
        <v>10000000</v>
      </c>
      <c r="D413" t="s">
        <v>683</v>
      </c>
      <c r="E413">
        <v>1285</v>
      </c>
      <c r="F413" s="4">
        <v>10000000</v>
      </c>
      <c r="G413" s="3">
        <v>45806</v>
      </c>
      <c r="H413" t="s">
        <v>32</v>
      </c>
      <c r="I413" s="51" t="str">
        <f>IFERROR(IF(VLOOKUP(E413,extracto!C:C,1,FALSE)=E413,"pagado","no pagado"),"no pagado")</f>
        <v>pagado</v>
      </c>
      <c r="J413" s="52" t="str">
        <f t="shared" si="282"/>
        <v>pagado</v>
      </c>
      <c r="K413" s="51" t="str">
        <f t="shared" ca="1" si="283"/>
        <v>excluir</v>
      </c>
      <c r="L413" s="51" t="str">
        <f t="shared" ca="1" si="284"/>
        <v>no semana</v>
      </c>
      <c r="M413" s="51" t="str">
        <f>IFERROR(VLOOKUP(E413,'cheques a conf'!A:D,4,FALSE),"no clearing")</f>
        <v>no clearing</v>
      </c>
      <c r="N413" s="51">
        <f t="shared" si="285"/>
        <v>22</v>
      </c>
      <c r="O413" s="53">
        <f t="shared" si="286"/>
        <v>5</v>
      </c>
      <c r="P413" s="53">
        <f t="shared" si="287"/>
        <v>2025</v>
      </c>
    </row>
    <row r="414" spans="1:16" customFormat="1" x14ac:dyDescent="0.25">
      <c r="A414">
        <v>3000002641</v>
      </c>
      <c r="B414" s="22">
        <v>45804</v>
      </c>
      <c r="C414" s="4">
        <v>11214656</v>
      </c>
      <c r="D414" t="s">
        <v>683</v>
      </c>
      <c r="E414">
        <v>1286</v>
      </c>
      <c r="F414" s="4">
        <v>11214656</v>
      </c>
      <c r="G414" s="3">
        <v>45807</v>
      </c>
      <c r="H414" t="s">
        <v>32</v>
      </c>
      <c r="I414" s="51" t="str">
        <f>IFERROR(IF(VLOOKUP(E414,extracto!C:C,1,FALSE)=E414,"pagado","no pagado"),"no pagado")</f>
        <v>pagado</v>
      </c>
      <c r="J414" s="52" t="str">
        <f t="shared" si="282"/>
        <v>pagado</v>
      </c>
      <c r="K414" s="51" t="str">
        <f t="shared" ca="1" si="283"/>
        <v>excluir</v>
      </c>
      <c r="L414" s="51" t="str">
        <f t="shared" ca="1" si="284"/>
        <v>no semana</v>
      </c>
      <c r="M414" s="51" t="str">
        <f>IFERROR(VLOOKUP(E414,'cheques a conf'!A:D,4,FALSE),"no clearing")</f>
        <v>no clearing</v>
      </c>
      <c r="N414" s="51">
        <f t="shared" si="285"/>
        <v>22</v>
      </c>
      <c r="O414" s="53">
        <f t="shared" si="286"/>
        <v>5</v>
      </c>
      <c r="P414" s="53">
        <f t="shared" si="287"/>
        <v>2025</v>
      </c>
    </row>
    <row r="415" spans="1:16" customFormat="1" x14ac:dyDescent="0.25">
      <c r="A415">
        <v>3000002642</v>
      </c>
      <c r="B415" s="22">
        <v>45804</v>
      </c>
      <c r="C415" s="4">
        <v>30000000</v>
      </c>
      <c r="D415" t="s">
        <v>622</v>
      </c>
      <c r="E415">
        <v>1287</v>
      </c>
      <c r="F415" s="4">
        <v>30000000</v>
      </c>
      <c r="G415" s="3">
        <v>45806</v>
      </c>
      <c r="H415" t="s">
        <v>32</v>
      </c>
      <c r="I415" s="51" t="str">
        <f>IFERROR(IF(VLOOKUP(E415,extracto!C:C,1,FALSE)=E415,"pagado","no pagado"),"no pagado")</f>
        <v>pagado</v>
      </c>
      <c r="J415" s="52" t="str">
        <f t="shared" si="282"/>
        <v>pagado</v>
      </c>
      <c r="K415" s="51" t="str">
        <f t="shared" ca="1" si="283"/>
        <v>excluir</v>
      </c>
      <c r="L415" s="51" t="str">
        <f t="shared" ca="1" si="284"/>
        <v>no semana</v>
      </c>
      <c r="M415" s="51" t="str">
        <f>IFERROR(VLOOKUP(E415,'cheques a conf'!A:D,4,FALSE),"no clearing")</f>
        <v>no clearing</v>
      </c>
      <c r="N415" s="51">
        <f t="shared" si="285"/>
        <v>22</v>
      </c>
      <c r="O415" s="53">
        <f t="shared" si="286"/>
        <v>5</v>
      </c>
      <c r="P415" s="53">
        <f t="shared" si="287"/>
        <v>2025</v>
      </c>
    </row>
    <row r="416" spans="1:16" customFormat="1" x14ac:dyDescent="0.25">
      <c r="A416">
        <v>3000002642</v>
      </c>
      <c r="B416" s="22">
        <v>45804</v>
      </c>
      <c r="C416" s="4">
        <v>27399251.109999999</v>
      </c>
      <c r="D416" t="s">
        <v>622</v>
      </c>
      <c r="E416">
        <v>1288</v>
      </c>
      <c r="F416" s="4">
        <v>27399251.109999999</v>
      </c>
      <c r="G416" s="3">
        <v>45807</v>
      </c>
      <c r="H416" t="s">
        <v>32</v>
      </c>
      <c r="I416" s="51" t="str">
        <f>IFERROR(IF(VLOOKUP(E416,extracto!C:C,1,FALSE)=E416,"pagado","no pagado"),"no pagado")</f>
        <v>pagado</v>
      </c>
      <c r="J416" s="52" t="str">
        <f t="shared" si="282"/>
        <v>pagado</v>
      </c>
      <c r="K416" s="51" t="str">
        <f t="shared" ca="1" si="283"/>
        <v>excluir</v>
      </c>
      <c r="L416" s="51" t="str">
        <f t="shared" ca="1" si="284"/>
        <v>no semana</v>
      </c>
      <c r="M416" s="51" t="str">
        <f>IFERROR(VLOOKUP(E416,'cheques a conf'!A:D,4,FALSE),"no clearing")</f>
        <v>no clearing</v>
      </c>
      <c r="N416" s="51">
        <f t="shared" si="285"/>
        <v>22</v>
      </c>
      <c r="O416" s="53">
        <f t="shared" si="286"/>
        <v>5</v>
      </c>
      <c r="P416" s="53">
        <f t="shared" si="287"/>
        <v>2025</v>
      </c>
    </row>
    <row r="417" spans="1:16" customFormat="1" x14ac:dyDescent="0.25">
      <c r="A417">
        <v>3000002643</v>
      </c>
      <c r="B417" s="22">
        <v>45804</v>
      </c>
      <c r="C417" s="4">
        <v>23000000</v>
      </c>
      <c r="D417" t="s">
        <v>631</v>
      </c>
      <c r="E417">
        <v>1289</v>
      </c>
      <c r="F417" s="4">
        <v>23000000</v>
      </c>
      <c r="G417" s="3">
        <v>45806</v>
      </c>
      <c r="H417" t="s">
        <v>32</v>
      </c>
      <c r="I417" s="51" t="str">
        <f>IFERROR(IF(VLOOKUP(E417,extracto!C:C,1,FALSE)=E417,"pagado","no pagado"),"no pagado")</f>
        <v>pagado</v>
      </c>
      <c r="J417" s="52" t="str">
        <f t="shared" si="282"/>
        <v>pagado</v>
      </c>
      <c r="K417" s="51" t="str">
        <f t="shared" ca="1" si="283"/>
        <v>excluir</v>
      </c>
      <c r="L417" s="51" t="str">
        <f t="shared" ca="1" si="284"/>
        <v>no semana</v>
      </c>
      <c r="M417" s="51" t="str">
        <f>IFERROR(VLOOKUP(E417,'cheques a conf'!A:D,4,FALSE),"no clearing")</f>
        <v>no clearing</v>
      </c>
      <c r="N417" s="51">
        <f t="shared" si="285"/>
        <v>22</v>
      </c>
      <c r="O417" s="53">
        <f t="shared" si="286"/>
        <v>5</v>
      </c>
      <c r="P417" s="53">
        <f t="shared" si="287"/>
        <v>2025</v>
      </c>
    </row>
    <row r="418" spans="1:16" customFormat="1" x14ac:dyDescent="0.25">
      <c r="A418">
        <v>3000002643</v>
      </c>
      <c r="B418" s="22">
        <v>45804</v>
      </c>
      <c r="C418" s="4">
        <v>23411366.57</v>
      </c>
      <c r="D418" t="s">
        <v>631</v>
      </c>
      <c r="E418">
        <v>1290</v>
      </c>
      <c r="F418" s="4">
        <v>23411366.57</v>
      </c>
      <c r="G418" s="3">
        <v>45807</v>
      </c>
      <c r="H418" t="s">
        <v>32</v>
      </c>
      <c r="I418" s="51" t="str">
        <f>IFERROR(IF(VLOOKUP(E418,extracto!C:C,1,FALSE)=E418,"pagado","no pagado"),"no pagado")</f>
        <v>pagado</v>
      </c>
      <c r="J418" s="52" t="str">
        <f t="shared" si="282"/>
        <v>pagado</v>
      </c>
      <c r="K418" s="51" t="str">
        <f t="shared" ca="1" si="283"/>
        <v>excluir</v>
      </c>
      <c r="L418" s="51" t="str">
        <f t="shared" ca="1" si="284"/>
        <v>no semana</v>
      </c>
      <c r="M418" s="51" t="str">
        <f>IFERROR(VLOOKUP(E418,'cheques a conf'!A:D,4,FALSE),"no clearing")</f>
        <v>no clearing</v>
      </c>
      <c r="N418" s="51">
        <f t="shared" si="285"/>
        <v>22</v>
      </c>
      <c r="O418" s="53">
        <f t="shared" si="286"/>
        <v>5</v>
      </c>
      <c r="P418" s="53">
        <f t="shared" si="287"/>
        <v>2025</v>
      </c>
    </row>
    <row r="419" spans="1:16" customFormat="1" x14ac:dyDescent="0.25">
      <c r="A419">
        <v>3000002644</v>
      </c>
      <c r="B419" s="22">
        <v>45804</v>
      </c>
      <c r="C419" s="4">
        <v>16000000</v>
      </c>
      <c r="D419" t="s">
        <v>684</v>
      </c>
      <c r="E419">
        <v>1291</v>
      </c>
      <c r="F419" s="4">
        <v>16000000</v>
      </c>
      <c r="G419" s="3">
        <v>45806</v>
      </c>
      <c r="H419" t="s">
        <v>32</v>
      </c>
      <c r="I419" s="51" t="str">
        <f>IFERROR(IF(VLOOKUP(E419,extracto!C:C,1,FALSE)=E419,"pagado","no pagado"),"no pagado")</f>
        <v>pagado</v>
      </c>
      <c r="J419" s="52" t="str">
        <f t="shared" si="282"/>
        <v>pagado</v>
      </c>
      <c r="K419" s="51" t="str">
        <f t="shared" ca="1" si="283"/>
        <v>excluir</v>
      </c>
      <c r="L419" s="51" t="str">
        <f t="shared" ca="1" si="284"/>
        <v>no semana</v>
      </c>
      <c r="M419" s="51" t="str">
        <f>IFERROR(VLOOKUP(E419,'cheques a conf'!A:D,4,FALSE),"no clearing")</f>
        <v>no clearing</v>
      </c>
      <c r="N419" s="51">
        <f t="shared" si="285"/>
        <v>22</v>
      </c>
      <c r="O419" s="53">
        <f t="shared" si="286"/>
        <v>5</v>
      </c>
      <c r="P419" s="53">
        <f t="shared" si="287"/>
        <v>2025</v>
      </c>
    </row>
    <row r="420" spans="1:16" customFormat="1" x14ac:dyDescent="0.25">
      <c r="A420">
        <v>3000002644</v>
      </c>
      <c r="B420" s="22">
        <v>45804</v>
      </c>
      <c r="C420" s="4">
        <v>16378667.92</v>
      </c>
      <c r="D420" t="s">
        <v>684</v>
      </c>
      <c r="E420">
        <v>1292</v>
      </c>
      <c r="F420" s="4">
        <v>16378667.92</v>
      </c>
      <c r="G420" s="3">
        <v>45807</v>
      </c>
      <c r="H420" t="s">
        <v>32</v>
      </c>
      <c r="I420" s="51" t="str">
        <f>IFERROR(IF(VLOOKUP(E420,extracto!C:C,1,FALSE)=E420,"pagado","no pagado"),"no pagado")</f>
        <v>pagado</v>
      </c>
      <c r="J420" s="52" t="str">
        <f t="shared" si="282"/>
        <v>pagado</v>
      </c>
      <c r="K420" s="51" t="str">
        <f t="shared" ca="1" si="283"/>
        <v>excluir</v>
      </c>
      <c r="L420" s="51" t="str">
        <f t="shared" ca="1" si="284"/>
        <v>no semana</v>
      </c>
      <c r="M420" s="51" t="str">
        <f>IFERROR(VLOOKUP(E420,'cheques a conf'!A:D,4,FALSE),"no clearing")</f>
        <v>no clearing</v>
      </c>
      <c r="N420" s="51">
        <f t="shared" si="285"/>
        <v>22</v>
      </c>
      <c r="O420" s="53">
        <f t="shared" si="286"/>
        <v>5</v>
      </c>
      <c r="P420" s="53">
        <f t="shared" si="287"/>
        <v>2025</v>
      </c>
    </row>
    <row r="421" spans="1:16" customFormat="1" x14ac:dyDescent="0.25">
      <c r="A421">
        <v>3000002645</v>
      </c>
      <c r="B421" s="22">
        <v>45804</v>
      </c>
      <c r="C421" s="4">
        <v>8552025.1400000006</v>
      </c>
      <c r="D421" t="s">
        <v>657</v>
      </c>
      <c r="E421">
        <v>1293</v>
      </c>
      <c r="F421" s="4">
        <v>8552025.1400000006</v>
      </c>
      <c r="G421" s="3">
        <v>45806</v>
      </c>
      <c r="H421" t="s">
        <v>32</v>
      </c>
      <c r="I421" s="51" t="str">
        <f>IFERROR(IF(VLOOKUP(E421,extracto!C:C,1,FALSE)=E421,"pagado","no pagado"),"no pagado")</f>
        <v>pagado</v>
      </c>
      <c r="J421" s="52" t="str">
        <f t="shared" si="282"/>
        <v>pagado</v>
      </c>
      <c r="K421" s="51" t="str">
        <f t="shared" ca="1" si="283"/>
        <v>excluir</v>
      </c>
      <c r="L421" s="51" t="str">
        <f t="shared" ca="1" si="284"/>
        <v>no semana</v>
      </c>
      <c r="M421" s="51" t="str">
        <f>IFERROR(VLOOKUP(E421,'cheques a conf'!A:D,4,FALSE),"no clearing")</f>
        <v>no clearing</v>
      </c>
      <c r="N421" s="51">
        <f t="shared" si="285"/>
        <v>22</v>
      </c>
      <c r="O421" s="53">
        <f t="shared" si="286"/>
        <v>5</v>
      </c>
      <c r="P421" s="53">
        <f t="shared" si="287"/>
        <v>2025</v>
      </c>
    </row>
    <row r="422" spans="1:16" customFormat="1" x14ac:dyDescent="0.25">
      <c r="A422">
        <v>3000002646</v>
      </c>
      <c r="B422" s="22">
        <v>45804</v>
      </c>
      <c r="C422" s="4">
        <v>11844434.27</v>
      </c>
      <c r="D422" t="s">
        <v>634</v>
      </c>
      <c r="E422">
        <v>1294</v>
      </c>
      <c r="F422" s="4">
        <v>11844434.27</v>
      </c>
      <c r="G422" s="3">
        <v>45806</v>
      </c>
      <c r="H422" t="s">
        <v>32</v>
      </c>
      <c r="I422" s="51" t="str">
        <f>IFERROR(IF(VLOOKUP(E422,extracto!C:C,1,FALSE)=E422,"pagado","no pagado"),"no pagado")</f>
        <v>pagado</v>
      </c>
      <c r="J422" s="52" t="str">
        <f t="shared" si="282"/>
        <v>pagado</v>
      </c>
      <c r="K422" s="51" t="str">
        <f t="shared" ca="1" si="283"/>
        <v>excluir</v>
      </c>
      <c r="L422" s="51" t="str">
        <f t="shared" ca="1" si="284"/>
        <v>no semana</v>
      </c>
      <c r="M422" s="51" t="str">
        <f>IFERROR(VLOOKUP(E422,'cheques a conf'!A:D,4,FALSE),"no clearing")</f>
        <v>no clearing</v>
      </c>
      <c r="N422" s="51">
        <f t="shared" si="285"/>
        <v>22</v>
      </c>
      <c r="O422" s="53">
        <f t="shared" si="286"/>
        <v>5</v>
      </c>
      <c r="P422" s="53">
        <f t="shared" si="287"/>
        <v>2025</v>
      </c>
    </row>
    <row r="423" spans="1:16" customFormat="1" x14ac:dyDescent="0.25">
      <c r="A423">
        <v>3000002647</v>
      </c>
      <c r="B423" s="22">
        <v>45804</v>
      </c>
      <c r="C423" s="4">
        <v>17000000</v>
      </c>
      <c r="D423" t="s">
        <v>621</v>
      </c>
      <c r="E423">
        <v>1295</v>
      </c>
      <c r="F423" s="4">
        <v>17000000</v>
      </c>
      <c r="G423" s="3">
        <v>45806</v>
      </c>
      <c r="H423" t="s">
        <v>32</v>
      </c>
      <c r="I423" s="51" t="str">
        <f>IFERROR(IF(VLOOKUP(E423,extracto!C:C,1,FALSE)=E423,"pagado","no pagado"),"no pagado")</f>
        <v>pagado</v>
      </c>
      <c r="J423" s="52" t="str">
        <f t="shared" si="282"/>
        <v>pagado</v>
      </c>
      <c r="K423" s="51" t="str">
        <f t="shared" ca="1" si="283"/>
        <v>excluir</v>
      </c>
      <c r="L423" s="51" t="str">
        <f t="shared" ca="1" si="284"/>
        <v>no semana</v>
      </c>
      <c r="M423" s="51" t="str">
        <f>IFERROR(VLOOKUP(E423,'cheques a conf'!A:D,4,FALSE),"no clearing")</f>
        <v>no clearing</v>
      </c>
      <c r="N423" s="51">
        <f t="shared" si="285"/>
        <v>22</v>
      </c>
      <c r="O423" s="53">
        <f t="shared" si="286"/>
        <v>5</v>
      </c>
      <c r="P423" s="53">
        <f t="shared" si="287"/>
        <v>2025</v>
      </c>
    </row>
    <row r="424" spans="1:16" customFormat="1" x14ac:dyDescent="0.25">
      <c r="A424">
        <v>3000002647</v>
      </c>
      <c r="B424" s="22">
        <v>45804</v>
      </c>
      <c r="C424" s="4">
        <v>18594664.16</v>
      </c>
      <c r="D424" t="s">
        <v>621</v>
      </c>
      <c r="E424">
        <v>1296</v>
      </c>
      <c r="F424" s="4">
        <v>18594664.16</v>
      </c>
      <c r="G424" s="3">
        <v>45807</v>
      </c>
      <c r="H424" t="s">
        <v>32</v>
      </c>
      <c r="I424" s="51" t="str">
        <f>IFERROR(IF(VLOOKUP(E424,extracto!C:C,1,FALSE)=E424,"pagado","no pagado"),"no pagado")</f>
        <v>pagado</v>
      </c>
      <c r="J424" s="52" t="str">
        <f t="shared" si="282"/>
        <v>pagado</v>
      </c>
      <c r="K424" s="51" t="str">
        <f t="shared" ca="1" si="283"/>
        <v>excluir</v>
      </c>
      <c r="L424" s="51" t="str">
        <f t="shared" ca="1" si="284"/>
        <v>no semana</v>
      </c>
      <c r="M424" s="51" t="str">
        <f>IFERROR(VLOOKUP(E424,'cheques a conf'!A:D,4,FALSE),"no clearing")</f>
        <v>no clearing</v>
      </c>
      <c r="N424" s="51">
        <f t="shared" si="285"/>
        <v>22</v>
      </c>
      <c r="O424" s="53">
        <f t="shared" si="286"/>
        <v>5</v>
      </c>
      <c r="P424" s="53">
        <f t="shared" si="287"/>
        <v>2025</v>
      </c>
    </row>
    <row r="425" spans="1:16" customFormat="1" x14ac:dyDescent="0.25">
      <c r="A425">
        <v>3000002679</v>
      </c>
      <c r="B425" s="22">
        <v>45804</v>
      </c>
      <c r="C425" s="4">
        <v>30000000</v>
      </c>
      <c r="D425" t="s">
        <v>644</v>
      </c>
      <c r="E425">
        <v>1297</v>
      </c>
      <c r="F425" s="4">
        <v>30000000</v>
      </c>
      <c r="G425" s="3">
        <v>45806</v>
      </c>
      <c r="H425" t="s">
        <v>32</v>
      </c>
      <c r="I425" s="51" t="str">
        <f>IFERROR(IF(VLOOKUP(E425,extracto!C:C,1,FALSE)=E425,"pagado","no pagado"),"no pagado")</f>
        <v>pagado</v>
      </c>
      <c r="J425" s="52" t="str">
        <f t="shared" si="282"/>
        <v>pagado</v>
      </c>
      <c r="K425" s="51" t="str">
        <f t="shared" ca="1" si="283"/>
        <v>excluir</v>
      </c>
      <c r="L425" s="51" t="str">
        <f t="shared" ca="1" si="284"/>
        <v>no semana</v>
      </c>
      <c r="M425" s="51" t="str">
        <f>IFERROR(VLOOKUP(E425,'cheques a conf'!A:D,4,FALSE),"no clearing")</f>
        <v>no clearing</v>
      </c>
      <c r="N425" s="51">
        <f t="shared" si="285"/>
        <v>22</v>
      </c>
      <c r="O425" s="53">
        <f t="shared" si="286"/>
        <v>5</v>
      </c>
      <c r="P425" s="53">
        <f t="shared" si="287"/>
        <v>2025</v>
      </c>
    </row>
    <row r="426" spans="1:16" customFormat="1" x14ac:dyDescent="0.25">
      <c r="A426">
        <v>3000002679</v>
      </c>
      <c r="B426" s="22">
        <v>45804</v>
      </c>
      <c r="C426" s="4">
        <v>24307046.09</v>
      </c>
      <c r="D426" t="s">
        <v>644</v>
      </c>
      <c r="E426">
        <v>1298</v>
      </c>
      <c r="F426" s="4">
        <v>24307046.09</v>
      </c>
      <c r="G426" s="3">
        <v>45806</v>
      </c>
      <c r="H426" t="s">
        <v>32</v>
      </c>
      <c r="I426" s="51" t="str">
        <f>IFERROR(IF(VLOOKUP(E426,extracto!C:C,1,FALSE)=E426,"pagado","no pagado"),"no pagado")</f>
        <v>pagado</v>
      </c>
      <c r="J426" s="52" t="str">
        <f t="shared" si="282"/>
        <v>pagado</v>
      </c>
      <c r="K426" s="51" t="str">
        <f t="shared" ca="1" si="283"/>
        <v>excluir</v>
      </c>
      <c r="L426" s="51" t="str">
        <f t="shared" ca="1" si="284"/>
        <v>no semana</v>
      </c>
      <c r="M426" s="51" t="str">
        <f>IFERROR(VLOOKUP(E426,'cheques a conf'!A:D,4,FALSE),"no clearing")</f>
        <v>no clearing</v>
      </c>
      <c r="N426" s="51">
        <f t="shared" si="285"/>
        <v>22</v>
      </c>
      <c r="O426" s="53">
        <f t="shared" si="286"/>
        <v>5</v>
      </c>
      <c r="P426" s="53">
        <f t="shared" si="287"/>
        <v>2025</v>
      </c>
    </row>
    <row r="427" spans="1:16" customFormat="1" x14ac:dyDescent="0.25">
      <c r="A427">
        <v>3000002680</v>
      </c>
      <c r="B427" s="22">
        <v>45804</v>
      </c>
      <c r="C427" s="4">
        <v>14695554.199999999</v>
      </c>
      <c r="D427" t="s">
        <v>640</v>
      </c>
      <c r="E427">
        <v>1299</v>
      </c>
      <c r="F427" s="4">
        <v>14695554.199999999</v>
      </c>
      <c r="G427" s="3">
        <v>45806</v>
      </c>
      <c r="H427" t="s">
        <v>32</v>
      </c>
      <c r="I427" s="51" t="str">
        <f>IFERROR(IF(VLOOKUP(E427,extracto!C:C,1,FALSE)=E427,"pagado","no pagado"),"no pagado")</f>
        <v>pagado</v>
      </c>
      <c r="J427" s="52" t="str">
        <f t="shared" si="282"/>
        <v>pagado</v>
      </c>
      <c r="K427" s="51" t="str">
        <f t="shared" ca="1" si="283"/>
        <v>excluir</v>
      </c>
      <c r="L427" s="51" t="str">
        <f t="shared" ca="1" si="284"/>
        <v>no semana</v>
      </c>
      <c r="M427" s="51" t="str">
        <f>IFERROR(VLOOKUP(E427,'cheques a conf'!A:D,4,FALSE),"no clearing")</f>
        <v>no clearing</v>
      </c>
      <c r="N427" s="51">
        <f t="shared" si="285"/>
        <v>22</v>
      </c>
      <c r="O427" s="53">
        <f t="shared" si="286"/>
        <v>5</v>
      </c>
      <c r="P427" s="53">
        <f t="shared" si="287"/>
        <v>2025</v>
      </c>
    </row>
    <row r="428" spans="1:16" customFormat="1" x14ac:dyDescent="0.25">
      <c r="A428">
        <v>3000002681</v>
      </c>
      <c r="B428" s="22">
        <v>45804</v>
      </c>
      <c r="C428" s="4">
        <v>20000000</v>
      </c>
      <c r="D428" t="s">
        <v>626</v>
      </c>
      <c r="E428">
        <v>1300</v>
      </c>
      <c r="F428" s="4">
        <v>20000000</v>
      </c>
      <c r="G428" s="3">
        <v>45806</v>
      </c>
      <c r="H428" t="s">
        <v>32</v>
      </c>
      <c r="I428" s="51" t="str">
        <f>IFERROR(IF(VLOOKUP(E428,extracto!C:C,1,FALSE)=E428,"pagado","no pagado"),"no pagado")</f>
        <v>pagado</v>
      </c>
      <c r="J428" s="52" t="str">
        <f t="shared" si="282"/>
        <v>pagado</v>
      </c>
      <c r="K428" s="51" t="str">
        <f t="shared" ca="1" si="283"/>
        <v>excluir</v>
      </c>
      <c r="L428" s="51" t="str">
        <f t="shared" ca="1" si="284"/>
        <v>no semana</v>
      </c>
      <c r="M428" s="51" t="str">
        <f>IFERROR(VLOOKUP(E428,'cheques a conf'!A:D,4,FALSE),"no clearing")</f>
        <v>no clearing</v>
      </c>
      <c r="N428" s="51">
        <f t="shared" si="285"/>
        <v>22</v>
      </c>
      <c r="O428" s="53">
        <f t="shared" si="286"/>
        <v>5</v>
      </c>
      <c r="P428" s="53">
        <f t="shared" si="287"/>
        <v>2025</v>
      </c>
    </row>
    <row r="429" spans="1:16" customFormat="1" x14ac:dyDescent="0.25">
      <c r="A429">
        <v>3000002681</v>
      </c>
      <c r="B429" s="22">
        <v>45804</v>
      </c>
      <c r="C429" s="4">
        <v>14188889.76</v>
      </c>
      <c r="D429" t="s">
        <v>626</v>
      </c>
      <c r="E429">
        <v>1301</v>
      </c>
      <c r="F429" s="4">
        <v>14188889.76</v>
      </c>
      <c r="G429" s="3">
        <v>45806</v>
      </c>
      <c r="H429" t="s">
        <v>32</v>
      </c>
      <c r="I429" s="51" t="str">
        <f>IFERROR(IF(VLOOKUP(E429,extracto!C:C,1,FALSE)=E429,"pagado","no pagado"),"no pagado")</f>
        <v>pagado</v>
      </c>
      <c r="J429" s="52" t="str">
        <f t="shared" si="282"/>
        <v>pagado</v>
      </c>
      <c r="K429" s="51" t="str">
        <f t="shared" ca="1" si="283"/>
        <v>excluir</v>
      </c>
      <c r="L429" s="51" t="str">
        <f t="shared" ca="1" si="284"/>
        <v>no semana</v>
      </c>
      <c r="M429" s="51" t="str">
        <f>IFERROR(VLOOKUP(E429,'cheques a conf'!A:D,4,FALSE),"no clearing")</f>
        <v>no clearing</v>
      </c>
      <c r="N429" s="51">
        <f t="shared" si="285"/>
        <v>22</v>
      </c>
      <c r="O429" s="53">
        <f t="shared" si="286"/>
        <v>5</v>
      </c>
      <c r="P429" s="53">
        <f t="shared" si="287"/>
        <v>2025</v>
      </c>
    </row>
    <row r="430" spans="1:16" customFormat="1" x14ac:dyDescent="0.25">
      <c r="A430" s="21">
        <v>3000002682</v>
      </c>
      <c r="B430" s="22">
        <v>45804</v>
      </c>
      <c r="C430" s="20">
        <v>3000000</v>
      </c>
      <c r="D430" s="21" t="s">
        <v>595</v>
      </c>
      <c r="E430" s="21">
        <v>94326841</v>
      </c>
      <c r="F430" s="20">
        <v>3000000</v>
      </c>
      <c r="G430" s="22">
        <v>45806</v>
      </c>
      <c r="H430" t="s">
        <v>13</v>
      </c>
      <c r="I430" s="51" t="str">
        <f>IFERROR(IF(VLOOKUP(E430,extracto!C:C,1,FALSE)=E430,"pagado","no pagado"),"no pagado")</f>
        <v>pagado</v>
      </c>
      <c r="J430" s="52" t="str">
        <f t="shared" ref="J430:J437" si="288">IF(I430="pagado","pagado",IF(G430&lt;$V$1-30,"fuera de fecha","en periodo de pago"))</f>
        <v>pagado</v>
      </c>
      <c r="K430" s="51" t="str">
        <f t="shared" ref="K430:K437" ca="1" si="289">+IF(B430&gt;$V$1,"excluir",IF(J430="en periodo de pago",IF($V$1&gt;G430,"a pagar","proximo a vencer"),"excluir"))</f>
        <v>excluir</v>
      </c>
      <c r="L430" s="51" t="str">
        <f t="shared" ref="L430:L437" ca="1" si="290">+IF(K430="proximo a vencer",IF($V$1+5&gt;G430,"para la semana","no semana"),"no semana")</f>
        <v>no semana</v>
      </c>
      <c r="M430" s="51" t="str">
        <f>IFERROR(VLOOKUP(E430,'cheques a conf'!A:D,4,FALSE),"no clearing")</f>
        <v>no clearing</v>
      </c>
      <c r="N430" s="51">
        <f t="shared" ref="N430:N437" si="291">+WEEKNUM(G430,2)</f>
        <v>22</v>
      </c>
      <c r="O430" s="53">
        <f t="shared" ref="O430:O437" si="292">+MONTH(G430)</f>
        <v>5</v>
      </c>
      <c r="P430" s="53">
        <f t="shared" ref="P430:P437" si="293">+YEAR(G430)</f>
        <v>2025</v>
      </c>
    </row>
    <row r="431" spans="1:16" customFormat="1" x14ac:dyDescent="0.25">
      <c r="A431" s="21">
        <v>3000002682</v>
      </c>
      <c r="B431" s="22">
        <v>45804</v>
      </c>
      <c r="C431" s="20">
        <v>4000000</v>
      </c>
      <c r="D431" s="21" t="s">
        <v>595</v>
      </c>
      <c r="E431" s="21">
        <v>94326842</v>
      </c>
      <c r="F431" s="20">
        <v>4000000</v>
      </c>
      <c r="G431" s="22">
        <v>45806</v>
      </c>
      <c r="H431" t="s">
        <v>13</v>
      </c>
      <c r="I431" s="51" t="str">
        <f>IFERROR(IF(VLOOKUP(E431,extracto!C:C,1,FALSE)=E431,"pagado","no pagado"),"no pagado")</f>
        <v>pagado</v>
      </c>
      <c r="J431" s="52" t="str">
        <f t="shared" si="288"/>
        <v>pagado</v>
      </c>
      <c r="K431" s="51" t="str">
        <f t="shared" ca="1" si="289"/>
        <v>excluir</v>
      </c>
      <c r="L431" s="51" t="str">
        <f t="shared" ca="1" si="290"/>
        <v>no semana</v>
      </c>
      <c r="M431" s="51" t="str">
        <f>IFERROR(VLOOKUP(E431,'cheques a conf'!A:D,4,FALSE),"no clearing")</f>
        <v>no clearing</v>
      </c>
      <c r="N431" s="51">
        <f t="shared" si="291"/>
        <v>22</v>
      </c>
      <c r="O431" s="53">
        <f t="shared" si="292"/>
        <v>5</v>
      </c>
      <c r="P431" s="53">
        <f t="shared" si="293"/>
        <v>2025</v>
      </c>
    </row>
    <row r="432" spans="1:16" customFormat="1" x14ac:dyDescent="0.25">
      <c r="A432" s="21">
        <v>3000002682</v>
      </c>
      <c r="B432" s="22">
        <v>45804</v>
      </c>
      <c r="C432" s="20">
        <v>7309642.96</v>
      </c>
      <c r="D432" s="21" t="s">
        <v>595</v>
      </c>
      <c r="E432" s="21">
        <v>94326843</v>
      </c>
      <c r="F432" s="20">
        <v>7309642.96</v>
      </c>
      <c r="G432" s="22">
        <v>45806</v>
      </c>
      <c r="H432" t="s">
        <v>13</v>
      </c>
      <c r="I432" s="51" t="str">
        <f>IFERROR(IF(VLOOKUP(E432,extracto!C:C,1,FALSE)=E432,"pagado","no pagado"),"no pagado")</f>
        <v>pagado</v>
      </c>
      <c r="J432" s="52" t="str">
        <f t="shared" si="288"/>
        <v>pagado</v>
      </c>
      <c r="K432" s="51" t="str">
        <f t="shared" ca="1" si="289"/>
        <v>excluir</v>
      </c>
      <c r="L432" s="51" t="str">
        <f t="shared" ca="1" si="290"/>
        <v>no semana</v>
      </c>
      <c r="M432" s="51" t="str">
        <f>IFERROR(VLOOKUP(E432,'cheques a conf'!A:D,4,FALSE),"no clearing")</f>
        <v>no clearing</v>
      </c>
      <c r="N432" s="51">
        <f t="shared" si="291"/>
        <v>22</v>
      </c>
      <c r="O432" s="53">
        <f t="shared" si="292"/>
        <v>5</v>
      </c>
      <c r="P432" s="53">
        <f t="shared" si="293"/>
        <v>2025</v>
      </c>
    </row>
    <row r="433" spans="1:16" customFormat="1" x14ac:dyDescent="0.25">
      <c r="A433" s="21">
        <v>3000002682</v>
      </c>
      <c r="B433" s="22">
        <v>45804</v>
      </c>
      <c r="C433" s="20">
        <v>12350000</v>
      </c>
      <c r="D433" s="21" t="s">
        <v>595</v>
      </c>
      <c r="E433" s="21">
        <v>94326844</v>
      </c>
      <c r="F433" s="20">
        <v>12350000</v>
      </c>
      <c r="G433" s="22">
        <v>45806</v>
      </c>
      <c r="H433" t="s">
        <v>13</v>
      </c>
      <c r="I433" s="51" t="str">
        <f>IFERROR(IF(VLOOKUP(E433,extracto!C:C,1,FALSE)=E433,"pagado","no pagado"),"no pagado")</f>
        <v>pagado</v>
      </c>
      <c r="J433" s="52" t="str">
        <f t="shared" si="288"/>
        <v>pagado</v>
      </c>
      <c r="K433" s="51" t="str">
        <f t="shared" ca="1" si="289"/>
        <v>excluir</v>
      </c>
      <c r="L433" s="51" t="str">
        <f t="shared" ca="1" si="290"/>
        <v>no semana</v>
      </c>
      <c r="M433" s="51" t="str">
        <f>IFERROR(VLOOKUP(E433,'cheques a conf'!A:D,4,FALSE),"no clearing")</f>
        <v>no clearing</v>
      </c>
      <c r="N433" s="51">
        <f t="shared" si="291"/>
        <v>22</v>
      </c>
      <c r="O433" s="53">
        <f t="shared" si="292"/>
        <v>5</v>
      </c>
      <c r="P433" s="53">
        <f t="shared" si="293"/>
        <v>2025</v>
      </c>
    </row>
    <row r="434" spans="1:16" customFormat="1" x14ac:dyDescent="0.25">
      <c r="A434" s="21">
        <v>3000002682</v>
      </c>
      <c r="B434" s="22">
        <v>45804</v>
      </c>
      <c r="C434" s="20">
        <v>10000000</v>
      </c>
      <c r="D434" s="21" t="s">
        <v>595</v>
      </c>
      <c r="E434" s="21">
        <v>94326845</v>
      </c>
      <c r="F434" s="20">
        <v>10000000</v>
      </c>
      <c r="G434" s="22">
        <v>45807</v>
      </c>
      <c r="H434" t="s">
        <v>13</v>
      </c>
      <c r="I434" s="51" t="str">
        <f>IFERROR(IF(VLOOKUP(E434,extracto!C:C,1,FALSE)=E434,"pagado","no pagado"),"no pagado")</f>
        <v>pagado</v>
      </c>
      <c r="J434" s="52" t="str">
        <f t="shared" si="288"/>
        <v>pagado</v>
      </c>
      <c r="K434" s="51" t="str">
        <f t="shared" ca="1" si="289"/>
        <v>excluir</v>
      </c>
      <c r="L434" s="51" t="str">
        <f t="shared" ca="1" si="290"/>
        <v>no semana</v>
      </c>
      <c r="M434" s="51" t="str">
        <f>IFERROR(VLOOKUP(E434,'cheques a conf'!A:D,4,FALSE),"no clearing")</f>
        <v>no clearing</v>
      </c>
      <c r="N434" s="51">
        <f t="shared" si="291"/>
        <v>22</v>
      </c>
      <c r="O434" s="53">
        <f t="shared" si="292"/>
        <v>5</v>
      </c>
      <c r="P434" s="53">
        <f t="shared" si="293"/>
        <v>2025</v>
      </c>
    </row>
    <row r="435" spans="1:16" customFormat="1" x14ac:dyDescent="0.25">
      <c r="A435" s="21">
        <v>3000002682</v>
      </c>
      <c r="B435" s="22">
        <v>45804</v>
      </c>
      <c r="C435" s="20">
        <v>10000000</v>
      </c>
      <c r="D435" s="21" t="s">
        <v>595</v>
      </c>
      <c r="E435" s="21">
        <v>94326846</v>
      </c>
      <c r="F435" s="20">
        <v>10000000</v>
      </c>
      <c r="G435" s="22">
        <v>45807</v>
      </c>
      <c r="H435" t="s">
        <v>13</v>
      </c>
      <c r="I435" s="51" t="str">
        <f>IFERROR(IF(VLOOKUP(E435,extracto!C:C,1,FALSE)=E435,"pagado","no pagado"),"no pagado")</f>
        <v>pagado</v>
      </c>
      <c r="J435" s="52" t="str">
        <f t="shared" si="288"/>
        <v>pagado</v>
      </c>
      <c r="K435" s="51" t="str">
        <f t="shared" ca="1" si="289"/>
        <v>excluir</v>
      </c>
      <c r="L435" s="51" t="str">
        <f t="shared" ca="1" si="290"/>
        <v>no semana</v>
      </c>
      <c r="M435" s="51" t="str">
        <f>IFERROR(VLOOKUP(E435,'cheques a conf'!A:D,4,FALSE),"no clearing")</f>
        <v>no clearing</v>
      </c>
      <c r="N435" s="51">
        <f t="shared" si="291"/>
        <v>22</v>
      </c>
      <c r="O435" s="53">
        <f t="shared" si="292"/>
        <v>5</v>
      </c>
      <c r="P435" s="53">
        <f t="shared" si="293"/>
        <v>2025</v>
      </c>
    </row>
    <row r="436" spans="1:16" customFormat="1" x14ac:dyDescent="0.25">
      <c r="A436" s="21">
        <v>3000002682</v>
      </c>
      <c r="B436" s="22">
        <v>45804</v>
      </c>
      <c r="C436" s="20">
        <v>10000000</v>
      </c>
      <c r="D436" s="21" t="s">
        <v>595</v>
      </c>
      <c r="E436" s="21">
        <v>94326847</v>
      </c>
      <c r="F436" s="20">
        <v>10000000</v>
      </c>
      <c r="G436" s="22">
        <v>45807</v>
      </c>
      <c r="H436" t="s">
        <v>13</v>
      </c>
      <c r="I436" s="51" t="str">
        <f>IFERROR(IF(VLOOKUP(E436,extracto!C:C,1,FALSE)=E436,"pagado","no pagado"),"no pagado")</f>
        <v>pagado</v>
      </c>
      <c r="J436" s="52" t="str">
        <f t="shared" si="288"/>
        <v>pagado</v>
      </c>
      <c r="K436" s="51" t="str">
        <f t="shared" ca="1" si="289"/>
        <v>excluir</v>
      </c>
      <c r="L436" s="51" t="str">
        <f t="shared" ca="1" si="290"/>
        <v>no semana</v>
      </c>
      <c r="M436" s="51" t="str">
        <f>IFERROR(VLOOKUP(E436,'cheques a conf'!A:D,4,FALSE),"no clearing")</f>
        <v>no clearing</v>
      </c>
      <c r="N436" s="51">
        <f t="shared" si="291"/>
        <v>22</v>
      </c>
      <c r="O436" s="53">
        <f t="shared" si="292"/>
        <v>5</v>
      </c>
      <c r="P436" s="53">
        <f t="shared" si="293"/>
        <v>2025</v>
      </c>
    </row>
    <row r="437" spans="1:16" customFormat="1" x14ac:dyDescent="0.25">
      <c r="A437" s="21">
        <v>3000002682</v>
      </c>
      <c r="B437" s="22">
        <v>45804</v>
      </c>
      <c r="C437" s="20">
        <v>10000000</v>
      </c>
      <c r="D437" s="21" t="s">
        <v>595</v>
      </c>
      <c r="E437" s="21">
        <v>94326848</v>
      </c>
      <c r="F437" s="20">
        <v>10000000</v>
      </c>
      <c r="G437" s="22">
        <v>45807</v>
      </c>
      <c r="H437" t="s">
        <v>13</v>
      </c>
      <c r="I437" s="51" t="str">
        <f>IFERROR(IF(VLOOKUP(E437,extracto!C:C,1,FALSE)=E437,"pagado","no pagado"),"no pagado")</f>
        <v>pagado</v>
      </c>
      <c r="J437" s="52" t="str">
        <f t="shared" si="288"/>
        <v>pagado</v>
      </c>
      <c r="K437" s="51" t="str">
        <f t="shared" ca="1" si="289"/>
        <v>excluir</v>
      </c>
      <c r="L437" s="51" t="str">
        <f t="shared" ca="1" si="290"/>
        <v>no semana</v>
      </c>
      <c r="M437" s="51" t="str">
        <f>IFERROR(VLOOKUP(E437,'cheques a conf'!A:D,4,FALSE),"no clearing")</f>
        <v>no clearing</v>
      </c>
      <c r="N437" s="51">
        <f t="shared" si="291"/>
        <v>22</v>
      </c>
      <c r="O437" s="53">
        <f t="shared" si="292"/>
        <v>5</v>
      </c>
      <c r="P437" s="53">
        <f t="shared" si="293"/>
        <v>2025</v>
      </c>
    </row>
    <row r="438" spans="1:16" customFormat="1" x14ac:dyDescent="0.25">
      <c r="A438">
        <v>3000002726</v>
      </c>
      <c r="B438" s="3">
        <v>45805</v>
      </c>
      <c r="C438" s="4">
        <v>6077320.2599999998</v>
      </c>
      <c r="D438" t="s">
        <v>31</v>
      </c>
      <c r="E438">
        <v>1314</v>
      </c>
      <c r="F438" s="4">
        <v>6077320.2599999998</v>
      </c>
      <c r="G438" s="3">
        <v>45807</v>
      </c>
      <c r="H438" t="s">
        <v>32</v>
      </c>
      <c r="I438" s="51" t="str">
        <f>IFERROR(IF(VLOOKUP(E438,extracto!C:C,1,FALSE)=E438,"pagado","no pagado"),"no pagado")</f>
        <v>pagado</v>
      </c>
      <c r="J438" s="52" t="str">
        <f t="shared" ref="J438:J451" si="294">IF(I438="pagado","pagado",IF(G438&lt;$V$1-30,"fuera de fecha","en periodo de pago"))</f>
        <v>pagado</v>
      </c>
      <c r="K438" s="51" t="str">
        <f t="shared" ref="K438:K451" ca="1" si="295">+IF(B438&gt;$V$1,"excluir",IF(J438="en periodo de pago",IF($V$1&gt;G438,"a pagar","proximo a vencer"),"excluir"))</f>
        <v>excluir</v>
      </c>
      <c r="L438" s="51" t="str">
        <f t="shared" ref="L438:L451" ca="1" si="296">+IF(K438="proximo a vencer",IF($V$1+5&gt;G438,"para la semana","no semana"),"no semana")</f>
        <v>no semana</v>
      </c>
      <c r="M438" s="51" t="str">
        <f>IFERROR(VLOOKUP(E438,'cheques a conf'!A:D,4,FALSE),"no clearing")</f>
        <v>no clearing</v>
      </c>
      <c r="N438" s="51">
        <f t="shared" ref="N438:N451" si="297">+WEEKNUM(G438,2)</f>
        <v>22</v>
      </c>
      <c r="O438" s="53">
        <f t="shared" ref="O438:O451" si="298">+MONTH(G438)</f>
        <v>5</v>
      </c>
      <c r="P438" s="53">
        <f t="shared" ref="P438:P451" si="299">+YEAR(G438)</f>
        <v>2025</v>
      </c>
    </row>
    <row r="439" spans="1:16" customFormat="1" x14ac:dyDescent="0.25">
      <c r="A439">
        <v>3000002727</v>
      </c>
      <c r="B439" s="3">
        <v>45805</v>
      </c>
      <c r="C439" s="4">
        <v>11194514.039999999</v>
      </c>
      <c r="D439" t="s">
        <v>653</v>
      </c>
      <c r="E439">
        <v>1315</v>
      </c>
      <c r="F439" s="4">
        <v>11194514.039999999</v>
      </c>
      <c r="G439" s="3">
        <v>45807</v>
      </c>
      <c r="H439" t="s">
        <v>32</v>
      </c>
      <c r="I439" s="51" t="str">
        <f>IFERROR(IF(VLOOKUP(E439,extracto!C:C,1,FALSE)=E439,"pagado","no pagado"),"no pagado")</f>
        <v>pagado</v>
      </c>
      <c r="J439" s="52" t="str">
        <f t="shared" si="294"/>
        <v>pagado</v>
      </c>
      <c r="K439" s="51" t="str">
        <f t="shared" ca="1" si="295"/>
        <v>excluir</v>
      </c>
      <c r="L439" s="51" t="str">
        <f t="shared" ca="1" si="296"/>
        <v>no semana</v>
      </c>
      <c r="M439" s="51" t="str">
        <f>IFERROR(VLOOKUP(E439,'cheques a conf'!A:D,4,FALSE),"no clearing")</f>
        <v>no clearing</v>
      </c>
      <c r="N439" s="51">
        <f t="shared" si="297"/>
        <v>22</v>
      </c>
      <c r="O439" s="53">
        <f t="shared" si="298"/>
        <v>5</v>
      </c>
      <c r="P439" s="53">
        <f t="shared" si="299"/>
        <v>2025</v>
      </c>
    </row>
    <row r="440" spans="1:16" customFormat="1" x14ac:dyDescent="0.25">
      <c r="A440">
        <v>3000002715</v>
      </c>
      <c r="B440" s="3">
        <v>45805</v>
      </c>
      <c r="C440" s="4">
        <v>19200000</v>
      </c>
      <c r="D440" t="s">
        <v>685</v>
      </c>
      <c r="E440">
        <v>1302</v>
      </c>
      <c r="F440" s="4">
        <v>19200000</v>
      </c>
      <c r="G440" s="3">
        <v>45806</v>
      </c>
      <c r="H440" t="s">
        <v>32</v>
      </c>
      <c r="I440" s="51" t="str">
        <f>IFERROR(IF(VLOOKUP(E440,extracto!C:C,1,FALSE)=E440,"pagado","no pagado"),"no pagado")</f>
        <v>pagado</v>
      </c>
      <c r="J440" s="52" t="str">
        <f t="shared" si="294"/>
        <v>pagado</v>
      </c>
      <c r="K440" s="51" t="str">
        <f t="shared" ca="1" si="295"/>
        <v>excluir</v>
      </c>
      <c r="L440" s="51" t="str">
        <f t="shared" ca="1" si="296"/>
        <v>no semana</v>
      </c>
      <c r="M440" s="51" t="str">
        <f>IFERROR(VLOOKUP(E440,'cheques a conf'!A:D,4,FALSE),"no clearing")</f>
        <v>no clearing</v>
      </c>
      <c r="N440" s="51">
        <f t="shared" si="297"/>
        <v>22</v>
      </c>
      <c r="O440" s="53">
        <f t="shared" si="298"/>
        <v>5</v>
      </c>
      <c r="P440" s="53">
        <f t="shared" si="299"/>
        <v>2025</v>
      </c>
    </row>
    <row r="441" spans="1:16" customFormat="1" x14ac:dyDescent="0.25">
      <c r="A441">
        <v>3000002715</v>
      </c>
      <c r="B441" s="3">
        <v>45805</v>
      </c>
      <c r="C441" s="4">
        <v>19112616.789999999</v>
      </c>
      <c r="D441" t="s">
        <v>685</v>
      </c>
      <c r="E441">
        <v>1303</v>
      </c>
      <c r="F441" s="4">
        <v>19112616.789999999</v>
      </c>
      <c r="G441" s="3">
        <v>45828</v>
      </c>
      <c r="H441" t="s">
        <v>32</v>
      </c>
      <c r="I441" s="51" t="str">
        <f>IFERROR(IF(VLOOKUP(E441,extracto!C:C,1,FALSE)=E441,"pagado","no pagado"),"no pagado")</f>
        <v>pagado</v>
      </c>
      <c r="J441" s="52" t="str">
        <f t="shared" si="294"/>
        <v>pagado</v>
      </c>
      <c r="K441" s="51" t="str">
        <f t="shared" ca="1" si="295"/>
        <v>excluir</v>
      </c>
      <c r="L441" s="51" t="str">
        <f t="shared" ca="1" si="296"/>
        <v>no semana</v>
      </c>
      <c r="M441" s="51" t="str">
        <f>IFERROR(VLOOKUP(E441,'cheques a conf'!A:D,4,FALSE),"no clearing")</f>
        <v>no clearing</v>
      </c>
      <c r="N441" s="51">
        <f t="shared" si="297"/>
        <v>25</v>
      </c>
      <c r="O441" s="53">
        <f t="shared" si="298"/>
        <v>6</v>
      </c>
      <c r="P441" s="53">
        <f t="shared" si="299"/>
        <v>2025</v>
      </c>
    </row>
    <row r="442" spans="1:16" customFormat="1" x14ac:dyDescent="0.25">
      <c r="A442">
        <v>3000002719</v>
      </c>
      <c r="B442" s="3">
        <v>45805</v>
      </c>
      <c r="C442" s="4">
        <v>20000000</v>
      </c>
      <c r="D442" t="s">
        <v>618</v>
      </c>
      <c r="E442">
        <v>1305</v>
      </c>
      <c r="F442" s="4">
        <v>20000000</v>
      </c>
      <c r="G442" s="3">
        <v>45807</v>
      </c>
      <c r="H442" t="s">
        <v>32</v>
      </c>
      <c r="I442" s="51" t="str">
        <f>IFERROR(IF(VLOOKUP(E442,extracto!C:C,1,FALSE)=E442,"pagado","no pagado"),"no pagado")</f>
        <v>pagado</v>
      </c>
      <c r="J442" s="52" t="str">
        <f t="shared" si="294"/>
        <v>pagado</v>
      </c>
      <c r="K442" s="51" t="str">
        <f t="shared" ca="1" si="295"/>
        <v>excluir</v>
      </c>
      <c r="L442" s="51" t="str">
        <f t="shared" ca="1" si="296"/>
        <v>no semana</v>
      </c>
      <c r="M442" s="51" t="str">
        <f>IFERROR(VLOOKUP(E442,'cheques a conf'!A:D,4,FALSE),"no clearing")</f>
        <v>no clearing</v>
      </c>
      <c r="N442" s="51">
        <f t="shared" si="297"/>
        <v>22</v>
      </c>
      <c r="O442" s="53">
        <f t="shared" si="298"/>
        <v>5</v>
      </c>
      <c r="P442" s="53">
        <f t="shared" si="299"/>
        <v>2025</v>
      </c>
    </row>
    <row r="443" spans="1:16" customFormat="1" x14ac:dyDescent="0.25">
      <c r="A443">
        <v>3000002719</v>
      </c>
      <c r="B443" s="3">
        <v>45805</v>
      </c>
      <c r="C443" s="4">
        <v>12750498.57</v>
      </c>
      <c r="D443" t="s">
        <v>618</v>
      </c>
      <c r="E443">
        <v>1306</v>
      </c>
      <c r="F443" s="4">
        <v>12750498.57</v>
      </c>
      <c r="G443" s="3">
        <v>45810</v>
      </c>
      <c r="H443" t="s">
        <v>32</v>
      </c>
      <c r="I443" s="51" t="str">
        <f>IFERROR(IF(VLOOKUP(E443,extracto!C:C,1,FALSE)=E443,"pagado","no pagado"),"no pagado")</f>
        <v>pagado</v>
      </c>
      <c r="J443" s="52" t="str">
        <f t="shared" si="294"/>
        <v>pagado</v>
      </c>
      <c r="K443" s="51" t="str">
        <f t="shared" ca="1" si="295"/>
        <v>excluir</v>
      </c>
      <c r="L443" s="51" t="str">
        <f t="shared" ca="1" si="296"/>
        <v>no semana</v>
      </c>
      <c r="M443" s="51" t="str">
        <f>IFERROR(VLOOKUP(E443,'cheques a conf'!A:D,4,FALSE),"no clearing")</f>
        <v>no clearing</v>
      </c>
      <c r="N443" s="51">
        <f t="shared" si="297"/>
        <v>23</v>
      </c>
      <c r="O443" s="53">
        <f t="shared" si="298"/>
        <v>6</v>
      </c>
      <c r="P443" s="53">
        <f t="shared" si="299"/>
        <v>2025</v>
      </c>
    </row>
    <row r="444" spans="1:16" customFormat="1" x14ac:dyDescent="0.25">
      <c r="A444">
        <v>3000002722</v>
      </c>
      <c r="B444" s="3">
        <v>45805</v>
      </c>
      <c r="C444" s="4">
        <v>25000000</v>
      </c>
      <c r="D444" t="s">
        <v>613</v>
      </c>
      <c r="E444">
        <v>1309</v>
      </c>
      <c r="F444" s="4">
        <v>25000000</v>
      </c>
      <c r="G444" s="3">
        <v>45807</v>
      </c>
      <c r="H444" t="s">
        <v>32</v>
      </c>
      <c r="I444" s="51" t="str">
        <f>IFERROR(IF(VLOOKUP(E444,extracto!C:C,1,FALSE)=E444,"pagado","no pagado"),"no pagado")</f>
        <v>pagado</v>
      </c>
      <c r="J444" s="52" t="str">
        <f t="shared" si="294"/>
        <v>pagado</v>
      </c>
      <c r="K444" s="51" t="str">
        <f t="shared" ca="1" si="295"/>
        <v>excluir</v>
      </c>
      <c r="L444" s="51" t="str">
        <f t="shared" ca="1" si="296"/>
        <v>no semana</v>
      </c>
      <c r="M444" s="51" t="str">
        <f>IFERROR(VLOOKUP(E444,'cheques a conf'!A:D,4,FALSE),"no clearing")</f>
        <v>no clearing</v>
      </c>
      <c r="N444" s="51">
        <f t="shared" si="297"/>
        <v>22</v>
      </c>
      <c r="O444" s="53">
        <f t="shared" si="298"/>
        <v>5</v>
      </c>
      <c r="P444" s="53">
        <f t="shared" si="299"/>
        <v>2025</v>
      </c>
    </row>
    <row r="445" spans="1:16" customFormat="1" x14ac:dyDescent="0.25">
      <c r="A445">
        <v>3000002722</v>
      </c>
      <c r="B445" s="3">
        <v>45805</v>
      </c>
      <c r="C445" s="4">
        <v>20210584.18</v>
      </c>
      <c r="D445" t="s">
        <v>613</v>
      </c>
      <c r="E445">
        <v>1310</v>
      </c>
      <c r="F445" s="4">
        <v>20210584.18</v>
      </c>
      <c r="G445" s="3">
        <v>45810</v>
      </c>
      <c r="H445" t="s">
        <v>32</v>
      </c>
      <c r="I445" s="51" t="str">
        <f>IFERROR(IF(VLOOKUP(E445,extracto!C:C,1,FALSE)=E445,"pagado","no pagado"),"no pagado")</f>
        <v>pagado</v>
      </c>
      <c r="J445" s="52" t="str">
        <f t="shared" si="294"/>
        <v>pagado</v>
      </c>
      <c r="K445" s="51" t="str">
        <f t="shared" ca="1" si="295"/>
        <v>excluir</v>
      </c>
      <c r="L445" s="51" t="str">
        <f t="shared" ca="1" si="296"/>
        <v>no semana</v>
      </c>
      <c r="M445" s="51" t="str">
        <f>IFERROR(VLOOKUP(E445,'cheques a conf'!A:D,4,FALSE),"no clearing")</f>
        <v>no clearing</v>
      </c>
      <c r="N445" s="51">
        <f t="shared" si="297"/>
        <v>23</v>
      </c>
      <c r="O445" s="53">
        <f t="shared" si="298"/>
        <v>6</v>
      </c>
      <c r="P445" s="53">
        <f t="shared" si="299"/>
        <v>2025</v>
      </c>
    </row>
    <row r="446" spans="1:16" customFormat="1" x14ac:dyDescent="0.25">
      <c r="A446">
        <v>3000002718</v>
      </c>
      <c r="B446" s="3">
        <v>45805</v>
      </c>
      <c r="C446" s="4">
        <v>4000351.91</v>
      </c>
      <c r="D446" t="s">
        <v>686</v>
      </c>
      <c r="E446">
        <v>1304</v>
      </c>
      <c r="F446" s="4">
        <v>4000351.91</v>
      </c>
      <c r="G446" s="3">
        <v>45807</v>
      </c>
      <c r="H446" t="s">
        <v>32</v>
      </c>
      <c r="I446" s="51" t="str">
        <f>IFERROR(IF(VLOOKUP(E446,extracto!C:C,1,FALSE)=E446,"pagado","no pagado"),"no pagado")</f>
        <v>pagado</v>
      </c>
      <c r="J446" s="52" t="str">
        <f t="shared" si="294"/>
        <v>pagado</v>
      </c>
      <c r="K446" s="51" t="str">
        <f t="shared" ca="1" si="295"/>
        <v>excluir</v>
      </c>
      <c r="L446" s="51" t="str">
        <f t="shared" ca="1" si="296"/>
        <v>no semana</v>
      </c>
      <c r="M446" s="51" t="str">
        <f>IFERROR(VLOOKUP(E446,'cheques a conf'!A:D,4,FALSE),"no clearing")</f>
        <v>no clearing</v>
      </c>
      <c r="N446" s="51">
        <f t="shared" si="297"/>
        <v>22</v>
      </c>
      <c r="O446" s="53">
        <f t="shared" si="298"/>
        <v>5</v>
      </c>
      <c r="P446" s="53">
        <f t="shared" si="299"/>
        <v>2025</v>
      </c>
    </row>
    <row r="447" spans="1:16" customFormat="1" x14ac:dyDescent="0.25">
      <c r="A447">
        <v>3000002720</v>
      </c>
      <c r="B447" s="3">
        <v>45805</v>
      </c>
      <c r="C447" s="4">
        <v>14064999.18</v>
      </c>
      <c r="D447" t="s">
        <v>619</v>
      </c>
      <c r="E447">
        <v>1307</v>
      </c>
      <c r="F447" s="4">
        <v>14064999.18</v>
      </c>
      <c r="G447" s="3">
        <v>45807</v>
      </c>
      <c r="H447" t="s">
        <v>32</v>
      </c>
      <c r="I447" s="51" t="str">
        <f>IFERROR(IF(VLOOKUP(E447,extracto!C:C,1,FALSE)=E447,"pagado","no pagado"),"no pagado")</f>
        <v>pagado</v>
      </c>
      <c r="J447" s="52" t="str">
        <f t="shared" si="294"/>
        <v>pagado</v>
      </c>
      <c r="K447" s="51" t="str">
        <f t="shared" ca="1" si="295"/>
        <v>excluir</v>
      </c>
      <c r="L447" s="51" t="str">
        <f t="shared" ca="1" si="296"/>
        <v>no semana</v>
      </c>
      <c r="M447" s="51" t="str">
        <f>IFERROR(VLOOKUP(E447,'cheques a conf'!A:D,4,FALSE),"no clearing")</f>
        <v>no clearing</v>
      </c>
      <c r="N447" s="51">
        <f t="shared" si="297"/>
        <v>22</v>
      </c>
      <c r="O447" s="53">
        <f t="shared" si="298"/>
        <v>5</v>
      </c>
      <c r="P447" s="53">
        <f t="shared" si="299"/>
        <v>2025</v>
      </c>
    </row>
    <row r="448" spans="1:16" customFormat="1" x14ac:dyDescent="0.25">
      <c r="A448">
        <v>3000002721</v>
      </c>
      <c r="B448" s="3">
        <v>45805</v>
      </c>
      <c r="C448" s="4">
        <v>10221937.060000001</v>
      </c>
      <c r="D448" t="s">
        <v>616</v>
      </c>
      <c r="E448">
        <v>1308</v>
      </c>
      <c r="F448" s="4">
        <v>10221937.060000001</v>
      </c>
      <c r="G448" s="3">
        <v>45807</v>
      </c>
      <c r="H448" t="s">
        <v>32</v>
      </c>
      <c r="I448" s="51" t="str">
        <f>IFERROR(IF(VLOOKUP(E448,extracto!C:C,1,FALSE)=E448,"pagado","no pagado"),"no pagado")</f>
        <v>pagado</v>
      </c>
      <c r="J448" s="52" t="str">
        <f t="shared" si="294"/>
        <v>pagado</v>
      </c>
      <c r="K448" s="51" t="str">
        <f t="shared" ca="1" si="295"/>
        <v>excluir</v>
      </c>
      <c r="L448" s="51" t="str">
        <f t="shared" ca="1" si="296"/>
        <v>no semana</v>
      </c>
      <c r="M448" s="51" t="str">
        <f>IFERROR(VLOOKUP(E448,'cheques a conf'!A:D,4,FALSE),"no clearing")</f>
        <v>no clearing</v>
      </c>
      <c r="N448" s="51">
        <f t="shared" si="297"/>
        <v>22</v>
      </c>
      <c r="O448" s="53">
        <f t="shared" si="298"/>
        <v>5</v>
      </c>
      <c r="P448" s="53">
        <f t="shared" si="299"/>
        <v>2025</v>
      </c>
    </row>
    <row r="449" spans="1:16" customFormat="1" x14ac:dyDescent="0.25">
      <c r="A449">
        <v>3000002723</v>
      </c>
      <c r="B449" s="3">
        <v>45805</v>
      </c>
      <c r="C449" s="4">
        <v>4930812.3499999996</v>
      </c>
      <c r="D449" t="s">
        <v>669</v>
      </c>
      <c r="E449">
        <v>1311</v>
      </c>
      <c r="F449" s="4">
        <v>4930812.3499999996</v>
      </c>
      <c r="G449" s="3">
        <v>45807</v>
      </c>
      <c r="H449" t="s">
        <v>32</v>
      </c>
      <c r="I449" s="51" t="str">
        <f>IFERROR(IF(VLOOKUP(E449,extracto!C:C,1,FALSE)=E449,"pagado","no pagado"),"no pagado")</f>
        <v>pagado</v>
      </c>
      <c r="J449" s="52" t="str">
        <f t="shared" si="294"/>
        <v>pagado</v>
      </c>
      <c r="K449" s="51" t="str">
        <f t="shared" ca="1" si="295"/>
        <v>excluir</v>
      </c>
      <c r="L449" s="51" t="str">
        <f t="shared" ca="1" si="296"/>
        <v>no semana</v>
      </c>
      <c r="M449" s="51" t="str">
        <f>IFERROR(VLOOKUP(E449,'cheques a conf'!A:D,4,FALSE),"no clearing")</f>
        <v>no clearing</v>
      </c>
      <c r="N449" s="51">
        <f t="shared" si="297"/>
        <v>22</v>
      </c>
      <c r="O449" s="53">
        <f t="shared" si="298"/>
        <v>5</v>
      </c>
      <c r="P449" s="53">
        <f t="shared" si="299"/>
        <v>2025</v>
      </c>
    </row>
    <row r="450" spans="1:16" customFormat="1" x14ac:dyDescent="0.25">
      <c r="A450">
        <v>3000002724</v>
      </c>
      <c r="B450" s="3">
        <v>45805</v>
      </c>
      <c r="C450" s="4">
        <v>5945997.5300000003</v>
      </c>
      <c r="D450" t="s">
        <v>679</v>
      </c>
      <c r="E450">
        <v>1312</v>
      </c>
      <c r="F450" s="4">
        <v>5945997.5300000003</v>
      </c>
      <c r="G450" s="3">
        <v>45807</v>
      </c>
      <c r="H450" t="s">
        <v>32</v>
      </c>
      <c r="I450" s="51" t="str">
        <f>IFERROR(IF(VLOOKUP(E450,extracto!C:C,1,FALSE)=E450,"pagado","no pagado"),"no pagado")</f>
        <v>pagado</v>
      </c>
      <c r="J450" s="52" t="str">
        <f t="shared" si="294"/>
        <v>pagado</v>
      </c>
      <c r="K450" s="51" t="str">
        <f t="shared" ca="1" si="295"/>
        <v>excluir</v>
      </c>
      <c r="L450" s="51" t="str">
        <f t="shared" ca="1" si="296"/>
        <v>no semana</v>
      </c>
      <c r="M450" s="51" t="str">
        <f>IFERROR(VLOOKUP(E450,'cheques a conf'!A:D,4,FALSE),"no clearing")</f>
        <v>no clearing</v>
      </c>
      <c r="N450" s="51">
        <f t="shared" si="297"/>
        <v>22</v>
      </c>
      <c r="O450" s="53">
        <f t="shared" si="298"/>
        <v>5</v>
      </c>
      <c r="P450" s="53">
        <f t="shared" si="299"/>
        <v>2025</v>
      </c>
    </row>
    <row r="451" spans="1:16" customFormat="1" x14ac:dyDescent="0.25">
      <c r="A451">
        <v>3000002725</v>
      </c>
      <c r="B451" s="3">
        <v>45805</v>
      </c>
      <c r="C451" s="4">
        <v>5200719.67</v>
      </c>
      <c r="D451" t="s">
        <v>663</v>
      </c>
      <c r="E451">
        <v>1313</v>
      </c>
      <c r="F451" s="4">
        <v>5200719.67</v>
      </c>
      <c r="G451" s="3">
        <v>45807</v>
      </c>
      <c r="H451" t="s">
        <v>32</v>
      </c>
      <c r="I451" s="51" t="str">
        <f>IFERROR(IF(VLOOKUP(E451,extracto!C:C,1,FALSE)=E451,"pagado","no pagado"),"no pagado")</f>
        <v>pagado</v>
      </c>
      <c r="J451" s="52" t="str">
        <f t="shared" si="294"/>
        <v>pagado</v>
      </c>
      <c r="K451" s="51" t="str">
        <f t="shared" ca="1" si="295"/>
        <v>excluir</v>
      </c>
      <c r="L451" s="51" t="str">
        <f t="shared" ca="1" si="296"/>
        <v>no semana</v>
      </c>
      <c r="M451" s="51" t="str">
        <f>IFERROR(VLOOKUP(E451,'cheques a conf'!A:D,4,FALSE),"no clearing")</f>
        <v>no clearing</v>
      </c>
      <c r="N451" s="51">
        <f t="shared" si="297"/>
        <v>22</v>
      </c>
      <c r="O451" s="53">
        <f t="shared" si="298"/>
        <v>5</v>
      </c>
      <c r="P451" s="53">
        <f t="shared" si="299"/>
        <v>2025</v>
      </c>
    </row>
    <row r="452" spans="1:16" customFormat="1" x14ac:dyDescent="0.25">
      <c r="A452" s="21">
        <v>3000002806</v>
      </c>
      <c r="B452" s="22">
        <v>45810</v>
      </c>
      <c r="C452" s="20">
        <v>15000000</v>
      </c>
      <c r="D452" s="21" t="s">
        <v>687</v>
      </c>
      <c r="E452" s="21">
        <v>1317</v>
      </c>
      <c r="F452" s="20">
        <v>15000000</v>
      </c>
      <c r="G452" s="22">
        <v>45813</v>
      </c>
      <c r="H452" t="s">
        <v>32</v>
      </c>
      <c r="I452" s="51" t="str">
        <f>IFERROR(IF(VLOOKUP(E452,extracto!C:C,1,FALSE)=E452,"pagado","no pagado"),"no pagado")</f>
        <v>pagado</v>
      </c>
      <c r="J452" s="52" t="str">
        <f t="shared" ref="J452:J462" si="300">IF(I452="pagado","pagado",IF(G452&lt;$V$1-30,"fuera de fecha","en periodo de pago"))</f>
        <v>pagado</v>
      </c>
      <c r="K452" s="51" t="str">
        <f t="shared" ref="K452:K462" ca="1" si="301">+IF(B452&gt;$V$1,"excluir",IF(J452="en periodo de pago",IF($V$1&gt;G452,"a pagar","proximo a vencer"),"excluir"))</f>
        <v>excluir</v>
      </c>
      <c r="L452" s="51" t="str">
        <f t="shared" ref="L452:L462" ca="1" si="302">+IF(K452="proximo a vencer",IF($V$1+5&gt;G452,"para la semana","no semana"),"no semana")</f>
        <v>no semana</v>
      </c>
      <c r="M452" s="51" t="str">
        <f>IFERROR(VLOOKUP(E452,'cheques a conf'!A:D,4,FALSE),"no clearing")</f>
        <v>no clearing</v>
      </c>
      <c r="N452" s="51">
        <f t="shared" ref="N452:N462" si="303">+WEEKNUM(G452,2)</f>
        <v>23</v>
      </c>
      <c r="O452" s="53">
        <f t="shared" ref="O452:O462" si="304">+MONTH(G452)</f>
        <v>6</v>
      </c>
      <c r="P452" s="53">
        <f t="shared" ref="P452:P462" si="305">+YEAR(G452)</f>
        <v>2025</v>
      </c>
    </row>
    <row r="453" spans="1:16" customFormat="1" x14ac:dyDescent="0.25">
      <c r="A453" s="21">
        <v>3000002806</v>
      </c>
      <c r="B453" s="22">
        <v>45810</v>
      </c>
      <c r="C453" s="20">
        <v>15000000</v>
      </c>
      <c r="D453" s="21" t="s">
        <v>687</v>
      </c>
      <c r="E453" s="21">
        <v>1318</v>
      </c>
      <c r="F453" s="20">
        <v>15000000</v>
      </c>
      <c r="G453" s="22">
        <v>45813</v>
      </c>
      <c r="H453" t="s">
        <v>32</v>
      </c>
      <c r="I453" s="51" t="str">
        <f>IFERROR(IF(VLOOKUP(E453,extracto!C:C,1,FALSE)=E453,"pagado","no pagado"),"no pagado")</f>
        <v>pagado</v>
      </c>
      <c r="J453" s="52" t="str">
        <f t="shared" si="300"/>
        <v>pagado</v>
      </c>
      <c r="K453" s="51" t="str">
        <f t="shared" ca="1" si="301"/>
        <v>excluir</v>
      </c>
      <c r="L453" s="51" t="str">
        <f t="shared" ca="1" si="302"/>
        <v>no semana</v>
      </c>
      <c r="M453" s="51" t="str">
        <f>IFERROR(VLOOKUP(E453,'cheques a conf'!A:D,4,FALSE),"no clearing")</f>
        <v>no clearing</v>
      </c>
      <c r="N453" s="51">
        <f t="shared" si="303"/>
        <v>23</v>
      </c>
      <c r="O453" s="53">
        <f t="shared" si="304"/>
        <v>6</v>
      </c>
      <c r="P453" s="53">
        <f t="shared" si="305"/>
        <v>2025</v>
      </c>
    </row>
    <row r="454" spans="1:16" customFormat="1" x14ac:dyDescent="0.25">
      <c r="A454" s="21">
        <v>3000002806</v>
      </c>
      <c r="B454" s="22">
        <v>45810</v>
      </c>
      <c r="C454" s="20">
        <v>11500244.5</v>
      </c>
      <c r="D454" s="21" t="s">
        <v>687</v>
      </c>
      <c r="E454" s="21">
        <v>1319</v>
      </c>
      <c r="F454" s="20">
        <v>11500244.5</v>
      </c>
      <c r="G454" s="22">
        <v>45814</v>
      </c>
      <c r="H454" t="s">
        <v>32</v>
      </c>
      <c r="I454" s="51" t="str">
        <f>IFERROR(IF(VLOOKUP(E454,extracto!C:C,1,FALSE)=E454,"pagado","no pagado"),"no pagado")</f>
        <v>pagado</v>
      </c>
      <c r="J454" s="52" t="str">
        <f t="shared" si="300"/>
        <v>pagado</v>
      </c>
      <c r="K454" s="51" t="str">
        <f t="shared" ca="1" si="301"/>
        <v>excluir</v>
      </c>
      <c r="L454" s="51" t="str">
        <f t="shared" ca="1" si="302"/>
        <v>no semana</v>
      </c>
      <c r="M454" s="51" t="str">
        <f>IFERROR(VLOOKUP(E454,'cheques a conf'!A:D,4,FALSE),"no clearing")</f>
        <v>no clearing</v>
      </c>
      <c r="N454" s="51">
        <f t="shared" si="303"/>
        <v>23</v>
      </c>
      <c r="O454" s="53">
        <f t="shared" si="304"/>
        <v>6</v>
      </c>
      <c r="P454" s="53">
        <f t="shared" si="305"/>
        <v>2025</v>
      </c>
    </row>
    <row r="455" spans="1:16" customFormat="1" x14ac:dyDescent="0.25">
      <c r="A455" s="21">
        <v>3000002811</v>
      </c>
      <c r="B455" s="22">
        <v>45810</v>
      </c>
      <c r="C455" s="20">
        <v>22000000</v>
      </c>
      <c r="D455" s="21" t="s">
        <v>631</v>
      </c>
      <c r="E455" s="21">
        <v>1324</v>
      </c>
      <c r="F455" s="20">
        <v>22000000</v>
      </c>
      <c r="G455" s="22">
        <v>45812</v>
      </c>
      <c r="H455" t="s">
        <v>32</v>
      </c>
      <c r="I455" s="51" t="str">
        <f>IFERROR(IF(VLOOKUP(E455,extracto!C:C,1,FALSE)=E455,"pagado","no pagado"),"no pagado")</f>
        <v>pagado</v>
      </c>
      <c r="J455" s="52" t="str">
        <f t="shared" si="300"/>
        <v>pagado</v>
      </c>
      <c r="K455" s="51" t="str">
        <f t="shared" ca="1" si="301"/>
        <v>excluir</v>
      </c>
      <c r="L455" s="51" t="str">
        <f t="shared" ca="1" si="302"/>
        <v>no semana</v>
      </c>
      <c r="M455" s="51" t="str">
        <f>IFERROR(VLOOKUP(E455,'cheques a conf'!A:D,4,FALSE),"no clearing")</f>
        <v>no clearing</v>
      </c>
      <c r="N455" s="51">
        <f t="shared" si="303"/>
        <v>23</v>
      </c>
      <c r="O455" s="53">
        <f t="shared" si="304"/>
        <v>6</v>
      </c>
      <c r="P455" s="53">
        <f t="shared" si="305"/>
        <v>2025</v>
      </c>
    </row>
    <row r="456" spans="1:16" customFormat="1" x14ac:dyDescent="0.25">
      <c r="A456" s="21">
        <v>3000002811</v>
      </c>
      <c r="B456" s="22">
        <v>45810</v>
      </c>
      <c r="C456" s="20">
        <v>20668509.609999999</v>
      </c>
      <c r="D456" s="21" t="s">
        <v>631</v>
      </c>
      <c r="E456" s="21">
        <v>1325</v>
      </c>
      <c r="F456" s="20">
        <v>20668509.609999999</v>
      </c>
      <c r="G456" s="22">
        <v>45813</v>
      </c>
      <c r="H456" t="s">
        <v>32</v>
      </c>
      <c r="I456" s="51" t="str">
        <f>IFERROR(IF(VLOOKUP(E456,extracto!C:C,1,FALSE)=E456,"pagado","no pagado"),"no pagado")</f>
        <v>pagado</v>
      </c>
      <c r="J456" s="52" t="str">
        <f t="shared" si="300"/>
        <v>pagado</v>
      </c>
      <c r="K456" s="51" t="str">
        <f t="shared" ca="1" si="301"/>
        <v>excluir</v>
      </c>
      <c r="L456" s="51" t="str">
        <f t="shared" ca="1" si="302"/>
        <v>no semana</v>
      </c>
      <c r="M456" s="51" t="str">
        <f>IFERROR(VLOOKUP(E456,'cheques a conf'!A:D,4,FALSE),"no clearing")</f>
        <v>no clearing</v>
      </c>
      <c r="N456" s="51">
        <f t="shared" si="303"/>
        <v>23</v>
      </c>
      <c r="O456" s="53">
        <f t="shared" si="304"/>
        <v>6</v>
      </c>
      <c r="P456" s="53">
        <f t="shared" si="305"/>
        <v>2025</v>
      </c>
    </row>
    <row r="457" spans="1:16" customFormat="1" x14ac:dyDescent="0.25">
      <c r="A457" s="21">
        <v>3000002805</v>
      </c>
      <c r="B457" s="22">
        <v>45810</v>
      </c>
      <c r="C457" s="20">
        <v>9740054.5500000007</v>
      </c>
      <c r="D457" s="21" t="s">
        <v>588</v>
      </c>
      <c r="E457" s="21">
        <v>1316</v>
      </c>
      <c r="F457" s="20">
        <v>9740054.5500000007</v>
      </c>
      <c r="G457" s="22">
        <v>45813</v>
      </c>
      <c r="H457" t="s">
        <v>32</v>
      </c>
      <c r="I457" s="51" t="str">
        <f>IFERROR(IF(VLOOKUP(E457,extracto!C:C,1,FALSE)=E457,"pagado","no pagado"),"no pagado")</f>
        <v>pagado</v>
      </c>
      <c r="J457" s="52" t="str">
        <f t="shared" si="300"/>
        <v>pagado</v>
      </c>
      <c r="K457" s="51" t="str">
        <f t="shared" ca="1" si="301"/>
        <v>excluir</v>
      </c>
      <c r="L457" s="51" t="str">
        <f t="shared" ca="1" si="302"/>
        <v>no semana</v>
      </c>
      <c r="M457" s="51" t="str">
        <f>IFERROR(VLOOKUP(E457,'cheques a conf'!A:D,4,FALSE),"no clearing")</f>
        <v>no clearing</v>
      </c>
      <c r="N457" s="51">
        <f t="shared" si="303"/>
        <v>23</v>
      </c>
      <c r="O457" s="53">
        <f t="shared" si="304"/>
        <v>6</v>
      </c>
      <c r="P457" s="53">
        <f t="shared" si="305"/>
        <v>2025</v>
      </c>
    </row>
    <row r="458" spans="1:16" customFormat="1" x14ac:dyDescent="0.25">
      <c r="A458" s="21">
        <v>3000002807</v>
      </c>
      <c r="B458" s="22">
        <v>45810</v>
      </c>
      <c r="C458" s="20">
        <v>8267414.4100000001</v>
      </c>
      <c r="D458" s="21" t="s">
        <v>654</v>
      </c>
      <c r="E458" s="21">
        <v>1320</v>
      </c>
      <c r="F458" s="20">
        <v>8267414.4100000001</v>
      </c>
      <c r="G458" s="22">
        <v>45813</v>
      </c>
      <c r="H458" t="s">
        <v>32</v>
      </c>
      <c r="I458" s="51" t="str">
        <f>IFERROR(IF(VLOOKUP(E458,extracto!C:C,1,FALSE)=E458,"pagado","no pagado"),"no pagado")</f>
        <v>pagado</v>
      </c>
      <c r="J458" s="52" t="str">
        <f t="shared" si="300"/>
        <v>pagado</v>
      </c>
      <c r="K458" s="51" t="str">
        <f t="shared" ca="1" si="301"/>
        <v>excluir</v>
      </c>
      <c r="L458" s="51" t="str">
        <f t="shared" ca="1" si="302"/>
        <v>no semana</v>
      </c>
      <c r="M458" s="51" t="str">
        <f>IFERROR(VLOOKUP(E458,'cheques a conf'!A:D,4,FALSE),"no clearing")</f>
        <v>no clearing</v>
      </c>
      <c r="N458" s="51">
        <f t="shared" si="303"/>
        <v>23</v>
      </c>
      <c r="O458" s="53">
        <f t="shared" si="304"/>
        <v>6</v>
      </c>
      <c r="P458" s="53">
        <f t="shared" si="305"/>
        <v>2025</v>
      </c>
    </row>
    <row r="459" spans="1:16" customFormat="1" x14ac:dyDescent="0.25">
      <c r="A459" s="21">
        <v>3000002808</v>
      </c>
      <c r="B459" s="22">
        <v>45810</v>
      </c>
      <c r="C459" s="20">
        <v>4387794.96</v>
      </c>
      <c r="D459" s="21" t="s">
        <v>675</v>
      </c>
      <c r="E459" s="21">
        <v>1321</v>
      </c>
      <c r="F459" s="20">
        <v>4387794.96</v>
      </c>
      <c r="G459" s="22">
        <v>45813</v>
      </c>
      <c r="H459" t="s">
        <v>32</v>
      </c>
      <c r="I459" s="51" t="str">
        <f>IFERROR(IF(VLOOKUP(E459,extracto!C:C,1,FALSE)=E459,"pagado","no pagado"),"no pagado")</f>
        <v>pagado</v>
      </c>
      <c r="J459" s="52" t="str">
        <f t="shared" si="300"/>
        <v>pagado</v>
      </c>
      <c r="K459" s="51" t="str">
        <f t="shared" ca="1" si="301"/>
        <v>excluir</v>
      </c>
      <c r="L459" s="51" t="str">
        <f t="shared" ca="1" si="302"/>
        <v>no semana</v>
      </c>
      <c r="M459" s="51" t="str">
        <f>IFERROR(VLOOKUP(E459,'cheques a conf'!A:D,4,FALSE),"no clearing")</f>
        <v>no clearing</v>
      </c>
      <c r="N459" s="51">
        <f t="shared" si="303"/>
        <v>23</v>
      </c>
      <c r="O459" s="53">
        <f t="shared" si="304"/>
        <v>6</v>
      </c>
      <c r="P459" s="53">
        <f t="shared" si="305"/>
        <v>2025</v>
      </c>
    </row>
    <row r="460" spans="1:16" customFormat="1" x14ac:dyDescent="0.25">
      <c r="A460" s="21">
        <v>3000002809</v>
      </c>
      <c r="B460" s="22">
        <v>45810</v>
      </c>
      <c r="C460" s="20">
        <v>4178097.48</v>
      </c>
      <c r="D460" s="21" t="s">
        <v>664</v>
      </c>
      <c r="E460" s="21">
        <v>1322</v>
      </c>
      <c r="F460" s="20">
        <v>4178097.48</v>
      </c>
      <c r="G460" s="22">
        <v>45813</v>
      </c>
      <c r="H460" t="s">
        <v>32</v>
      </c>
      <c r="I460" s="51" t="str">
        <f>IFERROR(IF(VLOOKUP(E460,extracto!C:C,1,FALSE)=E460,"pagado","no pagado"),"no pagado")</f>
        <v>pagado</v>
      </c>
      <c r="J460" s="52" t="str">
        <f t="shared" si="300"/>
        <v>pagado</v>
      </c>
      <c r="K460" s="51" t="str">
        <f t="shared" ca="1" si="301"/>
        <v>excluir</v>
      </c>
      <c r="L460" s="51" t="str">
        <f t="shared" ca="1" si="302"/>
        <v>no semana</v>
      </c>
      <c r="M460" s="51" t="str">
        <f>IFERROR(VLOOKUP(E460,'cheques a conf'!A:D,4,FALSE),"no clearing")</f>
        <v>no clearing</v>
      </c>
      <c r="N460" s="51">
        <f t="shared" si="303"/>
        <v>23</v>
      </c>
      <c r="O460" s="53">
        <f t="shared" si="304"/>
        <v>6</v>
      </c>
      <c r="P460" s="53">
        <f t="shared" si="305"/>
        <v>2025</v>
      </c>
    </row>
    <row r="461" spans="1:16" customFormat="1" x14ac:dyDescent="0.25">
      <c r="A461" s="21">
        <v>3000002810</v>
      </c>
      <c r="B461" s="22">
        <v>45810</v>
      </c>
      <c r="C461" s="20">
        <v>5700497.5999999996</v>
      </c>
      <c r="D461" s="21" t="s">
        <v>683</v>
      </c>
      <c r="E461" s="21">
        <v>1323</v>
      </c>
      <c r="F461" s="20">
        <v>5700497.5999999996</v>
      </c>
      <c r="G461" s="22">
        <v>45813</v>
      </c>
      <c r="H461" t="s">
        <v>32</v>
      </c>
      <c r="I461" s="51" t="str">
        <f>IFERROR(IF(VLOOKUP(E461,extracto!C:C,1,FALSE)=E461,"pagado","no pagado"),"no pagado")</f>
        <v>pagado</v>
      </c>
      <c r="J461" s="52" t="str">
        <f t="shared" si="300"/>
        <v>pagado</v>
      </c>
      <c r="K461" s="51" t="str">
        <f t="shared" ca="1" si="301"/>
        <v>excluir</v>
      </c>
      <c r="L461" s="51" t="str">
        <f t="shared" ca="1" si="302"/>
        <v>no semana</v>
      </c>
      <c r="M461" s="51" t="str">
        <f>IFERROR(VLOOKUP(E461,'cheques a conf'!A:D,4,FALSE),"no clearing")</f>
        <v>no clearing</v>
      </c>
      <c r="N461" s="51">
        <f t="shared" si="303"/>
        <v>23</v>
      </c>
      <c r="O461" s="53">
        <f t="shared" si="304"/>
        <v>6</v>
      </c>
      <c r="P461" s="53">
        <f t="shared" si="305"/>
        <v>2025</v>
      </c>
    </row>
    <row r="462" spans="1:16" customFormat="1" x14ac:dyDescent="0.25">
      <c r="A462" s="21">
        <v>3000002827</v>
      </c>
      <c r="B462" s="22">
        <v>45811</v>
      </c>
      <c r="C462" s="20">
        <v>10296886</v>
      </c>
      <c r="D462" s="21" t="s">
        <v>620</v>
      </c>
      <c r="E462" s="21">
        <v>1326</v>
      </c>
      <c r="F462" s="20">
        <v>10296886</v>
      </c>
      <c r="G462" s="22">
        <v>45813</v>
      </c>
      <c r="H462" t="s">
        <v>32</v>
      </c>
      <c r="I462" s="51" t="str">
        <f>IFERROR(IF(VLOOKUP(E462,extracto!C:C,1,FALSE)=E462,"pagado","no pagado"),"no pagado")</f>
        <v>pagado</v>
      </c>
      <c r="J462" s="52" t="str">
        <f t="shared" si="300"/>
        <v>pagado</v>
      </c>
      <c r="K462" s="51" t="str">
        <f t="shared" ca="1" si="301"/>
        <v>excluir</v>
      </c>
      <c r="L462" s="51" t="str">
        <f t="shared" ca="1" si="302"/>
        <v>no semana</v>
      </c>
      <c r="M462" s="51" t="str">
        <f>IFERROR(VLOOKUP(E462,'cheques a conf'!A:D,4,FALSE),"no clearing")</f>
        <v>no clearing</v>
      </c>
      <c r="N462" s="51">
        <f t="shared" si="303"/>
        <v>23</v>
      </c>
      <c r="O462" s="53">
        <f t="shared" si="304"/>
        <v>6</v>
      </c>
      <c r="P462" s="53">
        <f t="shared" si="305"/>
        <v>2025</v>
      </c>
    </row>
    <row r="463" spans="1:16" customFormat="1" x14ac:dyDescent="0.25">
      <c r="A463" s="21">
        <v>3000002804</v>
      </c>
      <c r="B463" s="22">
        <v>45810</v>
      </c>
      <c r="C463" s="20">
        <v>3094360</v>
      </c>
      <c r="D463" s="21" t="s">
        <v>25</v>
      </c>
      <c r="E463" s="21">
        <v>94326849</v>
      </c>
      <c r="F463" s="20">
        <v>3094360</v>
      </c>
      <c r="G463" s="22">
        <v>45811</v>
      </c>
      <c r="H463" t="s">
        <v>13</v>
      </c>
      <c r="I463" s="51" t="str">
        <f>IFERROR(IF(VLOOKUP(E463,extracto!C:C,1,FALSE)=E463,"pagado","no pagado"),"no pagado")</f>
        <v>pagado</v>
      </c>
      <c r="J463" s="52" t="str">
        <f t="shared" ref="J463:J464" si="306">IF(I463="pagado","pagado",IF(G463&lt;$V$1-30,"fuera de fecha","en periodo de pago"))</f>
        <v>pagado</v>
      </c>
      <c r="K463" s="51" t="str">
        <f t="shared" ref="K463:K464" ca="1" si="307">+IF(B463&gt;$V$1,"excluir",IF(J463="en periodo de pago",IF($V$1&gt;G463,"a pagar","proximo a vencer"),"excluir"))</f>
        <v>excluir</v>
      </c>
      <c r="L463" s="51" t="str">
        <f t="shared" ref="L463:L464" ca="1" si="308">+IF(K463="proximo a vencer",IF($V$1+5&gt;G463,"para la semana","no semana"),"no semana")</f>
        <v>no semana</v>
      </c>
      <c r="M463" s="51" t="str">
        <f>IFERROR(VLOOKUP(E463,'cheques a conf'!A:D,4,FALSE),"no clearing")</f>
        <v>no clearing</v>
      </c>
      <c r="N463" s="51">
        <f t="shared" ref="N463:N464" si="309">+WEEKNUM(G463,2)</f>
        <v>23</v>
      </c>
      <c r="O463" s="53">
        <f t="shared" ref="O463:O464" si="310">+MONTH(G463)</f>
        <v>6</v>
      </c>
      <c r="P463" s="53">
        <f t="shared" ref="P463:P464" si="311">+YEAR(G463)</f>
        <v>2025</v>
      </c>
    </row>
    <row r="464" spans="1:16" customFormat="1" x14ac:dyDescent="0.25">
      <c r="A464" s="21">
        <v>3000002826</v>
      </c>
      <c r="B464" s="22">
        <v>45811</v>
      </c>
      <c r="C464" s="20">
        <v>2257247.9300000002</v>
      </c>
      <c r="D464" s="21" t="s">
        <v>659</v>
      </c>
      <c r="E464" s="21">
        <v>94326850</v>
      </c>
      <c r="F464" s="20">
        <v>2257247.9300000002</v>
      </c>
      <c r="G464" s="22">
        <v>45813</v>
      </c>
      <c r="H464" t="s">
        <v>13</v>
      </c>
      <c r="I464" s="51" t="str">
        <f>IFERROR(IF(VLOOKUP(E464,extracto!C:C,1,FALSE)=E464,"pagado","no pagado"),"no pagado")</f>
        <v>pagado</v>
      </c>
      <c r="J464" s="52" t="str">
        <f t="shared" si="306"/>
        <v>pagado</v>
      </c>
      <c r="K464" s="51" t="str">
        <f t="shared" ca="1" si="307"/>
        <v>excluir</v>
      </c>
      <c r="L464" s="51" t="str">
        <f t="shared" ca="1" si="308"/>
        <v>no semana</v>
      </c>
      <c r="M464" s="51" t="str">
        <f>IFERROR(VLOOKUP(E464,'cheques a conf'!A:D,4,FALSE),"no clearing")</f>
        <v>no clearing</v>
      </c>
      <c r="N464" s="51">
        <f t="shared" si="309"/>
        <v>23</v>
      </c>
      <c r="O464" s="53">
        <f t="shared" si="310"/>
        <v>6</v>
      </c>
      <c r="P464" s="53">
        <f t="shared" si="311"/>
        <v>2025</v>
      </c>
    </row>
    <row r="465" spans="1:16" customFormat="1" x14ac:dyDescent="0.25">
      <c r="A465" s="21">
        <v>3000002855</v>
      </c>
      <c r="B465" s="22">
        <v>45812</v>
      </c>
      <c r="C465" s="20">
        <v>2958892.92</v>
      </c>
      <c r="D465" s="21" t="s">
        <v>89</v>
      </c>
      <c r="E465" s="21">
        <v>1327</v>
      </c>
      <c r="F465" s="20">
        <v>2958892.92</v>
      </c>
      <c r="G465" s="22">
        <v>45814</v>
      </c>
      <c r="H465" t="s">
        <v>32</v>
      </c>
      <c r="I465" s="51" t="str">
        <f>IFERROR(IF(VLOOKUP(E465,extracto!C:C,1,FALSE)=E465,"pagado","no pagado"),"no pagado")</f>
        <v>pagado</v>
      </c>
      <c r="J465" s="52" t="str">
        <f t="shared" ref="J465" si="312">IF(I465="pagado","pagado",IF(G465&lt;$V$1-30,"fuera de fecha","en periodo de pago"))</f>
        <v>pagado</v>
      </c>
      <c r="K465" s="51" t="str">
        <f t="shared" ref="K465" ca="1" si="313">+IF(B465&gt;$V$1,"excluir",IF(J465="en periodo de pago",IF($V$1&gt;G465,"a pagar","proximo a vencer"),"excluir"))</f>
        <v>excluir</v>
      </c>
      <c r="L465" s="51" t="str">
        <f t="shared" ref="L465" ca="1" si="314">+IF(K465="proximo a vencer",IF($V$1+5&gt;G465,"para la semana","no semana"),"no semana")</f>
        <v>no semana</v>
      </c>
      <c r="M465" s="51" t="str">
        <f>IFERROR(VLOOKUP(E465,'cheques a conf'!A:D,4,FALSE),"no clearing")</f>
        <v>no clearing</v>
      </c>
      <c r="N465" s="51">
        <f t="shared" ref="N465" si="315">+WEEKNUM(G465,2)</f>
        <v>23</v>
      </c>
      <c r="O465" s="53">
        <f t="shared" ref="O465" si="316">+MONTH(G465)</f>
        <v>6</v>
      </c>
      <c r="P465" s="53">
        <f t="shared" ref="P465" si="317">+YEAR(G465)</f>
        <v>2025</v>
      </c>
    </row>
    <row r="466" spans="1:16" customFormat="1" x14ac:dyDescent="0.25">
      <c r="A466" s="21">
        <v>3000002856</v>
      </c>
      <c r="B466" s="22">
        <v>45812</v>
      </c>
      <c r="C466" s="20">
        <v>7986987.4299999997</v>
      </c>
      <c r="D466" s="21" t="s">
        <v>616</v>
      </c>
      <c r="E466" s="21">
        <v>1328</v>
      </c>
      <c r="F466" s="20">
        <v>7986987.4299999997</v>
      </c>
      <c r="G466" s="22">
        <v>45814</v>
      </c>
      <c r="H466" t="s">
        <v>32</v>
      </c>
      <c r="I466" s="51" t="str">
        <f>IFERROR(IF(VLOOKUP(E466,extracto!C:C,1,FALSE)=E466,"pagado","no pagado"),"no pagado")</f>
        <v>pagado</v>
      </c>
      <c r="J466" s="52" t="str">
        <f t="shared" ref="J466:J480" si="318">IF(I466="pagado","pagado",IF(G466&lt;$V$1-30,"fuera de fecha","en periodo de pago"))</f>
        <v>pagado</v>
      </c>
      <c r="K466" s="51" t="str">
        <f t="shared" ref="K466:K480" ca="1" si="319">+IF(B466&gt;$V$1,"excluir",IF(J466="en periodo de pago",IF($V$1&gt;G466,"a pagar","proximo a vencer"),"excluir"))</f>
        <v>excluir</v>
      </c>
      <c r="L466" s="51" t="str">
        <f t="shared" ref="L466:L480" ca="1" si="320">+IF(K466="proximo a vencer",IF($V$1+5&gt;G466,"para la semana","no semana"),"no semana")</f>
        <v>no semana</v>
      </c>
      <c r="M466" s="51" t="str">
        <f>IFERROR(VLOOKUP(E466,'cheques a conf'!A:D,4,FALSE),"no clearing")</f>
        <v>no clearing</v>
      </c>
      <c r="N466" s="51">
        <f t="shared" ref="N466:N480" si="321">+WEEKNUM(G466,2)</f>
        <v>23</v>
      </c>
      <c r="O466" s="53">
        <f t="shared" ref="O466:O480" si="322">+MONTH(G466)</f>
        <v>6</v>
      </c>
      <c r="P466" s="53">
        <f t="shared" ref="P466:P480" si="323">+YEAR(G466)</f>
        <v>2025</v>
      </c>
    </row>
    <row r="467" spans="1:16" customFormat="1" x14ac:dyDescent="0.25">
      <c r="A467" s="21">
        <v>3000002857</v>
      </c>
      <c r="B467" s="22">
        <v>45812</v>
      </c>
      <c r="C467" s="20">
        <v>7018095.9199999999</v>
      </c>
      <c r="D467" s="21" t="s">
        <v>618</v>
      </c>
      <c r="E467" s="21">
        <v>1329</v>
      </c>
      <c r="F467" s="20">
        <v>7018095.9199999999</v>
      </c>
      <c r="G467" s="22">
        <v>45814</v>
      </c>
      <c r="H467" t="s">
        <v>32</v>
      </c>
      <c r="I467" s="51" t="str">
        <f>IFERROR(IF(VLOOKUP(E467,extracto!C:C,1,FALSE)=E467,"pagado","no pagado"),"no pagado")</f>
        <v>pagado</v>
      </c>
      <c r="J467" s="52" t="str">
        <f t="shared" si="318"/>
        <v>pagado</v>
      </c>
      <c r="K467" s="51" t="str">
        <f t="shared" ca="1" si="319"/>
        <v>excluir</v>
      </c>
      <c r="L467" s="51" t="str">
        <f t="shared" ca="1" si="320"/>
        <v>no semana</v>
      </c>
      <c r="M467" s="51" t="str">
        <f>IFERROR(VLOOKUP(E467,'cheques a conf'!A:D,4,FALSE),"no clearing")</f>
        <v>no clearing</v>
      </c>
      <c r="N467" s="51">
        <f t="shared" si="321"/>
        <v>23</v>
      </c>
      <c r="O467" s="53">
        <f t="shared" si="322"/>
        <v>6</v>
      </c>
      <c r="P467" s="53">
        <f t="shared" si="323"/>
        <v>2025</v>
      </c>
    </row>
    <row r="468" spans="1:16" customFormat="1" x14ac:dyDescent="0.25">
      <c r="A468" s="21">
        <v>3000002858</v>
      </c>
      <c r="B468" s="22">
        <v>45812</v>
      </c>
      <c r="C468" s="20">
        <v>4018981.05</v>
      </c>
      <c r="D468" s="21" t="s">
        <v>612</v>
      </c>
      <c r="E468" s="21">
        <v>1330</v>
      </c>
      <c r="F468" s="20">
        <v>4018981.05</v>
      </c>
      <c r="G468" s="22">
        <v>45814</v>
      </c>
      <c r="H468" t="s">
        <v>32</v>
      </c>
      <c r="I468" s="51" t="str">
        <f>IFERROR(IF(VLOOKUP(E468,extracto!C:C,1,FALSE)=E468,"pagado","no pagado"),"no pagado")</f>
        <v>pagado</v>
      </c>
      <c r="J468" s="52" t="str">
        <f t="shared" si="318"/>
        <v>pagado</v>
      </c>
      <c r="K468" s="51" t="str">
        <f t="shared" ca="1" si="319"/>
        <v>excluir</v>
      </c>
      <c r="L468" s="51" t="str">
        <f t="shared" ca="1" si="320"/>
        <v>no semana</v>
      </c>
      <c r="M468" s="51" t="str">
        <f>IFERROR(VLOOKUP(E468,'cheques a conf'!A:D,4,FALSE),"no clearing")</f>
        <v>no clearing</v>
      </c>
      <c r="N468" s="51">
        <f t="shared" si="321"/>
        <v>23</v>
      </c>
      <c r="O468" s="53">
        <f t="shared" si="322"/>
        <v>6</v>
      </c>
      <c r="P468" s="53">
        <f t="shared" si="323"/>
        <v>2025</v>
      </c>
    </row>
    <row r="469" spans="1:16" customFormat="1" x14ac:dyDescent="0.25">
      <c r="A469" s="21">
        <v>3000002859</v>
      </c>
      <c r="B469" s="22">
        <v>45812</v>
      </c>
      <c r="C469" s="20">
        <v>8054729.7400000002</v>
      </c>
      <c r="D469" s="21" t="s">
        <v>619</v>
      </c>
      <c r="E469" s="21">
        <v>1331</v>
      </c>
      <c r="F469" s="20">
        <v>8054729.7400000002</v>
      </c>
      <c r="G469" s="22">
        <v>45814</v>
      </c>
      <c r="H469" t="s">
        <v>32</v>
      </c>
      <c r="I469" s="51" t="str">
        <f>IFERROR(IF(VLOOKUP(E469,extracto!C:C,1,FALSE)=E469,"pagado","no pagado"),"no pagado")</f>
        <v>pagado</v>
      </c>
      <c r="J469" s="52" t="str">
        <f t="shared" si="318"/>
        <v>pagado</v>
      </c>
      <c r="K469" s="51" t="str">
        <f t="shared" ca="1" si="319"/>
        <v>excluir</v>
      </c>
      <c r="L469" s="51" t="str">
        <f t="shared" ca="1" si="320"/>
        <v>no semana</v>
      </c>
      <c r="M469" s="51" t="str">
        <f>IFERROR(VLOOKUP(E469,'cheques a conf'!A:D,4,FALSE),"no clearing")</f>
        <v>no clearing</v>
      </c>
      <c r="N469" s="51">
        <f t="shared" si="321"/>
        <v>23</v>
      </c>
      <c r="O469" s="53">
        <f t="shared" si="322"/>
        <v>6</v>
      </c>
      <c r="P469" s="53">
        <f t="shared" si="323"/>
        <v>2025</v>
      </c>
    </row>
    <row r="470" spans="1:16" customFormat="1" x14ac:dyDescent="0.25">
      <c r="A470" s="21">
        <v>3000002860</v>
      </c>
      <c r="B470" s="22">
        <v>45812</v>
      </c>
      <c r="C470" s="20">
        <v>28238867.920000002</v>
      </c>
      <c r="D470" s="21" t="s">
        <v>621</v>
      </c>
      <c r="E470" s="21">
        <v>1332</v>
      </c>
      <c r="F470" s="20">
        <v>28238867.920000002</v>
      </c>
      <c r="G470" s="22">
        <v>45814</v>
      </c>
      <c r="H470" t="s">
        <v>32</v>
      </c>
      <c r="I470" s="51" t="str">
        <f>IFERROR(IF(VLOOKUP(E470,extracto!C:C,1,FALSE)=E470,"pagado","no pagado"),"no pagado")</f>
        <v>pagado</v>
      </c>
      <c r="J470" s="52" t="str">
        <f t="shared" si="318"/>
        <v>pagado</v>
      </c>
      <c r="K470" s="51" t="str">
        <f t="shared" ca="1" si="319"/>
        <v>excluir</v>
      </c>
      <c r="L470" s="51" t="str">
        <f t="shared" ca="1" si="320"/>
        <v>no semana</v>
      </c>
      <c r="M470" s="51" t="str">
        <f>IFERROR(VLOOKUP(E470,'cheques a conf'!A:D,4,FALSE),"no clearing")</f>
        <v>no clearing</v>
      </c>
      <c r="N470" s="51">
        <f t="shared" si="321"/>
        <v>23</v>
      </c>
      <c r="O470" s="53">
        <f t="shared" si="322"/>
        <v>6</v>
      </c>
      <c r="P470" s="53">
        <f t="shared" si="323"/>
        <v>2025</v>
      </c>
    </row>
    <row r="471" spans="1:16" customFormat="1" x14ac:dyDescent="0.25">
      <c r="A471" s="21">
        <v>3000002861</v>
      </c>
      <c r="B471" s="22">
        <v>45812</v>
      </c>
      <c r="C471" s="20">
        <v>2122166.35</v>
      </c>
      <c r="D471" s="21" t="s">
        <v>688</v>
      </c>
      <c r="E471" s="21">
        <v>1333</v>
      </c>
      <c r="F471" s="20">
        <v>2122166.35</v>
      </c>
      <c r="G471" s="22">
        <v>45814</v>
      </c>
      <c r="H471" t="s">
        <v>32</v>
      </c>
      <c r="I471" s="51" t="str">
        <f>IFERROR(IF(VLOOKUP(E471,extracto!C:C,1,FALSE)=E471,"pagado","no pagado"),"no pagado")</f>
        <v>pagado</v>
      </c>
      <c r="J471" s="52" t="str">
        <f t="shared" si="318"/>
        <v>pagado</v>
      </c>
      <c r="K471" s="51" t="str">
        <f t="shared" ca="1" si="319"/>
        <v>excluir</v>
      </c>
      <c r="L471" s="51" t="str">
        <f t="shared" ca="1" si="320"/>
        <v>no semana</v>
      </c>
      <c r="M471" s="51" t="str">
        <f>IFERROR(VLOOKUP(E471,'cheques a conf'!A:D,4,FALSE),"no clearing")</f>
        <v>no clearing</v>
      </c>
      <c r="N471" s="51">
        <f t="shared" si="321"/>
        <v>23</v>
      </c>
      <c r="O471" s="53">
        <f t="shared" si="322"/>
        <v>6</v>
      </c>
      <c r="P471" s="53">
        <f t="shared" si="323"/>
        <v>2025</v>
      </c>
    </row>
    <row r="472" spans="1:16" customFormat="1" x14ac:dyDescent="0.25">
      <c r="A472" s="21">
        <v>3000002862</v>
      </c>
      <c r="B472" s="22">
        <v>45812</v>
      </c>
      <c r="C472" s="20">
        <v>7230530.2599999998</v>
      </c>
      <c r="D472" s="21" t="s">
        <v>673</v>
      </c>
      <c r="E472" s="21">
        <v>1334</v>
      </c>
      <c r="F472" s="20">
        <v>7230530.2599999998</v>
      </c>
      <c r="G472" s="22">
        <v>45814</v>
      </c>
      <c r="H472" t="s">
        <v>32</v>
      </c>
      <c r="I472" s="51" t="str">
        <f>IFERROR(IF(VLOOKUP(E472,extracto!C:C,1,FALSE)=E472,"pagado","no pagado"),"no pagado")</f>
        <v>pagado</v>
      </c>
      <c r="J472" s="52" t="str">
        <f t="shared" si="318"/>
        <v>pagado</v>
      </c>
      <c r="K472" s="51" t="str">
        <f t="shared" ca="1" si="319"/>
        <v>excluir</v>
      </c>
      <c r="L472" s="51" t="str">
        <f t="shared" ca="1" si="320"/>
        <v>no semana</v>
      </c>
      <c r="M472" s="51" t="str">
        <f>IFERROR(VLOOKUP(E472,'cheques a conf'!A:D,4,FALSE),"no clearing")</f>
        <v>no clearing</v>
      </c>
      <c r="N472" s="51">
        <f t="shared" si="321"/>
        <v>23</v>
      </c>
      <c r="O472" s="53">
        <f t="shared" si="322"/>
        <v>6</v>
      </c>
      <c r="P472" s="53">
        <f t="shared" si="323"/>
        <v>2025</v>
      </c>
    </row>
    <row r="473" spans="1:16" customFormat="1" x14ac:dyDescent="0.25">
      <c r="A473" s="21">
        <v>3000002863</v>
      </c>
      <c r="B473" s="22">
        <v>45812</v>
      </c>
      <c r="C473" s="20">
        <v>2500204.92</v>
      </c>
      <c r="D473" s="21" t="s">
        <v>662</v>
      </c>
      <c r="E473" s="21">
        <v>1335</v>
      </c>
      <c r="F473" s="20">
        <v>2500204.92</v>
      </c>
      <c r="G473" s="22">
        <v>45814</v>
      </c>
      <c r="H473" t="s">
        <v>32</v>
      </c>
      <c r="I473" s="51" t="str">
        <f>IFERROR(IF(VLOOKUP(E473,extracto!C:C,1,FALSE)=E473,"pagado","no pagado"),"no pagado")</f>
        <v>pagado</v>
      </c>
      <c r="J473" s="52" t="str">
        <f t="shared" si="318"/>
        <v>pagado</v>
      </c>
      <c r="K473" s="51" t="str">
        <f t="shared" ca="1" si="319"/>
        <v>excluir</v>
      </c>
      <c r="L473" s="51" t="str">
        <f t="shared" ca="1" si="320"/>
        <v>no semana</v>
      </c>
      <c r="M473" s="51" t="str">
        <f>IFERROR(VLOOKUP(E473,'cheques a conf'!A:D,4,FALSE),"no clearing")</f>
        <v>no clearing</v>
      </c>
      <c r="N473" s="51">
        <f t="shared" si="321"/>
        <v>23</v>
      </c>
      <c r="O473" s="53">
        <f t="shared" si="322"/>
        <v>6</v>
      </c>
      <c r="P473" s="53">
        <f t="shared" si="323"/>
        <v>2025</v>
      </c>
    </row>
    <row r="474" spans="1:16" customFormat="1" x14ac:dyDescent="0.25">
      <c r="A474" s="21">
        <v>3000002864</v>
      </c>
      <c r="B474" s="22">
        <v>45812</v>
      </c>
      <c r="C474" s="20">
        <v>2402209.67</v>
      </c>
      <c r="D474" s="21" t="s">
        <v>678</v>
      </c>
      <c r="E474" s="21">
        <v>1336</v>
      </c>
      <c r="F474" s="20">
        <v>2402209.67</v>
      </c>
      <c r="G474" s="22">
        <v>45814</v>
      </c>
      <c r="H474" t="s">
        <v>32</v>
      </c>
      <c r="I474" s="51" t="str">
        <f>IFERROR(IF(VLOOKUP(E474,extracto!C:C,1,FALSE)=E474,"pagado","no pagado"),"no pagado")</f>
        <v>pagado</v>
      </c>
      <c r="J474" s="52" t="str">
        <f t="shared" si="318"/>
        <v>pagado</v>
      </c>
      <c r="K474" s="51" t="str">
        <f t="shared" ca="1" si="319"/>
        <v>excluir</v>
      </c>
      <c r="L474" s="51" t="str">
        <f t="shared" ca="1" si="320"/>
        <v>no semana</v>
      </c>
      <c r="M474" s="51" t="str">
        <f>IFERROR(VLOOKUP(E474,'cheques a conf'!A:D,4,FALSE),"no clearing")</f>
        <v>no clearing</v>
      </c>
      <c r="N474" s="51">
        <f t="shared" si="321"/>
        <v>23</v>
      </c>
      <c r="O474" s="53">
        <f t="shared" si="322"/>
        <v>6</v>
      </c>
      <c r="P474" s="53">
        <f t="shared" si="323"/>
        <v>2025</v>
      </c>
    </row>
    <row r="475" spans="1:16" customFormat="1" x14ac:dyDescent="0.25">
      <c r="A475" s="21">
        <v>3000002865</v>
      </c>
      <c r="B475" s="22">
        <v>45812</v>
      </c>
      <c r="C475" s="20">
        <v>6105815.0300000003</v>
      </c>
      <c r="D475" s="21" t="s">
        <v>689</v>
      </c>
      <c r="E475" s="21">
        <v>1337</v>
      </c>
      <c r="F475" s="20">
        <v>6105815.0300000003</v>
      </c>
      <c r="G475" s="22">
        <v>45814</v>
      </c>
      <c r="H475" t="s">
        <v>32</v>
      </c>
      <c r="I475" s="51" t="str">
        <f>IFERROR(IF(VLOOKUP(E475,extracto!C:C,1,FALSE)=E475,"pagado","no pagado"),"no pagado")</f>
        <v>pagado</v>
      </c>
      <c r="J475" s="52" t="str">
        <f t="shared" si="318"/>
        <v>pagado</v>
      </c>
      <c r="K475" s="51" t="str">
        <f t="shared" ca="1" si="319"/>
        <v>excluir</v>
      </c>
      <c r="L475" s="51" t="str">
        <f t="shared" ca="1" si="320"/>
        <v>no semana</v>
      </c>
      <c r="M475" s="51" t="str">
        <f>IFERROR(VLOOKUP(E475,'cheques a conf'!A:D,4,FALSE),"no clearing")</f>
        <v>no clearing</v>
      </c>
      <c r="N475" s="51">
        <f t="shared" si="321"/>
        <v>23</v>
      </c>
      <c r="O475" s="53">
        <f t="shared" si="322"/>
        <v>6</v>
      </c>
      <c r="P475" s="53">
        <f t="shared" si="323"/>
        <v>2025</v>
      </c>
    </row>
    <row r="476" spans="1:16" customFormat="1" x14ac:dyDescent="0.25">
      <c r="A476" s="21">
        <v>3000002866</v>
      </c>
      <c r="B476" s="22">
        <v>45812</v>
      </c>
      <c r="C476" s="20">
        <v>2437827.3199999998</v>
      </c>
      <c r="D476" s="21" t="s">
        <v>676</v>
      </c>
      <c r="E476" s="21">
        <v>1338</v>
      </c>
      <c r="F476" s="20">
        <v>2437827.3199999998</v>
      </c>
      <c r="G476" s="22">
        <v>45814</v>
      </c>
      <c r="H476" t="s">
        <v>32</v>
      </c>
      <c r="I476" s="51" t="str">
        <f>IFERROR(IF(VLOOKUP(E476,extracto!C:C,1,FALSE)=E476,"pagado","no pagado"),"no pagado")</f>
        <v>pagado</v>
      </c>
      <c r="J476" s="52" t="str">
        <f t="shared" si="318"/>
        <v>pagado</v>
      </c>
      <c r="K476" s="51" t="str">
        <f t="shared" ca="1" si="319"/>
        <v>excluir</v>
      </c>
      <c r="L476" s="51" t="str">
        <f t="shared" ca="1" si="320"/>
        <v>no semana</v>
      </c>
      <c r="M476" s="51" t="str">
        <f>IFERROR(VLOOKUP(E476,'cheques a conf'!A:D,4,FALSE),"no clearing")</f>
        <v>no clearing</v>
      </c>
      <c r="N476" s="51">
        <f t="shared" si="321"/>
        <v>23</v>
      </c>
      <c r="O476" s="53">
        <f t="shared" si="322"/>
        <v>6</v>
      </c>
      <c r="P476" s="53">
        <f t="shared" si="323"/>
        <v>2025</v>
      </c>
    </row>
    <row r="477" spans="1:16" customFormat="1" x14ac:dyDescent="0.25">
      <c r="A477" s="21">
        <v>3000002867</v>
      </c>
      <c r="B477" s="22">
        <v>45812</v>
      </c>
      <c r="C477" s="20">
        <v>3003338.5</v>
      </c>
      <c r="D477" s="21" t="s">
        <v>690</v>
      </c>
      <c r="E477" s="21">
        <v>1339</v>
      </c>
      <c r="F477" s="20">
        <v>3003338.5</v>
      </c>
      <c r="G477" s="22">
        <v>45814</v>
      </c>
      <c r="H477" t="s">
        <v>32</v>
      </c>
      <c r="I477" s="51" t="str">
        <f>IFERROR(IF(VLOOKUP(E477,extracto!C:C,1,FALSE)=E477,"pagado","no pagado"),"no pagado")</f>
        <v>pagado</v>
      </c>
      <c r="J477" s="52" t="str">
        <f t="shared" si="318"/>
        <v>pagado</v>
      </c>
      <c r="K477" s="51" t="str">
        <f t="shared" ca="1" si="319"/>
        <v>excluir</v>
      </c>
      <c r="L477" s="51" t="str">
        <f t="shared" ca="1" si="320"/>
        <v>no semana</v>
      </c>
      <c r="M477" s="51" t="str">
        <f>IFERROR(VLOOKUP(E477,'cheques a conf'!A:D,4,FALSE),"no clearing")</f>
        <v>no clearing</v>
      </c>
      <c r="N477" s="51">
        <f t="shared" si="321"/>
        <v>23</v>
      </c>
      <c r="O477" s="53">
        <f t="shared" si="322"/>
        <v>6</v>
      </c>
      <c r="P477" s="53">
        <f t="shared" si="323"/>
        <v>2025</v>
      </c>
    </row>
    <row r="478" spans="1:16" customFormat="1" x14ac:dyDescent="0.25">
      <c r="A478" s="21">
        <v>3000002868</v>
      </c>
      <c r="B478" s="22">
        <v>45812</v>
      </c>
      <c r="C478" s="20">
        <v>3258808.3</v>
      </c>
      <c r="D478" s="21" t="s">
        <v>651</v>
      </c>
      <c r="E478" s="21">
        <v>1340</v>
      </c>
      <c r="F478" s="20">
        <v>3258808.3</v>
      </c>
      <c r="G478" s="22">
        <v>45814</v>
      </c>
      <c r="H478" t="s">
        <v>32</v>
      </c>
      <c r="I478" s="51" t="str">
        <f>IFERROR(IF(VLOOKUP(E478,extracto!C:C,1,FALSE)=E478,"pagado","no pagado"),"no pagado")</f>
        <v>pagado</v>
      </c>
      <c r="J478" s="52" t="str">
        <f t="shared" si="318"/>
        <v>pagado</v>
      </c>
      <c r="K478" s="51" t="str">
        <f t="shared" ca="1" si="319"/>
        <v>excluir</v>
      </c>
      <c r="L478" s="51" t="str">
        <f t="shared" ca="1" si="320"/>
        <v>no semana</v>
      </c>
      <c r="M478" s="51" t="str">
        <f>IFERROR(VLOOKUP(E478,'cheques a conf'!A:D,4,FALSE),"no clearing")</f>
        <v>no clearing</v>
      </c>
      <c r="N478" s="51">
        <f t="shared" si="321"/>
        <v>23</v>
      </c>
      <c r="O478" s="53">
        <f t="shared" si="322"/>
        <v>6</v>
      </c>
      <c r="P478" s="53">
        <f t="shared" si="323"/>
        <v>2025</v>
      </c>
    </row>
    <row r="479" spans="1:16" customFormat="1" x14ac:dyDescent="0.25">
      <c r="A479" s="21">
        <v>3000002869</v>
      </c>
      <c r="B479" s="22">
        <v>45812</v>
      </c>
      <c r="C479" s="20">
        <v>3158687.5</v>
      </c>
      <c r="D479" s="21" t="s">
        <v>691</v>
      </c>
      <c r="E479" s="21">
        <v>1341</v>
      </c>
      <c r="F479" s="20">
        <v>3158687.5</v>
      </c>
      <c r="G479" s="22">
        <v>45814</v>
      </c>
      <c r="H479" t="s">
        <v>32</v>
      </c>
      <c r="I479" s="51" t="str">
        <f>IFERROR(IF(VLOOKUP(E479,extracto!C:C,1,FALSE)=E479,"pagado","no pagado"),"no pagado")</f>
        <v>pagado</v>
      </c>
      <c r="J479" s="52" t="str">
        <f t="shared" si="318"/>
        <v>pagado</v>
      </c>
      <c r="K479" s="51" t="str">
        <f t="shared" ca="1" si="319"/>
        <v>excluir</v>
      </c>
      <c r="L479" s="51" t="str">
        <f t="shared" ca="1" si="320"/>
        <v>no semana</v>
      </c>
      <c r="M479" s="51" t="str">
        <f>IFERROR(VLOOKUP(E479,'cheques a conf'!A:D,4,FALSE),"no clearing")</f>
        <v>no clearing</v>
      </c>
      <c r="N479" s="51">
        <f t="shared" si="321"/>
        <v>23</v>
      </c>
      <c r="O479" s="53">
        <f t="shared" si="322"/>
        <v>6</v>
      </c>
      <c r="P479" s="53">
        <f t="shared" si="323"/>
        <v>2025</v>
      </c>
    </row>
    <row r="480" spans="1:16" customFormat="1" x14ac:dyDescent="0.25">
      <c r="A480" s="21">
        <v>3000002870</v>
      </c>
      <c r="B480" s="22">
        <v>45812</v>
      </c>
      <c r="C480" s="20">
        <v>5640600.9299999997</v>
      </c>
      <c r="D480" s="21" t="s">
        <v>692</v>
      </c>
      <c r="E480" s="21">
        <v>1342</v>
      </c>
      <c r="F480" s="20">
        <v>5640600.9299999997</v>
      </c>
      <c r="G480" s="22">
        <v>45814</v>
      </c>
      <c r="H480" t="s">
        <v>32</v>
      </c>
      <c r="I480" s="51" t="str">
        <f>IFERROR(IF(VLOOKUP(E480,extracto!C:C,1,FALSE)=E480,"pagado","no pagado"),"no pagado")</f>
        <v>pagado</v>
      </c>
      <c r="J480" s="52" t="str">
        <f t="shared" si="318"/>
        <v>pagado</v>
      </c>
      <c r="K480" s="51" t="str">
        <f t="shared" ca="1" si="319"/>
        <v>excluir</v>
      </c>
      <c r="L480" s="51" t="str">
        <f t="shared" ca="1" si="320"/>
        <v>no semana</v>
      </c>
      <c r="M480" s="51" t="str">
        <f>IFERROR(VLOOKUP(E480,'cheques a conf'!A:D,4,FALSE),"no clearing")</f>
        <v>no clearing</v>
      </c>
      <c r="N480" s="51">
        <f t="shared" si="321"/>
        <v>23</v>
      </c>
      <c r="O480" s="53">
        <f t="shared" si="322"/>
        <v>6</v>
      </c>
      <c r="P480" s="53">
        <f t="shared" si="323"/>
        <v>2025</v>
      </c>
    </row>
    <row r="481" spans="1:16" customFormat="1" x14ac:dyDescent="0.25">
      <c r="A481" s="21">
        <v>3000002968</v>
      </c>
      <c r="B481" s="22">
        <v>45817</v>
      </c>
      <c r="C481" s="20">
        <v>1911957</v>
      </c>
      <c r="D481" s="21" t="s">
        <v>595</v>
      </c>
      <c r="E481" s="21">
        <v>1344</v>
      </c>
      <c r="F481" s="20">
        <v>1911957</v>
      </c>
      <c r="G481" s="22">
        <v>45819</v>
      </c>
      <c r="H481" t="s">
        <v>32</v>
      </c>
      <c r="I481" s="51" t="str">
        <f>IFERROR(IF(VLOOKUP(E481,extracto!C:C,1,FALSE)=E481,"pagado","no pagado"),"no pagado")</f>
        <v>pagado</v>
      </c>
      <c r="J481" s="52" t="str">
        <f t="shared" ref="J481:J510" si="324">IF(I481="pagado","pagado",IF(G481&lt;$V$1-30,"fuera de fecha","en periodo de pago"))</f>
        <v>pagado</v>
      </c>
      <c r="K481" s="51" t="str">
        <f t="shared" ref="K481:K510" ca="1" si="325">+IF(B481&gt;$V$1,"excluir",IF(J481="en periodo de pago",IF($V$1&gt;G481,"a pagar","proximo a vencer"),"excluir"))</f>
        <v>excluir</v>
      </c>
      <c r="L481" s="51" t="str">
        <f t="shared" ref="L481:L510" ca="1" si="326">+IF(K481="proximo a vencer",IF($V$1+5&gt;G481,"para la semana","no semana"),"no semana")</f>
        <v>no semana</v>
      </c>
      <c r="M481" s="51" t="str">
        <f>IFERROR(VLOOKUP(E481,'cheques a conf'!A:D,4,FALSE),"no clearing")</f>
        <v>no clearing</v>
      </c>
      <c r="N481" s="51">
        <f t="shared" ref="N481:N510" si="327">+WEEKNUM(G481,2)</f>
        <v>24</v>
      </c>
      <c r="O481" s="53">
        <f t="shared" ref="O481:O510" si="328">+MONTH(G481)</f>
        <v>6</v>
      </c>
      <c r="P481" s="53">
        <f t="shared" ref="P481:P510" si="329">+YEAR(G481)</f>
        <v>2025</v>
      </c>
    </row>
    <row r="482" spans="1:16" customFormat="1" x14ac:dyDescent="0.25">
      <c r="A482" s="21">
        <v>3000002968</v>
      </c>
      <c r="B482" s="22">
        <v>45817</v>
      </c>
      <c r="C482" s="20">
        <v>1111712</v>
      </c>
      <c r="D482" s="21" t="s">
        <v>595</v>
      </c>
      <c r="E482" s="21">
        <v>1345</v>
      </c>
      <c r="F482" s="20">
        <v>1111712</v>
      </c>
      <c r="G482" s="22">
        <v>45819</v>
      </c>
      <c r="H482" t="s">
        <v>32</v>
      </c>
      <c r="I482" s="51" t="str">
        <f>IFERROR(IF(VLOOKUP(E482,extracto!C:C,1,FALSE)=E482,"pagado","no pagado"),"no pagado")</f>
        <v>pagado</v>
      </c>
      <c r="J482" s="52" t="str">
        <f t="shared" si="324"/>
        <v>pagado</v>
      </c>
      <c r="K482" s="51" t="str">
        <f t="shared" ca="1" si="325"/>
        <v>excluir</v>
      </c>
      <c r="L482" s="51" t="str">
        <f t="shared" ca="1" si="326"/>
        <v>no semana</v>
      </c>
      <c r="M482" s="51" t="str">
        <f>IFERROR(VLOOKUP(E482,'cheques a conf'!A:D,4,FALSE),"no clearing")</f>
        <v>no clearing</v>
      </c>
      <c r="N482" s="51">
        <f t="shared" si="327"/>
        <v>24</v>
      </c>
      <c r="O482" s="53">
        <f t="shared" si="328"/>
        <v>6</v>
      </c>
      <c r="P482" s="53">
        <f t="shared" si="329"/>
        <v>2025</v>
      </c>
    </row>
    <row r="483" spans="1:16" customFormat="1" x14ac:dyDescent="0.25">
      <c r="A483" s="21">
        <v>3000002968</v>
      </c>
      <c r="B483" s="22">
        <v>45817</v>
      </c>
      <c r="C483" s="20">
        <v>1805529</v>
      </c>
      <c r="D483" s="21" t="s">
        <v>595</v>
      </c>
      <c r="E483" s="21">
        <v>1346</v>
      </c>
      <c r="F483" s="20">
        <v>1805529</v>
      </c>
      <c r="G483" s="22">
        <v>45819</v>
      </c>
      <c r="H483" t="s">
        <v>32</v>
      </c>
      <c r="I483" s="51" t="str">
        <f>IFERROR(IF(VLOOKUP(E483,extracto!C:C,1,FALSE)=E483,"pagado","no pagado"),"no pagado")</f>
        <v>pagado</v>
      </c>
      <c r="J483" s="52" t="str">
        <f t="shared" si="324"/>
        <v>pagado</v>
      </c>
      <c r="K483" s="51" t="str">
        <f t="shared" ca="1" si="325"/>
        <v>excluir</v>
      </c>
      <c r="L483" s="51" t="str">
        <f t="shared" ca="1" si="326"/>
        <v>no semana</v>
      </c>
      <c r="M483" s="51" t="str">
        <f>IFERROR(VLOOKUP(E483,'cheques a conf'!A:D,4,FALSE),"no clearing")</f>
        <v>no clearing</v>
      </c>
      <c r="N483" s="51">
        <f t="shared" si="327"/>
        <v>24</v>
      </c>
      <c r="O483" s="53">
        <f t="shared" si="328"/>
        <v>6</v>
      </c>
      <c r="P483" s="53">
        <f t="shared" si="329"/>
        <v>2025</v>
      </c>
    </row>
    <row r="484" spans="1:16" customFormat="1" x14ac:dyDescent="0.25">
      <c r="A484" s="21">
        <v>3000002968</v>
      </c>
      <c r="B484" s="22">
        <v>45817</v>
      </c>
      <c r="C484" s="20">
        <v>1856299</v>
      </c>
      <c r="D484" s="21" t="s">
        <v>595</v>
      </c>
      <c r="E484" s="21">
        <v>1347</v>
      </c>
      <c r="F484" s="20">
        <v>1856299</v>
      </c>
      <c r="G484" s="22">
        <v>45819</v>
      </c>
      <c r="H484" t="s">
        <v>32</v>
      </c>
      <c r="I484" s="51" t="str">
        <f>IFERROR(IF(VLOOKUP(E484,extracto!C:C,1,FALSE)=E484,"pagado","no pagado"),"no pagado")</f>
        <v>pagado</v>
      </c>
      <c r="J484" s="52" t="str">
        <f t="shared" si="324"/>
        <v>pagado</v>
      </c>
      <c r="K484" s="51" t="str">
        <f t="shared" ca="1" si="325"/>
        <v>excluir</v>
      </c>
      <c r="L484" s="51" t="str">
        <f t="shared" ca="1" si="326"/>
        <v>no semana</v>
      </c>
      <c r="M484" s="51" t="str">
        <f>IFERROR(VLOOKUP(E484,'cheques a conf'!A:D,4,FALSE),"no clearing")</f>
        <v>no clearing</v>
      </c>
      <c r="N484" s="51">
        <f t="shared" si="327"/>
        <v>24</v>
      </c>
      <c r="O484" s="53">
        <f t="shared" si="328"/>
        <v>6</v>
      </c>
      <c r="P484" s="53">
        <f t="shared" si="329"/>
        <v>2025</v>
      </c>
    </row>
    <row r="485" spans="1:16" customFormat="1" x14ac:dyDescent="0.25">
      <c r="A485" s="21">
        <v>3000002968</v>
      </c>
      <c r="B485" s="22">
        <v>45817</v>
      </c>
      <c r="C485" s="20">
        <v>8377145</v>
      </c>
      <c r="D485" s="21" t="s">
        <v>595</v>
      </c>
      <c r="E485" s="21">
        <v>1348</v>
      </c>
      <c r="F485" s="20">
        <v>8377145</v>
      </c>
      <c r="G485" s="22">
        <v>45819</v>
      </c>
      <c r="H485" t="s">
        <v>32</v>
      </c>
      <c r="I485" s="51" t="str">
        <f>IFERROR(IF(VLOOKUP(E485,extracto!C:C,1,FALSE)=E485,"pagado","no pagado"),"no pagado")</f>
        <v>pagado</v>
      </c>
      <c r="J485" s="52" t="str">
        <f t="shared" si="324"/>
        <v>pagado</v>
      </c>
      <c r="K485" s="51" t="str">
        <f t="shared" ca="1" si="325"/>
        <v>excluir</v>
      </c>
      <c r="L485" s="51" t="str">
        <f t="shared" ca="1" si="326"/>
        <v>no semana</v>
      </c>
      <c r="M485" s="51" t="str">
        <f>IFERROR(VLOOKUP(E485,'cheques a conf'!A:D,4,FALSE),"no clearing")</f>
        <v>no clearing</v>
      </c>
      <c r="N485" s="51">
        <f t="shared" si="327"/>
        <v>24</v>
      </c>
      <c r="O485" s="53">
        <f t="shared" si="328"/>
        <v>6</v>
      </c>
      <c r="P485" s="53">
        <f t="shared" si="329"/>
        <v>2025</v>
      </c>
    </row>
    <row r="486" spans="1:16" customFormat="1" x14ac:dyDescent="0.25">
      <c r="A486" s="21">
        <v>3000002968</v>
      </c>
      <c r="B486" s="22">
        <v>45817</v>
      </c>
      <c r="C486" s="20">
        <v>4329071</v>
      </c>
      <c r="D486" s="21" t="s">
        <v>595</v>
      </c>
      <c r="E486" s="21">
        <v>1349</v>
      </c>
      <c r="F486" s="20">
        <v>4329071</v>
      </c>
      <c r="G486" s="22">
        <v>45819</v>
      </c>
      <c r="H486" t="s">
        <v>32</v>
      </c>
      <c r="I486" s="51" t="str">
        <f>IFERROR(IF(VLOOKUP(E486,extracto!C:C,1,FALSE)=E486,"pagado","no pagado"),"no pagado")</f>
        <v>pagado</v>
      </c>
      <c r="J486" s="52" t="str">
        <f t="shared" si="324"/>
        <v>pagado</v>
      </c>
      <c r="K486" s="51" t="str">
        <f t="shared" ca="1" si="325"/>
        <v>excluir</v>
      </c>
      <c r="L486" s="51" t="str">
        <f t="shared" ca="1" si="326"/>
        <v>no semana</v>
      </c>
      <c r="M486" s="51" t="str">
        <f>IFERROR(VLOOKUP(E486,'cheques a conf'!A:D,4,FALSE),"no clearing")</f>
        <v>no clearing</v>
      </c>
      <c r="N486" s="51">
        <f t="shared" si="327"/>
        <v>24</v>
      </c>
      <c r="O486" s="53">
        <f t="shared" si="328"/>
        <v>6</v>
      </c>
      <c r="P486" s="53">
        <f t="shared" si="329"/>
        <v>2025</v>
      </c>
    </row>
    <row r="487" spans="1:16" customFormat="1" x14ac:dyDescent="0.25">
      <c r="A487" s="21">
        <v>3000002968</v>
      </c>
      <c r="B487" s="22">
        <v>45817</v>
      </c>
      <c r="C487" s="20">
        <v>6150000</v>
      </c>
      <c r="D487" s="21" t="s">
        <v>595</v>
      </c>
      <c r="E487" s="21">
        <v>1350</v>
      </c>
      <c r="F487" s="20">
        <v>6150000</v>
      </c>
      <c r="G487" s="22">
        <v>45819</v>
      </c>
      <c r="H487" t="s">
        <v>32</v>
      </c>
      <c r="I487" s="51" t="str">
        <f>IFERROR(IF(VLOOKUP(E487,extracto!C:C,1,FALSE)=E487,"pagado","no pagado"),"no pagado")</f>
        <v>pagado</v>
      </c>
      <c r="J487" s="52" t="str">
        <f t="shared" si="324"/>
        <v>pagado</v>
      </c>
      <c r="K487" s="51" t="str">
        <f t="shared" ca="1" si="325"/>
        <v>excluir</v>
      </c>
      <c r="L487" s="51" t="str">
        <f t="shared" ca="1" si="326"/>
        <v>no semana</v>
      </c>
      <c r="M487" s="51" t="str">
        <f>IFERROR(VLOOKUP(E487,'cheques a conf'!A:D,4,FALSE),"no clearing")</f>
        <v>no clearing</v>
      </c>
      <c r="N487" s="51">
        <f t="shared" si="327"/>
        <v>24</v>
      </c>
      <c r="O487" s="53">
        <f t="shared" si="328"/>
        <v>6</v>
      </c>
      <c r="P487" s="53">
        <f t="shared" si="329"/>
        <v>2025</v>
      </c>
    </row>
    <row r="488" spans="1:16" customFormat="1" x14ac:dyDescent="0.25">
      <c r="A488" s="21">
        <v>3000002968</v>
      </c>
      <c r="B488" s="22">
        <v>45817</v>
      </c>
      <c r="C488" s="20">
        <v>1530610</v>
      </c>
      <c r="D488" s="21" t="s">
        <v>595</v>
      </c>
      <c r="E488" s="21">
        <v>1351</v>
      </c>
      <c r="F488" s="20">
        <v>1530610</v>
      </c>
      <c r="G488" s="22">
        <v>45819</v>
      </c>
      <c r="H488" t="s">
        <v>32</v>
      </c>
      <c r="I488" s="51" t="str">
        <f>IFERROR(IF(VLOOKUP(E488,extracto!C:C,1,FALSE)=E488,"pagado","no pagado"),"no pagado")</f>
        <v>pagado</v>
      </c>
      <c r="J488" s="52" t="str">
        <f t="shared" si="324"/>
        <v>pagado</v>
      </c>
      <c r="K488" s="51" t="str">
        <f t="shared" ca="1" si="325"/>
        <v>excluir</v>
      </c>
      <c r="L488" s="51" t="str">
        <f t="shared" ca="1" si="326"/>
        <v>no semana</v>
      </c>
      <c r="M488" s="51" t="str">
        <f>IFERROR(VLOOKUP(E488,'cheques a conf'!A:D,4,FALSE),"no clearing")</f>
        <v>no clearing</v>
      </c>
      <c r="N488" s="51">
        <f t="shared" si="327"/>
        <v>24</v>
      </c>
      <c r="O488" s="53">
        <f t="shared" si="328"/>
        <v>6</v>
      </c>
      <c r="P488" s="53">
        <f t="shared" si="329"/>
        <v>2025</v>
      </c>
    </row>
    <row r="489" spans="1:16" customFormat="1" x14ac:dyDescent="0.25">
      <c r="A489" s="21">
        <v>3000002968</v>
      </c>
      <c r="B489" s="22">
        <v>45817</v>
      </c>
      <c r="C489" s="20">
        <v>2555000</v>
      </c>
      <c r="D489" s="21" t="s">
        <v>595</v>
      </c>
      <c r="E489" s="21">
        <v>1352</v>
      </c>
      <c r="F489" s="20">
        <v>2555000</v>
      </c>
      <c r="G489" s="22">
        <v>45819</v>
      </c>
      <c r="H489" t="s">
        <v>32</v>
      </c>
      <c r="I489" s="51" t="str">
        <f>IFERROR(IF(VLOOKUP(E489,extracto!C:C,1,FALSE)=E489,"pagado","no pagado"),"no pagado")</f>
        <v>pagado</v>
      </c>
      <c r="J489" s="52" t="str">
        <f t="shared" si="324"/>
        <v>pagado</v>
      </c>
      <c r="K489" s="51" t="str">
        <f t="shared" ca="1" si="325"/>
        <v>excluir</v>
      </c>
      <c r="L489" s="51" t="str">
        <f t="shared" ca="1" si="326"/>
        <v>no semana</v>
      </c>
      <c r="M489" s="51" t="str">
        <f>IFERROR(VLOOKUP(E489,'cheques a conf'!A:D,4,FALSE),"no clearing")</f>
        <v>no clearing</v>
      </c>
      <c r="N489" s="51">
        <f t="shared" si="327"/>
        <v>24</v>
      </c>
      <c r="O489" s="53">
        <f t="shared" si="328"/>
        <v>6</v>
      </c>
      <c r="P489" s="53">
        <f t="shared" si="329"/>
        <v>2025</v>
      </c>
    </row>
    <row r="490" spans="1:16" customFormat="1" x14ac:dyDescent="0.25">
      <c r="A490" s="21">
        <v>3000002968</v>
      </c>
      <c r="B490" s="22">
        <v>45817</v>
      </c>
      <c r="C490" s="20">
        <v>3354900</v>
      </c>
      <c r="D490" s="21" t="s">
        <v>595</v>
      </c>
      <c r="E490" s="21">
        <v>1353</v>
      </c>
      <c r="F490" s="20">
        <v>3354900</v>
      </c>
      <c r="G490" s="22">
        <v>45819</v>
      </c>
      <c r="H490" t="s">
        <v>32</v>
      </c>
      <c r="I490" s="51" t="str">
        <f>IFERROR(IF(VLOOKUP(E490,extracto!C:C,1,FALSE)=E490,"pagado","no pagado"),"no pagado")</f>
        <v>pagado</v>
      </c>
      <c r="J490" s="52" t="str">
        <f t="shared" si="324"/>
        <v>pagado</v>
      </c>
      <c r="K490" s="51" t="str">
        <f t="shared" ca="1" si="325"/>
        <v>excluir</v>
      </c>
      <c r="L490" s="51" t="str">
        <f t="shared" ca="1" si="326"/>
        <v>no semana</v>
      </c>
      <c r="M490" s="51" t="str">
        <f>IFERROR(VLOOKUP(E490,'cheques a conf'!A:D,4,FALSE),"no clearing")</f>
        <v>no clearing</v>
      </c>
      <c r="N490" s="51">
        <f t="shared" si="327"/>
        <v>24</v>
      </c>
      <c r="O490" s="53">
        <f t="shared" si="328"/>
        <v>6</v>
      </c>
      <c r="P490" s="53">
        <f t="shared" si="329"/>
        <v>2025</v>
      </c>
    </row>
    <row r="491" spans="1:16" customFormat="1" x14ac:dyDescent="0.25">
      <c r="A491" s="21">
        <v>3000002968</v>
      </c>
      <c r="B491" s="22">
        <v>45817</v>
      </c>
      <c r="C491" s="20">
        <v>7000000</v>
      </c>
      <c r="D491" s="21" t="s">
        <v>595</v>
      </c>
      <c r="E491" s="21">
        <v>1354</v>
      </c>
      <c r="F491" s="20">
        <v>7000000</v>
      </c>
      <c r="G491" s="22">
        <v>45819</v>
      </c>
      <c r="H491" t="s">
        <v>32</v>
      </c>
      <c r="I491" s="51" t="str">
        <f>IFERROR(IF(VLOOKUP(E491,extracto!C:C,1,FALSE)=E491,"pagado","no pagado"),"no pagado")</f>
        <v>pagado</v>
      </c>
      <c r="J491" s="52" t="str">
        <f t="shared" si="324"/>
        <v>pagado</v>
      </c>
      <c r="K491" s="51" t="str">
        <f t="shared" ca="1" si="325"/>
        <v>excluir</v>
      </c>
      <c r="L491" s="51" t="str">
        <f t="shared" ca="1" si="326"/>
        <v>no semana</v>
      </c>
      <c r="M491" s="51" t="str">
        <f>IFERROR(VLOOKUP(E491,'cheques a conf'!A:D,4,FALSE),"no clearing")</f>
        <v>no clearing</v>
      </c>
      <c r="N491" s="51">
        <f t="shared" si="327"/>
        <v>24</v>
      </c>
      <c r="O491" s="53">
        <f t="shared" si="328"/>
        <v>6</v>
      </c>
      <c r="P491" s="53">
        <f t="shared" si="329"/>
        <v>2025</v>
      </c>
    </row>
    <row r="492" spans="1:16" customFormat="1" x14ac:dyDescent="0.25">
      <c r="A492" s="21">
        <v>3000002968</v>
      </c>
      <c r="B492" s="22">
        <v>45817</v>
      </c>
      <c r="C492" s="20">
        <v>4832639</v>
      </c>
      <c r="D492" s="21" t="s">
        <v>595</v>
      </c>
      <c r="E492" s="21">
        <v>1355</v>
      </c>
      <c r="F492" s="20">
        <v>4832639</v>
      </c>
      <c r="G492" s="22">
        <v>45819</v>
      </c>
      <c r="H492" t="s">
        <v>32</v>
      </c>
      <c r="I492" s="51" t="str">
        <f>IFERROR(IF(VLOOKUP(E492,extracto!C:C,1,FALSE)=E492,"pagado","no pagado"),"no pagado")</f>
        <v>pagado</v>
      </c>
      <c r="J492" s="52" t="str">
        <f t="shared" si="324"/>
        <v>pagado</v>
      </c>
      <c r="K492" s="51" t="str">
        <f t="shared" ca="1" si="325"/>
        <v>excluir</v>
      </c>
      <c r="L492" s="51" t="str">
        <f t="shared" ca="1" si="326"/>
        <v>no semana</v>
      </c>
      <c r="M492" s="51" t="str">
        <f>IFERROR(VLOOKUP(E492,'cheques a conf'!A:D,4,FALSE),"no clearing")</f>
        <v>no clearing</v>
      </c>
      <c r="N492" s="51">
        <f t="shared" si="327"/>
        <v>24</v>
      </c>
      <c r="O492" s="53">
        <f t="shared" si="328"/>
        <v>6</v>
      </c>
      <c r="P492" s="53">
        <f t="shared" si="329"/>
        <v>2025</v>
      </c>
    </row>
    <row r="493" spans="1:16" customFormat="1" x14ac:dyDescent="0.25">
      <c r="A493" s="21">
        <v>3000002969</v>
      </c>
      <c r="B493" s="22">
        <v>45817</v>
      </c>
      <c r="C493" s="20">
        <v>10000000</v>
      </c>
      <c r="D493" s="21" t="s">
        <v>630</v>
      </c>
      <c r="E493" s="21">
        <v>1356</v>
      </c>
      <c r="F493" s="20">
        <v>10000000</v>
      </c>
      <c r="G493" s="22">
        <v>45819</v>
      </c>
      <c r="H493" t="s">
        <v>32</v>
      </c>
      <c r="I493" s="51" t="str">
        <f>IFERROR(IF(VLOOKUP(E493,extracto!C:C,1,FALSE)=E493,"pagado","no pagado"),"no pagado")</f>
        <v>pagado</v>
      </c>
      <c r="J493" s="52" t="str">
        <f t="shared" si="324"/>
        <v>pagado</v>
      </c>
      <c r="K493" s="51" t="str">
        <f t="shared" ca="1" si="325"/>
        <v>excluir</v>
      </c>
      <c r="L493" s="51" t="str">
        <f t="shared" ca="1" si="326"/>
        <v>no semana</v>
      </c>
      <c r="M493" s="51" t="str">
        <f>IFERROR(VLOOKUP(E493,'cheques a conf'!A:D,4,FALSE),"no clearing")</f>
        <v>no clearing</v>
      </c>
      <c r="N493" s="51">
        <f t="shared" si="327"/>
        <v>24</v>
      </c>
      <c r="O493" s="53">
        <f t="shared" si="328"/>
        <v>6</v>
      </c>
      <c r="P493" s="53">
        <f t="shared" si="329"/>
        <v>2025</v>
      </c>
    </row>
    <row r="494" spans="1:16" customFormat="1" x14ac:dyDescent="0.25">
      <c r="A494" s="21">
        <v>3000002969</v>
      </c>
      <c r="B494" s="22">
        <v>45817</v>
      </c>
      <c r="C494" s="20">
        <v>11377284.92</v>
      </c>
      <c r="D494" s="21" t="s">
        <v>630</v>
      </c>
      <c r="E494" s="21">
        <v>1357</v>
      </c>
      <c r="F494" s="20">
        <v>11377284.92</v>
      </c>
      <c r="G494" s="22">
        <v>45820</v>
      </c>
      <c r="H494" t="s">
        <v>32</v>
      </c>
      <c r="I494" s="51" t="str">
        <f>IFERROR(IF(VLOOKUP(E494,extracto!C:C,1,FALSE)=E494,"pagado","no pagado"),"no pagado")</f>
        <v>pagado</v>
      </c>
      <c r="J494" s="52" t="str">
        <f t="shared" si="324"/>
        <v>pagado</v>
      </c>
      <c r="K494" s="51" t="str">
        <f t="shared" ca="1" si="325"/>
        <v>excluir</v>
      </c>
      <c r="L494" s="51" t="str">
        <f t="shared" ca="1" si="326"/>
        <v>no semana</v>
      </c>
      <c r="M494" s="51" t="str">
        <f>IFERROR(VLOOKUP(E494,'cheques a conf'!A:D,4,FALSE),"no clearing")</f>
        <v>no clearing</v>
      </c>
      <c r="N494" s="51">
        <f t="shared" si="327"/>
        <v>24</v>
      </c>
      <c r="O494" s="53">
        <f t="shared" si="328"/>
        <v>6</v>
      </c>
      <c r="P494" s="53">
        <f t="shared" si="329"/>
        <v>2025</v>
      </c>
    </row>
    <row r="495" spans="1:16" customFormat="1" x14ac:dyDescent="0.25">
      <c r="A495" s="21">
        <v>3000002970</v>
      </c>
      <c r="B495" s="22">
        <v>45817</v>
      </c>
      <c r="C495" s="20">
        <v>15000000</v>
      </c>
      <c r="D495" s="21" t="s">
        <v>632</v>
      </c>
      <c r="E495" s="21">
        <v>1358</v>
      </c>
      <c r="F495" s="20">
        <v>15000000</v>
      </c>
      <c r="G495" s="22">
        <v>45819</v>
      </c>
      <c r="H495" t="s">
        <v>32</v>
      </c>
      <c r="I495" s="51" t="str">
        <f>IFERROR(IF(VLOOKUP(E495,extracto!C:C,1,FALSE)=E495,"pagado","no pagado"),"no pagado")</f>
        <v>pagado</v>
      </c>
      <c r="J495" s="52" t="str">
        <f t="shared" si="324"/>
        <v>pagado</v>
      </c>
      <c r="K495" s="51" t="str">
        <f t="shared" ca="1" si="325"/>
        <v>excluir</v>
      </c>
      <c r="L495" s="51" t="str">
        <f t="shared" ca="1" si="326"/>
        <v>no semana</v>
      </c>
      <c r="M495" s="51" t="str">
        <f>IFERROR(VLOOKUP(E495,'cheques a conf'!A:D,4,FALSE),"no clearing")</f>
        <v>no clearing</v>
      </c>
      <c r="N495" s="51">
        <f t="shared" si="327"/>
        <v>24</v>
      </c>
      <c r="O495" s="53">
        <f t="shared" si="328"/>
        <v>6</v>
      </c>
      <c r="P495" s="53">
        <f t="shared" si="329"/>
        <v>2025</v>
      </c>
    </row>
    <row r="496" spans="1:16" customFormat="1" x14ac:dyDescent="0.25">
      <c r="A496" s="21">
        <v>3000002970</v>
      </c>
      <c r="B496" s="22">
        <v>45817</v>
      </c>
      <c r="C496" s="20">
        <v>14192776.15</v>
      </c>
      <c r="D496" s="21" t="s">
        <v>632</v>
      </c>
      <c r="E496" s="21">
        <v>1359</v>
      </c>
      <c r="F496" s="20">
        <v>14192776.15</v>
      </c>
      <c r="G496" s="22">
        <v>45820</v>
      </c>
      <c r="H496" t="s">
        <v>32</v>
      </c>
      <c r="I496" s="51" t="str">
        <f>IFERROR(IF(VLOOKUP(E496,extracto!C:C,1,FALSE)=E496,"pagado","no pagado"),"no pagado")</f>
        <v>pagado</v>
      </c>
      <c r="J496" s="52" t="str">
        <f t="shared" si="324"/>
        <v>pagado</v>
      </c>
      <c r="K496" s="51" t="str">
        <f t="shared" ca="1" si="325"/>
        <v>excluir</v>
      </c>
      <c r="L496" s="51" t="str">
        <f t="shared" ca="1" si="326"/>
        <v>no semana</v>
      </c>
      <c r="M496" s="51" t="str">
        <f>IFERROR(VLOOKUP(E496,'cheques a conf'!A:D,4,FALSE),"no clearing")</f>
        <v>no clearing</v>
      </c>
      <c r="N496" s="51">
        <f t="shared" si="327"/>
        <v>24</v>
      </c>
      <c r="O496" s="53">
        <f t="shared" si="328"/>
        <v>6</v>
      </c>
      <c r="P496" s="53">
        <f t="shared" si="329"/>
        <v>2025</v>
      </c>
    </row>
    <row r="497" spans="1:16" customFormat="1" x14ac:dyDescent="0.25">
      <c r="A497" s="21">
        <v>3000002971</v>
      </c>
      <c r="B497" s="22">
        <v>45817</v>
      </c>
      <c r="C497" s="20">
        <v>17000000</v>
      </c>
      <c r="D497" s="21" t="s">
        <v>596</v>
      </c>
      <c r="E497" s="21">
        <v>1360</v>
      </c>
      <c r="F497" s="20">
        <v>17000000</v>
      </c>
      <c r="G497" s="22">
        <v>45819</v>
      </c>
      <c r="H497" t="s">
        <v>32</v>
      </c>
      <c r="I497" s="51" t="str">
        <f>IFERROR(IF(VLOOKUP(E497,extracto!C:C,1,FALSE)=E497,"pagado","no pagado"),"no pagado")</f>
        <v>pagado</v>
      </c>
      <c r="J497" s="52" t="str">
        <f t="shared" si="324"/>
        <v>pagado</v>
      </c>
      <c r="K497" s="51" t="str">
        <f t="shared" ca="1" si="325"/>
        <v>excluir</v>
      </c>
      <c r="L497" s="51" t="str">
        <f t="shared" ca="1" si="326"/>
        <v>no semana</v>
      </c>
      <c r="M497" s="51" t="str">
        <f>IFERROR(VLOOKUP(E497,'cheques a conf'!A:D,4,FALSE),"no clearing")</f>
        <v>no clearing</v>
      </c>
      <c r="N497" s="51">
        <f t="shared" si="327"/>
        <v>24</v>
      </c>
      <c r="O497" s="53">
        <f t="shared" si="328"/>
        <v>6</v>
      </c>
      <c r="P497" s="53">
        <f t="shared" si="329"/>
        <v>2025</v>
      </c>
    </row>
    <row r="498" spans="1:16" customFormat="1" x14ac:dyDescent="0.25">
      <c r="A498" s="21">
        <v>3000002971</v>
      </c>
      <c r="B498" s="22">
        <v>45817</v>
      </c>
      <c r="C498" s="20">
        <v>17845578.190000001</v>
      </c>
      <c r="D498" s="21" t="s">
        <v>596</v>
      </c>
      <c r="E498" s="21">
        <v>1361</v>
      </c>
      <c r="F498" s="20">
        <v>17845578.190000001</v>
      </c>
      <c r="G498" s="22">
        <v>45820</v>
      </c>
      <c r="H498" t="s">
        <v>32</v>
      </c>
      <c r="I498" s="51" t="str">
        <f>IFERROR(IF(VLOOKUP(E498,extracto!C:C,1,FALSE)=E498,"pagado","no pagado"),"no pagado")</f>
        <v>pagado</v>
      </c>
      <c r="J498" s="52" t="str">
        <f t="shared" si="324"/>
        <v>pagado</v>
      </c>
      <c r="K498" s="51" t="str">
        <f t="shared" ca="1" si="325"/>
        <v>excluir</v>
      </c>
      <c r="L498" s="51" t="str">
        <f t="shared" ca="1" si="326"/>
        <v>no semana</v>
      </c>
      <c r="M498" s="51" t="str">
        <f>IFERROR(VLOOKUP(E498,'cheques a conf'!A:D,4,FALSE),"no clearing")</f>
        <v>no clearing</v>
      </c>
      <c r="N498" s="51">
        <f t="shared" si="327"/>
        <v>24</v>
      </c>
      <c r="O498" s="53">
        <f t="shared" si="328"/>
        <v>6</v>
      </c>
      <c r="P498" s="53">
        <f t="shared" si="329"/>
        <v>2025</v>
      </c>
    </row>
    <row r="499" spans="1:16" customFormat="1" x14ac:dyDescent="0.25">
      <c r="A499" s="21">
        <v>3000002972</v>
      </c>
      <c r="B499" s="22">
        <v>45817</v>
      </c>
      <c r="C499" s="20">
        <v>11000000</v>
      </c>
      <c r="D499" s="21" t="s">
        <v>631</v>
      </c>
      <c r="E499" s="21">
        <v>1362</v>
      </c>
      <c r="F499" s="20">
        <v>11000000</v>
      </c>
      <c r="G499" s="22">
        <v>45819</v>
      </c>
      <c r="H499" t="s">
        <v>32</v>
      </c>
      <c r="I499" s="51" t="str">
        <f>IFERROR(IF(VLOOKUP(E499,extracto!C:C,1,FALSE)=E499,"pagado","no pagado"),"no pagado")</f>
        <v>pagado</v>
      </c>
      <c r="J499" s="52" t="str">
        <f t="shared" si="324"/>
        <v>pagado</v>
      </c>
      <c r="K499" s="51" t="str">
        <f t="shared" ca="1" si="325"/>
        <v>excluir</v>
      </c>
      <c r="L499" s="51" t="str">
        <f t="shared" ca="1" si="326"/>
        <v>no semana</v>
      </c>
      <c r="M499" s="51" t="str">
        <f>IFERROR(VLOOKUP(E499,'cheques a conf'!A:D,4,FALSE),"no clearing")</f>
        <v>no clearing</v>
      </c>
      <c r="N499" s="51">
        <f t="shared" si="327"/>
        <v>24</v>
      </c>
      <c r="O499" s="53">
        <f t="shared" si="328"/>
        <v>6</v>
      </c>
      <c r="P499" s="53">
        <f t="shared" si="329"/>
        <v>2025</v>
      </c>
    </row>
    <row r="500" spans="1:16" customFormat="1" x14ac:dyDescent="0.25">
      <c r="A500" s="21">
        <v>3000002972</v>
      </c>
      <c r="B500" s="22">
        <v>45817</v>
      </c>
      <c r="C500" s="20">
        <v>11086105.07</v>
      </c>
      <c r="D500" s="21" t="s">
        <v>631</v>
      </c>
      <c r="E500" s="21">
        <v>1363</v>
      </c>
      <c r="F500" s="20">
        <v>11086105.07</v>
      </c>
      <c r="G500" s="22">
        <v>45820</v>
      </c>
      <c r="H500" t="s">
        <v>32</v>
      </c>
      <c r="I500" s="51" t="str">
        <f>IFERROR(IF(VLOOKUP(E500,extracto!C:C,1,FALSE)=E500,"pagado","no pagado"),"no pagado")</f>
        <v>pagado</v>
      </c>
      <c r="J500" s="52" t="str">
        <f t="shared" si="324"/>
        <v>pagado</v>
      </c>
      <c r="K500" s="51" t="str">
        <f t="shared" ca="1" si="325"/>
        <v>excluir</v>
      </c>
      <c r="L500" s="51" t="str">
        <f t="shared" ca="1" si="326"/>
        <v>no semana</v>
      </c>
      <c r="M500" s="51" t="str">
        <f>IFERROR(VLOOKUP(E500,'cheques a conf'!A:D,4,FALSE),"no clearing")</f>
        <v>no clearing</v>
      </c>
      <c r="N500" s="51">
        <f t="shared" si="327"/>
        <v>24</v>
      </c>
      <c r="O500" s="53">
        <f t="shared" si="328"/>
        <v>6</v>
      </c>
      <c r="P500" s="53">
        <f t="shared" si="329"/>
        <v>2025</v>
      </c>
    </row>
    <row r="501" spans="1:16" customFormat="1" x14ac:dyDescent="0.25">
      <c r="A501" s="21">
        <v>3000002967</v>
      </c>
      <c r="B501" s="22">
        <v>45817</v>
      </c>
      <c r="C501" s="20">
        <v>5730784.9699999997</v>
      </c>
      <c r="D501" s="21" t="s">
        <v>588</v>
      </c>
      <c r="E501" s="21">
        <v>1343</v>
      </c>
      <c r="F501" s="20">
        <v>5730784.9699999997</v>
      </c>
      <c r="G501" s="22">
        <v>45819</v>
      </c>
      <c r="H501" t="s">
        <v>32</v>
      </c>
      <c r="I501" s="51" t="str">
        <f>IFERROR(IF(VLOOKUP(E501,extracto!C:C,1,FALSE)=E501,"pagado","no pagado"),"no pagado")</f>
        <v>pagado</v>
      </c>
      <c r="J501" s="52" t="str">
        <f t="shared" si="324"/>
        <v>pagado</v>
      </c>
      <c r="K501" s="51" t="str">
        <f t="shared" ca="1" si="325"/>
        <v>excluir</v>
      </c>
      <c r="L501" s="51" t="str">
        <f t="shared" ca="1" si="326"/>
        <v>no semana</v>
      </c>
      <c r="M501" s="51" t="str">
        <f>IFERROR(VLOOKUP(E501,'cheques a conf'!A:D,4,FALSE),"no clearing")</f>
        <v>no clearing</v>
      </c>
      <c r="N501" s="51">
        <f t="shared" si="327"/>
        <v>24</v>
      </c>
      <c r="O501" s="53">
        <f t="shared" si="328"/>
        <v>6</v>
      </c>
      <c r="P501" s="53">
        <f t="shared" si="329"/>
        <v>2025</v>
      </c>
    </row>
    <row r="502" spans="1:16" customFormat="1" x14ac:dyDescent="0.25">
      <c r="A502" s="21">
        <v>3000002973</v>
      </c>
      <c r="B502" s="22">
        <v>45817</v>
      </c>
      <c r="C502" s="20">
        <v>4316064.2</v>
      </c>
      <c r="D502" s="21" t="s">
        <v>620</v>
      </c>
      <c r="E502" s="21">
        <v>1364</v>
      </c>
      <c r="F502" s="20">
        <v>4316064.2</v>
      </c>
      <c r="G502" s="22">
        <v>45819</v>
      </c>
      <c r="H502" t="s">
        <v>32</v>
      </c>
      <c r="I502" s="51" t="str">
        <f>IFERROR(IF(VLOOKUP(E502,extracto!C:C,1,FALSE)=E502,"pagado","no pagado"),"no pagado")</f>
        <v>pagado</v>
      </c>
      <c r="J502" s="52" t="str">
        <f t="shared" si="324"/>
        <v>pagado</v>
      </c>
      <c r="K502" s="51" t="str">
        <f t="shared" ca="1" si="325"/>
        <v>excluir</v>
      </c>
      <c r="L502" s="51" t="str">
        <f t="shared" ca="1" si="326"/>
        <v>no semana</v>
      </c>
      <c r="M502" s="51" t="str">
        <f>IFERROR(VLOOKUP(E502,'cheques a conf'!A:D,4,FALSE),"no clearing")</f>
        <v>no clearing</v>
      </c>
      <c r="N502" s="51">
        <f t="shared" si="327"/>
        <v>24</v>
      </c>
      <c r="O502" s="53">
        <f t="shared" si="328"/>
        <v>6</v>
      </c>
      <c r="P502" s="53">
        <f t="shared" si="329"/>
        <v>2025</v>
      </c>
    </row>
    <row r="503" spans="1:16" customFormat="1" x14ac:dyDescent="0.25">
      <c r="A503" s="21">
        <v>3000002974</v>
      </c>
      <c r="B503" s="22">
        <v>45817</v>
      </c>
      <c r="C503" s="20">
        <v>12294522.08</v>
      </c>
      <c r="D503" s="21" t="s">
        <v>74</v>
      </c>
      <c r="E503" s="21">
        <v>1365</v>
      </c>
      <c r="F503" s="20">
        <v>12294522.08</v>
      </c>
      <c r="G503" s="22">
        <v>45819</v>
      </c>
      <c r="H503" t="s">
        <v>32</v>
      </c>
      <c r="I503" s="51" t="str">
        <f>IFERROR(IF(VLOOKUP(E503,extracto!C:C,1,FALSE)=E503,"pagado","no pagado"),"no pagado")</f>
        <v>pagado</v>
      </c>
      <c r="J503" s="52" t="str">
        <f t="shared" si="324"/>
        <v>pagado</v>
      </c>
      <c r="K503" s="51" t="str">
        <f t="shared" ca="1" si="325"/>
        <v>excluir</v>
      </c>
      <c r="L503" s="51" t="str">
        <f t="shared" ca="1" si="326"/>
        <v>no semana</v>
      </c>
      <c r="M503" s="51" t="str">
        <f>IFERROR(VLOOKUP(E503,'cheques a conf'!A:D,4,FALSE),"no clearing")</f>
        <v>no clearing</v>
      </c>
      <c r="N503" s="51">
        <f t="shared" si="327"/>
        <v>24</v>
      </c>
      <c r="O503" s="53">
        <f t="shared" si="328"/>
        <v>6</v>
      </c>
      <c r="P503" s="53">
        <f t="shared" si="329"/>
        <v>2025</v>
      </c>
    </row>
    <row r="504" spans="1:16" customFormat="1" x14ac:dyDescent="0.25">
      <c r="A504" s="21">
        <v>3000002975</v>
      </c>
      <c r="B504" s="22">
        <v>45817</v>
      </c>
      <c r="C504" s="20">
        <v>7947151</v>
      </c>
      <c r="D504" s="21" t="s">
        <v>602</v>
      </c>
      <c r="E504" s="21">
        <v>1366</v>
      </c>
      <c r="F504" s="20">
        <v>7947151</v>
      </c>
      <c r="G504" s="22">
        <v>45820</v>
      </c>
      <c r="H504" t="s">
        <v>32</v>
      </c>
      <c r="I504" s="51" t="str">
        <f>IFERROR(IF(VLOOKUP(E504,extracto!C:C,1,FALSE)=E504,"pagado","no pagado"),"no pagado")</f>
        <v>pagado</v>
      </c>
      <c r="J504" s="52" t="str">
        <f t="shared" si="324"/>
        <v>pagado</v>
      </c>
      <c r="K504" s="51" t="str">
        <f t="shared" ca="1" si="325"/>
        <v>excluir</v>
      </c>
      <c r="L504" s="51" t="str">
        <f t="shared" ca="1" si="326"/>
        <v>no semana</v>
      </c>
      <c r="M504" s="51" t="str">
        <f>IFERROR(VLOOKUP(E504,'cheques a conf'!A:D,4,FALSE),"no clearing")</f>
        <v>no clearing</v>
      </c>
      <c r="N504" s="51">
        <f t="shared" si="327"/>
        <v>24</v>
      </c>
      <c r="O504" s="53">
        <f t="shared" si="328"/>
        <v>6</v>
      </c>
      <c r="P504" s="53">
        <f t="shared" si="329"/>
        <v>2025</v>
      </c>
    </row>
    <row r="505" spans="1:16" customFormat="1" x14ac:dyDescent="0.25">
      <c r="A505" s="21">
        <v>3000002976</v>
      </c>
      <c r="B505" s="22">
        <v>45817</v>
      </c>
      <c r="C505" s="20">
        <v>4434292.0999999996</v>
      </c>
      <c r="D505" s="21" t="s">
        <v>645</v>
      </c>
      <c r="E505" s="21">
        <v>1367</v>
      </c>
      <c r="F505" s="20">
        <v>4434292.0999999996</v>
      </c>
      <c r="G505" s="22">
        <v>45820</v>
      </c>
      <c r="H505" t="s">
        <v>32</v>
      </c>
      <c r="I505" s="51" t="str">
        <f>IFERROR(IF(VLOOKUP(E505,extracto!C:C,1,FALSE)=E505,"pagado","no pagado"),"no pagado")</f>
        <v>pagado</v>
      </c>
      <c r="J505" s="52" t="str">
        <f t="shared" si="324"/>
        <v>pagado</v>
      </c>
      <c r="K505" s="51" t="str">
        <f t="shared" ca="1" si="325"/>
        <v>excluir</v>
      </c>
      <c r="L505" s="51" t="str">
        <f t="shared" ca="1" si="326"/>
        <v>no semana</v>
      </c>
      <c r="M505" s="51" t="str">
        <f>IFERROR(VLOOKUP(E505,'cheques a conf'!A:D,4,FALSE),"no clearing")</f>
        <v>no clearing</v>
      </c>
      <c r="N505" s="51">
        <f t="shared" si="327"/>
        <v>24</v>
      </c>
      <c r="O505" s="53">
        <f t="shared" si="328"/>
        <v>6</v>
      </c>
      <c r="P505" s="53">
        <f t="shared" si="329"/>
        <v>2025</v>
      </c>
    </row>
    <row r="506" spans="1:16" customFormat="1" x14ac:dyDescent="0.25">
      <c r="A506" s="21">
        <v>3000003019</v>
      </c>
      <c r="B506" s="22">
        <v>45818</v>
      </c>
      <c r="C506" s="20">
        <v>22000000</v>
      </c>
      <c r="D506" s="21" t="s">
        <v>631</v>
      </c>
      <c r="E506" s="21">
        <v>1368</v>
      </c>
      <c r="F506" s="20">
        <v>22000000</v>
      </c>
      <c r="G506" s="22">
        <v>45820</v>
      </c>
      <c r="H506" t="s">
        <v>32</v>
      </c>
      <c r="I506" s="51" t="str">
        <f>IFERROR(IF(VLOOKUP(E506,extracto!C:C,1,FALSE)=E506,"pagado","no pagado"),"no pagado")</f>
        <v>pagado</v>
      </c>
      <c r="J506" s="52" t="str">
        <f t="shared" si="324"/>
        <v>pagado</v>
      </c>
      <c r="K506" s="51" t="str">
        <f t="shared" ca="1" si="325"/>
        <v>excluir</v>
      </c>
      <c r="L506" s="51" t="str">
        <f t="shared" ca="1" si="326"/>
        <v>no semana</v>
      </c>
      <c r="M506" s="51" t="str">
        <f>IFERROR(VLOOKUP(E506,'cheques a conf'!A:D,4,FALSE),"no clearing")</f>
        <v>no clearing</v>
      </c>
      <c r="N506" s="51">
        <f t="shared" si="327"/>
        <v>24</v>
      </c>
      <c r="O506" s="53">
        <f t="shared" si="328"/>
        <v>6</v>
      </c>
      <c r="P506" s="53">
        <f t="shared" si="329"/>
        <v>2025</v>
      </c>
    </row>
    <row r="507" spans="1:16" customFormat="1" x14ac:dyDescent="0.25">
      <c r="A507" s="21">
        <v>3000003019</v>
      </c>
      <c r="B507" s="22">
        <v>45818</v>
      </c>
      <c r="C507" s="20">
        <v>20941125.5</v>
      </c>
      <c r="D507" s="21" t="s">
        <v>631</v>
      </c>
      <c r="E507" s="21">
        <v>1369</v>
      </c>
      <c r="F507" s="20">
        <v>20941125.5</v>
      </c>
      <c r="G507" s="22">
        <v>45821</v>
      </c>
      <c r="H507" t="s">
        <v>32</v>
      </c>
      <c r="I507" s="51" t="str">
        <f>IFERROR(IF(VLOOKUP(E507,extracto!C:C,1,FALSE)=E507,"pagado","no pagado"),"no pagado")</f>
        <v>pagado</v>
      </c>
      <c r="J507" s="52" t="str">
        <f t="shared" si="324"/>
        <v>pagado</v>
      </c>
      <c r="K507" s="51" t="str">
        <f t="shared" ca="1" si="325"/>
        <v>excluir</v>
      </c>
      <c r="L507" s="51" t="str">
        <f t="shared" ca="1" si="326"/>
        <v>no semana</v>
      </c>
      <c r="M507" s="51" t="str">
        <f>IFERROR(VLOOKUP(E507,'cheques a conf'!A:D,4,FALSE),"no clearing")</f>
        <v>no clearing</v>
      </c>
      <c r="N507" s="51">
        <f t="shared" si="327"/>
        <v>24</v>
      </c>
      <c r="O507" s="53">
        <f t="shared" si="328"/>
        <v>6</v>
      </c>
      <c r="P507" s="53">
        <f t="shared" si="329"/>
        <v>2025</v>
      </c>
    </row>
    <row r="508" spans="1:16" customFormat="1" x14ac:dyDescent="0.25">
      <c r="A508" s="21">
        <v>3000003020</v>
      </c>
      <c r="B508" s="22">
        <v>45818</v>
      </c>
      <c r="C508" s="20">
        <v>20000000</v>
      </c>
      <c r="D508" s="21" t="s">
        <v>626</v>
      </c>
      <c r="E508" s="21">
        <v>1370</v>
      </c>
      <c r="F508" s="20">
        <v>20000000</v>
      </c>
      <c r="G508" s="22">
        <v>45820</v>
      </c>
      <c r="H508" t="s">
        <v>32</v>
      </c>
      <c r="I508" s="51" t="str">
        <f>IFERROR(IF(VLOOKUP(E508,extracto!C:C,1,FALSE)=E508,"pagado","no pagado"),"no pagado")</f>
        <v>pagado</v>
      </c>
      <c r="J508" s="52" t="str">
        <f t="shared" si="324"/>
        <v>pagado</v>
      </c>
      <c r="K508" s="51" t="str">
        <f t="shared" ca="1" si="325"/>
        <v>excluir</v>
      </c>
      <c r="L508" s="51" t="str">
        <f t="shared" ca="1" si="326"/>
        <v>no semana</v>
      </c>
      <c r="M508" s="51" t="str">
        <f>IFERROR(VLOOKUP(E508,'cheques a conf'!A:D,4,FALSE),"no clearing")</f>
        <v>no clearing</v>
      </c>
      <c r="N508" s="51">
        <f t="shared" si="327"/>
        <v>24</v>
      </c>
      <c r="O508" s="53">
        <f t="shared" si="328"/>
        <v>6</v>
      </c>
      <c r="P508" s="53">
        <f t="shared" si="329"/>
        <v>2025</v>
      </c>
    </row>
    <row r="509" spans="1:16" customFormat="1" x14ac:dyDescent="0.25">
      <c r="A509" s="21">
        <v>3000003020</v>
      </c>
      <c r="B509" s="22">
        <v>45818</v>
      </c>
      <c r="C509" s="20">
        <v>18021035.59</v>
      </c>
      <c r="D509" s="21" t="s">
        <v>626</v>
      </c>
      <c r="E509" s="21">
        <v>1371</v>
      </c>
      <c r="F509" s="20">
        <v>18021035.59</v>
      </c>
      <c r="G509" s="22">
        <v>45821</v>
      </c>
      <c r="H509" t="s">
        <v>32</v>
      </c>
      <c r="I509" s="51" t="str">
        <f>IFERROR(IF(VLOOKUP(E509,extracto!C:C,1,FALSE)=E509,"pagado","no pagado"),"no pagado")</f>
        <v>pagado</v>
      </c>
      <c r="J509" s="52" t="str">
        <f t="shared" si="324"/>
        <v>pagado</v>
      </c>
      <c r="K509" s="51" t="str">
        <f t="shared" ca="1" si="325"/>
        <v>excluir</v>
      </c>
      <c r="L509" s="51" t="str">
        <f t="shared" ca="1" si="326"/>
        <v>no semana</v>
      </c>
      <c r="M509" s="51" t="str">
        <f>IFERROR(VLOOKUP(E509,'cheques a conf'!A:D,4,FALSE),"no clearing")</f>
        <v>no clearing</v>
      </c>
      <c r="N509" s="51">
        <f t="shared" si="327"/>
        <v>24</v>
      </c>
      <c r="O509" s="53">
        <f t="shared" si="328"/>
        <v>6</v>
      </c>
      <c r="P509" s="53">
        <f t="shared" si="329"/>
        <v>2025</v>
      </c>
    </row>
    <row r="510" spans="1:16" customFormat="1" x14ac:dyDescent="0.25">
      <c r="A510" s="21">
        <v>3000003021</v>
      </c>
      <c r="B510" s="22">
        <v>45818</v>
      </c>
      <c r="C510" s="20">
        <v>19774783.579999998</v>
      </c>
      <c r="D510" s="21" t="s">
        <v>640</v>
      </c>
      <c r="E510" s="21">
        <v>1372</v>
      </c>
      <c r="F510" s="20">
        <v>19774783.579999998</v>
      </c>
      <c r="G510" s="22">
        <v>45820</v>
      </c>
      <c r="H510" t="s">
        <v>32</v>
      </c>
      <c r="I510" s="51" t="str">
        <f>IFERROR(IF(VLOOKUP(E510,extracto!C:C,1,FALSE)=E510,"pagado","no pagado"),"no pagado")</f>
        <v>pagado</v>
      </c>
      <c r="J510" s="52" t="str">
        <f t="shared" si="324"/>
        <v>pagado</v>
      </c>
      <c r="K510" s="51" t="str">
        <f t="shared" ca="1" si="325"/>
        <v>excluir</v>
      </c>
      <c r="L510" s="51" t="str">
        <f t="shared" ca="1" si="326"/>
        <v>no semana</v>
      </c>
      <c r="M510" s="51" t="str">
        <f>IFERROR(VLOOKUP(E510,'cheques a conf'!A:D,4,FALSE),"no clearing")</f>
        <v>no clearing</v>
      </c>
      <c r="N510" s="51">
        <f t="shared" si="327"/>
        <v>24</v>
      </c>
      <c r="O510" s="53">
        <f t="shared" si="328"/>
        <v>6</v>
      </c>
      <c r="P510" s="53">
        <f t="shared" si="329"/>
        <v>2025</v>
      </c>
    </row>
    <row r="511" spans="1:16" customFormat="1" x14ac:dyDescent="0.25">
      <c r="A511" s="21">
        <v>3000003045</v>
      </c>
      <c r="B511" s="22">
        <v>45819</v>
      </c>
      <c r="C511" s="20">
        <v>7391148.2000000002</v>
      </c>
      <c r="D511" s="21" t="s">
        <v>31</v>
      </c>
      <c r="E511" s="21">
        <v>1373</v>
      </c>
      <c r="F511" s="20">
        <v>7391148.2000000002</v>
      </c>
      <c r="G511" s="22">
        <v>45825</v>
      </c>
      <c r="H511" t="s">
        <v>32</v>
      </c>
      <c r="I511" s="51" t="str">
        <f>IFERROR(IF(VLOOKUP(E511,extracto!C:C,1,FALSE)=E511,"pagado","no pagado"),"no pagado")</f>
        <v>pagado</v>
      </c>
      <c r="J511" s="52" t="str">
        <f t="shared" ref="J511:J520" si="330">IF(I511="pagado","pagado",IF(G511&lt;$V$1-30,"fuera de fecha","en periodo de pago"))</f>
        <v>pagado</v>
      </c>
      <c r="K511" s="51" t="str">
        <f t="shared" ref="K511:K520" ca="1" si="331">+IF(B511&gt;$V$1,"excluir",IF(J511="en periodo de pago",IF($V$1&gt;G511,"a pagar","proximo a vencer"),"excluir"))</f>
        <v>excluir</v>
      </c>
      <c r="L511" s="51" t="str">
        <f t="shared" ref="L511:L520" ca="1" si="332">+IF(K511="proximo a vencer",IF($V$1+5&gt;G511,"para la semana","no semana"),"no semana")</f>
        <v>no semana</v>
      </c>
      <c r="M511" s="51" t="str">
        <f>IFERROR(VLOOKUP(E511,'cheques a conf'!A:D,4,FALSE),"no clearing")</f>
        <v>no clearing</v>
      </c>
      <c r="N511" s="51">
        <f t="shared" ref="N511:N520" si="333">+WEEKNUM(G511,2)</f>
        <v>25</v>
      </c>
      <c r="O511" s="53">
        <f t="shared" ref="O511:O520" si="334">+MONTH(G511)</f>
        <v>6</v>
      </c>
      <c r="P511" s="53">
        <f t="shared" ref="P511:P520" si="335">+YEAR(G511)</f>
        <v>2025</v>
      </c>
    </row>
    <row r="512" spans="1:16" customFormat="1" x14ac:dyDescent="0.25">
      <c r="A512" s="21">
        <v>3000003046</v>
      </c>
      <c r="B512" s="22">
        <v>45819</v>
      </c>
      <c r="C512" s="20">
        <v>4232024.63</v>
      </c>
      <c r="D512" s="21" t="s">
        <v>616</v>
      </c>
      <c r="E512" s="21">
        <v>1374</v>
      </c>
      <c r="F512" s="20">
        <v>4232024.63</v>
      </c>
      <c r="G512" s="22">
        <v>45825</v>
      </c>
      <c r="H512" t="s">
        <v>32</v>
      </c>
      <c r="I512" s="51" t="str">
        <f>IFERROR(IF(VLOOKUP(E512,extracto!C:C,1,FALSE)=E512,"pagado","no pagado"),"no pagado")</f>
        <v>pagado</v>
      </c>
      <c r="J512" s="52" t="str">
        <f t="shared" si="330"/>
        <v>pagado</v>
      </c>
      <c r="K512" s="51" t="str">
        <f t="shared" ca="1" si="331"/>
        <v>excluir</v>
      </c>
      <c r="L512" s="51" t="str">
        <f t="shared" ca="1" si="332"/>
        <v>no semana</v>
      </c>
      <c r="M512" s="51" t="str">
        <f>IFERROR(VLOOKUP(E512,'cheques a conf'!A:D,4,FALSE),"no clearing")</f>
        <v>no clearing</v>
      </c>
      <c r="N512" s="51">
        <f t="shared" si="333"/>
        <v>25</v>
      </c>
      <c r="O512" s="53">
        <f t="shared" si="334"/>
        <v>6</v>
      </c>
      <c r="P512" s="53">
        <f t="shared" si="335"/>
        <v>2025</v>
      </c>
    </row>
    <row r="513" spans="1:16" customFormat="1" x14ac:dyDescent="0.25">
      <c r="A513" s="21">
        <v>3000003047</v>
      </c>
      <c r="B513" s="22">
        <v>45819</v>
      </c>
      <c r="C513" s="20">
        <v>4018813.13</v>
      </c>
      <c r="D513" s="21" t="s">
        <v>612</v>
      </c>
      <c r="E513" s="21">
        <v>1375</v>
      </c>
      <c r="F513" s="20">
        <v>4018813.13</v>
      </c>
      <c r="G513" s="22">
        <v>45825</v>
      </c>
      <c r="H513" t="s">
        <v>32</v>
      </c>
      <c r="I513" s="51" t="str">
        <f>IFERROR(IF(VLOOKUP(E513,extracto!C:C,1,FALSE)=E513,"pagado","no pagado"),"no pagado")</f>
        <v>pagado</v>
      </c>
      <c r="J513" s="52" t="str">
        <f t="shared" si="330"/>
        <v>pagado</v>
      </c>
      <c r="K513" s="51" t="str">
        <f t="shared" ca="1" si="331"/>
        <v>excluir</v>
      </c>
      <c r="L513" s="51" t="str">
        <f t="shared" ca="1" si="332"/>
        <v>no semana</v>
      </c>
      <c r="M513" s="51" t="str">
        <f>IFERROR(VLOOKUP(E513,'cheques a conf'!A:D,4,FALSE),"no clearing")</f>
        <v>no clearing</v>
      </c>
      <c r="N513" s="51">
        <f t="shared" si="333"/>
        <v>25</v>
      </c>
      <c r="O513" s="53">
        <f t="shared" si="334"/>
        <v>6</v>
      </c>
      <c r="P513" s="53">
        <f t="shared" si="335"/>
        <v>2025</v>
      </c>
    </row>
    <row r="514" spans="1:16" customFormat="1" x14ac:dyDescent="0.25">
      <c r="A514" s="21">
        <v>3000003048</v>
      </c>
      <c r="B514" s="22">
        <v>45819</v>
      </c>
      <c r="C514" s="20">
        <v>36245528.310000002</v>
      </c>
      <c r="D514" s="21" t="s">
        <v>613</v>
      </c>
      <c r="E514" s="21">
        <v>1376</v>
      </c>
      <c r="F514" s="20">
        <v>36245528.310000002</v>
      </c>
      <c r="G514" s="22">
        <v>45825</v>
      </c>
      <c r="H514" t="s">
        <v>32</v>
      </c>
      <c r="I514" s="51" t="str">
        <f>IFERROR(IF(VLOOKUP(E514,extracto!C:C,1,FALSE)=E514,"pagado","no pagado"),"no pagado")</f>
        <v>pagado</v>
      </c>
      <c r="J514" s="52" t="str">
        <f t="shared" si="330"/>
        <v>pagado</v>
      </c>
      <c r="K514" s="51" t="str">
        <f t="shared" ca="1" si="331"/>
        <v>excluir</v>
      </c>
      <c r="L514" s="51" t="str">
        <f t="shared" ca="1" si="332"/>
        <v>no semana</v>
      </c>
      <c r="M514" s="51" t="str">
        <f>IFERROR(VLOOKUP(E514,'cheques a conf'!A:D,4,FALSE),"no clearing")</f>
        <v>no clearing</v>
      </c>
      <c r="N514" s="51">
        <f t="shared" si="333"/>
        <v>25</v>
      </c>
      <c r="O514" s="53">
        <f t="shared" si="334"/>
        <v>6</v>
      </c>
      <c r="P514" s="53">
        <f t="shared" si="335"/>
        <v>2025</v>
      </c>
    </row>
    <row r="515" spans="1:16" customFormat="1" x14ac:dyDescent="0.25">
      <c r="A515" s="21">
        <v>3000003049</v>
      </c>
      <c r="B515" s="22">
        <v>45819</v>
      </c>
      <c r="C515" s="20">
        <v>3990443.34</v>
      </c>
      <c r="D515" s="21" t="s">
        <v>623</v>
      </c>
      <c r="E515" s="21">
        <v>1377</v>
      </c>
      <c r="F515" s="20">
        <v>3990443.34</v>
      </c>
      <c r="G515" s="22">
        <v>45825</v>
      </c>
      <c r="H515" t="s">
        <v>32</v>
      </c>
      <c r="I515" s="51" t="str">
        <f>IFERROR(IF(VLOOKUP(E515,extracto!C:C,1,FALSE)=E515,"pagado","no pagado"),"no pagado")</f>
        <v>pagado</v>
      </c>
      <c r="J515" s="52" t="str">
        <f t="shared" si="330"/>
        <v>pagado</v>
      </c>
      <c r="K515" s="51" t="str">
        <f t="shared" ca="1" si="331"/>
        <v>excluir</v>
      </c>
      <c r="L515" s="51" t="str">
        <f t="shared" ca="1" si="332"/>
        <v>no semana</v>
      </c>
      <c r="M515" s="51" t="str">
        <f>IFERROR(VLOOKUP(E515,'cheques a conf'!A:D,4,FALSE),"no clearing")</f>
        <v>no clearing</v>
      </c>
      <c r="N515" s="51">
        <f t="shared" si="333"/>
        <v>25</v>
      </c>
      <c r="O515" s="53">
        <f t="shared" si="334"/>
        <v>6</v>
      </c>
      <c r="P515" s="53">
        <f t="shared" si="335"/>
        <v>2025</v>
      </c>
    </row>
    <row r="516" spans="1:16" customFormat="1" x14ac:dyDescent="0.25">
      <c r="A516" s="21">
        <v>3000003050</v>
      </c>
      <c r="B516" s="22">
        <v>45819</v>
      </c>
      <c r="C516" s="20">
        <v>20256723.109999999</v>
      </c>
      <c r="D516" s="21" t="s">
        <v>619</v>
      </c>
      <c r="E516" s="21">
        <v>1378</v>
      </c>
      <c r="F516" s="20">
        <v>20256723.109999999</v>
      </c>
      <c r="G516" s="22">
        <v>45825</v>
      </c>
      <c r="H516" t="s">
        <v>32</v>
      </c>
      <c r="I516" s="51" t="str">
        <f>IFERROR(IF(VLOOKUP(E516,extracto!C:C,1,FALSE)=E516,"pagado","no pagado"),"no pagado")</f>
        <v>pagado</v>
      </c>
      <c r="J516" s="52" t="str">
        <f t="shared" si="330"/>
        <v>pagado</v>
      </c>
      <c r="K516" s="51" t="str">
        <f t="shared" ca="1" si="331"/>
        <v>excluir</v>
      </c>
      <c r="L516" s="51" t="str">
        <f t="shared" ca="1" si="332"/>
        <v>no semana</v>
      </c>
      <c r="M516" s="51" t="str">
        <f>IFERROR(VLOOKUP(E516,'cheques a conf'!A:D,4,FALSE),"no clearing")</f>
        <v>no clearing</v>
      </c>
      <c r="N516" s="51">
        <f t="shared" si="333"/>
        <v>25</v>
      </c>
      <c r="O516" s="53">
        <f t="shared" si="334"/>
        <v>6</v>
      </c>
      <c r="P516" s="53">
        <f t="shared" si="335"/>
        <v>2025</v>
      </c>
    </row>
    <row r="517" spans="1:16" customFormat="1" x14ac:dyDescent="0.25">
      <c r="A517" s="21">
        <v>3000003051</v>
      </c>
      <c r="B517" s="22">
        <v>45819</v>
      </c>
      <c r="C517" s="20">
        <v>11371273.550000001</v>
      </c>
      <c r="D517" s="21" t="s">
        <v>593</v>
      </c>
      <c r="E517" s="21">
        <v>1379</v>
      </c>
      <c r="F517" s="20">
        <v>11371273.550000001</v>
      </c>
      <c r="G517" s="22">
        <v>45825</v>
      </c>
      <c r="H517" t="s">
        <v>32</v>
      </c>
      <c r="I517" s="51" t="str">
        <f>IFERROR(IF(VLOOKUP(E517,extracto!C:C,1,FALSE)=E517,"pagado","no pagado"),"no pagado")</f>
        <v>pagado</v>
      </c>
      <c r="J517" s="52" t="str">
        <f t="shared" si="330"/>
        <v>pagado</v>
      </c>
      <c r="K517" s="51" t="str">
        <f t="shared" ca="1" si="331"/>
        <v>excluir</v>
      </c>
      <c r="L517" s="51" t="str">
        <f t="shared" ca="1" si="332"/>
        <v>no semana</v>
      </c>
      <c r="M517" s="51" t="str">
        <f>IFERROR(VLOOKUP(E517,'cheques a conf'!A:D,4,FALSE),"no clearing")</f>
        <v>no clearing</v>
      </c>
      <c r="N517" s="51">
        <f t="shared" si="333"/>
        <v>25</v>
      </c>
      <c r="O517" s="53">
        <f t="shared" si="334"/>
        <v>6</v>
      </c>
      <c r="P517" s="53">
        <f t="shared" si="335"/>
        <v>2025</v>
      </c>
    </row>
    <row r="518" spans="1:16" customFormat="1" x14ac:dyDescent="0.25">
      <c r="A518" s="21">
        <v>3000003052</v>
      </c>
      <c r="B518" s="22">
        <v>45819</v>
      </c>
      <c r="C518" s="20">
        <v>24563659.02</v>
      </c>
      <c r="D518" s="21" t="s">
        <v>652</v>
      </c>
      <c r="E518" s="21">
        <v>1380</v>
      </c>
      <c r="F518" s="20">
        <v>24563659.02</v>
      </c>
      <c r="G518" s="22">
        <v>45825</v>
      </c>
      <c r="H518" t="s">
        <v>32</v>
      </c>
      <c r="I518" s="51" t="str">
        <f>IFERROR(IF(VLOOKUP(E518,extracto!C:C,1,FALSE)=E518,"pagado","no pagado"),"no pagado")</f>
        <v>pagado</v>
      </c>
      <c r="J518" s="52" t="str">
        <f t="shared" si="330"/>
        <v>pagado</v>
      </c>
      <c r="K518" s="51" t="str">
        <f t="shared" ca="1" si="331"/>
        <v>excluir</v>
      </c>
      <c r="L518" s="51" t="str">
        <f t="shared" ca="1" si="332"/>
        <v>no semana</v>
      </c>
      <c r="M518" s="51" t="str">
        <f>IFERROR(VLOOKUP(E518,'cheques a conf'!A:D,4,FALSE),"no clearing")</f>
        <v>no clearing</v>
      </c>
      <c r="N518" s="51">
        <f t="shared" si="333"/>
        <v>25</v>
      </c>
      <c r="O518" s="53">
        <f t="shared" si="334"/>
        <v>6</v>
      </c>
      <c r="P518" s="53">
        <f t="shared" si="335"/>
        <v>2025</v>
      </c>
    </row>
    <row r="519" spans="1:16" customFormat="1" x14ac:dyDescent="0.25">
      <c r="A519" s="21">
        <v>3000003053</v>
      </c>
      <c r="B519" s="22">
        <v>45819</v>
      </c>
      <c r="C519" s="20">
        <v>11023782</v>
      </c>
      <c r="D519" s="21" t="s">
        <v>657</v>
      </c>
      <c r="E519" s="21">
        <v>1381</v>
      </c>
      <c r="F519" s="20">
        <v>11023782</v>
      </c>
      <c r="G519" s="22">
        <v>45825</v>
      </c>
      <c r="H519" t="s">
        <v>32</v>
      </c>
      <c r="I519" s="51" t="str">
        <f>IFERROR(IF(VLOOKUP(E519,extracto!C:C,1,FALSE)=E519,"pagado","no pagado"),"no pagado")</f>
        <v>pagado</v>
      </c>
      <c r="J519" s="52" t="str">
        <f t="shared" si="330"/>
        <v>pagado</v>
      </c>
      <c r="K519" s="51" t="str">
        <f t="shared" ca="1" si="331"/>
        <v>excluir</v>
      </c>
      <c r="L519" s="51" t="str">
        <f t="shared" ca="1" si="332"/>
        <v>no semana</v>
      </c>
      <c r="M519" s="51" t="str">
        <f>IFERROR(VLOOKUP(E519,'cheques a conf'!A:D,4,FALSE),"no clearing")</f>
        <v>no clearing</v>
      </c>
      <c r="N519" s="51">
        <f t="shared" si="333"/>
        <v>25</v>
      </c>
      <c r="O519" s="53">
        <f t="shared" si="334"/>
        <v>6</v>
      </c>
      <c r="P519" s="53">
        <f t="shared" si="335"/>
        <v>2025</v>
      </c>
    </row>
    <row r="520" spans="1:16" customFormat="1" x14ac:dyDescent="0.25">
      <c r="A520" s="21">
        <v>3000003054</v>
      </c>
      <c r="B520" s="22">
        <v>45819</v>
      </c>
      <c r="C520" s="20">
        <v>9357237.3200000003</v>
      </c>
      <c r="D520" s="21" t="s">
        <v>618</v>
      </c>
      <c r="E520" s="21">
        <v>1382</v>
      </c>
      <c r="F520" s="20">
        <v>9357237.3200000003</v>
      </c>
      <c r="G520" s="22">
        <v>45825</v>
      </c>
      <c r="H520" t="s">
        <v>32</v>
      </c>
      <c r="I520" s="51" t="str">
        <f>IFERROR(IF(VLOOKUP(E520,extracto!C:C,1,FALSE)=E520,"pagado","no pagado"),"no pagado")</f>
        <v>pagado</v>
      </c>
      <c r="J520" s="52" t="str">
        <f t="shared" si="330"/>
        <v>pagado</v>
      </c>
      <c r="K520" s="51" t="str">
        <f t="shared" ca="1" si="331"/>
        <v>excluir</v>
      </c>
      <c r="L520" s="51" t="str">
        <f t="shared" ca="1" si="332"/>
        <v>no semana</v>
      </c>
      <c r="M520" s="51" t="str">
        <f>IFERROR(VLOOKUP(E520,'cheques a conf'!A:D,4,FALSE),"no clearing")</f>
        <v>no clearing</v>
      </c>
      <c r="N520" s="51">
        <f t="shared" si="333"/>
        <v>25</v>
      </c>
      <c r="O520" s="53">
        <f t="shared" si="334"/>
        <v>6</v>
      </c>
      <c r="P520" s="53">
        <f t="shared" si="335"/>
        <v>2025</v>
      </c>
    </row>
    <row r="521" spans="1:16" customFormat="1" x14ac:dyDescent="0.25">
      <c r="A521" s="21">
        <v>3000003096</v>
      </c>
      <c r="B521" s="22">
        <v>45820</v>
      </c>
      <c r="C521" s="20">
        <v>1600000</v>
      </c>
      <c r="D521" s="21" t="s">
        <v>594</v>
      </c>
      <c r="E521" s="21">
        <v>94326852</v>
      </c>
      <c r="F521" s="20">
        <v>1600000</v>
      </c>
      <c r="G521" s="22">
        <v>45821</v>
      </c>
      <c r="H521" t="s">
        <v>13</v>
      </c>
      <c r="I521" s="51" t="str">
        <f>IFERROR(IF(VLOOKUP(E521,extracto!C:C,1,FALSE)=E521,"pagado","no pagado"),"no pagado")</f>
        <v>pagado</v>
      </c>
      <c r="J521" s="52" t="str">
        <f t="shared" ref="J521" si="336">IF(I521="pagado","pagado",IF(G521&lt;$V$1-30,"fuera de fecha","en periodo de pago"))</f>
        <v>pagado</v>
      </c>
      <c r="K521" s="51" t="str">
        <f t="shared" ref="K521" ca="1" si="337">+IF(B521&gt;$V$1,"excluir",IF(J521="en periodo de pago",IF($V$1&gt;G521,"a pagar","proximo a vencer"),"excluir"))</f>
        <v>excluir</v>
      </c>
      <c r="L521" s="51" t="str">
        <f t="shared" ref="L521" ca="1" si="338">+IF(K521="proximo a vencer",IF($V$1+5&gt;G521,"para la semana","no semana"),"no semana")</f>
        <v>no semana</v>
      </c>
      <c r="M521" s="51" t="str">
        <f>IFERROR(VLOOKUP(E521,'cheques a conf'!A:D,4,FALSE),"no clearing")</f>
        <v>no clearing</v>
      </c>
      <c r="N521" s="51">
        <f t="shared" ref="N521" si="339">+WEEKNUM(G521,2)</f>
        <v>24</v>
      </c>
      <c r="O521" s="53">
        <f t="shared" ref="O521" si="340">+MONTH(G521)</f>
        <v>6</v>
      </c>
      <c r="P521" s="53">
        <f t="shared" ref="P521" si="341">+YEAR(G521)</f>
        <v>2025</v>
      </c>
    </row>
    <row r="522" spans="1:16" customFormat="1" x14ac:dyDescent="0.25">
      <c r="A522" s="21">
        <v>3000003144</v>
      </c>
      <c r="B522" s="22">
        <v>45821</v>
      </c>
      <c r="C522" s="20">
        <v>3409708.93</v>
      </c>
      <c r="D522" s="21" t="s">
        <v>676</v>
      </c>
      <c r="E522" s="21">
        <v>1383</v>
      </c>
      <c r="F522" s="20">
        <v>3409708.93</v>
      </c>
      <c r="G522" s="22">
        <v>45827</v>
      </c>
      <c r="H522" t="s">
        <v>32</v>
      </c>
      <c r="I522" s="51" t="str">
        <f>IFERROR(IF(VLOOKUP(E522,extracto!C:C,1,FALSE)=E522,"pagado","no pagado"),"no pagado")</f>
        <v>pagado</v>
      </c>
      <c r="J522" s="52" t="str">
        <f t="shared" ref="J522:J536" si="342">IF(I522="pagado","pagado",IF(G522&lt;$V$1-30,"fuera de fecha","en periodo de pago"))</f>
        <v>pagado</v>
      </c>
      <c r="K522" s="51" t="str">
        <f t="shared" ref="K522:K536" ca="1" si="343">+IF(B522&gt;$V$1,"excluir",IF(J522="en periodo de pago",IF($V$1&gt;G522,"a pagar","proximo a vencer"),"excluir"))</f>
        <v>excluir</v>
      </c>
      <c r="L522" s="51" t="str">
        <f t="shared" ref="L522:L536" ca="1" si="344">+IF(K522="proximo a vencer",IF($V$1+5&gt;G522,"para la semana","no semana"),"no semana")</f>
        <v>no semana</v>
      </c>
      <c r="M522" s="51" t="str">
        <f>IFERROR(VLOOKUP(E522,'cheques a conf'!A:D,4,FALSE),"no clearing")</f>
        <v>no clearing</v>
      </c>
      <c r="N522" s="51">
        <f t="shared" ref="N522:N536" si="345">+WEEKNUM(G522,2)</f>
        <v>25</v>
      </c>
      <c r="O522" s="53">
        <f t="shared" ref="O522:O536" si="346">+MONTH(G522)</f>
        <v>6</v>
      </c>
      <c r="P522" s="53">
        <f t="shared" ref="P522:P536" si="347">+YEAR(G522)</f>
        <v>2025</v>
      </c>
    </row>
    <row r="523" spans="1:16" customFormat="1" x14ac:dyDescent="0.25">
      <c r="A523" s="21">
        <v>3000003145</v>
      </c>
      <c r="B523" s="22">
        <v>45821</v>
      </c>
      <c r="C523" s="20">
        <v>3533592.22</v>
      </c>
      <c r="D523" s="21" t="s">
        <v>693</v>
      </c>
      <c r="E523" s="21">
        <v>1384</v>
      </c>
      <c r="F523" s="20">
        <v>3533592.22</v>
      </c>
      <c r="G523" s="22">
        <v>45827</v>
      </c>
      <c r="H523" t="s">
        <v>32</v>
      </c>
      <c r="I523" s="51" t="str">
        <f>IFERROR(IF(VLOOKUP(E523,extracto!C:C,1,FALSE)=E523,"pagado","no pagado"),"no pagado")</f>
        <v>pagado</v>
      </c>
      <c r="J523" s="52" t="str">
        <f t="shared" si="342"/>
        <v>pagado</v>
      </c>
      <c r="K523" s="51" t="str">
        <f t="shared" ca="1" si="343"/>
        <v>excluir</v>
      </c>
      <c r="L523" s="51" t="str">
        <f t="shared" ca="1" si="344"/>
        <v>no semana</v>
      </c>
      <c r="M523" s="51" t="str">
        <f>IFERROR(VLOOKUP(E523,'cheques a conf'!A:D,4,FALSE),"no clearing")</f>
        <v>no clearing</v>
      </c>
      <c r="N523" s="51">
        <f t="shared" si="345"/>
        <v>25</v>
      </c>
      <c r="O523" s="53">
        <f t="shared" si="346"/>
        <v>6</v>
      </c>
      <c r="P523" s="53">
        <f t="shared" si="347"/>
        <v>2025</v>
      </c>
    </row>
    <row r="524" spans="1:16" customFormat="1" x14ac:dyDescent="0.25">
      <c r="A524" s="21">
        <v>3000003146</v>
      </c>
      <c r="B524" s="22">
        <v>45821</v>
      </c>
      <c r="C524" s="20">
        <v>31798200</v>
      </c>
      <c r="D524" s="21" t="s">
        <v>621</v>
      </c>
      <c r="E524" s="21">
        <v>1385</v>
      </c>
      <c r="F524" s="20">
        <v>31798200</v>
      </c>
      <c r="G524" s="22">
        <v>45827</v>
      </c>
      <c r="H524" t="s">
        <v>32</v>
      </c>
      <c r="I524" s="51" t="str">
        <f>IFERROR(IF(VLOOKUP(E524,extracto!C:C,1,FALSE)=E524,"pagado","no pagado"),"no pagado")</f>
        <v>pagado</v>
      </c>
      <c r="J524" s="52" t="str">
        <f t="shared" si="342"/>
        <v>pagado</v>
      </c>
      <c r="K524" s="51" t="str">
        <f t="shared" ca="1" si="343"/>
        <v>excluir</v>
      </c>
      <c r="L524" s="51" t="str">
        <f t="shared" ca="1" si="344"/>
        <v>no semana</v>
      </c>
      <c r="M524" s="51" t="str">
        <f>IFERROR(VLOOKUP(E524,'cheques a conf'!A:D,4,FALSE),"no clearing")</f>
        <v>no clearing</v>
      </c>
      <c r="N524" s="51">
        <f t="shared" si="345"/>
        <v>25</v>
      </c>
      <c r="O524" s="53">
        <f t="shared" si="346"/>
        <v>6</v>
      </c>
      <c r="P524" s="53">
        <f t="shared" si="347"/>
        <v>2025</v>
      </c>
    </row>
    <row r="525" spans="1:16" customFormat="1" x14ac:dyDescent="0.25">
      <c r="A525" s="21">
        <v>3000003148</v>
      </c>
      <c r="B525" s="22">
        <v>45821</v>
      </c>
      <c r="C525" s="20">
        <v>4851099.5999999996</v>
      </c>
      <c r="D525" s="21" t="s">
        <v>694</v>
      </c>
      <c r="E525" s="21">
        <v>1386</v>
      </c>
      <c r="F525" s="20">
        <v>4851099.5999999996</v>
      </c>
      <c r="G525" s="22">
        <v>45827</v>
      </c>
      <c r="H525" t="s">
        <v>32</v>
      </c>
      <c r="I525" s="51" t="str">
        <f>IFERROR(IF(VLOOKUP(E525,extracto!C:C,1,FALSE)=E525,"pagado","no pagado"),"no pagado")</f>
        <v>pagado</v>
      </c>
      <c r="J525" s="52" t="str">
        <f t="shared" si="342"/>
        <v>pagado</v>
      </c>
      <c r="K525" s="51" t="str">
        <f t="shared" ca="1" si="343"/>
        <v>excluir</v>
      </c>
      <c r="L525" s="51" t="str">
        <f t="shared" ca="1" si="344"/>
        <v>no semana</v>
      </c>
      <c r="M525" s="51" t="str">
        <f>IFERROR(VLOOKUP(E525,'cheques a conf'!A:D,4,FALSE),"no clearing")</f>
        <v>no clearing</v>
      </c>
      <c r="N525" s="51">
        <f t="shared" si="345"/>
        <v>25</v>
      </c>
      <c r="O525" s="53">
        <f t="shared" si="346"/>
        <v>6</v>
      </c>
      <c r="P525" s="53">
        <f t="shared" si="347"/>
        <v>2025</v>
      </c>
    </row>
    <row r="526" spans="1:16" customFormat="1" x14ac:dyDescent="0.25">
      <c r="A526" s="21">
        <v>3000003149</v>
      </c>
      <c r="B526" s="22">
        <v>45821</v>
      </c>
      <c r="C526" s="20">
        <v>4967307.03</v>
      </c>
      <c r="D526" s="21" t="s">
        <v>664</v>
      </c>
      <c r="E526" s="21">
        <v>1387</v>
      </c>
      <c r="F526" s="20">
        <v>4967307.03</v>
      </c>
      <c r="G526" s="22">
        <v>45827</v>
      </c>
      <c r="H526" t="s">
        <v>32</v>
      </c>
      <c r="I526" s="51" t="str">
        <f>IFERROR(IF(VLOOKUP(E526,extracto!C:C,1,FALSE)=E526,"pagado","no pagado"),"no pagado")</f>
        <v>pagado</v>
      </c>
      <c r="J526" s="52" t="str">
        <f t="shared" si="342"/>
        <v>pagado</v>
      </c>
      <c r="K526" s="51" t="str">
        <f t="shared" ca="1" si="343"/>
        <v>excluir</v>
      </c>
      <c r="L526" s="51" t="str">
        <f t="shared" ca="1" si="344"/>
        <v>no semana</v>
      </c>
      <c r="M526" s="51" t="str">
        <f>IFERROR(VLOOKUP(E526,'cheques a conf'!A:D,4,FALSE),"no clearing")</f>
        <v>no clearing</v>
      </c>
      <c r="N526" s="51">
        <f t="shared" si="345"/>
        <v>25</v>
      </c>
      <c r="O526" s="53">
        <f t="shared" si="346"/>
        <v>6</v>
      </c>
      <c r="P526" s="53">
        <f t="shared" si="347"/>
        <v>2025</v>
      </c>
    </row>
    <row r="527" spans="1:16" customFormat="1" x14ac:dyDescent="0.25">
      <c r="A527" s="21">
        <v>3000003150</v>
      </c>
      <c r="B527" s="22">
        <v>45821</v>
      </c>
      <c r="C527" s="20">
        <v>3713118.49</v>
      </c>
      <c r="D527" s="21" t="s">
        <v>695</v>
      </c>
      <c r="E527" s="21">
        <v>1388</v>
      </c>
      <c r="F527" s="20">
        <v>3713118.49</v>
      </c>
      <c r="G527" s="22">
        <v>45827</v>
      </c>
      <c r="H527" t="s">
        <v>32</v>
      </c>
      <c r="I527" s="51" t="str">
        <f>IFERROR(IF(VLOOKUP(E527,extracto!C:C,1,FALSE)=E527,"pagado","no pagado"),"no pagado")</f>
        <v>pagado</v>
      </c>
      <c r="J527" s="52" t="str">
        <f t="shared" si="342"/>
        <v>pagado</v>
      </c>
      <c r="K527" s="51" t="str">
        <f t="shared" ca="1" si="343"/>
        <v>excluir</v>
      </c>
      <c r="L527" s="51" t="str">
        <f t="shared" ca="1" si="344"/>
        <v>no semana</v>
      </c>
      <c r="M527" s="51" t="str">
        <f>IFERROR(VLOOKUP(E527,'cheques a conf'!A:D,4,FALSE),"no clearing")</f>
        <v>no clearing</v>
      </c>
      <c r="N527" s="51">
        <f t="shared" si="345"/>
        <v>25</v>
      </c>
      <c r="O527" s="53">
        <f t="shared" si="346"/>
        <v>6</v>
      </c>
      <c r="P527" s="53">
        <f t="shared" si="347"/>
        <v>2025</v>
      </c>
    </row>
    <row r="528" spans="1:16" customFormat="1" x14ac:dyDescent="0.25">
      <c r="A528" s="21">
        <v>3000003151</v>
      </c>
      <c r="B528" s="22">
        <v>45821</v>
      </c>
      <c r="C528" s="20">
        <v>3410663.1</v>
      </c>
      <c r="D528" s="21" t="s">
        <v>696</v>
      </c>
      <c r="E528" s="21">
        <v>1389</v>
      </c>
      <c r="F528" s="20">
        <v>3410663.1</v>
      </c>
      <c r="G528" s="22">
        <v>45827</v>
      </c>
      <c r="H528" t="s">
        <v>32</v>
      </c>
      <c r="I528" s="51" t="str">
        <f>IFERROR(IF(VLOOKUP(E528,extracto!C:C,1,FALSE)=E528,"pagado","no pagado"),"no pagado")</f>
        <v>pagado</v>
      </c>
      <c r="J528" s="52" t="str">
        <f t="shared" si="342"/>
        <v>pagado</v>
      </c>
      <c r="K528" s="51" t="str">
        <f t="shared" ca="1" si="343"/>
        <v>excluir</v>
      </c>
      <c r="L528" s="51" t="str">
        <f t="shared" ca="1" si="344"/>
        <v>no semana</v>
      </c>
      <c r="M528" s="51" t="str">
        <f>IFERROR(VLOOKUP(E528,'cheques a conf'!A:D,4,FALSE),"no clearing")</f>
        <v>no clearing</v>
      </c>
      <c r="N528" s="51">
        <f t="shared" si="345"/>
        <v>25</v>
      </c>
      <c r="O528" s="53">
        <f t="shared" si="346"/>
        <v>6</v>
      </c>
      <c r="P528" s="53">
        <f t="shared" si="347"/>
        <v>2025</v>
      </c>
    </row>
    <row r="529" spans="1:16" customFormat="1" x14ac:dyDescent="0.25">
      <c r="A529" s="21">
        <v>3000003152</v>
      </c>
      <c r="B529" s="22">
        <v>45821</v>
      </c>
      <c r="C529" s="20">
        <v>5675483.3499999996</v>
      </c>
      <c r="D529" s="21" t="s">
        <v>669</v>
      </c>
      <c r="E529" s="21">
        <v>1390</v>
      </c>
      <c r="F529" s="20">
        <v>5675483.3499999996</v>
      </c>
      <c r="G529" s="22">
        <v>45827</v>
      </c>
      <c r="H529" t="s">
        <v>32</v>
      </c>
      <c r="I529" s="51" t="str">
        <f>IFERROR(IF(VLOOKUP(E529,extracto!C:C,1,FALSE)=E529,"pagado","no pagado"),"no pagado")</f>
        <v>pagado</v>
      </c>
      <c r="J529" s="52" t="str">
        <f t="shared" si="342"/>
        <v>pagado</v>
      </c>
      <c r="K529" s="51" t="str">
        <f t="shared" ca="1" si="343"/>
        <v>excluir</v>
      </c>
      <c r="L529" s="51" t="str">
        <f t="shared" ca="1" si="344"/>
        <v>no semana</v>
      </c>
      <c r="M529" s="51" t="str">
        <f>IFERROR(VLOOKUP(E529,'cheques a conf'!A:D,4,FALSE),"no clearing")</f>
        <v>no clearing</v>
      </c>
      <c r="N529" s="51">
        <f t="shared" si="345"/>
        <v>25</v>
      </c>
      <c r="O529" s="53">
        <f t="shared" si="346"/>
        <v>6</v>
      </c>
      <c r="P529" s="53">
        <f t="shared" si="347"/>
        <v>2025</v>
      </c>
    </row>
    <row r="530" spans="1:16" customFormat="1" x14ac:dyDescent="0.25">
      <c r="A530" s="21">
        <v>3000003153</v>
      </c>
      <c r="B530" s="22">
        <v>45821</v>
      </c>
      <c r="C530" s="20">
        <v>5813690.2999999998</v>
      </c>
      <c r="D530" s="21" t="s">
        <v>650</v>
      </c>
      <c r="E530" s="21">
        <v>1391</v>
      </c>
      <c r="F530" s="20">
        <v>5813690.2999999998</v>
      </c>
      <c r="G530" s="22">
        <v>45827</v>
      </c>
      <c r="H530" t="s">
        <v>32</v>
      </c>
      <c r="I530" s="51" t="str">
        <f>IFERROR(IF(VLOOKUP(E530,extracto!C:C,1,FALSE)=E530,"pagado","no pagado"),"no pagado")</f>
        <v>pagado</v>
      </c>
      <c r="J530" s="52" t="str">
        <f t="shared" si="342"/>
        <v>pagado</v>
      </c>
      <c r="K530" s="51" t="str">
        <f t="shared" ca="1" si="343"/>
        <v>excluir</v>
      </c>
      <c r="L530" s="51" t="str">
        <f t="shared" ca="1" si="344"/>
        <v>no semana</v>
      </c>
      <c r="M530" s="51" t="str">
        <f>IFERROR(VLOOKUP(E530,'cheques a conf'!A:D,4,FALSE),"no clearing")</f>
        <v>no clearing</v>
      </c>
      <c r="N530" s="51">
        <f t="shared" si="345"/>
        <v>25</v>
      </c>
      <c r="O530" s="53">
        <f t="shared" si="346"/>
        <v>6</v>
      </c>
      <c r="P530" s="53">
        <f t="shared" si="347"/>
        <v>2025</v>
      </c>
    </row>
    <row r="531" spans="1:16" customFormat="1" x14ac:dyDescent="0.25">
      <c r="A531" s="21">
        <v>3000003154</v>
      </c>
      <c r="B531" s="22">
        <v>45821</v>
      </c>
      <c r="C531" s="20">
        <v>9314352.7899999991</v>
      </c>
      <c r="D531" s="21" t="s">
        <v>673</v>
      </c>
      <c r="E531" s="21">
        <v>1392</v>
      </c>
      <c r="F531" s="20">
        <v>9314352.7899999991</v>
      </c>
      <c r="G531" s="22">
        <v>45827</v>
      </c>
      <c r="H531" t="s">
        <v>32</v>
      </c>
      <c r="I531" s="51" t="str">
        <f>IFERROR(IF(VLOOKUP(E531,extracto!C:C,1,FALSE)=E531,"pagado","no pagado"),"no pagado")</f>
        <v>pagado</v>
      </c>
      <c r="J531" s="52" t="str">
        <f t="shared" si="342"/>
        <v>pagado</v>
      </c>
      <c r="K531" s="51" t="str">
        <f t="shared" ca="1" si="343"/>
        <v>excluir</v>
      </c>
      <c r="L531" s="51" t="str">
        <f t="shared" ca="1" si="344"/>
        <v>no semana</v>
      </c>
      <c r="M531" s="51" t="str">
        <f>IFERROR(VLOOKUP(E531,'cheques a conf'!A:D,4,FALSE),"no clearing")</f>
        <v>no clearing</v>
      </c>
      <c r="N531" s="51">
        <f t="shared" si="345"/>
        <v>25</v>
      </c>
      <c r="O531" s="53">
        <f t="shared" si="346"/>
        <v>6</v>
      </c>
      <c r="P531" s="53">
        <f t="shared" si="347"/>
        <v>2025</v>
      </c>
    </row>
    <row r="532" spans="1:16" customFormat="1" x14ac:dyDescent="0.25">
      <c r="A532" s="21">
        <v>3000003155</v>
      </c>
      <c r="B532" s="22">
        <v>45821</v>
      </c>
      <c r="C532" s="20">
        <v>7000000</v>
      </c>
      <c r="D532" s="21" t="s">
        <v>595</v>
      </c>
      <c r="E532" s="21">
        <v>1393</v>
      </c>
      <c r="F532" s="20">
        <v>7000000</v>
      </c>
      <c r="G532" s="22">
        <v>45827</v>
      </c>
      <c r="H532" t="s">
        <v>32</v>
      </c>
      <c r="I532" s="51" t="str">
        <f>IFERROR(IF(VLOOKUP(E532,extracto!C:C,1,FALSE)=E532,"pagado","no pagado"),"no pagado")</f>
        <v>pagado</v>
      </c>
      <c r="J532" s="52" t="str">
        <f t="shared" si="342"/>
        <v>pagado</v>
      </c>
      <c r="K532" s="51" t="str">
        <f t="shared" ca="1" si="343"/>
        <v>excluir</v>
      </c>
      <c r="L532" s="51" t="str">
        <f t="shared" ca="1" si="344"/>
        <v>no semana</v>
      </c>
      <c r="M532" s="51" t="str">
        <f>IFERROR(VLOOKUP(E532,'cheques a conf'!A:D,4,FALSE),"no clearing")</f>
        <v>no clearing</v>
      </c>
      <c r="N532" s="51">
        <f t="shared" si="345"/>
        <v>25</v>
      </c>
      <c r="O532" s="53">
        <f t="shared" si="346"/>
        <v>6</v>
      </c>
      <c r="P532" s="53">
        <f t="shared" si="347"/>
        <v>2025</v>
      </c>
    </row>
    <row r="533" spans="1:16" customFormat="1" x14ac:dyDescent="0.25">
      <c r="A533" s="21">
        <v>3000003155</v>
      </c>
      <c r="B533" s="22">
        <v>45821</v>
      </c>
      <c r="C533" s="20">
        <v>5000000</v>
      </c>
      <c r="D533" s="21" t="s">
        <v>595</v>
      </c>
      <c r="E533" s="21">
        <v>1394</v>
      </c>
      <c r="F533" s="20">
        <v>5000000</v>
      </c>
      <c r="G533" s="22">
        <v>45827</v>
      </c>
      <c r="H533" t="s">
        <v>32</v>
      </c>
      <c r="I533" s="51" t="str">
        <f>IFERROR(IF(VLOOKUP(E533,extracto!C:C,1,FALSE)=E533,"pagado","no pagado"),"no pagado")</f>
        <v>pagado</v>
      </c>
      <c r="J533" s="52" t="str">
        <f t="shared" si="342"/>
        <v>pagado</v>
      </c>
      <c r="K533" s="51" t="str">
        <f t="shared" ca="1" si="343"/>
        <v>excluir</v>
      </c>
      <c r="L533" s="51" t="str">
        <f t="shared" ca="1" si="344"/>
        <v>no semana</v>
      </c>
      <c r="M533" s="51" t="str">
        <f>IFERROR(VLOOKUP(E533,'cheques a conf'!A:D,4,FALSE),"no clearing")</f>
        <v>no clearing</v>
      </c>
      <c r="N533" s="51">
        <f t="shared" si="345"/>
        <v>25</v>
      </c>
      <c r="O533" s="53">
        <f t="shared" si="346"/>
        <v>6</v>
      </c>
      <c r="P533" s="53">
        <f t="shared" si="347"/>
        <v>2025</v>
      </c>
    </row>
    <row r="534" spans="1:16" customFormat="1" x14ac:dyDescent="0.25">
      <c r="A534" s="21">
        <v>3000003155</v>
      </c>
      <c r="B534" s="22">
        <v>45821</v>
      </c>
      <c r="C534" s="20">
        <v>10000000</v>
      </c>
      <c r="D534" s="21" t="s">
        <v>595</v>
      </c>
      <c r="E534" s="21">
        <v>1395</v>
      </c>
      <c r="F534" s="20">
        <v>10000000</v>
      </c>
      <c r="G534" s="22">
        <v>45827</v>
      </c>
      <c r="H534" t="s">
        <v>32</v>
      </c>
      <c r="I534" s="51" t="str">
        <f>IFERROR(IF(VLOOKUP(E534,extracto!C:C,1,FALSE)=E534,"pagado","no pagado"),"no pagado")</f>
        <v>pagado</v>
      </c>
      <c r="J534" s="52" t="str">
        <f t="shared" si="342"/>
        <v>pagado</v>
      </c>
      <c r="K534" s="51" t="str">
        <f t="shared" ca="1" si="343"/>
        <v>excluir</v>
      </c>
      <c r="L534" s="51" t="str">
        <f t="shared" ca="1" si="344"/>
        <v>no semana</v>
      </c>
      <c r="M534" s="51" t="str">
        <f>IFERROR(VLOOKUP(E534,'cheques a conf'!A:D,4,FALSE),"no clearing")</f>
        <v>no clearing</v>
      </c>
      <c r="N534" s="51">
        <f t="shared" si="345"/>
        <v>25</v>
      </c>
      <c r="O534" s="53">
        <f t="shared" si="346"/>
        <v>6</v>
      </c>
      <c r="P534" s="53">
        <f t="shared" si="347"/>
        <v>2025</v>
      </c>
    </row>
    <row r="535" spans="1:16" customFormat="1" x14ac:dyDescent="0.25">
      <c r="A535" s="21">
        <v>3000003155</v>
      </c>
      <c r="B535" s="22">
        <v>45821</v>
      </c>
      <c r="C535" s="20">
        <v>30000000</v>
      </c>
      <c r="D535" s="21" t="s">
        <v>595</v>
      </c>
      <c r="E535" s="21">
        <v>1396</v>
      </c>
      <c r="F535" s="20">
        <v>30000000</v>
      </c>
      <c r="G535" s="22">
        <v>45827</v>
      </c>
      <c r="H535" t="s">
        <v>32</v>
      </c>
      <c r="I535" s="51" t="str">
        <f>IFERROR(IF(VLOOKUP(E535,extracto!C:C,1,FALSE)=E535,"pagado","no pagado"),"no pagado")</f>
        <v>pagado</v>
      </c>
      <c r="J535" s="52" t="str">
        <f t="shared" si="342"/>
        <v>pagado</v>
      </c>
      <c r="K535" s="51" t="str">
        <f t="shared" ca="1" si="343"/>
        <v>excluir</v>
      </c>
      <c r="L535" s="51" t="str">
        <f t="shared" ca="1" si="344"/>
        <v>no semana</v>
      </c>
      <c r="M535" s="51" t="str">
        <f>IFERROR(VLOOKUP(E535,'cheques a conf'!A:D,4,FALSE),"no clearing")</f>
        <v>no clearing</v>
      </c>
      <c r="N535" s="51">
        <f t="shared" si="345"/>
        <v>25</v>
      </c>
      <c r="O535" s="53">
        <f t="shared" si="346"/>
        <v>6</v>
      </c>
      <c r="P535" s="53">
        <f t="shared" si="347"/>
        <v>2025</v>
      </c>
    </row>
    <row r="536" spans="1:16" customFormat="1" x14ac:dyDescent="0.25">
      <c r="A536" s="21">
        <v>3000003155</v>
      </c>
      <c r="B536" s="22">
        <v>45821</v>
      </c>
      <c r="C536" s="20">
        <v>35678329.469999999</v>
      </c>
      <c r="D536" s="21" t="s">
        <v>595</v>
      </c>
      <c r="E536" s="21">
        <v>1397</v>
      </c>
      <c r="F536" s="20">
        <v>35678329.469999999</v>
      </c>
      <c r="G536" s="22">
        <v>45827</v>
      </c>
      <c r="H536" t="s">
        <v>32</v>
      </c>
      <c r="I536" s="51" t="str">
        <f>IFERROR(IF(VLOOKUP(E536,extracto!C:C,1,FALSE)=E536,"pagado","no pagado"),"no pagado")</f>
        <v>pagado</v>
      </c>
      <c r="J536" s="52" t="str">
        <f t="shared" si="342"/>
        <v>pagado</v>
      </c>
      <c r="K536" s="51" t="str">
        <f t="shared" ca="1" si="343"/>
        <v>excluir</v>
      </c>
      <c r="L536" s="51" t="str">
        <f t="shared" ca="1" si="344"/>
        <v>no semana</v>
      </c>
      <c r="M536" s="51" t="str">
        <f>IFERROR(VLOOKUP(E536,'cheques a conf'!A:D,4,FALSE),"no clearing")</f>
        <v>no clearing</v>
      </c>
      <c r="N536" s="51">
        <f t="shared" si="345"/>
        <v>25</v>
      </c>
      <c r="O536" s="53">
        <f t="shared" si="346"/>
        <v>6</v>
      </c>
      <c r="P536" s="53">
        <f t="shared" si="347"/>
        <v>2025</v>
      </c>
    </row>
    <row r="537" spans="1:16" customFormat="1" x14ac:dyDescent="0.25">
      <c r="A537" s="21">
        <v>3000003192</v>
      </c>
      <c r="B537" s="22">
        <v>45825</v>
      </c>
      <c r="C537" s="20">
        <v>4630820.46</v>
      </c>
      <c r="D537" s="21" t="s">
        <v>662</v>
      </c>
      <c r="E537" s="21">
        <v>91002402</v>
      </c>
      <c r="F537" s="20">
        <v>4630820.46</v>
      </c>
      <c r="G537" s="22">
        <v>45827</v>
      </c>
      <c r="H537" t="s">
        <v>79</v>
      </c>
      <c r="I537" s="51" t="str">
        <f>IFERROR(IF(VLOOKUP(E537,extracto!C:C,1,FALSE)=E537,"pagado","no pagado"),"no pagado")</f>
        <v>pagado</v>
      </c>
      <c r="J537" s="52" t="str">
        <f t="shared" ref="J537:J559" si="348">IF(I537="pagado","pagado",IF(G537&lt;$V$1-30,"fuera de fecha","en periodo de pago"))</f>
        <v>pagado</v>
      </c>
      <c r="K537" s="51" t="str">
        <f t="shared" ref="K537:K559" ca="1" si="349">+IF(B537&gt;$V$1,"excluir",IF(J537="en periodo de pago",IF($V$1&gt;G537,"a pagar","proximo a vencer"),"excluir"))</f>
        <v>excluir</v>
      </c>
      <c r="L537" s="51" t="str">
        <f t="shared" ref="L537:L559" ca="1" si="350">+IF(K537="proximo a vencer",IF($V$1+5&gt;G537,"para la semana","no semana"),"no semana")</f>
        <v>no semana</v>
      </c>
      <c r="M537" s="51" t="str">
        <f>IFERROR(VLOOKUP(E537,'cheques a conf'!A:D,4,FALSE),"no clearing")</f>
        <v>no clearing</v>
      </c>
      <c r="N537" s="51">
        <f t="shared" ref="N537:N559" si="351">+WEEKNUM(G537,2)</f>
        <v>25</v>
      </c>
      <c r="O537" s="53">
        <f t="shared" ref="O537:O559" si="352">+MONTH(G537)</f>
        <v>6</v>
      </c>
      <c r="P537" s="53">
        <f t="shared" ref="P537:P559" si="353">+YEAR(G537)</f>
        <v>2025</v>
      </c>
    </row>
    <row r="538" spans="1:16" customFormat="1" x14ac:dyDescent="0.25">
      <c r="A538" s="21">
        <v>3000003193</v>
      </c>
      <c r="B538" s="22">
        <v>45825</v>
      </c>
      <c r="C538" s="20">
        <v>10000000</v>
      </c>
      <c r="D538" s="21" t="s">
        <v>619</v>
      </c>
      <c r="E538" s="21">
        <v>91002403</v>
      </c>
      <c r="F538" s="20">
        <v>10000000</v>
      </c>
      <c r="G538" s="22">
        <v>45827</v>
      </c>
      <c r="H538" t="s">
        <v>79</v>
      </c>
      <c r="I538" s="51" t="str">
        <f>IFERROR(IF(VLOOKUP(E538,extracto!C:C,1,FALSE)=E538,"pagado","no pagado"),"no pagado")</f>
        <v>pagado</v>
      </c>
      <c r="J538" s="52" t="str">
        <f t="shared" si="348"/>
        <v>pagado</v>
      </c>
      <c r="K538" s="51" t="str">
        <f t="shared" ca="1" si="349"/>
        <v>excluir</v>
      </c>
      <c r="L538" s="51" t="str">
        <f t="shared" ca="1" si="350"/>
        <v>no semana</v>
      </c>
      <c r="M538" s="51" t="str">
        <f>IFERROR(VLOOKUP(E538,'cheques a conf'!A:D,4,FALSE),"no clearing")</f>
        <v>no clearing</v>
      </c>
      <c r="N538" s="51">
        <f t="shared" si="351"/>
        <v>25</v>
      </c>
      <c r="O538" s="53">
        <f t="shared" si="352"/>
        <v>6</v>
      </c>
      <c r="P538" s="53">
        <f t="shared" si="353"/>
        <v>2025</v>
      </c>
    </row>
    <row r="539" spans="1:16" customFormat="1" x14ac:dyDescent="0.25">
      <c r="A539" s="21">
        <v>3000003193</v>
      </c>
      <c r="B539" s="22">
        <v>45825</v>
      </c>
      <c r="C539" s="20">
        <v>10083327.779999999</v>
      </c>
      <c r="D539" s="21" t="s">
        <v>619</v>
      </c>
      <c r="E539" s="21">
        <v>91002404</v>
      </c>
      <c r="F539" s="20">
        <v>10083327.779999999</v>
      </c>
      <c r="G539" s="22">
        <v>45831</v>
      </c>
      <c r="H539" t="s">
        <v>79</v>
      </c>
      <c r="I539" s="51" t="str">
        <f>IFERROR(IF(VLOOKUP(E539,extracto!C:C,1,FALSE)=E539,"pagado","no pagado"),"no pagado")</f>
        <v>pagado</v>
      </c>
      <c r="J539" s="52" t="str">
        <f t="shared" si="348"/>
        <v>pagado</v>
      </c>
      <c r="K539" s="51" t="str">
        <f t="shared" ca="1" si="349"/>
        <v>excluir</v>
      </c>
      <c r="L539" s="51" t="str">
        <f t="shared" ca="1" si="350"/>
        <v>no semana</v>
      </c>
      <c r="M539" s="51" t="str">
        <f>IFERROR(VLOOKUP(E539,'cheques a conf'!A:D,4,FALSE),"no clearing")</f>
        <v>no clearing</v>
      </c>
      <c r="N539" s="51">
        <f t="shared" si="351"/>
        <v>26</v>
      </c>
      <c r="O539" s="53">
        <f t="shared" si="352"/>
        <v>6</v>
      </c>
      <c r="P539" s="53">
        <f t="shared" si="353"/>
        <v>2025</v>
      </c>
    </row>
    <row r="540" spans="1:16" customFormat="1" x14ac:dyDescent="0.25">
      <c r="A540" s="21">
        <v>3000003194</v>
      </c>
      <c r="B540" s="22">
        <v>45825</v>
      </c>
      <c r="C540" s="20">
        <v>16000000</v>
      </c>
      <c r="D540" s="21" t="s">
        <v>613</v>
      </c>
      <c r="E540" s="21">
        <v>91002405</v>
      </c>
      <c r="F540" s="20">
        <v>16000000</v>
      </c>
      <c r="G540" s="22">
        <v>45827</v>
      </c>
      <c r="H540" t="s">
        <v>79</v>
      </c>
      <c r="I540" s="51" t="str">
        <f>IFERROR(IF(VLOOKUP(E540,extracto!C:C,1,FALSE)=E540,"pagado","no pagado"),"no pagado")</f>
        <v>pagado</v>
      </c>
      <c r="J540" s="52" t="str">
        <f t="shared" si="348"/>
        <v>pagado</v>
      </c>
      <c r="K540" s="51" t="str">
        <f t="shared" ca="1" si="349"/>
        <v>excluir</v>
      </c>
      <c r="L540" s="51" t="str">
        <f t="shared" ca="1" si="350"/>
        <v>no semana</v>
      </c>
      <c r="M540" s="51" t="str">
        <f>IFERROR(VLOOKUP(E540,'cheques a conf'!A:D,4,FALSE),"no clearing")</f>
        <v>no clearing</v>
      </c>
      <c r="N540" s="51">
        <f t="shared" si="351"/>
        <v>25</v>
      </c>
      <c r="O540" s="53">
        <f t="shared" si="352"/>
        <v>6</v>
      </c>
      <c r="P540" s="53">
        <f t="shared" si="353"/>
        <v>2025</v>
      </c>
    </row>
    <row r="541" spans="1:16" customFormat="1" x14ac:dyDescent="0.25">
      <c r="A541" s="21">
        <v>3000003194</v>
      </c>
      <c r="B541" s="22">
        <v>45825</v>
      </c>
      <c r="C541" s="20">
        <v>16218247.369999999</v>
      </c>
      <c r="D541" s="21" t="s">
        <v>613</v>
      </c>
      <c r="E541" s="21">
        <v>91002406</v>
      </c>
      <c r="F541" s="20">
        <v>16218247.369999999</v>
      </c>
      <c r="G541" s="22">
        <v>45831</v>
      </c>
      <c r="H541" t="s">
        <v>79</v>
      </c>
      <c r="I541" s="51" t="str">
        <f>IFERROR(IF(VLOOKUP(E541,extracto!C:C,1,FALSE)=E541,"pagado","no pagado"),"no pagado")</f>
        <v>pagado</v>
      </c>
      <c r="J541" s="52" t="str">
        <f t="shared" si="348"/>
        <v>pagado</v>
      </c>
      <c r="K541" s="51" t="str">
        <f t="shared" ca="1" si="349"/>
        <v>excluir</v>
      </c>
      <c r="L541" s="51" t="str">
        <f t="shared" ca="1" si="350"/>
        <v>no semana</v>
      </c>
      <c r="M541" s="51" t="str">
        <f>IFERROR(VLOOKUP(E541,'cheques a conf'!A:D,4,FALSE),"no clearing")</f>
        <v>no clearing</v>
      </c>
      <c r="N541" s="51">
        <f t="shared" si="351"/>
        <v>26</v>
      </c>
      <c r="O541" s="53">
        <f t="shared" si="352"/>
        <v>6</v>
      </c>
      <c r="P541" s="53">
        <f t="shared" si="353"/>
        <v>2025</v>
      </c>
    </row>
    <row r="542" spans="1:16" customFormat="1" x14ac:dyDescent="0.25">
      <c r="A542" s="21">
        <v>3000003195</v>
      </c>
      <c r="B542" s="22">
        <v>45825</v>
      </c>
      <c r="C542" s="20">
        <v>11000000</v>
      </c>
      <c r="D542" s="21" t="s">
        <v>618</v>
      </c>
      <c r="E542" s="21">
        <v>91002407</v>
      </c>
      <c r="F542" s="20">
        <v>11000000</v>
      </c>
      <c r="G542" s="22">
        <v>45827</v>
      </c>
      <c r="H542" t="s">
        <v>79</v>
      </c>
      <c r="I542" s="51" t="str">
        <f>IFERROR(IF(VLOOKUP(E542,extracto!C:C,1,FALSE)=E542,"pagado","no pagado"),"no pagado")</f>
        <v>pagado</v>
      </c>
      <c r="J542" s="52" t="str">
        <f t="shared" si="348"/>
        <v>pagado</v>
      </c>
      <c r="K542" s="51" t="str">
        <f t="shared" ca="1" si="349"/>
        <v>excluir</v>
      </c>
      <c r="L542" s="51" t="str">
        <f t="shared" ca="1" si="350"/>
        <v>no semana</v>
      </c>
      <c r="M542" s="51" t="str">
        <f>IFERROR(VLOOKUP(E542,'cheques a conf'!A:D,4,FALSE),"no clearing")</f>
        <v>no clearing</v>
      </c>
      <c r="N542" s="51">
        <f t="shared" si="351"/>
        <v>25</v>
      </c>
      <c r="O542" s="53">
        <f t="shared" si="352"/>
        <v>6</v>
      </c>
      <c r="P542" s="53">
        <f t="shared" si="353"/>
        <v>2025</v>
      </c>
    </row>
    <row r="543" spans="1:16" customFormat="1" x14ac:dyDescent="0.25">
      <c r="A543" s="21">
        <v>3000003195</v>
      </c>
      <c r="B543" s="22">
        <v>45825</v>
      </c>
      <c r="C543" s="20">
        <v>10053783.98</v>
      </c>
      <c r="D543" s="21" t="s">
        <v>618</v>
      </c>
      <c r="E543" s="21">
        <v>91002408</v>
      </c>
      <c r="F543" s="20">
        <v>10053783.98</v>
      </c>
      <c r="G543" s="22">
        <v>45831</v>
      </c>
      <c r="H543" t="s">
        <v>79</v>
      </c>
      <c r="I543" s="51" t="str">
        <f>IFERROR(IF(VLOOKUP(E543,extracto!C:C,1,FALSE)=E543,"pagado","no pagado"),"no pagado")</f>
        <v>pagado</v>
      </c>
      <c r="J543" s="52" t="str">
        <f t="shared" si="348"/>
        <v>pagado</v>
      </c>
      <c r="K543" s="51" t="str">
        <f t="shared" ca="1" si="349"/>
        <v>excluir</v>
      </c>
      <c r="L543" s="51" t="str">
        <f t="shared" ca="1" si="350"/>
        <v>no semana</v>
      </c>
      <c r="M543" s="51" t="str">
        <f>IFERROR(VLOOKUP(E543,'cheques a conf'!A:D,4,FALSE),"no clearing")</f>
        <v>no clearing</v>
      </c>
      <c r="N543" s="51">
        <f t="shared" si="351"/>
        <v>26</v>
      </c>
      <c r="O543" s="53">
        <f t="shared" si="352"/>
        <v>6</v>
      </c>
      <c r="P543" s="53">
        <f t="shared" si="353"/>
        <v>2025</v>
      </c>
    </row>
    <row r="544" spans="1:16" customFormat="1" x14ac:dyDescent="0.25">
      <c r="A544" s="21">
        <v>3000003196</v>
      </c>
      <c r="B544" s="22">
        <v>45825</v>
      </c>
      <c r="C544" s="20">
        <v>10000000</v>
      </c>
      <c r="D544" s="21" t="s">
        <v>606</v>
      </c>
      <c r="E544" s="21">
        <v>91002409</v>
      </c>
      <c r="F544" s="20">
        <v>10000000</v>
      </c>
      <c r="G544" s="22">
        <v>45827</v>
      </c>
      <c r="H544" t="s">
        <v>79</v>
      </c>
      <c r="I544" s="51" t="str">
        <f>IFERROR(IF(VLOOKUP(E544,extracto!C:C,1,FALSE)=E544,"pagado","no pagado"),"no pagado")</f>
        <v>pagado</v>
      </c>
      <c r="J544" s="52" t="str">
        <f t="shared" si="348"/>
        <v>pagado</v>
      </c>
      <c r="K544" s="51" t="str">
        <f t="shared" ca="1" si="349"/>
        <v>excluir</v>
      </c>
      <c r="L544" s="51" t="str">
        <f t="shared" ca="1" si="350"/>
        <v>no semana</v>
      </c>
      <c r="M544" s="51" t="str">
        <f>IFERROR(VLOOKUP(E544,'cheques a conf'!A:D,4,FALSE),"no clearing")</f>
        <v>no clearing</v>
      </c>
      <c r="N544" s="51">
        <f t="shared" si="351"/>
        <v>25</v>
      </c>
      <c r="O544" s="53">
        <f t="shared" si="352"/>
        <v>6</v>
      </c>
      <c r="P544" s="53">
        <f t="shared" si="353"/>
        <v>2025</v>
      </c>
    </row>
    <row r="545" spans="1:16" customFormat="1" x14ac:dyDescent="0.25">
      <c r="A545" s="21">
        <v>3000003196</v>
      </c>
      <c r="B545" s="22">
        <v>45825</v>
      </c>
      <c r="C545" s="20">
        <v>10887200</v>
      </c>
      <c r="D545" s="21" t="s">
        <v>606</v>
      </c>
      <c r="E545" s="21">
        <v>91002410</v>
      </c>
      <c r="F545" s="20">
        <v>10887200</v>
      </c>
      <c r="G545" s="22">
        <v>45831</v>
      </c>
      <c r="H545" t="s">
        <v>79</v>
      </c>
      <c r="I545" s="51" t="str">
        <f>IFERROR(IF(VLOOKUP(E545,extracto!C:C,1,FALSE)=E545,"pagado","no pagado"),"no pagado")</f>
        <v>pagado</v>
      </c>
      <c r="J545" s="52" t="str">
        <f t="shared" si="348"/>
        <v>pagado</v>
      </c>
      <c r="K545" s="51" t="str">
        <f t="shared" ca="1" si="349"/>
        <v>excluir</v>
      </c>
      <c r="L545" s="51" t="str">
        <f t="shared" ca="1" si="350"/>
        <v>no semana</v>
      </c>
      <c r="M545" s="51" t="str">
        <f>IFERROR(VLOOKUP(E545,'cheques a conf'!A:D,4,FALSE),"no clearing")</f>
        <v>no clearing</v>
      </c>
      <c r="N545" s="51">
        <f t="shared" si="351"/>
        <v>26</v>
      </c>
      <c r="O545" s="53">
        <f t="shared" si="352"/>
        <v>6</v>
      </c>
      <c r="P545" s="53">
        <f t="shared" si="353"/>
        <v>2025</v>
      </c>
    </row>
    <row r="546" spans="1:16" customFormat="1" x14ac:dyDescent="0.25">
      <c r="A546" s="21">
        <v>3000003197</v>
      </c>
      <c r="B546" s="22">
        <v>45825</v>
      </c>
      <c r="C546" s="20">
        <v>12330887.6</v>
      </c>
      <c r="D546" s="21" t="s">
        <v>634</v>
      </c>
      <c r="E546" s="21">
        <v>91002411</v>
      </c>
      <c r="F546" s="20">
        <v>12330887.6</v>
      </c>
      <c r="G546" s="22">
        <v>45827</v>
      </c>
      <c r="H546" t="s">
        <v>79</v>
      </c>
      <c r="I546" s="51" t="str">
        <f>IFERROR(IF(VLOOKUP(E546,extracto!C:C,1,FALSE)=E546,"pagado","no pagado"),"no pagado")</f>
        <v>pagado</v>
      </c>
      <c r="J546" s="52" t="str">
        <f t="shared" si="348"/>
        <v>pagado</v>
      </c>
      <c r="K546" s="51" t="str">
        <f t="shared" ca="1" si="349"/>
        <v>excluir</v>
      </c>
      <c r="L546" s="51" t="str">
        <f t="shared" ca="1" si="350"/>
        <v>no semana</v>
      </c>
      <c r="M546" s="51" t="str">
        <f>IFERROR(VLOOKUP(E546,'cheques a conf'!A:D,4,FALSE),"no clearing")</f>
        <v>no clearing</v>
      </c>
      <c r="N546" s="51">
        <f t="shared" si="351"/>
        <v>25</v>
      </c>
      <c r="O546" s="53">
        <f t="shared" si="352"/>
        <v>6</v>
      </c>
      <c r="P546" s="53">
        <f t="shared" si="353"/>
        <v>2025</v>
      </c>
    </row>
    <row r="547" spans="1:16" customFormat="1" x14ac:dyDescent="0.25">
      <c r="A547" s="21">
        <v>3000003198</v>
      </c>
      <c r="B547" s="22">
        <v>45825</v>
      </c>
      <c r="C547" s="20">
        <v>5966191.7400000002</v>
      </c>
      <c r="D547" s="21" t="s">
        <v>679</v>
      </c>
      <c r="E547" s="21">
        <v>91002412</v>
      </c>
      <c r="F547" s="20">
        <v>5966191.7400000002</v>
      </c>
      <c r="G547" s="22">
        <v>45827</v>
      </c>
      <c r="H547" t="s">
        <v>79</v>
      </c>
      <c r="I547" s="51" t="str">
        <f>IFERROR(IF(VLOOKUP(E547,extracto!C:C,1,FALSE)=E547,"pagado","no pagado"),"no pagado")</f>
        <v>pagado</v>
      </c>
      <c r="J547" s="52" t="str">
        <f t="shared" si="348"/>
        <v>pagado</v>
      </c>
      <c r="K547" s="51" t="str">
        <f t="shared" ca="1" si="349"/>
        <v>excluir</v>
      </c>
      <c r="L547" s="51" t="str">
        <f t="shared" ca="1" si="350"/>
        <v>no semana</v>
      </c>
      <c r="M547" s="51" t="str">
        <f>IFERROR(VLOOKUP(E547,'cheques a conf'!A:D,4,FALSE),"no clearing")</f>
        <v>no clearing</v>
      </c>
      <c r="N547" s="51">
        <f t="shared" si="351"/>
        <v>25</v>
      </c>
      <c r="O547" s="53">
        <f t="shared" si="352"/>
        <v>6</v>
      </c>
      <c r="P547" s="53">
        <f t="shared" si="353"/>
        <v>2025</v>
      </c>
    </row>
    <row r="548" spans="1:16" customFormat="1" x14ac:dyDescent="0.25">
      <c r="A548" s="21">
        <v>3000003199</v>
      </c>
      <c r="B548" s="22">
        <v>45825</v>
      </c>
      <c r="C548" s="20">
        <v>6980091.1399999997</v>
      </c>
      <c r="D548" s="21" t="s">
        <v>668</v>
      </c>
      <c r="E548" s="21">
        <v>91002413</v>
      </c>
      <c r="F548" s="20">
        <v>6980091.1399999997</v>
      </c>
      <c r="G548" s="22">
        <v>45827</v>
      </c>
      <c r="H548" t="s">
        <v>79</v>
      </c>
      <c r="I548" s="51" t="str">
        <f>IFERROR(IF(VLOOKUP(E548,extracto!C:C,1,FALSE)=E548,"pagado","no pagado"),"no pagado")</f>
        <v>pagado</v>
      </c>
      <c r="J548" s="52" t="str">
        <f t="shared" si="348"/>
        <v>pagado</v>
      </c>
      <c r="K548" s="51" t="str">
        <f t="shared" ca="1" si="349"/>
        <v>excluir</v>
      </c>
      <c r="L548" s="51" t="str">
        <f t="shared" ca="1" si="350"/>
        <v>no semana</v>
      </c>
      <c r="M548" s="51" t="str">
        <f>IFERROR(VLOOKUP(E548,'cheques a conf'!A:D,4,FALSE),"no clearing")</f>
        <v>no clearing</v>
      </c>
      <c r="N548" s="51">
        <f t="shared" si="351"/>
        <v>25</v>
      </c>
      <c r="O548" s="53">
        <f t="shared" si="352"/>
        <v>6</v>
      </c>
      <c r="P548" s="53">
        <f t="shared" si="353"/>
        <v>2025</v>
      </c>
    </row>
    <row r="549" spans="1:16" customFormat="1" x14ac:dyDescent="0.25">
      <c r="A549" s="21">
        <v>3000003200</v>
      </c>
      <c r="B549" s="22">
        <v>45825</v>
      </c>
      <c r="C549" s="20">
        <v>9602807.5899999999</v>
      </c>
      <c r="D549" s="21" t="s">
        <v>176</v>
      </c>
      <c r="E549" s="21">
        <v>91002414</v>
      </c>
      <c r="F549" s="20">
        <v>9602807.5899999999</v>
      </c>
      <c r="G549" s="22">
        <v>45827</v>
      </c>
      <c r="H549" t="s">
        <v>79</v>
      </c>
      <c r="I549" s="51" t="str">
        <f>IFERROR(IF(VLOOKUP(E549,extracto!C:C,1,FALSE)=E549,"pagado","no pagado"),"no pagado")</f>
        <v>pagado</v>
      </c>
      <c r="J549" s="52" t="str">
        <f t="shared" si="348"/>
        <v>pagado</v>
      </c>
      <c r="K549" s="51" t="str">
        <f t="shared" ca="1" si="349"/>
        <v>excluir</v>
      </c>
      <c r="L549" s="51" t="str">
        <f t="shared" ca="1" si="350"/>
        <v>no semana</v>
      </c>
      <c r="M549" s="51" t="str">
        <f>IFERROR(VLOOKUP(E549,'cheques a conf'!A:D,4,FALSE),"no clearing")</f>
        <v>no clearing</v>
      </c>
      <c r="N549" s="51">
        <f t="shared" si="351"/>
        <v>25</v>
      </c>
      <c r="O549" s="53">
        <f t="shared" si="352"/>
        <v>6</v>
      </c>
      <c r="P549" s="53">
        <f t="shared" si="353"/>
        <v>2025</v>
      </c>
    </row>
    <row r="550" spans="1:16" customFormat="1" x14ac:dyDescent="0.25">
      <c r="A550" s="21">
        <v>3000003201</v>
      </c>
      <c r="B550" s="22">
        <v>45825</v>
      </c>
      <c r="C550" s="20">
        <v>6749707.1799999997</v>
      </c>
      <c r="D550" s="21" t="s">
        <v>697</v>
      </c>
      <c r="E550" s="21">
        <v>91002415</v>
      </c>
      <c r="F550" s="20">
        <v>6749707.1799999997</v>
      </c>
      <c r="G550" s="22">
        <v>45827</v>
      </c>
      <c r="H550" t="s">
        <v>79</v>
      </c>
      <c r="I550" s="51" t="str">
        <f>IFERROR(IF(VLOOKUP(E550,extracto!C:C,1,FALSE)=E550,"pagado","no pagado"),"no pagado")</f>
        <v>pagado</v>
      </c>
      <c r="J550" s="52" t="str">
        <f t="shared" si="348"/>
        <v>pagado</v>
      </c>
      <c r="K550" s="51" t="str">
        <f t="shared" ca="1" si="349"/>
        <v>excluir</v>
      </c>
      <c r="L550" s="51" t="str">
        <f t="shared" ca="1" si="350"/>
        <v>no semana</v>
      </c>
      <c r="M550" s="51" t="str">
        <f>IFERROR(VLOOKUP(E550,'cheques a conf'!A:D,4,FALSE),"no clearing")</f>
        <v>no clearing</v>
      </c>
      <c r="N550" s="51">
        <f t="shared" si="351"/>
        <v>25</v>
      </c>
      <c r="O550" s="53">
        <f t="shared" si="352"/>
        <v>6</v>
      </c>
      <c r="P550" s="53">
        <f t="shared" si="353"/>
        <v>2025</v>
      </c>
    </row>
    <row r="551" spans="1:16" customFormat="1" x14ac:dyDescent="0.25">
      <c r="A551" s="21">
        <v>3000003202</v>
      </c>
      <c r="B551" s="22">
        <v>45825</v>
      </c>
      <c r="C551" s="20">
        <v>20000000</v>
      </c>
      <c r="D551" s="21" t="s">
        <v>629</v>
      </c>
      <c r="E551" s="21">
        <v>91002416</v>
      </c>
      <c r="F551" s="20">
        <v>20000000</v>
      </c>
      <c r="G551" s="22">
        <v>45827</v>
      </c>
      <c r="H551" t="s">
        <v>79</v>
      </c>
      <c r="I551" s="51" t="str">
        <f>IFERROR(IF(VLOOKUP(E551,extracto!C:C,1,FALSE)=E551,"pagado","no pagado"),"no pagado")</f>
        <v>pagado</v>
      </c>
      <c r="J551" s="52" t="str">
        <f t="shared" si="348"/>
        <v>pagado</v>
      </c>
      <c r="K551" s="51" t="str">
        <f t="shared" ca="1" si="349"/>
        <v>excluir</v>
      </c>
      <c r="L551" s="51" t="str">
        <f t="shared" ca="1" si="350"/>
        <v>no semana</v>
      </c>
      <c r="M551" s="51" t="str">
        <f>IFERROR(VLOOKUP(E551,'cheques a conf'!A:D,4,FALSE),"no clearing")</f>
        <v>no clearing</v>
      </c>
      <c r="N551" s="51">
        <f t="shared" si="351"/>
        <v>25</v>
      </c>
      <c r="O551" s="53">
        <f t="shared" si="352"/>
        <v>6</v>
      </c>
      <c r="P551" s="53">
        <f t="shared" si="353"/>
        <v>2025</v>
      </c>
    </row>
    <row r="552" spans="1:16" customFormat="1" x14ac:dyDescent="0.25">
      <c r="A552" s="21">
        <v>3000003202</v>
      </c>
      <c r="B552" s="22">
        <v>45825</v>
      </c>
      <c r="C552" s="20">
        <v>15205593.4</v>
      </c>
      <c r="D552" s="21" t="s">
        <v>629</v>
      </c>
      <c r="E552" s="21">
        <v>91002417</v>
      </c>
      <c r="F552" s="20">
        <v>15205593.4</v>
      </c>
      <c r="G552" s="22">
        <v>45831</v>
      </c>
      <c r="H552" t="s">
        <v>79</v>
      </c>
      <c r="I552" s="51" t="str">
        <f>IFERROR(IF(VLOOKUP(E552,extracto!C:C,1,FALSE)=E552,"pagado","no pagado"),"no pagado")</f>
        <v>pagado</v>
      </c>
      <c r="J552" s="52" t="str">
        <f t="shared" si="348"/>
        <v>pagado</v>
      </c>
      <c r="K552" s="51" t="str">
        <f t="shared" ca="1" si="349"/>
        <v>excluir</v>
      </c>
      <c r="L552" s="51" t="str">
        <f t="shared" ca="1" si="350"/>
        <v>no semana</v>
      </c>
      <c r="M552" s="51" t="str">
        <f>IFERROR(VLOOKUP(E552,'cheques a conf'!A:D,4,FALSE),"no clearing")</f>
        <v>no clearing</v>
      </c>
      <c r="N552" s="51">
        <f t="shared" si="351"/>
        <v>26</v>
      </c>
      <c r="O552" s="53">
        <f t="shared" si="352"/>
        <v>6</v>
      </c>
      <c r="P552" s="53">
        <f t="shared" si="353"/>
        <v>2025</v>
      </c>
    </row>
    <row r="553" spans="1:16" customFormat="1" x14ac:dyDescent="0.25">
      <c r="A553" s="21">
        <v>3000003203</v>
      </c>
      <c r="B553" s="22">
        <v>45825</v>
      </c>
      <c r="C553" s="20">
        <v>8000000</v>
      </c>
      <c r="D553" s="21" t="s">
        <v>595</v>
      </c>
      <c r="E553" s="21">
        <v>91002418</v>
      </c>
      <c r="F553" s="20">
        <v>8000000</v>
      </c>
      <c r="G553" s="22">
        <v>45827</v>
      </c>
      <c r="H553" t="s">
        <v>79</v>
      </c>
      <c r="I553" s="51" t="str">
        <f>IFERROR(IF(VLOOKUP(E553,extracto!C:C,1,FALSE)=E553,"pagado","no pagado"),"no pagado")</f>
        <v>pagado</v>
      </c>
      <c r="J553" s="52" t="str">
        <f t="shared" si="348"/>
        <v>pagado</v>
      </c>
      <c r="K553" s="51" t="str">
        <f t="shared" ca="1" si="349"/>
        <v>excluir</v>
      </c>
      <c r="L553" s="51" t="str">
        <f t="shared" ca="1" si="350"/>
        <v>no semana</v>
      </c>
      <c r="M553" s="51" t="str">
        <f>IFERROR(VLOOKUP(E553,'cheques a conf'!A:D,4,FALSE),"no clearing")</f>
        <v>no clearing</v>
      </c>
      <c r="N553" s="51">
        <f t="shared" si="351"/>
        <v>25</v>
      </c>
      <c r="O553" s="53">
        <f t="shared" si="352"/>
        <v>6</v>
      </c>
      <c r="P553" s="53">
        <f t="shared" si="353"/>
        <v>2025</v>
      </c>
    </row>
    <row r="554" spans="1:16" customFormat="1" x14ac:dyDescent="0.25">
      <c r="A554" s="21">
        <v>3000003203</v>
      </c>
      <c r="B554" s="22">
        <v>45825</v>
      </c>
      <c r="C554" s="20">
        <v>7251223.9299999997</v>
      </c>
      <c r="D554" s="21" t="s">
        <v>595</v>
      </c>
      <c r="E554" s="21">
        <v>91002419</v>
      </c>
      <c r="F554" s="20">
        <v>7251223.9299999997</v>
      </c>
      <c r="G554" s="22">
        <v>45831</v>
      </c>
      <c r="H554" t="s">
        <v>79</v>
      </c>
      <c r="I554" s="51" t="str">
        <f>IFERROR(IF(VLOOKUP(E554,extracto!C:C,1,FALSE)=E554,"pagado","no pagado"),"no pagado")</f>
        <v>pagado</v>
      </c>
      <c r="J554" s="52" t="str">
        <f t="shared" si="348"/>
        <v>pagado</v>
      </c>
      <c r="K554" s="51" t="str">
        <f t="shared" ca="1" si="349"/>
        <v>excluir</v>
      </c>
      <c r="L554" s="51" t="str">
        <f t="shared" ca="1" si="350"/>
        <v>no semana</v>
      </c>
      <c r="M554" s="51" t="str">
        <f>IFERROR(VLOOKUP(E554,'cheques a conf'!A:D,4,FALSE),"no clearing")</f>
        <v>no clearing</v>
      </c>
      <c r="N554" s="51">
        <f t="shared" si="351"/>
        <v>26</v>
      </c>
      <c r="O554" s="53">
        <f t="shared" si="352"/>
        <v>6</v>
      </c>
      <c r="P554" s="53">
        <f t="shared" si="353"/>
        <v>2025</v>
      </c>
    </row>
    <row r="555" spans="1:16" customFormat="1" x14ac:dyDescent="0.25">
      <c r="A555" s="21">
        <v>3000003204</v>
      </c>
      <c r="B555" s="22">
        <v>45825</v>
      </c>
      <c r="C555" s="20">
        <v>20000000</v>
      </c>
      <c r="D555" s="21" t="s">
        <v>607</v>
      </c>
      <c r="E555" s="21">
        <v>91002420</v>
      </c>
      <c r="F555" s="20">
        <v>20000000</v>
      </c>
      <c r="G555" s="22">
        <v>45827</v>
      </c>
      <c r="H555" t="s">
        <v>79</v>
      </c>
      <c r="I555" s="51" t="str">
        <f>IFERROR(IF(VLOOKUP(E555,extracto!C:C,1,FALSE)=E555,"pagado","no pagado"),"no pagado")</f>
        <v>pagado</v>
      </c>
      <c r="J555" s="52" t="str">
        <f t="shared" si="348"/>
        <v>pagado</v>
      </c>
      <c r="K555" s="51" t="str">
        <f t="shared" ca="1" si="349"/>
        <v>excluir</v>
      </c>
      <c r="L555" s="51" t="str">
        <f t="shared" ca="1" si="350"/>
        <v>no semana</v>
      </c>
      <c r="M555" s="51" t="str">
        <f>IFERROR(VLOOKUP(E555,'cheques a conf'!A:D,4,FALSE),"no clearing")</f>
        <v>no clearing</v>
      </c>
      <c r="N555" s="51">
        <f t="shared" si="351"/>
        <v>25</v>
      </c>
      <c r="O555" s="53">
        <f t="shared" si="352"/>
        <v>6</v>
      </c>
      <c r="P555" s="53">
        <f t="shared" si="353"/>
        <v>2025</v>
      </c>
    </row>
    <row r="556" spans="1:16" customFormat="1" x14ac:dyDescent="0.25">
      <c r="A556" s="21">
        <v>3000003204</v>
      </c>
      <c r="B556" s="22">
        <v>45825</v>
      </c>
      <c r="C556" s="20">
        <v>14349218.08</v>
      </c>
      <c r="D556" s="21" t="s">
        <v>607</v>
      </c>
      <c r="E556" s="21">
        <v>91002421</v>
      </c>
      <c r="F556" s="20">
        <v>14349218.08</v>
      </c>
      <c r="G556" s="22">
        <v>45831</v>
      </c>
      <c r="H556" t="s">
        <v>79</v>
      </c>
      <c r="I556" s="51" t="str">
        <f>IFERROR(IF(VLOOKUP(E556,extracto!C:C,1,FALSE)=E556,"pagado","no pagado"),"no pagado")</f>
        <v>pagado</v>
      </c>
      <c r="J556" s="52" t="str">
        <f t="shared" si="348"/>
        <v>pagado</v>
      </c>
      <c r="K556" s="51" t="str">
        <f t="shared" ca="1" si="349"/>
        <v>excluir</v>
      </c>
      <c r="L556" s="51" t="str">
        <f t="shared" ca="1" si="350"/>
        <v>no semana</v>
      </c>
      <c r="M556" s="51" t="str">
        <f>IFERROR(VLOOKUP(E556,'cheques a conf'!A:D,4,FALSE),"no clearing")</f>
        <v>no clearing</v>
      </c>
      <c r="N556" s="51">
        <f t="shared" si="351"/>
        <v>26</v>
      </c>
      <c r="O556" s="53">
        <f t="shared" si="352"/>
        <v>6</v>
      </c>
      <c r="P556" s="53">
        <f t="shared" si="353"/>
        <v>2025</v>
      </c>
    </row>
    <row r="557" spans="1:16" customFormat="1" x14ac:dyDescent="0.25">
      <c r="A557" s="21">
        <v>3000003205</v>
      </c>
      <c r="B557" s="22">
        <v>45825</v>
      </c>
      <c r="C557" s="20">
        <v>2835506.02</v>
      </c>
      <c r="D557" s="21" t="s">
        <v>698</v>
      </c>
      <c r="E557" s="21">
        <v>91002422</v>
      </c>
      <c r="F557" s="20">
        <v>2835506.02</v>
      </c>
      <c r="G557" s="22">
        <v>45827</v>
      </c>
      <c r="H557" t="s">
        <v>79</v>
      </c>
      <c r="I557" s="51" t="str">
        <f>IFERROR(IF(VLOOKUP(E557,extracto!C:C,1,FALSE)=E557,"pagado","no pagado"),"no pagado")</f>
        <v>pagado</v>
      </c>
      <c r="J557" s="52" t="str">
        <f t="shared" si="348"/>
        <v>pagado</v>
      </c>
      <c r="K557" s="51" t="str">
        <f t="shared" ca="1" si="349"/>
        <v>excluir</v>
      </c>
      <c r="L557" s="51" t="str">
        <f t="shared" ca="1" si="350"/>
        <v>no semana</v>
      </c>
      <c r="M557" s="51" t="str">
        <f>IFERROR(VLOOKUP(E557,'cheques a conf'!A:D,4,FALSE),"no clearing")</f>
        <v>no clearing</v>
      </c>
      <c r="N557" s="51">
        <f t="shared" si="351"/>
        <v>25</v>
      </c>
      <c r="O557" s="53">
        <f t="shared" si="352"/>
        <v>6</v>
      </c>
      <c r="P557" s="53">
        <f t="shared" si="353"/>
        <v>2025</v>
      </c>
    </row>
    <row r="558" spans="1:16" customFormat="1" x14ac:dyDescent="0.25">
      <c r="A558" s="21">
        <v>3000003206</v>
      </c>
      <c r="B558" s="22">
        <v>45825</v>
      </c>
      <c r="C558" s="20">
        <v>3429507.82</v>
      </c>
      <c r="D558" s="21" t="s">
        <v>699</v>
      </c>
      <c r="E558" s="21">
        <v>91002423</v>
      </c>
      <c r="F558" s="20">
        <v>3429507.82</v>
      </c>
      <c r="G558" s="22">
        <v>45827</v>
      </c>
      <c r="H558" t="s">
        <v>79</v>
      </c>
      <c r="I558" s="51" t="str">
        <f>IFERROR(IF(VLOOKUP(E558,extracto!C:C,1,FALSE)=E558,"pagado","no pagado"),"no pagado")</f>
        <v>pagado</v>
      </c>
      <c r="J558" s="52" t="str">
        <f t="shared" si="348"/>
        <v>pagado</v>
      </c>
      <c r="K558" s="51" t="str">
        <f t="shared" ca="1" si="349"/>
        <v>excluir</v>
      </c>
      <c r="L558" s="51" t="str">
        <f t="shared" ca="1" si="350"/>
        <v>no semana</v>
      </c>
      <c r="M558" s="51" t="str">
        <f>IFERROR(VLOOKUP(E558,'cheques a conf'!A:D,4,FALSE),"no clearing")</f>
        <v>no clearing</v>
      </c>
      <c r="N558" s="51">
        <f t="shared" si="351"/>
        <v>25</v>
      </c>
      <c r="O558" s="53">
        <f t="shared" si="352"/>
        <v>6</v>
      </c>
      <c r="P558" s="53">
        <f t="shared" si="353"/>
        <v>2025</v>
      </c>
    </row>
    <row r="559" spans="1:16" customFormat="1" x14ac:dyDescent="0.25">
      <c r="A559" s="21">
        <v>3000003207</v>
      </c>
      <c r="B559" s="22">
        <v>45825</v>
      </c>
      <c r="C559" s="20">
        <v>14179847.67</v>
      </c>
      <c r="D559" s="21" t="s">
        <v>700</v>
      </c>
      <c r="E559" s="21">
        <v>91002424</v>
      </c>
      <c r="F559" s="20">
        <v>14179847.67</v>
      </c>
      <c r="G559" s="22">
        <v>45827</v>
      </c>
      <c r="H559" t="s">
        <v>79</v>
      </c>
      <c r="I559" s="51" t="str">
        <f>IFERROR(IF(VLOOKUP(E559,extracto!C:C,1,FALSE)=E559,"pagado","no pagado"),"no pagado")</f>
        <v>pagado</v>
      </c>
      <c r="J559" s="52" t="str">
        <f t="shared" si="348"/>
        <v>pagado</v>
      </c>
      <c r="K559" s="51" t="str">
        <f t="shared" ca="1" si="349"/>
        <v>excluir</v>
      </c>
      <c r="L559" s="51" t="str">
        <f t="shared" ca="1" si="350"/>
        <v>no semana</v>
      </c>
      <c r="M559" s="51" t="str">
        <f>IFERROR(VLOOKUP(E559,'cheques a conf'!A:D,4,FALSE),"no clearing")</f>
        <v>no clearing</v>
      </c>
      <c r="N559" s="51">
        <f t="shared" si="351"/>
        <v>25</v>
      </c>
      <c r="O559" s="53">
        <f t="shared" si="352"/>
        <v>6</v>
      </c>
      <c r="P559" s="53">
        <f t="shared" si="353"/>
        <v>2025</v>
      </c>
    </row>
    <row r="560" spans="1:16" customFormat="1" x14ac:dyDescent="0.25">
      <c r="A560" s="21">
        <v>3000003191</v>
      </c>
      <c r="B560" s="22">
        <v>45825</v>
      </c>
      <c r="C560" s="4">
        <v>42588420</v>
      </c>
      <c r="D560" s="21" t="s">
        <v>25</v>
      </c>
      <c r="E560">
        <v>94326853</v>
      </c>
      <c r="F560" s="4">
        <v>42588420</v>
      </c>
      <c r="G560" s="22">
        <v>45826</v>
      </c>
      <c r="H560" t="s">
        <v>13</v>
      </c>
      <c r="I560" s="51" t="str">
        <f>IFERROR(IF(VLOOKUP(E560,extracto!C:C,1,FALSE)=E560,"pagado","no pagado"),"no pagado")</f>
        <v>pagado</v>
      </c>
      <c r="J560" s="52" t="str">
        <f t="shared" ref="J560" si="354">IF(I560="pagado","pagado",IF(G560&lt;$V$1-30,"fuera de fecha","en periodo de pago"))</f>
        <v>pagado</v>
      </c>
      <c r="K560" s="51" t="str">
        <f t="shared" ref="K560" ca="1" si="355">+IF(B560&gt;$V$1,"excluir",IF(J560="en periodo de pago",IF($V$1&gt;G560,"a pagar","proximo a vencer"),"excluir"))</f>
        <v>excluir</v>
      </c>
      <c r="L560" s="51" t="str">
        <f t="shared" ref="L560" ca="1" si="356">+IF(K560="proximo a vencer",IF($V$1+5&gt;G560,"para la semana","no semana"),"no semana")</f>
        <v>no semana</v>
      </c>
      <c r="M560" s="51" t="str">
        <f>IFERROR(VLOOKUP(E560,'cheques a conf'!A:D,4,FALSE),"no clearing")</f>
        <v>no clearing</v>
      </c>
      <c r="N560" s="51">
        <f t="shared" ref="N560" si="357">+WEEKNUM(G560,2)</f>
        <v>25</v>
      </c>
      <c r="O560" s="53">
        <f t="shared" ref="O560" si="358">+MONTH(G560)</f>
        <v>6</v>
      </c>
      <c r="P560" s="53">
        <f t="shared" ref="P560" si="359">+YEAR(G560)</f>
        <v>2025</v>
      </c>
    </row>
    <row r="561" spans="1:16" customFormat="1" x14ac:dyDescent="0.25">
      <c r="A561" s="21">
        <v>3000003292</v>
      </c>
      <c r="B561" s="22">
        <v>45831</v>
      </c>
      <c r="C561" s="4">
        <v>27787142</v>
      </c>
      <c r="D561" s="21" t="s">
        <v>658</v>
      </c>
      <c r="E561">
        <v>1398</v>
      </c>
      <c r="F561" s="4">
        <v>27787142</v>
      </c>
      <c r="G561" s="22">
        <v>45833</v>
      </c>
      <c r="H561" t="s">
        <v>32</v>
      </c>
      <c r="I561" s="51" t="str">
        <f>IFERROR(IF(VLOOKUP(E561,extracto!C:C,1,FALSE)=E561,"pagado","no pagado"),"no pagado")</f>
        <v>pagado</v>
      </c>
      <c r="J561" s="52" t="str">
        <f t="shared" ref="J561:J576" si="360">IF(I561="pagado","pagado",IF(G561&lt;$V$1-30,"fuera de fecha","en periodo de pago"))</f>
        <v>pagado</v>
      </c>
      <c r="K561" s="51" t="str">
        <f t="shared" ref="K561:K576" ca="1" si="361">+IF(B561&gt;$V$1,"excluir",IF(J561="en periodo de pago",IF($V$1&gt;G561,"a pagar","proximo a vencer"),"excluir"))</f>
        <v>excluir</v>
      </c>
      <c r="L561" s="51" t="str">
        <f t="shared" ref="L561:L576" ca="1" si="362">+IF(K561="proximo a vencer",IF($V$1+5&gt;G561,"para la semana","no semana"),"no semana")</f>
        <v>no semana</v>
      </c>
      <c r="M561" s="51" t="str">
        <f>IFERROR(VLOOKUP(E561,'cheques a conf'!A:D,4,FALSE),"no clearing")</f>
        <v>no clearing</v>
      </c>
      <c r="N561" s="51">
        <f t="shared" ref="N561:N576" si="363">+WEEKNUM(G561,2)</f>
        <v>26</v>
      </c>
      <c r="O561" s="53">
        <f t="shared" ref="O561:O576" si="364">+MONTH(G561)</f>
        <v>6</v>
      </c>
      <c r="P561" s="53">
        <f t="shared" ref="P561:P576" si="365">+YEAR(G561)</f>
        <v>2025</v>
      </c>
    </row>
    <row r="562" spans="1:16" customFormat="1" x14ac:dyDescent="0.25">
      <c r="A562" s="21">
        <v>3000003294</v>
      </c>
      <c r="B562" s="22">
        <v>45831</v>
      </c>
      <c r="C562" s="4">
        <v>3579105</v>
      </c>
      <c r="D562" s="21" t="s">
        <v>596</v>
      </c>
      <c r="E562">
        <v>1399</v>
      </c>
      <c r="F562" s="4">
        <v>3579105</v>
      </c>
      <c r="G562" s="22">
        <v>45833</v>
      </c>
      <c r="H562" t="s">
        <v>32</v>
      </c>
      <c r="I562" s="51" t="str">
        <f>IFERROR(IF(VLOOKUP(E562,extracto!C:C,1,FALSE)=E562,"pagado","no pagado"),"no pagado")</f>
        <v>pagado</v>
      </c>
      <c r="J562" s="52" t="str">
        <f t="shared" si="360"/>
        <v>pagado</v>
      </c>
      <c r="K562" s="51" t="str">
        <f t="shared" ca="1" si="361"/>
        <v>excluir</v>
      </c>
      <c r="L562" s="51" t="str">
        <f t="shared" ca="1" si="362"/>
        <v>no semana</v>
      </c>
      <c r="M562" s="51" t="str">
        <f>IFERROR(VLOOKUP(E562,'cheques a conf'!A:D,4,FALSE),"no clearing")</f>
        <v>no clearing</v>
      </c>
      <c r="N562" s="51">
        <f t="shared" si="363"/>
        <v>26</v>
      </c>
      <c r="O562" s="53">
        <f t="shared" si="364"/>
        <v>6</v>
      </c>
      <c r="P562" s="53">
        <f t="shared" si="365"/>
        <v>2025</v>
      </c>
    </row>
    <row r="563" spans="1:16" customFormat="1" x14ac:dyDescent="0.25">
      <c r="A563" s="21">
        <v>3000003295</v>
      </c>
      <c r="B563" s="22">
        <v>45831</v>
      </c>
      <c r="C563" s="4">
        <v>8194737.7000000002</v>
      </c>
      <c r="D563" s="21" t="s">
        <v>626</v>
      </c>
      <c r="E563">
        <v>1400</v>
      </c>
      <c r="F563" s="4">
        <v>8194737.7000000002</v>
      </c>
      <c r="G563" s="22">
        <v>45833</v>
      </c>
      <c r="H563" t="s">
        <v>32</v>
      </c>
      <c r="I563" s="51" t="str">
        <f>IFERROR(IF(VLOOKUP(E563,extracto!C:C,1,FALSE)=E563,"pagado","no pagado"),"no pagado")</f>
        <v>pagado</v>
      </c>
      <c r="J563" s="52" t="str">
        <f t="shared" si="360"/>
        <v>pagado</v>
      </c>
      <c r="K563" s="51" t="str">
        <f t="shared" ca="1" si="361"/>
        <v>excluir</v>
      </c>
      <c r="L563" s="51" t="str">
        <f t="shared" ca="1" si="362"/>
        <v>no semana</v>
      </c>
      <c r="M563" s="51" t="str">
        <f>IFERROR(VLOOKUP(E563,'cheques a conf'!A:D,4,FALSE),"no clearing")</f>
        <v>no clearing</v>
      </c>
      <c r="N563" s="51">
        <f t="shared" si="363"/>
        <v>26</v>
      </c>
      <c r="O563" s="53">
        <f t="shared" si="364"/>
        <v>6</v>
      </c>
      <c r="P563" s="53">
        <f t="shared" si="365"/>
        <v>2025</v>
      </c>
    </row>
    <row r="564" spans="1:16" customFormat="1" x14ac:dyDescent="0.25">
      <c r="A564" s="21">
        <v>3000003296</v>
      </c>
      <c r="B564" s="22">
        <v>45831</v>
      </c>
      <c r="C564" s="4">
        <v>10038095.4</v>
      </c>
      <c r="D564" s="21" t="s">
        <v>72</v>
      </c>
      <c r="E564">
        <v>1401</v>
      </c>
      <c r="F564" s="4">
        <v>10038095.4</v>
      </c>
      <c r="G564" s="22">
        <v>45834</v>
      </c>
      <c r="H564" t="s">
        <v>32</v>
      </c>
      <c r="I564" s="51" t="str">
        <f>IFERROR(IF(VLOOKUP(E564,extracto!C:C,1,FALSE)=E564,"pagado","no pagado"),"no pagado")</f>
        <v>pagado</v>
      </c>
      <c r="J564" s="52" t="str">
        <f t="shared" si="360"/>
        <v>pagado</v>
      </c>
      <c r="K564" s="51" t="str">
        <f t="shared" ca="1" si="361"/>
        <v>excluir</v>
      </c>
      <c r="L564" s="51" t="str">
        <f t="shared" ca="1" si="362"/>
        <v>no semana</v>
      </c>
      <c r="M564" s="51" t="str">
        <f>IFERROR(VLOOKUP(E564,'cheques a conf'!A:D,4,FALSE),"no clearing")</f>
        <v>no clearing</v>
      </c>
      <c r="N564" s="51">
        <f t="shared" si="363"/>
        <v>26</v>
      </c>
      <c r="O564" s="53">
        <f t="shared" si="364"/>
        <v>6</v>
      </c>
      <c r="P564" s="53">
        <f t="shared" si="365"/>
        <v>2025</v>
      </c>
    </row>
    <row r="565" spans="1:16" customFormat="1" x14ac:dyDescent="0.25">
      <c r="A565" s="21">
        <v>3000003304</v>
      </c>
      <c r="B565" s="22">
        <v>45831</v>
      </c>
      <c r="C565" s="4">
        <v>7548120.8099999996</v>
      </c>
      <c r="D565" s="21" t="s">
        <v>631</v>
      </c>
      <c r="E565">
        <v>1402</v>
      </c>
      <c r="F565" s="4">
        <v>7548120.8099999996</v>
      </c>
      <c r="G565" s="22">
        <v>45833</v>
      </c>
      <c r="H565" t="s">
        <v>32</v>
      </c>
      <c r="I565" s="51" t="str">
        <f>IFERROR(IF(VLOOKUP(E565,extracto!C:C,1,FALSE)=E565,"pagado","no pagado"),"no pagado")</f>
        <v>pagado</v>
      </c>
      <c r="J565" s="52" t="str">
        <f t="shared" si="360"/>
        <v>pagado</v>
      </c>
      <c r="K565" s="51" t="str">
        <f t="shared" ca="1" si="361"/>
        <v>excluir</v>
      </c>
      <c r="L565" s="51" t="str">
        <f t="shared" ca="1" si="362"/>
        <v>no semana</v>
      </c>
      <c r="M565" s="51" t="str">
        <f>IFERROR(VLOOKUP(E565,'cheques a conf'!A:D,4,FALSE),"no clearing")</f>
        <v>no clearing</v>
      </c>
      <c r="N565" s="51">
        <f t="shared" si="363"/>
        <v>26</v>
      </c>
      <c r="O565" s="53">
        <f t="shared" si="364"/>
        <v>6</v>
      </c>
      <c r="P565" s="53">
        <f t="shared" si="365"/>
        <v>2025</v>
      </c>
    </row>
    <row r="566" spans="1:16" customFormat="1" x14ac:dyDescent="0.25">
      <c r="A566" s="21">
        <v>3000003306</v>
      </c>
      <c r="B566" s="22">
        <v>45831</v>
      </c>
      <c r="C566" s="4">
        <v>18435105.66</v>
      </c>
      <c r="D566" s="21" t="s">
        <v>671</v>
      </c>
      <c r="E566">
        <v>1403</v>
      </c>
      <c r="F566" s="4">
        <v>18435105.66</v>
      </c>
      <c r="G566" s="22">
        <v>45834</v>
      </c>
      <c r="H566" t="s">
        <v>32</v>
      </c>
      <c r="I566" s="51" t="str">
        <f>IFERROR(IF(VLOOKUP(E566,extracto!C:C,1,FALSE)=E566,"pagado","no pagado"),"no pagado")</f>
        <v>pagado</v>
      </c>
      <c r="J566" s="52" t="str">
        <f t="shared" si="360"/>
        <v>pagado</v>
      </c>
      <c r="K566" s="51" t="str">
        <f t="shared" ca="1" si="361"/>
        <v>excluir</v>
      </c>
      <c r="L566" s="51" t="str">
        <f t="shared" ca="1" si="362"/>
        <v>no semana</v>
      </c>
      <c r="M566" s="51" t="str">
        <f>IFERROR(VLOOKUP(E566,'cheques a conf'!A:D,4,FALSE),"no clearing")</f>
        <v>no clearing</v>
      </c>
      <c r="N566" s="51">
        <f t="shared" si="363"/>
        <v>26</v>
      </c>
      <c r="O566" s="53">
        <f t="shared" si="364"/>
        <v>6</v>
      </c>
      <c r="P566" s="53">
        <f t="shared" si="365"/>
        <v>2025</v>
      </c>
    </row>
    <row r="567" spans="1:16" customFormat="1" x14ac:dyDescent="0.25">
      <c r="A567" s="21">
        <v>3000003307</v>
      </c>
      <c r="B567" s="22">
        <v>45831</v>
      </c>
      <c r="C567" s="4">
        <v>5325235.5</v>
      </c>
      <c r="D567" s="21" t="s">
        <v>67</v>
      </c>
      <c r="E567">
        <v>1404</v>
      </c>
      <c r="F567" s="4">
        <v>5325235.5</v>
      </c>
      <c r="G567" s="22">
        <v>45833</v>
      </c>
      <c r="H567" t="s">
        <v>32</v>
      </c>
      <c r="I567" s="51" t="str">
        <f>IFERROR(IF(VLOOKUP(E567,extracto!C:C,1,FALSE)=E567,"pagado","no pagado"),"no pagado")</f>
        <v>pagado</v>
      </c>
      <c r="J567" s="52" t="str">
        <f t="shared" si="360"/>
        <v>pagado</v>
      </c>
      <c r="K567" s="51" t="str">
        <f t="shared" ca="1" si="361"/>
        <v>excluir</v>
      </c>
      <c r="L567" s="51" t="str">
        <f t="shared" ca="1" si="362"/>
        <v>no semana</v>
      </c>
      <c r="M567" s="51" t="str">
        <f>IFERROR(VLOOKUP(E567,'cheques a conf'!A:D,4,FALSE),"no clearing")</f>
        <v>no clearing</v>
      </c>
      <c r="N567" s="51">
        <f t="shared" si="363"/>
        <v>26</v>
      </c>
      <c r="O567" s="53">
        <f t="shared" si="364"/>
        <v>6</v>
      </c>
      <c r="P567" s="53">
        <f t="shared" si="365"/>
        <v>2025</v>
      </c>
    </row>
    <row r="568" spans="1:16" customFormat="1" x14ac:dyDescent="0.25">
      <c r="A568" s="21">
        <v>3000003309</v>
      </c>
      <c r="B568" s="22">
        <v>45831</v>
      </c>
      <c r="C568" s="20">
        <v>0</v>
      </c>
      <c r="D568" s="21" t="s">
        <v>701</v>
      </c>
      <c r="E568">
        <v>1405</v>
      </c>
      <c r="F568" s="20">
        <v>0</v>
      </c>
      <c r="G568" s="22">
        <v>45833</v>
      </c>
      <c r="H568" t="s">
        <v>32</v>
      </c>
      <c r="I568" s="51" t="str">
        <f>IFERROR(IF(VLOOKUP(E568,extracto!C:C,1,FALSE)=E568,"pagado","no pagado"),"no pagado")</f>
        <v>no pagado</v>
      </c>
      <c r="J568" s="52" t="str">
        <f t="shared" ca="1" si="360"/>
        <v>fuera de fecha</v>
      </c>
      <c r="K568" s="51" t="str">
        <f t="shared" ca="1" si="361"/>
        <v>excluir</v>
      </c>
      <c r="L568" s="51" t="str">
        <f t="shared" ca="1" si="362"/>
        <v>no semana</v>
      </c>
      <c r="M568" s="51" t="str">
        <f>IFERROR(VLOOKUP(E568,'cheques a conf'!A:D,4,FALSE),"no clearing")</f>
        <v>no clearing</v>
      </c>
      <c r="N568" s="51">
        <f t="shared" si="363"/>
        <v>26</v>
      </c>
      <c r="O568" s="53">
        <f t="shared" si="364"/>
        <v>6</v>
      </c>
      <c r="P568" s="53">
        <f t="shared" si="365"/>
        <v>2025</v>
      </c>
    </row>
    <row r="569" spans="1:16" customFormat="1" x14ac:dyDescent="0.25">
      <c r="A569" s="21">
        <v>3000003310</v>
      </c>
      <c r="B569" s="22">
        <v>45831</v>
      </c>
      <c r="C569" s="4">
        <v>4711555.01</v>
      </c>
      <c r="D569" s="21" t="s">
        <v>702</v>
      </c>
      <c r="E569">
        <v>1406</v>
      </c>
      <c r="F569" s="4">
        <v>4711555.01</v>
      </c>
      <c r="G569" s="22">
        <v>45833</v>
      </c>
      <c r="H569" t="s">
        <v>32</v>
      </c>
      <c r="I569" s="51" t="str">
        <f>IFERROR(IF(VLOOKUP(E569,extracto!C:C,1,FALSE)=E569,"pagado","no pagado"),"no pagado")</f>
        <v>pagado</v>
      </c>
      <c r="J569" s="52" t="str">
        <f t="shared" si="360"/>
        <v>pagado</v>
      </c>
      <c r="K569" s="51" t="str">
        <f t="shared" ca="1" si="361"/>
        <v>excluir</v>
      </c>
      <c r="L569" s="51" t="str">
        <f t="shared" ca="1" si="362"/>
        <v>no semana</v>
      </c>
      <c r="M569" s="51" t="str">
        <f>IFERROR(VLOOKUP(E569,'cheques a conf'!A:D,4,FALSE),"no clearing")</f>
        <v>no clearing</v>
      </c>
      <c r="N569" s="51">
        <f t="shared" si="363"/>
        <v>26</v>
      </c>
      <c r="O569" s="53">
        <f t="shared" si="364"/>
        <v>6</v>
      </c>
      <c r="P569" s="53">
        <f t="shared" si="365"/>
        <v>2025</v>
      </c>
    </row>
    <row r="570" spans="1:16" customFormat="1" x14ac:dyDescent="0.25">
      <c r="A570" s="21">
        <v>3000003312</v>
      </c>
      <c r="B570" s="22">
        <v>45831</v>
      </c>
      <c r="C570" s="4">
        <v>3023142.36</v>
      </c>
      <c r="D570" s="21" t="s">
        <v>703</v>
      </c>
      <c r="E570">
        <v>1407</v>
      </c>
      <c r="F570" s="4">
        <v>3023142.36</v>
      </c>
      <c r="G570" s="22">
        <v>45833</v>
      </c>
      <c r="H570" t="s">
        <v>32</v>
      </c>
      <c r="I570" s="51" t="str">
        <f>IFERROR(IF(VLOOKUP(E570,extracto!C:C,1,FALSE)=E570,"pagado","no pagado"),"no pagado")</f>
        <v>pagado</v>
      </c>
      <c r="J570" s="52" t="str">
        <f t="shared" si="360"/>
        <v>pagado</v>
      </c>
      <c r="K570" s="51" t="str">
        <f t="shared" ca="1" si="361"/>
        <v>excluir</v>
      </c>
      <c r="L570" s="51" t="str">
        <f t="shared" ca="1" si="362"/>
        <v>no semana</v>
      </c>
      <c r="M570" s="51" t="str">
        <f>IFERROR(VLOOKUP(E570,'cheques a conf'!A:D,4,FALSE),"no clearing")</f>
        <v>no clearing</v>
      </c>
      <c r="N570" s="51">
        <f t="shared" si="363"/>
        <v>26</v>
      </c>
      <c r="O570" s="53">
        <f t="shared" si="364"/>
        <v>6</v>
      </c>
      <c r="P570" s="53">
        <f t="shared" si="365"/>
        <v>2025</v>
      </c>
    </row>
    <row r="571" spans="1:16" customFormat="1" x14ac:dyDescent="0.25">
      <c r="A571" s="21">
        <v>3000003313</v>
      </c>
      <c r="B571" s="22">
        <v>45831</v>
      </c>
      <c r="C571" s="4">
        <v>13996405.65</v>
      </c>
      <c r="D571" s="21" t="s">
        <v>654</v>
      </c>
      <c r="E571">
        <v>1408</v>
      </c>
      <c r="F571" s="4">
        <v>13996405.65</v>
      </c>
      <c r="G571" s="22">
        <v>45833</v>
      </c>
      <c r="H571" t="s">
        <v>32</v>
      </c>
      <c r="I571" s="51" t="str">
        <f>IFERROR(IF(VLOOKUP(E571,extracto!C:C,1,FALSE)=E571,"pagado","no pagado"),"no pagado")</f>
        <v>pagado</v>
      </c>
      <c r="J571" s="52" t="str">
        <f t="shared" si="360"/>
        <v>pagado</v>
      </c>
      <c r="K571" s="51" t="str">
        <f t="shared" ca="1" si="361"/>
        <v>excluir</v>
      </c>
      <c r="L571" s="51" t="str">
        <f t="shared" ca="1" si="362"/>
        <v>no semana</v>
      </c>
      <c r="M571" s="51" t="str">
        <f>IFERROR(VLOOKUP(E571,'cheques a conf'!A:D,4,FALSE),"no clearing")</f>
        <v>no clearing</v>
      </c>
      <c r="N571" s="51">
        <f t="shared" si="363"/>
        <v>26</v>
      </c>
      <c r="O571" s="53">
        <f t="shared" si="364"/>
        <v>6</v>
      </c>
      <c r="P571" s="53">
        <f t="shared" si="365"/>
        <v>2025</v>
      </c>
    </row>
    <row r="572" spans="1:16" customFormat="1" x14ac:dyDescent="0.25">
      <c r="A572" s="21">
        <v>3000003314</v>
      </c>
      <c r="B572" s="22">
        <v>45831</v>
      </c>
      <c r="C572" s="4">
        <v>2198231.7799999998</v>
      </c>
      <c r="D572" s="21" t="s">
        <v>704</v>
      </c>
      <c r="E572">
        <v>1409</v>
      </c>
      <c r="F572" s="4">
        <v>2198231.7799999998</v>
      </c>
      <c r="G572" s="22">
        <v>45833</v>
      </c>
      <c r="H572" t="s">
        <v>32</v>
      </c>
      <c r="I572" s="51" t="str">
        <f>IFERROR(IF(VLOOKUP(E572,extracto!C:C,1,FALSE)=E572,"pagado","no pagado"),"no pagado")</f>
        <v>no pagado</v>
      </c>
      <c r="J572" s="52" t="str">
        <f t="shared" ca="1" si="360"/>
        <v>fuera de fecha</v>
      </c>
      <c r="K572" s="51" t="str">
        <f t="shared" ca="1" si="361"/>
        <v>excluir</v>
      </c>
      <c r="L572" s="51" t="str">
        <f t="shared" ca="1" si="362"/>
        <v>no semana</v>
      </c>
      <c r="M572" s="51" t="str">
        <f>IFERROR(VLOOKUP(E572,'cheques a conf'!A:D,4,FALSE),"no clearing")</f>
        <v>no clearing</v>
      </c>
      <c r="N572" s="51">
        <f t="shared" si="363"/>
        <v>26</v>
      </c>
      <c r="O572" s="53">
        <f t="shared" si="364"/>
        <v>6</v>
      </c>
      <c r="P572" s="53">
        <f t="shared" si="365"/>
        <v>2025</v>
      </c>
    </row>
    <row r="573" spans="1:16" customFormat="1" x14ac:dyDescent="0.25">
      <c r="A573" s="21">
        <v>3000003315</v>
      </c>
      <c r="B573" s="22">
        <v>45831</v>
      </c>
      <c r="C573" s="4">
        <v>6957670.3899999997</v>
      </c>
      <c r="D573" s="21" t="s">
        <v>675</v>
      </c>
      <c r="E573">
        <v>1410</v>
      </c>
      <c r="F573" s="4">
        <v>6957670.3899999997</v>
      </c>
      <c r="G573" s="22">
        <v>45833</v>
      </c>
      <c r="H573" t="s">
        <v>32</v>
      </c>
      <c r="I573" s="51" t="str">
        <f>IFERROR(IF(VLOOKUP(E573,extracto!C:C,1,FALSE)=E573,"pagado","no pagado"),"no pagado")</f>
        <v>pagado</v>
      </c>
      <c r="J573" s="52" t="str">
        <f t="shared" si="360"/>
        <v>pagado</v>
      </c>
      <c r="K573" s="51" t="str">
        <f t="shared" ca="1" si="361"/>
        <v>excluir</v>
      </c>
      <c r="L573" s="51" t="str">
        <f t="shared" ca="1" si="362"/>
        <v>no semana</v>
      </c>
      <c r="M573" s="51" t="str">
        <f>IFERROR(VLOOKUP(E573,'cheques a conf'!A:D,4,FALSE),"no clearing")</f>
        <v>no clearing</v>
      </c>
      <c r="N573" s="51">
        <f t="shared" si="363"/>
        <v>26</v>
      </c>
      <c r="O573" s="53">
        <f t="shared" si="364"/>
        <v>6</v>
      </c>
      <c r="P573" s="53">
        <f t="shared" si="365"/>
        <v>2025</v>
      </c>
    </row>
    <row r="574" spans="1:16" customFormat="1" x14ac:dyDescent="0.25">
      <c r="A574" s="21">
        <v>3000003317</v>
      </c>
      <c r="B574" s="22">
        <v>45831</v>
      </c>
      <c r="C574" s="4">
        <v>5723915.6299999999</v>
      </c>
      <c r="D574" s="21" t="s">
        <v>663</v>
      </c>
      <c r="E574">
        <v>1411</v>
      </c>
      <c r="F574" s="4">
        <v>5723915.6299999999</v>
      </c>
      <c r="G574" s="22">
        <v>45833</v>
      </c>
      <c r="H574" t="s">
        <v>32</v>
      </c>
      <c r="I574" s="51" t="str">
        <f>IFERROR(IF(VLOOKUP(E574,extracto!C:C,1,FALSE)=E574,"pagado","no pagado"),"no pagado")</f>
        <v>pagado</v>
      </c>
      <c r="J574" s="52" t="str">
        <f t="shared" si="360"/>
        <v>pagado</v>
      </c>
      <c r="K574" s="51" t="str">
        <f t="shared" ca="1" si="361"/>
        <v>excluir</v>
      </c>
      <c r="L574" s="51" t="str">
        <f t="shared" ca="1" si="362"/>
        <v>no semana</v>
      </c>
      <c r="M574" s="51" t="str">
        <f>IFERROR(VLOOKUP(E574,'cheques a conf'!A:D,4,FALSE),"no clearing")</f>
        <v>no clearing</v>
      </c>
      <c r="N574" s="51">
        <f t="shared" si="363"/>
        <v>26</v>
      </c>
      <c r="O574" s="53">
        <f t="shared" si="364"/>
        <v>6</v>
      </c>
      <c r="P574" s="53">
        <f t="shared" si="365"/>
        <v>2025</v>
      </c>
    </row>
    <row r="575" spans="1:16" customFormat="1" x14ac:dyDescent="0.25">
      <c r="A575" s="21">
        <v>3000003318</v>
      </c>
      <c r="B575" s="22">
        <v>45831</v>
      </c>
      <c r="C575" s="4">
        <v>4592469.97</v>
      </c>
      <c r="D575" s="21" t="s">
        <v>586</v>
      </c>
      <c r="E575">
        <v>1412</v>
      </c>
      <c r="F575" s="4">
        <v>4592469.97</v>
      </c>
      <c r="G575" s="22">
        <v>45833</v>
      </c>
      <c r="H575" t="s">
        <v>32</v>
      </c>
      <c r="I575" s="51" t="str">
        <f>IFERROR(IF(VLOOKUP(E575,extracto!C:C,1,FALSE)=E575,"pagado","no pagado"),"no pagado")</f>
        <v>pagado</v>
      </c>
      <c r="J575" s="52" t="str">
        <f t="shared" si="360"/>
        <v>pagado</v>
      </c>
      <c r="K575" s="51" t="str">
        <f t="shared" ca="1" si="361"/>
        <v>excluir</v>
      </c>
      <c r="L575" s="51" t="str">
        <f t="shared" ca="1" si="362"/>
        <v>no semana</v>
      </c>
      <c r="M575" s="51" t="str">
        <f>IFERROR(VLOOKUP(E575,'cheques a conf'!A:D,4,FALSE),"no clearing")</f>
        <v>no clearing</v>
      </c>
      <c r="N575" s="51">
        <f t="shared" si="363"/>
        <v>26</v>
      </c>
      <c r="O575" s="53">
        <f t="shared" si="364"/>
        <v>6</v>
      </c>
      <c r="P575" s="53">
        <f t="shared" si="365"/>
        <v>2025</v>
      </c>
    </row>
    <row r="576" spans="1:16" customFormat="1" x14ac:dyDescent="0.25">
      <c r="A576" s="21">
        <v>3000003319</v>
      </c>
      <c r="B576" s="22">
        <v>45831</v>
      </c>
      <c r="C576" s="4">
        <v>21294050.120000001</v>
      </c>
      <c r="D576" s="21" t="s">
        <v>649</v>
      </c>
      <c r="E576">
        <v>1413</v>
      </c>
      <c r="F576" s="4">
        <v>21294050.120000001</v>
      </c>
      <c r="G576" s="22">
        <v>45835</v>
      </c>
      <c r="H576" t="s">
        <v>32</v>
      </c>
      <c r="I576" s="51" t="str">
        <f>IFERROR(IF(VLOOKUP(E576,extracto!C:C,1,FALSE)=E576,"pagado","no pagado"),"no pagado")</f>
        <v>pagado</v>
      </c>
      <c r="J576" s="52" t="str">
        <f t="shared" si="360"/>
        <v>pagado</v>
      </c>
      <c r="K576" s="51" t="str">
        <f t="shared" ca="1" si="361"/>
        <v>excluir</v>
      </c>
      <c r="L576" s="51" t="str">
        <f t="shared" ca="1" si="362"/>
        <v>no semana</v>
      </c>
      <c r="M576" s="51" t="str">
        <f>IFERROR(VLOOKUP(E576,'cheques a conf'!A:D,4,FALSE),"no clearing")</f>
        <v>no clearing</v>
      </c>
      <c r="N576" s="51">
        <f t="shared" si="363"/>
        <v>26</v>
      </c>
      <c r="O576" s="53">
        <f t="shared" si="364"/>
        <v>6</v>
      </c>
      <c r="P576" s="53">
        <f t="shared" si="365"/>
        <v>2025</v>
      </c>
    </row>
    <row r="577" spans="1:16" customFormat="1" x14ac:dyDescent="0.25">
      <c r="A577" s="21">
        <v>3000003290</v>
      </c>
      <c r="B577" s="22">
        <v>45831</v>
      </c>
      <c r="C577" s="4">
        <v>219588080</v>
      </c>
      <c r="D577" s="21" t="s">
        <v>25</v>
      </c>
      <c r="E577">
        <v>40272950</v>
      </c>
      <c r="F577" s="4">
        <v>219588080</v>
      </c>
      <c r="G577" s="22">
        <v>45831</v>
      </c>
      <c r="H577" t="s">
        <v>79</v>
      </c>
      <c r="I577" s="51" t="str">
        <f>IFERROR(IF(VLOOKUP(E577,extracto!C:C,1,FALSE)=E577,"pagado","no pagado"),"no pagado")</f>
        <v>pagado</v>
      </c>
      <c r="J577" s="52" t="str">
        <f t="shared" ref="J577:J578" si="366">IF(I577="pagado","pagado",IF(G577&lt;$V$1-30,"fuera de fecha","en periodo de pago"))</f>
        <v>pagado</v>
      </c>
      <c r="K577" s="51" t="str">
        <f t="shared" ref="K577:K578" ca="1" si="367">+IF(B577&gt;$V$1,"excluir",IF(J577="en periodo de pago",IF($V$1&gt;G577,"a pagar","proximo a vencer"),"excluir"))</f>
        <v>excluir</v>
      </c>
      <c r="L577" s="51" t="str">
        <f t="shared" ref="L577:L578" ca="1" si="368">+IF(K577="proximo a vencer",IF($V$1+5&gt;G577,"para la semana","no semana"),"no semana")</f>
        <v>no semana</v>
      </c>
      <c r="M577" s="51" t="str">
        <f>IFERROR(VLOOKUP(E577,'cheques a conf'!A:D,4,FALSE),"no clearing")</f>
        <v>no clearing</v>
      </c>
      <c r="N577" s="51">
        <f t="shared" ref="N577:N578" si="369">+WEEKNUM(G577,2)</f>
        <v>26</v>
      </c>
      <c r="O577" s="53">
        <f t="shared" ref="O577:O578" si="370">+MONTH(G577)</f>
        <v>6</v>
      </c>
      <c r="P577" s="53">
        <f t="shared" ref="P577:P578" si="371">+YEAR(G577)</f>
        <v>2025</v>
      </c>
    </row>
    <row r="578" spans="1:16" customFormat="1" x14ac:dyDescent="0.25">
      <c r="A578" s="21">
        <v>3000003356</v>
      </c>
      <c r="B578" s="22">
        <v>45832</v>
      </c>
      <c r="C578" s="4">
        <v>2263590</v>
      </c>
      <c r="D578" s="21" t="s">
        <v>25</v>
      </c>
      <c r="E578">
        <v>40272951</v>
      </c>
      <c r="F578" s="4">
        <v>2263590</v>
      </c>
      <c r="G578" s="22">
        <v>45833</v>
      </c>
      <c r="H578" t="s">
        <v>79</v>
      </c>
      <c r="I578" s="51" t="str">
        <f>IFERROR(IF(VLOOKUP(E578,extracto!C:C,1,FALSE)=E578,"pagado","no pagado"),"no pagado")</f>
        <v>pagado</v>
      </c>
      <c r="J578" s="52" t="str">
        <f t="shared" si="366"/>
        <v>pagado</v>
      </c>
      <c r="K578" s="51" t="str">
        <f t="shared" ca="1" si="367"/>
        <v>excluir</v>
      </c>
      <c r="L578" s="51" t="str">
        <f t="shared" ca="1" si="368"/>
        <v>no semana</v>
      </c>
      <c r="M578" s="51" t="str">
        <f>IFERROR(VLOOKUP(E578,'cheques a conf'!A:D,4,FALSE),"no clearing")</f>
        <v>no clearing</v>
      </c>
      <c r="N578" s="51">
        <f t="shared" si="369"/>
        <v>26</v>
      </c>
      <c r="O578" s="53">
        <f t="shared" si="370"/>
        <v>6</v>
      </c>
      <c r="P578" s="53">
        <f t="shared" si="371"/>
        <v>2025</v>
      </c>
    </row>
    <row r="579" spans="1:16" customFormat="1" x14ac:dyDescent="0.25">
      <c r="A579">
        <v>3000003393</v>
      </c>
      <c r="B579" s="22">
        <v>45833</v>
      </c>
      <c r="C579" s="4">
        <v>3203580.11</v>
      </c>
      <c r="D579" s="21" t="s">
        <v>659</v>
      </c>
      <c r="E579">
        <v>40272952</v>
      </c>
      <c r="F579" s="4">
        <v>3203580.11</v>
      </c>
      <c r="G579" s="22">
        <v>45834</v>
      </c>
      <c r="H579" t="s">
        <v>79</v>
      </c>
      <c r="I579" s="51" t="str">
        <f>IFERROR(IF(VLOOKUP(E579,extracto!C:C,1,FALSE)=E579,"pagado","no pagado"),"no pagado")</f>
        <v>pagado</v>
      </c>
      <c r="J579" s="52" t="str">
        <f t="shared" ref="J579" si="372">IF(I579="pagado","pagado",IF(G579&lt;$V$1-30,"fuera de fecha","en periodo de pago"))</f>
        <v>pagado</v>
      </c>
      <c r="K579" s="51" t="str">
        <f t="shared" ref="K579" ca="1" si="373">+IF(B579&gt;$V$1,"excluir",IF(J579="en periodo de pago",IF($V$1&gt;G579,"a pagar","proximo a vencer"),"excluir"))</f>
        <v>excluir</v>
      </c>
      <c r="L579" s="51" t="str">
        <f t="shared" ref="L579" ca="1" si="374">+IF(K579="proximo a vencer",IF($V$1+5&gt;G579,"para la semana","no semana"),"no semana")</f>
        <v>no semana</v>
      </c>
      <c r="M579" s="51" t="str">
        <f>IFERROR(VLOOKUP(E579,'cheques a conf'!A:D,4,FALSE),"no clearing")</f>
        <v>no clearing</v>
      </c>
      <c r="N579" s="51">
        <f t="shared" ref="N579" si="375">+WEEKNUM(G579,2)</f>
        <v>26</v>
      </c>
      <c r="O579" s="53">
        <f t="shared" ref="O579" si="376">+MONTH(G579)</f>
        <v>6</v>
      </c>
      <c r="P579" s="53">
        <f t="shared" ref="P579" si="377">+YEAR(G579)</f>
        <v>2025</v>
      </c>
    </row>
    <row r="580" spans="1:16" customFormat="1" x14ac:dyDescent="0.25">
      <c r="A580">
        <v>3000003394</v>
      </c>
      <c r="B580" s="22">
        <v>45833</v>
      </c>
      <c r="C580" s="4">
        <v>20874644.699999999</v>
      </c>
      <c r="D580" t="s">
        <v>705</v>
      </c>
      <c r="E580">
        <v>1414</v>
      </c>
      <c r="F580" s="4">
        <v>20874644.699999999</v>
      </c>
      <c r="G580" s="3">
        <v>45835</v>
      </c>
      <c r="H580" t="s">
        <v>32</v>
      </c>
      <c r="I580" s="51" t="str">
        <f>IFERROR(IF(VLOOKUP(E580,extracto!C:C,1,FALSE)=E580,"pagado","no pagado"),"no pagado")</f>
        <v>pagado</v>
      </c>
      <c r="J580" s="52" t="str">
        <f t="shared" ref="J580:J604" si="378">IF(I580="pagado","pagado",IF(G580&lt;$V$1-30,"fuera de fecha","en periodo de pago"))</f>
        <v>pagado</v>
      </c>
      <c r="K580" s="51" t="str">
        <f t="shared" ref="K580:K604" ca="1" si="379">+IF(B580&gt;$V$1,"excluir",IF(J580="en periodo de pago",IF($V$1&gt;G580,"a pagar","proximo a vencer"),"excluir"))</f>
        <v>excluir</v>
      </c>
      <c r="L580" s="51" t="str">
        <f t="shared" ref="L580:L604" ca="1" si="380">+IF(K580="proximo a vencer",IF($V$1+5&gt;G580,"para la semana","no semana"),"no semana")</f>
        <v>no semana</v>
      </c>
      <c r="M580" s="51" t="str">
        <f>IFERROR(VLOOKUP(E580,'cheques a conf'!A:D,4,FALSE),"no clearing")</f>
        <v>no clearing</v>
      </c>
      <c r="N580" s="51">
        <f t="shared" ref="N580:N604" si="381">+WEEKNUM(G580,2)</f>
        <v>26</v>
      </c>
      <c r="O580" s="53">
        <f t="shared" ref="O580:O604" si="382">+MONTH(G580)</f>
        <v>6</v>
      </c>
      <c r="P580" s="53">
        <f t="shared" ref="P580:P604" si="383">+YEAR(G580)</f>
        <v>2025</v>
      </c>
    </row>
    <row r="581" spans="1:16" customFormat="1" x14ac:dyDescent="0.25">
      <c r="A581">
        <v>3000003395</v>
      </c>
      <c r="B581" s="22">
        <v>45833</v>
      </c>
      <c r="C581" s="4">
        <v>3350566.66</v>
      </c>
      <c r="D581" t="s">
        <v>706</v>
      </c>
      <c r="E581">
        <v>1415</v>
      </c>
      <c r="F581" s="4">
        <v>3350566.66</v>
      </c>
      <c r="G581" s="3">
        <v>45835</v>
      </c>
      <c r="H581" t="s">
        <v>32</v>
      </c>
      <c r="I581" s="51" t="str">
        <f>IFERROR(IF(VLOOKUP(E581,extracto!C:C,1,FALSE)=E581,"pagado","no pagado"),"no pagado")</f>
        <v>pagado</v>
      </c>
      <c r="J581" s="52" t="str">
        <f t="shared" si="378"/>
        <v>pagado</v>
      </c>
      <c r="K581" s="51" t="str">
        <f t="shared" ca="1" si="379"/>
        <v>excluir</v>
      </c>
      <c r="L581" s="51" t="str">
        <f t="shared" ca="1" si="380"/>
        <v>no semana</v>
      </c>
      <c r="M581" s="51" t="str">
        <f>IFERROR(VLOOKUP(E581,'cheques a conf'!A:D,4,FALSE),"no clearing")</f>
        <v>no clearing</v>
      </c>
      <c r="N581" s="51">
        <f t="shared" si="381"/>
        <v>26</v>
      </c>
      <c r="O581" s="53">
        <f t="shared" si="382"/>
        <v>6</v>
      </c>
      <c r="P581" s="53">
        <f t="shared" si="383"/>
        <v>2025</v>
      </c>
    </row>
    <row r="582" spans="1:16" customFormat="1" x14ac:dyDescent="0.25">
      <c r="A582">
        <v>3000003396</v>
      </c>
      <c r="B582" s="22">
        <v>45833</v>
      </c>
      <c r="C582" s="4">
        <v>21074118.09</v>
      </c>
      <c r="D582" t="s">
        <v>626</v>
      </c>
      <c r="E582">
        <v>1416</v>
      </c>
      <c r="F582" s="4">
        <v>21074118.09</v>
      </c>
      <c r="G582" s="3">
        <v>45835</v>
      </c>
      <c r="H582" t="s">
        <v>32</v>
      </c>
      <c r="I582" s="51" t="str">
        <f>IFERROR(IF(VLOOKUP(E582,extracto!C:C,1,FALSE)=E582,"pagado","no pagado"),"no pagado")</f>
        <v>pagado</v>
      </c>
      <c r="J582" s="52" t="str">
        <f t="shared" si="378"/>
        <v>pagado</v>
      </c>
      <c r="K582" s="51" t="str">
        <f t="shared" ca="1" si="379"/>
        <v>excluir</v>
      </c>
      <c r="L582" s="51" t="str">
        <f t="shared" ca="1" si="380"/>
        <v>no semana</v>
      </c>
      <c r="M582" s="51" t="str">
        <f>IFERROR(VLOOKUP(E582,'cheques a conf'!A:D,4,FALSE),"no clearing")</f>
        <v>no clearing</v>
      </c>
      <c r="N582" s="51">
        <f t="shared" si="381"/>
        <v>26</v>
      </c>
      <c r="O582" s="53">
        <f t="shared" si="382"/>
        <v>6</v>
      </c>
      <c r="P582" s="53">
        <f t="shared" si="383"/>
        <v>2025</v>
      </c>
    </row>
    <row r="583" spans="1:16" customFormat="1" x14ac:dyDescent="0.25">
      <c r="A583">
        <v>3000003397</v>
      </c>
      <c r="B583" s="22">
        <v>45833</v>
      </c>
      <c r="C583" s="4">
        <v>39978715.689999998</v>
      </c>
      <c r="D583" t="s">
        <v>631</v>
      </c>
      <c r="E583">
        <v>1417</v>
      </c>
      <c r="F583" s="4">
        <v>39978715.689999998</v>
      </c>
      <c r="G583" s="3">
        <v>45835</v>
      </c>
      <c r="H583" t="s">
        <v>32</v>
      </c>
      <c r="I583" s="51" t="str">
        <f>IFERROR(IF(VLOOKUP(E583,extracto!C:C,1,FALSE)=E583,"pagado","no pagado"),"no pagado")</f>
        <v>pagado</v>
      </c>
      <c r="J583" s="52" t="str">
        <f t="shared" si="378"/>
        <v>pagado</v>
      </c>
      <c r="K583" s="51" t="str">
        <f t="shared" ca="1" si="379"/>
        <v>excluir</v>
      </c>
      <c r="L583" s="51" t="str">
        <f t="shared" ca="1" si="380"/>
        <v>no semana</v>
      </c>
      <c r="M583" s="51" t="str">
        <f>IFERROR(VLOOKUP(E583,'cheques a conf'!A:D,4,FALSE),"no clearing")</f>
        <v>no clearing</v>
      </c>
      <c r="N583" s="51">
        <f t="shared" si="381"/>
        <v>26</v>
      </c>
      <c r="O583" s="53">
        <f t="shared" si="382"/>
        <v>6</v>
      </c>
      <c r="P583" s="53">
        <f t="shared" si="383"/>
        <v>2025</v>
      </c>
    </row>
    <row r="584" spans="1:16" customFormat="1" x14ac:dyDescent="0.25">
      <c r="A584">
        <v>3000003398</v>
      </c>
      <c r="B584" s="22">
        <v>45833</v>
      </c>
      <c r="C584" s="4">
        <v>12536088.23</v>
      </c>
      <c r="D584" t="s">
        <v>640</v>
      </c>
      <c r="E584">
        <v>1418</v>
      </c>
      <c r="F584" s="4">
        <v>12536088.23</v>
      </c>
      <c r="G584" s="3">
        <v>45835</v>
      </c>
      <c r="H584" t="s">
        <v>32</v>
      </c>
      <c r="I584" s="51" t="str">
        <f>IFERROR(IF(VLOOKUP(E584,extracto!C:C,1,FALSE)=E584,"pagado","no pagado"),"no pagado")</f>
        <v>pagado</v>
      </c>
      <c r="J584" s="52" t="str">
        <f t="shared" si="378"/>
        <v>pagado</v>
      </c>
      <c r="K584" s="51" t="str">
        <f t="shared" ca="1" si="379"/>
        <v>excluir</v>
      </c>
      <c r="L584" s="51" t="str">
        <f t="shared" ca="1" si="380"/>
        <v>no semana</v>
      </c>
      <c r="M584" s="51" t="str">
        <f>IFERROR(VLOOKUP(E584,'cheques a conf'!A:D,4,FALSE),"no clearing")</f>
        <v>no clearing</v>
      </c>
      <c r="N584" s="51">
        <f t="shared" si="381"/>
        <v>26</v>
      </c>
      <c r="O584" s="53">
        <f t="shared" si="382"/>
        <v>6</v>
      </c>
      <c r="P584" s="53">
        <f t="shared" si="383"/>
        <v>2025</v>
      </c>
    </row>
    <row r="585" spans="1:16" customFormat="1" x14ac:dyDescent="0.25">
      <c r="A585">
        <v>3000003399</v>
      </c>
      <c r="B585" s="22">
        <v>45833</v>
      </c>
      <c r="C585" s="4">
        <v>11883729.300000001</v>
      </c>
      <c r="D585" t="s">
        <v>620</v>
      </c>
      <c r="E585">
        <v>1419</v>
      </c>
      <c r="F585" s="4">
        <v>11883729.300000001</v>
      </c>
      <c r="G585" s="3">
        <v>45835</v>
      </c>
      <c r="H585" t="s">
        <v>32</v>
      </c>
      <c r="I585" s="51" t="str">
        <f>IFERROR(IF(VLOOKUP(E585,extracto!C:C,1,FALSE)=E585,"pagado","no pagado"),"no pagado")</f>
        <v>pagado</v>
      </c>
      <c r="J585" s="52" t="str">
        <f t="shared" si="378"/>
        <v>pagado</v>
      </c>
      <c r="K585" s="51" t="str">
        <f t="shared" ca="1" si="379"/>
        <v>excluir</v>
      </c>
      <c r="L585" s="51" t="str">
        <f t="shared" ca="1" si="380"/>
        <v>no semana</v>
      </c>
      <c r="M585" s="51" t="str">
        <f>IFERROR(VLOOKUP(E585,'cheques a conf'!A:D,4,FALSE),"no clearing")</f>
        <v>no clearing</v>
      </c>
      <c r="N585" s="51">
        <f t="shared" si="381"/>
        <v>26</v>
      </c>
      <c r="O585" s="53">
        <f t="shared" si="382"/>
        <v>6</v>
      </c>
      <c r="P585" s="53">
        <f t="shared" si="383"/>
        <v>2025</v>
      </c>
    </row>
    <row r="586" spans="1:16" customFormat="1" x14ac:dyDescent="0.25">
      <c r="A586">
        <v>3000003400</v>
      </c>
      <c r="B586" s="22">
        <v>45833</v>
      </c>
      <c r="C586" s="4">
        <v>4557000</v>
      </c>
      <c r="D586" t="s">
        <v>707</v>
      </c>
      <c r="E586">
        <v>1420</v>
      </c>
      <c r="F586" s="4">
        <v>4557000</v>
      </c>
      <c r="G586" s="3">
        <v>45835</v>
      </c>
      <c r="H586" t="s">
        <v>32</v>
      </c>
      <c r="I586" s="51" t="str">
        <f>IFERROR(IF(VLOOKUP(E586,extracto!C:C,1,FALSE)=E586,"pagado","no pagado"),"no pagado")</f>
        <v>pagado</v>
      </c>
      <c r="J586" s="52" t="str">
        <f t="shared" si="378"/>
        <v>pagado</v>
      </c>
      <c r="K586" s="51" t="str">
        <f t="shared" ca="1" si="379"/>
        <v>excluir</v>
      </c>
      <c r="L586" s="51" t="str">
        <f t="shared" ca="1" si="380"/>
        <v>no semana</v>
      </c>
      <c r="M586" s="51" t="str">
        <f>IFERROR(VLOOKUP(E586,'cheques a conf'!A:D,4,FALSE),"no clearing")</f>
        <v>no clearing</v>
      </c>
      <c r="N586" s="51">
        <f t="shared" si="381"/>
        <v>26</v>
      </c>
      <c r="O586" s="53">
        <f t="shared" si="382"/>
        <v>6</v>
      </c>
      <c r="P586" s="53">
        <f t="shared" si="383"/>
        <v>2025</v>
      </c>
    </row>
    <row r="587" spans="1:16" customFormat="1" x14ac:dyDescent="0.25">
      <c r="A587">
        <v>3000003401</v>
      </c>
      <c r="B587" s="22">
        <v>45833</v>
      </c>
      <c r="C587" s="4">
        <v>7694216.2000000002</v>
      </c>
      <c r="D587" t="s">
        <v>708</v>
      </c>
      <c r="E587">
        <v>1421</v>
      </c>
      <c r="F587" s="4">
        <v>7694216.2000000002</v>
      </c>
      <c r="G587" s="3">
        <v>45838</v>
      </c>
      <c r="H587" t="s">
        <v>32</v>
      </c>
      <c r="I587" s="51" t="str">
        <f>IFERROR(IF(VLOOKUP(E587,extracto!C:C,1,FALSE)=E587,"pagado","no pagado"),"no pagado")</f>
        <v>pagado</v>
      </c>
      <c r="J587" s="52" t="str">
        <f t="shared" si="378"/>
        <v>pagado</v>
      </c>
      <c r="K587" s="51" t="str">
        <f t="shared" ca="1" si="379"/>
        <v>excluir</v>
      </c>
      <c r="L587" s="51" t="str">
        <f t="shared" ca="1" si="380"/>
        <v>no semana</v>
      </c>
      <c r="M587" s="51" t="str">
        <f>IFERROR(VLOOKUP(E587,'cheques a conf'!A:D,4,FALSE),"no clearing")</f>
        <v>no clearing</v>
      </c>
      <c r="N587" s="51">
        <f t="shared" si="381"/>
        <v>27</v>
      </c>
      <c r="O587" s="53">
        <f t="shared" si="382"/>
        <v>6</v>
      </c>
      <c r="P587" s="53">
        <f t="shared" si="383"/>
        <v>2025</v>
      </c>
    </row>
    <row r="588" spans="1:16" customFormat="1" x14ac:dyDescent="0.25">
      <c r="A588">
        <v>3000003402</v>
      </c>
      <c r="B588" s="22">
        <v>45833</v>
      </c>
      <c r="C588" s="4">
        <v>15309349.109999999</v>
      </c>
      <c r="D588" t="s">
        <v>653</v>
      </c>
      <c r="E588">
        <v>1422</v>
      </c>
      <c r="F588" s="4">
        <v>15309349.109999999</v>
      </c>
      <c r="G588" s="3">
        <v>45838</v>
      </c>
      <c r="H588" t="s">
        <v>32</v>
      </c>
      <c r="I588" s="51" t="str">
        <f>IFERROR(IF(VLOOKUP(E588,extracto!C:C,1,FALSE)=E588,"pagado","no pagado"),"no pagado")</f>
        <v>pagado</v>
      </c>
      <c r="J588" s="52" t="str">
        <f t="shared" si="378"/>
        <v>pagado</v>
      </c>
      <c r="K588" s="51" t="str">
        <f t="shared" ca="1" si="379"/>
        <v>excluir</v>
      </c>
      <c r="L588" s="51" t="str">
        <f t="shared" ca="1" si="380"/>
        <v>no semana</v>
      </c>
      <c r="M588" s="51" t="str">
        <f>IFERROR(VLOOKUP(E588,'cheques a conf'!A:D,4,FALSE),"no clearing")</f>
        <v>no clearing</v>
      </c>
      <c r="N588" s="51">
        <f t="shared" si="381"/>
        <v>27</v>
      </c>
      <c r="O588" s="53">
        <f t="shared" si="382"/>
        <v>6</v>
      </c>
      <c r="P588" s="53">
        <f t="shared" si="383"/>
        <v>2025</v>
      </c>
    </row>
    <row r="589" spans="1:16" customFormat="1" x14ac:dyDescent="0.25">
      <c r="A589">
        <v>3000003403</v>
      </c>
      <c r="B589" s="22">
        <v>45833</v>
      </c>
      <c r="C589" s="4">
        <v>4113417.9</v>
      </c>
      <c r="D589" t="s">
        <v>669</v>
      </c>
      <c r="E589">
        <v>1423</v>
      </c>
      <c r="F589" s="4">
        <v>4113417.9</v>
      </c>
      <c r="G589" s="3">
        <v>45838</v>
      </c>
      <c r="H589" t="s">
        <v>32</v>
      </c>
      <c r="I589" s="51" t="str">
        <f>IFERROR(IF(VLOOKUP(E589,extracto!C:C,1,FALSE)=E589,"pagado","no pagado"),"no pagado")</f>
        <v>pagado</v>
      </c>
      <c r="J589" s="52" t="str">
        <f t="shared" si="378"/>
        <v>pagado</v>
      </c>
      <c r="K589" s="51" t="str">
        <f t="shared" ca="1" si="379"/>
        <v>excluir</v>
      </c>
      <c r="L589" s="51" t="str">
        <f t="shared" ca="1" si="380"/>
        <v>no semana</v>
      </c>
      <c r="M589" s="51" t="str">
        <f>IFERROR(VLOOKUP(E589,'cheques a conf'!A:D,4,FALSE),"no clearing")</f>
        <v>no clearing</v>
      </c>
      <c r="N589" s="51">
        <f t="shared" si="381"/>
        <v>27</v>
      </c>
      <c r="O589" s="53">
        <f t="shared" si="382"/>
        <v>6</v>
      </c>
      <c r="P589" s="53">
        <f t="shared" si="383"/>
        <v>2025</v>
      </c>
    </row>
    <row r="590" spans="1:16" customFormat="1" x14ac:dyDescent="0.25">
      <c r="A590">
        <v>3000003404</v>
      </c>
      <c r="B590" s="22">
        <v>45833</v>
      </c>
      <c r="C590" s="4">
        <v>3764402.17</v>
      </c>
      <c r="D590" t="s">
        <v>667</v>
      </c>
      <c r="E590">
        <v>1424</v>
      </c>
      <c r="F590" s="4">
        <v>3764402.17</v>
      </c>
      <c r="G590" s="3">
        <v>45838</v>
      </c>
      <c r="H590" t="s">
        <v>32</v>
      </c>
      <c r="I590" s="51" t="str">
        <f>IFERROR(IF(VLOOKUP(E590,extracto!C:C,1,FALSE)=E590,"pagado","no pagado"),"no pagado")</f>
        <v>pagado</v>
      </c>
      <c r="J590" s="52" t="str">
        <f t="shared" si="378"/>
        <v>pagado</v>
      </c>
      <c r="K590" s="51" t="str">
        <f t="shared" ca="1" si="379"/>
        <v>excluir</v>
      </c>
      <c r="L590" s="51" t="str">
        <f t="shared" ca="1" si="380"/>
        <v>no semana</v>
      </c>
      <c r="M590" s="51" t="str">
        <f>IFERROR(VLOOKUP(E590,'cheques a conf'!A:D,4,FALSE),"no clearing")</f>
        <v>no clearing</v>
      </c>
      <c r="N590" s="51">
        <f t="shared" si="381"/>
        <v>27</v>
      </c>
      <c r="O590" s="53">
        <f t="shared" si="382"/>
        <v>6</v>
      </c>
      <c r="P590" s="53">
        <f t="shared" si="383"/>
        <v>2025</v>
      </c>
    </row>
    <row r="591" spans="1:16" customFormat="1" x14ac:dyDescent="0.25">
      <c r="A591">
        <v>3000003405</v>
      </c>
      <c r="B591" s="22">
        <v>45833</v>
      </c>
      <c r="C591" s="4">
        <v>11395701.310000001</v>
      </c>
      <c r="D591" t="s">
        <v>652</v>
      </c>
      <c r="E591">
        <v>1425</v>
      </c>
      <c r="F591" s="4">
        <v>11395701.310000001</v>
      </c>
      <c r="G591" s="3">
        <v>45838</v>
      </c>
      <c r="H591" t="s">
        <v>32</v>
      </c>
      <c r="I591" s="51" t="str">
        <f>IFERROR(IF(VLOOKUP(E591,extracto!C:C,1,FALSE)=E591,"pagado","no pagado"),"no pagado")</f>
        <v>pagado</v>
      </c>
      <c r="J591" s="52" t="str">
        <f t="shared" si="378"/>
        <v>pagado</v>
      </c>
      <c r="K591" s="51" t="str">
        <f t="shared" ca="1" si="379"/>
        <v>excluir</v>
      </c>
      <c r="L591" s="51" t="str">
        <f t="shared" ca="1" si="380"/>
        <v>no semana</v>
      </c>
      <c r="M591" s="51" t="str">
        <f>IFERROR(VLOOKUP(E591,'cheques a conf'!A:D,4,FALSE),"no clearing")</f>
        <v>no clearing</v>
      </c>
      <c r="N591" s="51">
        <f t="shared" si="381"/>
        <v>27</v>
      </c>
      <c r="O591" s="53">
        <f t="shared" si="382"/>
        <v>6</v>
      </c>
      <c r="P591" s="53">
        <f t="shared" si="383"/>
        <v>2025</v>
      </c>
    </row>
    <row r="592" spans="1:16" customFormat="1" x14ac:dyDescent="0.25">
      <c r="A592">
        <v>3000003406</v>
      </c>
      <c r="B592" s="22">
        <v>45833</v>
      </c>
      <c r="C592" s="4">
        <v>9357237.3200000003</v>
      </c>
      <c r="D592" t="s">
        <v>618</v>
      </c>
      <c r="E592">
        <v>1426</v>
      </c>
      <c r="F592" s="4">
        <v>9357237.3200000003</v>
      </c>
      <c r="G592" s="3">
        <v>45838</v>
      </c>
      <c r="H592" t="s">
        <v>32</v>
      </c>
      <c r="I592" s="51" t="str">
        <f>IFERROR(IF(VLOOKUP(E592,extracto!C:C,1,FALSE)=E592,"pagado","no pagado"),"no pagado")</f>
        <v>pagado</v>
      </c>
      <c r="J592" s="52" t="str">
        <f t="shared" si="378"/>
        <v>pagado</v>
      </c>
      <c r="K592" s="51" t="str">
        <f t="shared" ca="1" si="379"/>
        <v>excluir</v>
      </c>
      <c r="L592" s="51" t="str">
        <f t="shared" ca="1" si="380"/>
        <v>no semana</v>
      </c>
      <c r="M592" s="51" t="str">
        <f>IFERROR(VLOOKUP(E592,'cheques a conf'!A:D,4,FALSE),"no clearing")</f>
        <v>no clearing</v>
      </c>
      <c r="N592" s="51">
        <f t="shared" si="381"/>
        <v>27</v>
      </c>
      <c r="O592" s="53">
        <f t="shared" si="382"/>
        <v>6</v>
      </c>
      <c r="P592" s="53">
        <f t="shared" si="383"/>
        <v>2025</v>
      </c>
    </row>
    <row r="593" spans="1:16" customFormat="1" x14ac:dyDescent="0.25">
      <c r="A593">
        <v>3000003407</v>
      </c>
      <c r="B593" s="22">
        <v>45833</v>
      </c>
      <c r="C593" s="4">
        <v>14382842.76</v>
      </c>
      <c r="D593" t="s">
        <v>619</v>
      </c>
      <c r="E593">
        <v>1427</v>
      </c>
      <c r="F593" s="4">
        <v>14382842.76</v>
      </c>
      <c r="G593" s="3">
        <v>45838</v>
      </c>
      <c r="H593" t="s">
        <v>32</v>
      </c>
      <c r="I593" s="51" t="str">
        <f>IFERROR(IF(VLOOKUP(E593,extracto!C:C,1,FALSE)=E593,"pagado","no pagado"),"no pagado")</f>
        <v>pagado</v>
      </c>
      <c r="J593" s="52" t="str">
        <f t="shared" si="378"/>
        <v>pagado</v>
      </c>
      <c r="K593" s="51" t="str">
        <f t="shared" ca="1" si="379"/>
        <v>excluir</v>
      </c>
      <c r="L593" s="51" t="str">
        <f t="shared" ca="1" si="380"/>
        <v>no semana</v>
      </c>
      <c r="M593" s="51" t="str">
        <f>IFERROR(VLOOKUP(E593,'cheques a conf'!A:D,4,FALSE),"no clearing")</f>
        <v>no clearing</v>
      </c>
      <c r="N593" s="51">
        <f t="shared" si="381"/>
        <v>27</v>
      </c>
      <c r="O593" s="53">
        <f t="shared" si="382"/>
        <v>6</v>
      </c>
      <c r="P593" s="53">
        <f t="shared" si="383"/>
        <v>2025</v>
      </c>
    </row>
    <row r="594" spans="1:16" customFormat="1" x14ac:dyDescent="0.25">
      <c r="A594">
        <v>3000003408</v>
      </c>
      <c r="B594" s="22">
        <v>45833</v>
      </c>
      <c r="C594" s="4">
        <v>8292873.4000000004</v>
      </c>
      <c r="D594" t="s">
        <v>613</v>
      </c>
      <c r="E594">
        <v>1428</v>
      </c>
      <c r="F594" s="4">
        <v>8292873.4000000004</v>
      </c>
      <c r="G594" s="3">
        <v>45838</v>
      </c>
      <c r="H594" t="s">
        <v>32</v>
      </c>
      <c r="I594" s="51" t="str">
        <f>IFERROR(IF(VLOOKUP(E594,extracto!C:C,1,FALSE)=E594,"pagado","no pagado"),"no pagado")</f>
        <v>pagado</v>
      </c>
      <c r="J594" s="52" t="str">
        <f t="shared" si="378"/>
        <v>pagado</v>
      </c>
      <c r="K594" s="51" t="str">
        <f t="shared" ca="1" si="379"/>
        <v>excluir</v>
      </c>
      <c r="L594" s="51" t="str">
        <f t="shared" ca="1" si="380"/>
        <v>no semana</v>
      </c>
      <c r="M594" s="51" t="str">
        <f>IFERROR(VLOOKUP(E594,'cheques a conf'!A:D,4,FALSE),"no clearing")</f>
        <v>no clearing</v>
      </c>
      <c r="N594" s="51">
        <f t="shared" si="381"/>
        <v>27</v>
      </c>
      <c r="O594" s="53">
        <f t="shared" si="382"/>
        <v>6</v>
      </c>
      <c r="P594" s="53">
        <f t="shared" si="383"/>
        <v>2025</v>
      </c>
    </row>
    <row r="595" spans="1:16" customFormat="1" x14ac:dyDescent="0.25">
      <c r="A595">
        <v>3000003409</v>
      </c>
      <c r="B595" s="22">
        <v>45833</v>
      </c>
      <c r="C595" s="4">
        <v>4138777.77</v>
      </c>
      <c r="D595" t="s">
        <v>612</v>
      </c>
      <c r="E595">
        <v>1429</v>
      </c>
      <c r="F595" s="4">
        <v>4138777.77</v>
      </c>
      <c r="G595" s="3">
        <v>45838</v>
      </c>
      <c r="H595" t="s">
        <v>32</v>
      </c>
      <c r="I595" s="51" t="str">
        <f>IFERROR(IF(VLOOKUP(E595,extracto!C:C,1,FALSE)=E595,"pagado","no pagado"),"no pagado")</f>
        <v>pagado</v>
      </c>
      <c r="J595" s="52" t="str">
        <f t="shared" si="378"/>
        <v>pagado</v>
      </c>
      <c r="K595" s="51" t="str">
        <f t="shared" ca="1" si="379"/>
        <v>excluir</v>
      </c>
      <c r="L595" s="51" t="str">
        <f t="shared" ca="1" si="380"/>
        <v>no semana</v>
      </c>
      <c r="M595" s="51" t="str">
        <f>IFERROR(VLOOKUP(E595,'cheques a conf'!A:D,4,FALSE),"no clearing")</f>
        <v>no clearing</v>
      </c>
      <c r="N595" s="51">
        <f t="shared" si="381"/>
        <v>27</v>
      </c>
      <c r="O595" s="53">
        <f t="shared" si="382"/>
        <v>6</v>
      </c>
      <c r="P595" s="53">
        <f t="shared" si="383"/>
        <v>2025</v>
      </c>
    </row>
    <row r="596" spans="1:16" customFormat="1" x14ac:dyDescent="0.25">
      <c r="A596">
        <v>3000003410</v>
      </c>
      <c r="B596" s="22">
        <v>45833</v>
      </c>
      <c r="C596" s="4">
        <v>4231992.71</v>
      </c>
      <c r="D596" t="s">
        <v>617</v>
      </c>
      <c r="E596">
        <v>1430</v>
      </c>
      <c r="F596" s="4">
        <v>4231992.71</v>
      </c>
      <c r="G596" s="3">
        <v>45838</v>
      </c>
      <c r="H596" t="s">
        <v>32</v>
      </c>
      <c r="I596" s="51" t="str">
        <f>IFERROR(IF(VLOOKUP(E596,extracto!C:C,1,FALSE)=E596,"pagado","no pagado"),"no pagado")</f>
        <v>pagado</v>
      </c>
      <c r="J596" s="52" t="str">
        <f t="shared" si="378"/>
        <v>pagado</v>
      </c>
      <c r="K596" s="51" t="str">
        <f t="shared" ca="1" si="379"/>
        <v>excluir</v>
      </c>
      <c r="L596" s="51" t="str">
        <f t="shared" ca="1" si="380"/>
        <v>no semana</v>
      </c>
      <c r="M596" s="51" t="str">
        <f>IFERROR(VLOOKUP(E596,'cheques a conf'!A:D,4,FALSE),"no clearing")</f>
        <v>no clearing</v>
      </c>
      <c r="N596" s="51">
        <f t="shared" si="381"/>
        <v>27</v>
      </c>
      <c r="O596" s="53">
        <f t="shared" si="382"/>
        <v>6</v>
      </c>
      <c r="P596" s="53">
        <f t="shared" si="383"/>
        <v>2025</v>
      </c>
    </row>
    <row r="597" spans="1:16" customFormat="1" x14ac:dyDescent="0.25">
      <c r="A597">
        <v>3000003411</v>
      </c>
      <c r="B597" s="22">
        <v>45833</v>
      </c>
      <c r="C597" s="4">
        <v>4353550.68</v>
      </c>
      <c r="D597" t="s">
        <v>31</v>
      </c>
      <c r="E597">
        <v>1431</v>
      </c>
      <c r="F597" s="4">
        <v>4353550.68</v>
      </c>
      <c r="G597" s="3">
        <v>45838</v>
      </c>
      <c r="H597" t="s">
        <v>32</v>
      </c>
      <c r="I597" s="51" t="str">
        <f>IFERROR(IF(VLOOKUP(E597,extracto!C:C,1,FALSE)=E597,"pagado","no pagado"),"no pagado")</f>
        <v>pagado</v>
      </c>
      <c r="J597" s="52" t="str">
        <f t="shared" si="378"/>
        <v>pagado</v>
      </c>
      <c r="K597" s="51" t="str">
        <f t="shared" ca="1" si="379"/>
        <v>excluir</v>
      </c>
      <c r="L597" s="51" t="str">
        <f t="shared" ca="1" si="380"/>
        <v>no semana</v>
      </c>
      <c r="M597" s="51" t="str">
        <f>IFERROR(VLOOKUP(E597,'cheques a conf'!A:D,4,FALSE),"no clearing")</f>
        <v>no clearing</v>
      </c>
      <c r="N597" s="51">
        <f t="shared" si="381"/>
        <v>27</v>
      </c>
      <c r="O597" s="53">
        <f t="shared" si="382"/>
        <v>6</v>
      </c>
      <c r="P597" s="53">
        <f t="shared" si="383"/>
        <v>2025</v>
      </c>
    </row>
    <row r="598" spans="1:16" customFormat="1" x14ac:dyDescent="0.25">
      <c r="A598">
        <v>3000003412</v>
      </c>
      <c r="B598" s="22">
        <v>45833</v>
      </c>
      <c r="C598" s="4">
        <v>3488147.05</v>
      </c>
      <c r="D598" t="s">
        <v>702</v>
      </c>
      <c r="E598">
        <v>1432</v>
      </c>
      <c r="F598" s="4">
        <v>3488147.05</v>
      </c>
      <c r="G598" s="3">
        <v>45838</v>
      </c>
      <c r="H598" t="s">
        <v>32</v>
      </c>
      <c r="I598" s="51" t="str">
        <f>IFERROR(IF(VLOOKUP(E598,extracto!C:C,1,FALSE)=E598,"pagado","no pagado"),"no pagado")</f>
        <v>pagado</v>
      </c>
      <c r="J598" s="52" t="str">
        <f t="shared" si="378"/>
        <v>pagado</v>
      </c>
      <c r="K598" s="51" t="str">
        <f t="shared" ca="1" si="379"/>
        <v>excluir</v>
      </c>
      <c r="L598" s="51" t="str">
        <f t="shared" ca="1" si="380"/>
        <v>no semana</v>
      </c>
      <c r="M598" s="51" t="str">
        <f>IFERROR(VLOOKUP(E598,'cheques a conf'!A:D,4,FALSE),"no clearing")</f>
        <v>no clearing</v>
      </c>
      <c r="N598" s="51">
        <f t="shared" si="381"/>
        <v>27</v>
      </c>
      <c r="O598" s="53">
        <f t="shared" si="382"/>
        <v>6</v>
      </c>
      <c r="P598" s="53">
        <f t="shared" si="383"/>
        <v>2025</v>
      </c>
    </row>
    <row r="599" spans="1:16" customFormat="1" x14ac:dyDescent="0.25">
      <c r="A599">
        <v>3000003413</v>
      </c>
      <c r="B599" s="22">
        <v>45833</v>
      </c>
      <c r="C599" s="4">
        <v>6078687.3300000001</v>
      </c>
      <c r="D599" t="s">
        <v>668</v>
      </c>
      <c r="E599">
        <v>1433</v>
      </c>
      <c r="F599" s="4">
        <v>6078687.3300000001</v>
      </c>
      <c r="G599" s="3">
        <v>45838</v>
      </c>
      <c r="H599" t="s">
        <v>32</v>
      </c>
      <c r="I599" s="51" t="str">
        <f>IFERROR(IF(VLOOKUP(E599,extracto!C:C,1,FALSE)=E599,"pagado","no pagado"),"no pagado")</f>
        <v>pagado</v>
      </c>
      <c r="J599" s="52" t="str">
        <f t="shared" si="378"/>
        <v>pagado</v>
      </c>
      <c r="K599" s="51" t="str">
        <f t="shared" ca="1" si="379"/>
        <v>excluir</v>
      </c>
      <c r="L599" s="51" t="str">
        <f t="shared" ca="1" si="380"/>
        <v>no semana</v>
      </c>
      <c r="M599" s="51" t="str">
        <f>IFERROR(VLOOKUP(E599,'cheques a conf'!A:D,4,FALSE),"no clearing")</f>
        <v>no clearing</v>
      </c>
      <c r="N599" s="51">
        <f t="shared" si="381"/>
        <v>27</v>
      </c>
      <c r="O599" s="53">
        <f t="shared" si="382"/>
        <v>6</v>
      </c>
      <c r="P599" s="53">
        <f t="shared" si="383"/>
        <v>2025</v>
      </c>
    </row>
    <row r="600" spans="1:16" customFormat="1" x14ac:dyDescent="0.25">
      <c r="A600">
        <v>3000003414</v>
      </c>
      <c r="B600" s="22">
        <v>45833</v>
      </c>
      <c r="C600" s="4">
        <v>4253920.29</v>
      </c>
      <c r="D600" t="s">
        <v>691</v>
      </c>
      <c r="E600">
        <v>1434</v>
      </c>
      <c r="F600" s="4">
        <v>4253920.29</v>
      </c>
      <c r="G600" s="3">
        <v>45838</v>
      </c>
      <c r="H600" t="s">
        <v>32</v>
      </c>
      <c r="I600" s="51" t="str">
        <f>IFERROR(IF(VLOOKUP(E600,extracto!C:C,1,FALSE)=E600,"pagado","no pagado"),"no pagado")</f>
        <v>pagado</v>
      </c>
      <c r="J600" s="52" t="str">
        <f t="shared" si="378"/>
        <v>pagado</v>
      </c>
      <c r="K600" s="51" t="str">
        <f t="shared" ca="1" si="379"/>
        <v>excluir</v>
      </c>
      <c r="L600" s="51" t="str">
        <f t="shared" ca="1" si="380"/>
        <v>no semana</v>
      </c>
      <c r="M600" s="51" t="str">
        <f>IFERROR(VLOOKUP(E600,'cheques a conf'!A:D,4,FALSE),"no clearing")</f>
        <v>no clearing</v>
      </c>
      <c r="N600" s="51">
        <f t="shared" si="381"/>
        <v>27</v>
      </c>
      <c r="O600" s="53">
        <f t="shared" si="382"/>
        <v>6</v>
      </c>
      <c r="P600" s="53">
        <f t="shared" si="383"/>
        <v>2025</v>
      </c>
    </row>
    <row r="601" spans="1:16" customFormat="1" x14ac:dyDescent="0.25">
      <c r="A601">
        <v>3000003415</v>
      </c>
      <c r="B601" s="22">
        <v>45833</v>
      </c>
      <c r="C601" s="4">
        <v>8428990.5999999996</v>
      </c>
      <c r="D601" t="s">
        <v>657</v>
      </c>
      <c r="E601">
        <v>1435</v>
      </c>
      <c r="F601" s="4">
        <v>8428990.5999999996</v>
      </c>
      <c r="G601" s="3">
        <v>45838</v>
      </c>
      <c r="H601" t="s">
        <v>32</v>
      </c>
      <c r="I601" s="51" t="str">
        <f>IFERROR(IF(VLOOKUP(E601,extracto!C:C,1,FALSE)=E601,"pagado","no pagado"),"no pagado")</f>
        <v>pagado</v>
      </c>
      <c r="J601" s="52" t="str">
        <f t="shared" si="378"/>
        <v>pagado</v>
      </c>
      <c r="K601" s="51" t="str">
        <f t="shared" ca="1" si="379"/>
        <v>excluir</v>
      </c>
      <c r="L601" s="51" t="str">
        <f t="shared" ca="1" si="380"/>
        <v>no semana</v>
      </c>
      <c r="M601" s="51" t="str">
        <f>IFERROR(VLOOKUP(E601,'cheques a conf'!A:D,4,FALSE),"no clearing")</f>
        <v>no clearing</v>
      </c>
      <c r="N601" s="51">
        <f t="shared" si="381"/>
        <v>27</v>
      </c>
      <c r="O601" s="53">
        <f t="shared" si="382"/>
        <v>6</v>
      </c>
      <c r="P601" s="53">
        <f t="shared" si="383"/>
        <v>2025</v>
      </c>
    </row>
    <row r="602" spans="1:16" customFormat="1" x14ac:dyDescent="0.25">
      <c r="A602">
        <v>3000003416</v>
      </c>
      <c r="B602" s="22">
        <v>45833</v>
      </c>
      <c r="C602" s="4">
        <v>7865678</v>
      </c>
      <c r="D602" t="s">
        <v>642</v>
      </c>
      <c r="E602">
        <v>1436</v>
      </c>
      <c r="F602" s="4">
        <v>7865678</v>
      </c>
      <c r="G602" s="3">
        <v>45838</v>
      </c>
      <c r="H602" t="s">
        <v>32</v>
      </c>
      <c r="I602" s="51" t="str">
        <f>IFERROR(IF(VLOOKUP(E602,extracto!C:C,1,FALSE)=E602,"pagado","no pagado"),"no pagado")</f>
        <v>pagado</v>
      </c>
      <c r="J602" s="52" t="str">
        <f t="shared" si="378"/>
        <v>pagado</v>
      </c>
      <c r="K602" s="51" t="str">
        <f t="shared" ca="1" si="379"/>
        <v>excluir</v>
      </c>
      <c r="L602" s="51" t="str">
        <f t="shared" ca="1" si="380"/>
        <v>no semana</v>
      </c>
      <c r="M602" s="51" t="str">
        <f>IFERROR(VLOOKUP(E602,'cheques a conf'!A:D,4,FALSE),"no clearing")</f>
        <v>no clearing</v>
      </c>
      <c r="N602" s="51">
        <f t="shared" si="381"/>
        <v>27</v>
      </c>
      <c r="O602" s="53">
        <f t="shared" si="382"/>
        <v>6</v>
      </c>
      <c r="P602" s="53">
        <f t="shared" si="383"/>
        <v>2025</v>
      </c>
    </row>
    <row r="603" spans="1:16" customFormat="1" x14ac:dyDescent="0.25">
      <c r="A603">
        <v>3000003417</v>
      </c>
      <c r="B603" s="22">
        <v>45833</v>
      </c>
      <c r="C603" s="4">
        <v>5990114.6299999999</v>
      </c>
      <c r="D603" t="s">
        <v>623</v>
      </c>
      <c r="E603">
        <v>1437</v>
      </c>
      <c r="F603" s="4">
        <v>5990114.6299999999</v>
      </c>
      <c r="G603" s="3">
        <v>45838</v>
      </c>
      <c r="H603" t="s">
        <v>32</v>
      </c>
      <c r="I603" s="51" t="str">
        <f>IFERROR(IF(VLOOKUP(E603,extracto!C:C,1,FALSE)=E603,"pagado","no pagado"),"no pagado")</f>
        <v>pagado</v>
      </c>
      <c r="J603" s="52" t="str">
        <f t="shared" si="378"/>
        <v>pagado</v>
      </c>
      <c r="K603" s="51" t="str">
        <f t="shared" ca="1" si="379"/>
        <v>excluir</v>
      </c>
      <c r="L603" s="51" t="str">
        <f t="shared" ca="1" si="380"/>
        <v>no semana</v>
      </c>
      <c r="M603" s="51" t="str">
        <f>IFERROR(VLOOKUP(E603,'cheques a conf'!A:D,4,FALSE),"no clearing")</f>
        <v>no clearing</v>
      </c>
      <c r="N603" s="51">
        <f t="shared" si="381"/>
        <v>27</v>
      </c>
      <c r="O603" s="53">
        <f t="shared" si="382"/>
        <v>6</v>
      </c>
      <c r="P603" s="53">
        <f t="shared" si="383"/>
        <v>2025</v>
      </c>
    </row>
    <row r="604" spans="1:16" customFormat="1" x14ac:dyDescent="0.25">
      <c r="A604">
        <v>3000003418</v>
      </c>
      <c r="B604" s="22">
        <v>45833</v>
      </c>
      <c r="C604" s="4">
        <v>19970612.600000001</v>
      </c>
      <c r="D604" t="s">
        <v>672</v>
      </c>
      <c r="E604">
        <v>1438</v>
      </c>
      <c r="F604" s="4">
        <v>19970612.600000001</v>
      </c>
      <c r="G604" s="3">
        <v>45838</v>
      </c>
      <c r="H604" t="s">
        <v>32</v>
      </c>
      <c r="I604" s="51" t="str">
        <f>IFERROR(IF(VLOOKUP(E604,extracto!C:C,1,FALSE)=E604,"pagado","no pagado"),"no pagado")</f>
        <v>pagado</v>
      </c>
      <c r="J604" s="52" t="str">
        <f t="shared" si="378"/>
        <v>pagado</v>
      </c>
      <c r="K604" s="51" t="str">
        <f t="shared" ca="1" si="379"/>
        <v>excluir</v>
      </c>
      <c r="L604" s="51" t="str">
        <f t="shared" ca="1" si="380"/>
        <v>no semana</v>
      </c>
      <c r="M604" s="51" t="str">
        <f>IFERROR(VLOOKUP(E604,'cheques a conf'!A:D,4,FALSE),"no clearing")</f>
        <v>no clearing</v>
      </c>
      <c r="N604" s="51">
        <f t="shared" si="381"/>
        <v>27</v>
      </c>
      <c r="O604" s="53">
        <f t="shared" si="382"/>
        <v>6</v>
      </c>
      <c r="P604" s="53">
        <f t="shared" si="383"/>
        <v>2025</v>
      </c>
    </row>
    <row r="605" spans="1:16" customFormat="1" x14ac:dyDescent="0.25">
      <c r="A605">
        <v>3000003493</v>
      </c>
      <c r="B605" s="22">
        <v>45838</v>
      </c>
      <c r="C605" s="4">
        <v>54814678.590000004</v>
      </c>
      <c r="D605" t="s">
        <v>709</v>
      </c>
      <c r="E605">
        <v>1439</v>
      </c>
      <c r="F605" s="4">
        <v>54814678.590000004</v>
      </c>
      <c r="G605" s="3">
        <v>45839</v>
      </c>
      <c r="H605" t="s">
        <v>32</v>
      </c>
      <c r="I605" s="51" t="str">
        <f>IFERROR(IF(VLOOKUP(E605,extracto!C:C,1,FALSE)=E605,"pagado","no pagado"),"no pagado")</f>
        <v>pagado</v>
      </c>
      <c r="J605" s="52" t="str">
        <f t="shared" ref="J605:J667" si="384">IF(I605="pagado","pagado",IF(G605&lt;$V$1-30,"fuera de fecha","en periodo de pago"))</f>
        <v>pagado</v>
      </c>
      <c r="K605" s="51" t="str">
        <f t="shared" ref="K605:K667" ca="1" si="385">+IF(B605&gt;$V$1,"excluir",IF(J605="en periodo de pago",IF($V$1&gt;G605,"a pagar","proximo a vencer"),"excluir"))</f>
        <v>excluir</v>
      </c>
      <c r="L605" s="51" t="str">
        <f t="shared" ref="L605:L667" ca="1" si="386">+IF(K605="proximo a vencer",IF($V$1+5&gt;G605,"para la semana","no semana"),"no semana")</f>
        <v>no semana</v>
      </c>
      <c r="M605" s="51" t="str">
        <f>IFERROR(VLOOKUP(E605,'cheques a conf'!A:D,4,FALSE),"no clearing")</f>
        <v>no clearing</v>
      </c>
      <c r="N605" s="51">
        <f t="shared" ref="N605:N667" si="387">+WEEKNUM(G605,2)</f>
        <v>27</v>
      </c>
      <c r="O605" s="53">
        <f t="shared" ref="O605:O667" si="388">+MONTH(G605)</f>
        <v>7</v>
      </c>
      <c r="P605" s="53">
        <f t="shared" ref="P605:P667" si="389">+YEAR(G605)</f>
        <v>2025</v>
      </c>
    </row>
    <row r="606" spans="1:16" customFormat="1" x14ac:dyDescent="0.25">
      <c r="A606">
        <v>3000003493</v>
      </c>
      <c r="B606" s="22">
        <v>45838</v>
      </c>
      <c r="C606" s="4">
        <v>1133271.3999999999</v>
      </c>
      <c r="D606" t="s">
        <v>709</v>
      </c>
      <c r="E606">
        <v>1440</v>
      </c>
      <c r="F606" s="4">
        <v>1133271.3999999999</v>
      </c>
      <c r="G606" s="3">
        <v>45839</v>
      </c>
      <c r="H606" t="s">
        <v>32</v>
      </c>
      <c r="I606" s="51" t="str">
        <f>IFERROR(IF(VLOOKUP(E606,extracto!C:C,1,FALSE)=E606,"pagado","no pagado"),"no pagado")</f>
        <v>pagado</v>
      </c>
      <c r="J606" s="52" t="str">
        <f t="shared" si="384"/>
        <v>pagado</v>
      </c>
      <c r="K606" s="51" t="str">
        <f t="shared" ca="1" si="385"/>
        <v>excluir</v>
      </c>
      <c r="L606" s="51" t="str">
        <f t="shared" ca="1" si="386"/>
        <v>no semana</v>
      </c>
      <c r="M606" s="51" t="str">
        <f>IFERROR(VLOOKUP(E606,'cheques a conf'!A:D,4,FALSE),"no clearing")</f>
        <v>no clearing</v>
      </c>
      <c r="N606" s="51">
        <f t="shared" si="387"/>
        <v>27</v>
      </c>
      <c r="O606" s="53">
        <f t="shared" si="388"/>
        <v>7</v>
      </c>
      <c r="P606" s="53">
        <f t="shared" si="389"/>
        <v>2025</v>
      </c>
    </row>
    <row r="607" spans="1:16" customFormat="1" x14ac:dyDescent="0.25">
      <c r="A607">
        <v>3000003493</v>
      </c>
      <c r="B607" s="22">
        <v>45838</v>
      </c>
      <c r="C607" s="4">
        <v>2732562.03</v>
      </c>
      <c r="D607" t="s">
        <v>709</v>
      </c>
      <c r="E607">
        <v>1441</v>
      </c>
      <c r="F607" s="4">
        <v>2732562.03</v>
      </c>
      <c r="G607" s="3">
        <v>45839</v>
      </c>
      <c r="H607" t="s">
        <v>32</v>
      </c>
      <c r="I607" s="51" t="str">
        <f>IFERROR(IF(VLOOKUP(E607,extracto!C:C,1,FALSE)=E607,"pagado","no pagado"),"no pagado")</f>
        <v>pagado</v>
      </c>
      <c r="J607" s="52" t="str">
        <f t="shared" si="384"/>
        <v>pagado</v>
      </c>
      <c r="K607" s="51" t="str">
        <f t="shared" ca="1" si="385"/>
        <v>excluir</v>
      </c>
      <c r="L607" s="51" t="str">
        <f t="shared" ca="1" si="386"/>
        <v>no semana</v>
      </c>
      <c r="M607" s="51" t="str">
        <f>IFERROR(VLOOKUP(E607,'cheques a conf'!A:D,4,FALSE),"no clearing")</f>
        <v>no clearing</v>
      </c>
      <c r="N607" s="51">
        <f t="shared" si="387"/>
        <v>27</v>
      </c>
      <c r="O607" s="53">
        <f t="shared" si="388"/>
        <v>7</v>
      </c>
      <c r="P607" s="53">
        <f t="shared" si="389"/>
        <v>2025</v>
      </c>
    </row>
    <row r="608" spans="1:16" customFormat="1" x14ac:dyDescent="0.25">
      <c r="A608">
        <v>3000003493</v>
      </c>
      <c r="B608" s="22">
        <v>45838</v>
      </c>
      <c r="C608" s="4">
        <v>7070542.9000000004</v>
      </c>
      <c r="D608" t="s">
        <v>709</v>
      </c>
      <c r="E608">
        <v>1442</v>
      </c>
      <c r="F608" s="4">
        <v>7070542.9000000004</v>
      </c>
      <c r="G608" s="3">
        <v>45839</v>
      </c>
      <c r="H608" t="s">
        <v>32</v>
      </c>
      <c r="I608" s="51" t="str">
        <f>IFERROR(IF(VLOOKUP(E608,extracto!C:C,1,FALSE)=E608,"pagado","no pagado"),"no pagado")</f>
        <v>pagado</v>
      </c>
      <c r="J608" s="52" t="str">
        <f t="shared" si="384"/>
        <v>pagado</v>
      </c>
      <c r="K608" s="51" t="str">
        <f t="shared" ca="1" si="385"/>
        <v>excluir</v>
      </c>
      <c r="L608" s="51" t="str">
        <f t="shared" ca="1" si="386"/>
        <v>no semana</v>
      </c>
      <c r="M608" s="51" t="str">
        <f>IFERROR(VLOOKUP(E608,'cheques a conf'!A:D,4,FALSE),"no clearing")</f>
        <v>no clearing</v>
      </c>
      <c r="N608" s="51">
        <f t="shared" si="387"/>
        <v>27</v>
      </c>
      <c r="O608" s="53">
        <f t="shared" si="388"/>
        <v>7</v>
      </c>
      <c r="P608" s="53">
        <f t="shared" si="389"/>
        <v>2025</v>
      </c>
    </row>
    <row r="609" spans="1:16" customFormat="1" x14ac:dyDescent="0.25">
      <c r="A609">
        <v>3000003493</v>
      </c>
      <c r="B609" s="22">
        <v>45838</v>
      </c>
      <c r="C609" s="4">
        <v>2343060.31</v>
      </c>
      <c r="D609" t="s">
        <v>709</v>
      </c>
      <c r="E609">
        <v>1443</v>
      </c>
      <c r="F609" s="4">
        <v>2343060.31</v>
      </c>
      <c r="G609" s="3">
        <v>45839</v>
      </c>
      <c r="H609" t="s">
        <v>32</v>
      </c>
      <c r="I609" s="51" t="str">
        <f>IFERROR(IF(VLOOKUP(E609,extracto!C:C,1,FALSE)=E609,"pagado","no pagado"),"no pagado")</f>
        <v>pagado</v>
      </c>
      <c r="J609" s="52" t="str">
        <f t="shared" si="384"/>
        <v>pagado</v>
      </c>
      <c r="K609" s="51" t="str">
        <f t="shared" ca="1" si="385"/>
        <v>excluir</v>
      </c>
      <c r="L609" s="51" t="str">
        <f t="shared" ca="1" si="386"/>
        <v>no semana</v>
      </c>
      <c r="M609" s="51" t="str">
        <f>IFERROR(VLOOKUP(E609,'cheques a conf'!A:D,4,FALSE),"no clearing")</f>
        <v>no clearing</v>
      </c>
      <c r="N609" s="51">
        <f t="shared" si="387"/>
        <v>27</v>
      </c>
      <c r="O609" s="53">
        <f t="shared" si="388"/>
        <v>7</v>
      </c>
      <c r="P609" s="53">
        <f t="shared" si="389"/>
        <v>2025</v>
      </c>
    </row>
    <row r="610" spans="1:16" customFormat="1" x14ac:dyDescent="0.25">
      <c r="A610">
        <v>3000003493</v>
      </c>
      <c r="B610" s="22">
        <v>45838</v>
      </c>
      <c r="C610" s="4">
        <v>872386.75</v>
      </c>
      <c r="D610" t="s">
        <v>709</v>
      </c>
      <c r="E610">
        <v>1444</v>
      </c>
      <c r="F610" s="4">
        <v>872386.75</v>
      </c>
      <c r="G610" s="3">
        <v>45839</v>
      </c>
      <c r="H610" t="s">
        <v>32</v>
      </c>
      <c r="I610" s="51" t="str">
        <f>IFERROR(IF(VLOOKUP(E610,extracto!C:C,1,FALSE)=E610,"pagado","no pagado"),"no pagado")</f>
        <v>pagado</v>
      </c>
      <c r="J610" s="52" t="str">
        <f t="shared" si="384"/>
        <v>pagado</v>
      </c>
      <c r="K610" s="51" t="str">
        <f t="shared" ca="1" si="385"/>
        <v>excluir</v>
      </c>
      <c r="L610" s="51" t="str">
        <f t="shared" ca="1" si="386"/>
        <v>no semana</v>
      </c>
      <c r="M610" s="51" t="str">
        <f>IFERROR(VLOOKUP(E610,'cheques a conf'!A:D,4,FALSE),"no clearing")</f>
        <v>no clearing</v>
      </c>
      <c r="N610" s="51">
        <f t="shared" si="387"/>
        <v>27</v>
      </c>
      <c r="O610" s="53">
        <f t="shared" si="388"/>
        <v>7</v>
      </c>
      <c r="P610" s="53">
        <f t="shared" si="389"/>
        <v>2025</v>
      </c>
    </row>
    <row r="611" spans="1:16" customFormat="1" x14ac:dyDescent="0.25">
      <c r="A611">
        <v>3000003493</v>
      </c>
      <c r="B611" s="22">
        <v>45838</v>
      </c>
      <c r="C611" s="4">
        <v>444050.81</v>
      </c>
      <c r="D611" t="s">
        <v>709</v>
      </c>
      <c r="E611">
        <v>1445</v>
      </c>
      <c r="F611" s="4">
        <v>444050.81</v>
      </c>
      <c r="G611" s="3">
        <v>45840</v>
      </c>
      <c r="H611" t="s">
        <v>32</v>
      </c>
      <c r="I611" s="51" t="str">
        <f>IFERROR(IF(VLOOKUP(E611,extracto!C:C,1,FALSE)=E611,"pagado","no pagado"),"no pagado")</f>
        <v>pagado</v>
      </c>
      <c r="J611" s="52" t="str">
        <f t="shared" si="384"/>
        <v>pagado</v>
      </c>
      <c r="K611" s="51" t="str">
        <f t="shared" ca="1" si="385"/>
        <v>excluir</v>
      </c>
      <c r="L611" s="51" t="str">
        <f t="shared" ca="1" si="386"/>
        <v>no semana</v>
      </c>
      <c r="M611" s="51" t="str">
        <f>IFERROR(VLOOKUP(E611,'cheques a conf'!A:D,4,FALSE),"no clearing")</f>
        <v>no clearing</v>
      </c>
      <c r="N611" s="51">
        <f t="shared" si="387"/>
        <v>27</v>
      </c>
      <c r="O611" s="53">
        <f t="shared" si="388"/>
        <v>7</v>
      </c>
      <c r="P611" s="53">
        <f t="shared" si="389"/>
        <v>2025</v>
      </c>
    </row>
    <row r="612" spans="1:16" customFormat="1" x14ac:dyDescent="0.25">
      <c r="A612">
        <v>3000003493</v>
      </c>
      <c r="B612" s="22">
        <v>45838</v>
      </c>
      <c r="C612" s="4">
        <v>1859238.66</v>
      </c>
      <c r="D612" t="s">
        <v>709</v>
      </c>
      <c r="E612">
        <v>1446</v>
      </c>
      <c r="F612" s="4">
        <v>1859238.66</v>
      </c>
      <c r="G612" s="3">
        <v>45840</v>
      </c>
      <c r="H612" t="s">
        <v>32</v>
      </c>
      <c r="I612" s="51" t="str">
        <f>IFERROR(IF(VLOOKUP(E612,extracto!C:C,1,FALSE)=E612,"pagado","no pagado"),"no pagado")</f>
        <v>pagado</v>
      </c>
      <c r="J612" s="52" t="str">
        <f t="shared" si="384"/>
        <v>pagado</v>
      </c>
      <c r="K612" s="51" t="str">
        <f t="shared" ca="1" si="385"/>
        <v>excluir</v>
      </c>
      <c r="L612" s="51" t="str">
        <f t="shared" ca="1" si="386"/>
        <v>no semana</v>
      </c>
      <c r="M612" s="51" t="str">
        <f>IFERROR(VLOOKUP(E612,'cheques a conf'!A:D,4,FALSE),"no clearing")</f>
        <v>no clearing</v>
      </c>
      <c r="N612" s="51">
        <f t="shared" si="387"/>
        <v>27</v>
      </c>
      <c r="O612" s="53">
        <f t="shared" si="388"/>
        <v>7</v>
      </c>
      <c r="P612" s="53">
        <f t="shared" si="389"/>
        <v>2025</v>
      </c>
    </row>
    <row r="613" spans="1:16" customFormat="1" x14ac:dyDescent="0.25">
      <c r="A613">
        <v>3000003493</v>
      </c>
      <c r="B613" s="22">
        <v>45838</v>
      </c>
      <c r="C613" s="4">
        <v>401930.27</v>
      </c>
      <c r="D613" t="s">
        <v>709</v>
      </c>
      <c r="E613">
        <v>1447</v>
      </c>
      <c r="F613" s="4">
        <v>401930.27</v>
      </c>
      <c r="G613" s="3">
        <v>45840</v>
      </c>
      <c r="H613" t="s">
        <v>32</v>
      </c>
      <c r="I613" s="51" t="str">
        <f>IFERROR(IF(VLOOKUP(E613,extracto!C:C,1,FALSE)=E613,"pagado","no pagado"),"no pagado")</f>
        <v>pagado</v>
      </c>
      <c r="J613" s="52" t="str">
        <f t="shared" si="384"/>
        <v>pagado</v>
      </c>
      <c r="K613" s="51" t="str">
        <f t="shared" ca="1" si="385"/>
        <v>excluir</v>
      </c>
      <c r="L613" s="51" t="str">
        <f t="shared" ca="1" si="386"/>
        <v>no semana</v>
      </c>
      <c r="M613" s="51" t="str">
        <f>IFERROR(VLOOKUP(E613,'cheques a conf'!A:D,4,FALSE),"no clearing")</f>
        <v>no clearing</v>
      </c>
      <c r="N613" s="51">
        <f t="shared" si="387"/>
        <v>27</v>
      </c>
      <c r="O613" s="53">
        <f t="shared" si="388"/>
        <v>7</v>
      </c>
      <c r="P613" s="53">
        <f t="shared" si="389"/>
        <v>2025</v>
      </c>
    </row>
    <row r="614" spans="1:16" customFormat="1" x14ac:dyDescent="0.25">
      <c r="A614">
        <v>3000003493</v>
      </c>
      <c r="B614" s="22">
        <v>45838</v>
      </c>
      <c r="C614" s="4">
        <v>1548233.05</v>
      </c>
      <c r="D614" t="s">
        <v>709</v>
      </c>
      <c r="E614">
        <v>1448</v>
      </c>
      <c r="F614" s="4">
        <v>1548233.05</v>
      </c>
      <c r="G614" s="3">
        <v>45840</v>
      </c>
      <c r="H614" t="s">
        <v>32</v>
      </c>
      <c r="I614" s="51" t="str">
        <f>IFERROR(IF(VLOOKUP(E614,extracto!C:C,1,FALSE)=E614,"pagado","no pagado"),"no pagado")</f>
        <v>pagado</v>
      </c>
      <c r="J614" s="52" t="str">
        <f t="shared" si="384"/>
        <v>pagado</v>
      </c>
      <c r="K614" s="51" t="str">
        <f t="shared" ca="1" si="385"/>
        <v>excluir</v>
      </c>
      <c r="L614" s="51" t="str">
        <f t="shared" ca="1" si="386"/>
        <v>no semana</v>
      </c>
      <c r="M614" s="51" t="str">
        <f>IFERROR(VLOOKUP(E614,'cheques a conf'!A:D,4,FALSE),"no clearing")</f>
        <v>no clearing</v>
      </c>
      <c r="N614" s="51">
        <f t="shared" si="387"/>
        <v>27</v>
      </c>
      <c r="O614" s="53">
        <f t="shared" si="388"/>
        <v>7</v>
      </c>
      <c r="P614" s="53">
        <f t="shared" si="389"/>
        <v>2025</v>
      </c>
    </row>
    <row r="615" spans="1:16" customFormat="1" x14ac:dyDescent="0.25">
      <c r="A615">
        <v>3000003493</v>
      </c>
      <c r="B615" s="22">
        <v>45838</v>
      </c>
      <c r="C615" s="4">
        <v>268429.75</v>
      </c>
      <c r="D615" t="s">
        <v>709</v>
      </c>
      <c r="E615">
        <v>1449</v>
      </c>
      <c r="F615" s="4">
        <v>268429.75</v>
      </c>
      <c r="G615" s="3">
        <v>45840</v>
      </c>
      <c r="H615" t="s">
        <v>32</v>
      </c>
      <c r="I615" s="51" t="str">
        <f>IFERROR(IF(VLOOKUP(E615,extracto!C:C,1,FALSE)=E615,"pagado","no pagado"),"no pagado")</f>
        <v>pagado</v>
      </c>
      <c r="J615" s="52" t="str">
        <f t="shared" si="384"/>
        <v>pagado</v>
      </c>
      <c r="K615" s="51" t="str">
        <f t="shared" ca="1" si="385"/>
        <v>excluir</v>
      </c>
      <c r="L615" s="51" t="str">
        <f t="shared" ca="1" si="386"/>
        <v>no semana</v>
      </c>
      <c r="M615" s="51" t="str">
        <f>IFERROR(VLOOKUP(E615,'cheques a conf'!A:D,4,FALSE),"no clearing")</f>
        <v>no clearing</v>
      </c>
      <c r="N615" s="51">
        <f t="shared" si="387"/>
        <v>27</v>
      </c>
      <c r="O615" s="53">
        <f t="shared" si="388"/>
        <v>7</v>
      </c>
      <c r="P615" s="53">
        <f t="shared" si="389"/>
        <v>2025</v>
      </c>
    </row>
    <row r="616" spans="1:16" customFormat="1" x14ac:dyDescent="0.25">
      <c r="A616">
        <v>3000003493</v>
      </c>
      <c r="B616" s="22">
        <v>45838</v>
      </c>
      <c r="C616" s="4">
        <v>4941397.2</v>
      </c>
      <c r="D616" t="s">
        <v>709</v>
      </c>
      <c r="E616">
        <v>1450</v>
      </c>
      <c r="F616" s="4">
        <v>4941397.2</v>
      </c>
      <c r="G616" s="3">
        <v>45840</v>
      </c>
      <c r="H616" t="s">
        <v>32</v>
      </c>
      <c r="I616" s="51" t="str">
        <f>IFERROR(IF(VLOOKUP(E616,extracto!C:C,1,FALSE)=E616,"pagado","no pagado"),"no pagado")</f>
        <v>pagado</v>
      </c>
      <c r="J616" s="52" t="str">
        <f t="shared" si="384"/>
        <v>pagado</v>
      </c>
      <c r="K616" s="51" t="str">
        <f t="shared" ca="1" si="385"/>
        <v>excluir</v>
      </c>
      <c r="L616" s="51" t="str">
        <f t="shared" ca="1" si="386"/>
        <v>no semana</v>
      </c>
      <c r="M616" s="51" t="str">
        <f>IFERROR(VLOOKUP(E616,'cheques a conf'!A:D,4,FALSE),"no clearing")</f>
        <v>no clearing</v>
      </c>
      <c r="N616" s="51">
        <f t="shared" si="387"/>
        <v>27</v>
      </c>
      <c r="O616" s="53">
        <f t="shared" si="388"/>
        <v>7</v>
      </c>
      <c r="P616" s="53">
        <f t="shared" si="389"/>
        <v>2025</v>
      </c>
    </row>
    <row r="617" spans="1:16" customFormat="1" x14ac:dyDescent="0.25">
      <c r="A617">
        <v>3000003493</v>
      </c>
      <c r="B617" s="22">
        <v>45838</v>
      </c>
      <c r="C617" s="4">
        <v>833793.9</v>
      </c>
      <c r="D617" t="s">
        <v>709</v>
      </c>
      <c r="E617">
        <v>1451</v>
      </c>
      <c r="F617" s="4">
        <v>833793.9</v>
      </c>
      <c r="G617" s="3">
        <v>45840</v>
      </c>
      <c r="H617" t="s">
        <v>32</v>
      </c>
      <c r="I617" s="51" t="str">
        <f>IFERROR(IF(VLOOKUP(E617,extracto!C:C,1,FALSE)=E617,"pagado","no pagado"),"no pagado")</f>
        <v>no pagado</v>
      </c>
      <c r="J617" s="52" t="str">
        <f t="shared" ca="1" si="384"/>
        <v>fuera de fecha</v>
      </c>
      <c r="K617" s="51" t="str">
        <f t="shared" ca="1" si="385"/>
        <v>excluir</v>
      </c>
      <c r="L617" s="51" t="str">
        <f t="shared" ca="1" si="386"/>
        <v>no semana</v>
      </c>
      <c r="M617" s="51" t="str">
        <f>IFERROR(VLOOKUP(E617,'cheques a conf'!A:D,4,FALSE),"no clearing")</f>
        <v>no clearing</v>
      </c>
      <c r="N617" s="51">
        <f t="shared" si="387"/>
        <v>27</v>
      </c>
      <c r="O617" s="53">
        <f t="shared" si="388"/>
        <v>7</v>
      </c>
      <c r="P617" s="53">
        <f t="shared" si="389"/>
        <v>2025</v>
      </c>
    </row>
    <row r="618" spans="1:16" customFormat="1" x14ac:dyDescent="0.25">
      <c r="A618">
        <v>3000003493</v>
      </c>
      <c r="B618" s="22">
        <v>45838</v>
      </c>
      <c r="C618" s="4">
        <v>61573593.240000002</v>
      </c>
      <c r="D618" t="s">
        <v>709</v>
      </c>
      <c r="E618">
        <v>1452</v>
      </c>
      <c r="F618" s="4">
        <v>61573593.240000002</v>
      </c>
      <c r="G618" s="3">
        <v>45840</v>
      </c>
      <c r="H618" t="s">
        <v>32</v>
      </c>
      <c r="I618" s="51" t="str">
        <f>IFERROR(IF(VLOOKUP(E618,extracto!C:C,1,FALSE)=E618,"pagado","no pagado"),"no pagado")</f>
        <v>pagado</v>
      </c>
      <c r="J618" s="52" t="str">
        <f t="shared" si="384"/>
        <v>pagado</v>
      </c>
      <c r="K618" s="51" t="str">
        <f t="shared" ca="1" si="385"/>
        <v>excluir</v>
      </c>
      <c r="L618" s="51" t="str">
        <f t="shared" ca="1" si="386"/>
        <v>no semana</v>
      </c>
      <c r="M618" s="51" t="str">
        <f>IFERROR(VLOOKUP(E618,'cheques a conf'!A:D,4,FALSE),"no clearing")</f>
        <v>no clearing</v>
      </c>
      <c r="N618" s="51">
        <f t="shared" si="387"/>
        <v>27</v>
      </c>
      <c r="O618" s="53">
        <f t="shared" si="388"/>
        <v>7</v>
      </c>
      <c r="P618" s="53">
        <f t="shared" si="389"/>
        <v>2025</v>
      </c>
    </row>
    <row r="619" spans="1:16" customFormat="1" x14ac:dyDescent="0.25">
      <c r="A619">
        <v>3000003493</v>
      </c>
      <c r="B619" s="22">
        <v>45838</v>
      </c>
      <c r="C619" s="4">
        <v>5746954.3200000003</v>
      </c>
      <c r="D619" t="s">
        <v>709</v>
      </c>
      <c r="E619">
        <v>1453</v>
      </c>
      <c r="F619" s="4">
        <v>5746954.3200000003</v>
      </c>
      <c r="G619" s="3">
        <v>45840</v>
      </c>
      <c r="H619" t="s">
        <v>32</v>
      </c>
      <c r="I619" s="51" t="str">
        <f>IFERROR(IF(VLOOKUP(E619,extracto!C:C,1,FALSE)=E619,"pagado","no pagado"),"no pagado")</f>
        <v>pagado</v>
      </c>
      <c r="J619" s="52" t="str">
        <f t="shared" si="384"/>
        <v>pagado</v>
      </c>
      <c r="K619" s="51" t="str">
        <f t="shared" ca="1" si="385"/>
        <v>excluir</v>
      </c>
      <c r="L619" s="51" t="str">
        <f t="shared" ca="1" si="386"/>
        <v>no semana</v>
      </c>
      <c r="M619" s="51" t="str">
        <f>IFERROR(VLOOKUP(E619,'cheques a conf'!A:D,4,FALSE),"no clearing")</f>
        <v>no clearing</v>
      </c>
      <c r="N619" s="51">
        <f t="shared" si="387"/>
        <v>27</v>
      </c>
      <c r="O619" s="53">
        <f t="shared" si="388"/>
        <v>7</v>
      </c>
      <c r="P619" s="53">
        <f t="shared" si="389"/>
        <v>2025</v>
      </c>
    </row>
    <row r="620" spans="1:16" customFormat="1" x14ac:dyDescent="0.25">
      <c r="A620">
        <v>3000003493</v>
      </c>
      <c r="B620" s="22">
        <v>45838</v>
      </c>
      <c r="C620" s="4">
        <v>365483.4</v>
      </c>
      <c r="D620" t="s">
        <v>709</v>
      </c>
      <c r="E620">
        <v>1454</v>
      </c>
      <c r="F620" s="4">
        <v>365483.4</v>
      </c>
      <c r="G620" s="3">
        <v>45840</v>
      </c>
      <c r="H620" t="s">
        <v>32</v>
      </c>
      <c r="I620" s="51" t="str">
        <f>IFERROR(IF(VLOOKUP(E620,extracto!C:C,1,FALSE)=E620,"pagado","no pagado"),"no pagado")</f>
        <v>pagado</v>
      </c>
      <c r="J620" s="52" t="str">
        <f t="shared" si="384"/>
        <v>pagado</v>
      </c>
      <c r="K620" s="51" t="str">
        <f t="shared" ca="1" si="385"/>
        <v>excluir</v>
      </c>
      <c r="L620" s="51" t="str">
        <f t="shared" ca="1" si="386"/>
        <v>no semana</v>
      </c>
      <c r="M620" s="51" t="str">
        <f>IFERROR(VLOOKUP(E620,'cheques a conf'!A:D,4,FALSE),"no clearing")</f>
        <v>no clearing</v>
      </c>
      <c r="N620" s="51">
        <f t="shared" si="387"/>
        <v>27</v>
      </c>
      <c r="O620" s="53">
        <f t="shared" si="388"/>
        <v>7</v>
      </c>
      <c r="P620" s="53">
        <f t="shared" si="389"/>
        <v>2025</v>
      </c>
    </row>
    <row r="621" spans="1:16" customFormat="1" x14ac:dyDescent="0.25">
      <c r="A621">
        <v>3000003493</v>
      </c>
      <c r="B621" s="22">
        <v>45838</v>
      </c>
      <c r="C621" s="4">
        <v>3974983.52</v>
      </c>
      <c r="D621" t="s">
        <v>709</v>
      </c>
      <c r="E621">
        <v>1455</v>
      </c>
      <c r="F621" s="4">
        <v>3974983.52</v>
      </c>
      <c r="G621" s="3">
        <v>45840</v>
      </c>
      <c r="H621" t="s">
        <v>32</v>
      </c>
      <c r="I621" s="51" t="str">
        <f>IFERROR(IF(VLOOKUP(E621,extracto!C:C,1,FALSE)=E621,"pagado","no pagado"),"no pagado")</f>
        <v>pagado</v>
      </c>
      <c r="J621" s="52" t="str">
        <f t="shared" si="384"/>
        <v>pagado</v>
      </c>
      <c r="K621" s="51" t="str">
        <f t="shared" ca="1" si="385"/>
        <v>excluir</v>
      </c>
      <c r="L621" s="51" t="str">
        <f t="shared" ca="1" si="386"/>
        <v>no semana</v>
      </c>
      <c r="M621" s="51" t="str">
        <f>IFERROR(VLOOKUP(E621,'cheques a conf'!A:D,4,FALSE),"no clearing")</f>
        <v>no clearing</v>
      </c>
      <c r="N621" s="51">
        <f t="shared" si="387"/>
        <v>27</v>
      </c>
      <c r="O621" s="53">
        <f t="shared" si="388"/>
        <v>7</v>
      </c>
      <c r="P621" s="53">
        <f t="shared" si="389"/>
        <v>2025</v>
      </c>
    </row>
    <row r="622" spans="1:16" customFormat="1" x14ac:dyDescent="0.25">
      <c r="A622">
        <v>3000003493</v>
      </c>
      <c r="B622" s="22">
        <v>45838</v>
      </c>
      <c r="C622" s="4">
        <v>38083000.799999997</v>
      </c>
      <c r="D622" t="s">
        <v>709</v>
      </c>
      <c r="E622">
        <v>1456</v>
      </c>
      <c r="F622" s="4">
        <v>38083000.799999997</v>
      </c>
      <c r="G622" s="3">
        <v>45840</v>
      </c>
      <c r="H622" t="s">
        <v>32</v>
      </c>
      <c r="I622" s="51" t="str">
        <f>IFERROR(IF(VLOOKUP(E622,extracto!C:C,1,FALSE)=E622,"pagado","no pagado"),"no pagado")</f>
        <v>pagado</v>
      </c>
      <c r="J622" s="52" t="str">
        <f t="shared" si="384"/>
        <v>pagado</v>
      </c>
      <c r="K622" s="51" t="str">
        <f t="shared" ca="1" si="385"/>
        <v>excluir</v>
      </c>
      <c r="L622" s="51" t="str">
        <f t="shared" ca="1" si="386"/>
        <v>no semana</v>
      </c>
      <c r="M622" s="51" t="str">
        <f>IFERROR(VLOOKUP(E622,'cheques a conf'!A:D,4,FALSE),"no clearing")</f>
        <v>no clearing</v>
      </c>
      <c r="N622" s="51">
        <f t="shared" si="387"/>
        <v>27</v>
      </c>
      <c r="O622" s="53">
        <f t="shared" si="388"/>
        <v>7</v>
      </c>
      <c r="P622" s="53">
        <f t="shared" si="389"/>
        <v>2025</v>
      </c>
    </row>
    <row r="623" spans="1:16" customFormat="1" x14ac:dyDescent="0.25">
      <c r="A623">
        <v>3000003493</v>
      </c>
      <c r="B623" s="22">
        <v>45838</v>
      </c>
      <c r="C623" s="4">
        <v>18662149.899999999</v>
      </c>
      <c r="D623" t="s">
        <v>709</v>
      </c>
      <c r="E623">
        <v>1457</v>
      </c>
      <c r="F623" s="4">
        <v>18662149.899999999</v>
      </c>
      <c r="G623" s="3">
        <v>45840</v>
      </c>
      <c r="H623" t="s">
        <v>32</v>
      </c>
      <c r="I623" s="51" t="str">
        <f>IFERROR(IF(VLOOKUP(E623,extracto!C:C,1,FALSE)=E623,"pagado","no pagado"),"no pagado")</f>
        <v>pagado</v>
      </c>
      <c r="J623" s="52" t="str">
        <f t="shared" si="384"/>
        <v>pagado</v>
      </c>
      <c r="K623" s="51" t="str">
        <f t="shared" ca="1" si="385"/>
        <v>excluir</v>
      </c>
      <c r="L623" s="51" t="str">
        <f t="shared" ca="1" si="386"/>
        <v>no semana</v>
      </c>
      <c r="M623" s="51" t="str">
        <f>IFERROR(VLOOKUP(E623,'cheques a conf'!A:D,4,FALSE),"no clearing")</f>
        <v>no clearing</v>
      </c>
      <c r="N623" s="51">
        <f t="shared" si="387"/>
        <v>27</v>
      </c>
      <c r="O623" s="53">
        <f t="shared" si="388"/>
        <v>7</v>
      </c>
      <c r="P623" s="53">
        <f t="shared" si="389"/>
        <v>2025</v>
      </c>
    </row>
    <row r="624" spans="1:16" customFormat="1" x14ac:dyDescent="0.25">
      <c r="A624">
        <v>3000003493</v>
      </c>
      <c r="B624" s="22">
        <v>45838</v>
      </c>
      <c r="C624" s="4">
        <v>8662942.3599999994</v>
      </c>
      <c r="D624" t="s">
        <v>709</v>
      </c>
      <c r="E624">
        <v>1458</v>
      </c>
      <c r="F624" s="4">
        <v>8662942.3599999994</v>
      </c>
      <c r="G624" s="3">
        <v>45840</v>
      </c>
      <c r="H624" t="s">
        <v>32</v>
      </c>
      <c r="I624" s="51" t="str">
        <f>IFERROR(IF(VLOOKUP(E624,extracto!C:C,1,FALSE)=E624,"pagado","no pagado"),"no pagado")</f>
        <v>pagado</v>
      </c>
      <c r="J624" s="52" t="str">
        <f t="shared" si="384"/>
        <v>pagado</v>
      </c>
      <c r="K624" s="51" t="str">
        <f t="shared" ca="1" si="385"/>
        <v>excluir</v>
      </c>
      <c r="L624" s="51" t="str">
        <f t="shared" ca="1" si="386"/>
        <v>no semana</v>
      </c>
      <c r="M624" s="51" t="str">
        <f>IFERROR(VLOOKUP(E624,'cheques a conf'!A:D,4,FALSE),"no clearing")</f>
        <v>no clearing</v>
      </c>
      <c r="N624" s="51">
        <f t="shared" si="387"/>
        <v>27</v>
      </c>
      <c r="O624" s="53">
        <f t="shared" si="388"/>
        <v>7</v>
      </c>
      <c r="P624" s="53">
        <f t="shared" si="389"/>
        <v>2025</v>
      </c>
    </row>
    <row r="625" spans="1:16" customFormat="1" x14ac:dyDescent="0.25">
      <c r="A625">
        <v>3000003493</v>
      </c>
      <c r="B625" s="22">
        <v>45838</v>
      </c>
      <c r="C625" s="4">
        <v>1117822.3400000001</v>
      </c>
      <c r="D625" t="s">
        <v>709</v>
      </c>
      <c r="E625">
        <v>1459</v>
      </c>
      <c r="F625" s="4">
        <v>1117822.3400000001</v>
      </c>
      <c r="G625" s="3">
        <v>45840</v>
      </c>
      <c r="H625" t="s">
        <v>32</v>
      </c>
      <c r="I625" s="51" t="str">
        <f>IFERROR(IF(VLOOKUP(E625,extracto!C:C,1,FALSE)=E625,"pagado","no pagado"),"no pagado")</f>
        <v>pagado</v>
      </c>
      <c r="J625" s="52" t="str">
        <f t="shared" si="384"/>
        <v>pagado</v>
      </c>
      <c r="K625" s="51" t="str">
        <f t="shared" ca="1" si="385"/>
        <v>excluir</v>
      </c>
      <c r="L625" s="51" t="str">
        <f t="shared" ca="1" si="386"/>
        <v>no semana</v>
      </c>
      <c r="M625" s="51" t="str">
        <f>IFERROR(VLOOKUP(E625,'cheques a conf'!A:D,4,FALSE),"no clearing")</f>
        <v>no clearing</v>
      </c>
      <c r="N625" s="51">
        <f t="shared" si="387"/>
        <v>27</v>
      </c>
      <c r="O625" s="53">
        <f t="shared" si="388"/>
        <v>7</v>
      </c>
      <c r="P625" s="53">
        <f t="shared" si="389"/>
        <v>2025</v>
      </c>
    </row>
    <row r="626" spans="1:16" customFormat="1" x14ac:dyDescent="0.25">
      <c r="A626">
        <v>3000003493</v>
      </c>
      <c r="B626" s="22">
        <v>45838</v>
      </c>
      <c r="C626" s="4">
        <v>1517147.52</v>
      </c>
      <c r="D626" t="s">
        <v>709</v>
      </c>
      <c r="E626">
        <v>1460</v>
      </c>
      <c r="F626" s="4">
        <v>1517147.52</v>
      </c>
      <c r="G626" s="3">
        <v>45840</v>
      </c>
      <c r="H626" t="s">
        <v>32</v>
      </c>
      <c r="I626" s="51" t="str">
        <f>IFERROR(IF(VLOOKUP(E626,extracto!C:C,1,FALSE)=E626,"pagado","no pagado"),"no pagado")</f>
        <v>pagado</v>
      </c>
      <c r="J626" s="52" t="str">
        <f t="shared" si="384"/>
        <v>pagado</v>
      </c>
      <c r="K626" s="51" t="str">
        <f t="shared" ca="1" si="385"/>
        <v>excluir</v>
      </c>
      <c r="L626" s="51" t="str">
        <f t="shared" ca="1" si="386"/>
        <v>no semana</v>
      </c>
      <c r="M626" s="51" t="str">
        <f>IFERROR(VLOOKUP(E626,'cheques a conf'!A:D,4,FALSE),"no clearing")</f>
        <v>no clearing</v>
      </c>
      <c r="N626" s="51">
        <f t="shared" si="387"/>
        <v>27</v>
      </c>
      <c r="O626" s="53">
        <f t="shared" si="388"/>
        <v>7</v>
      </c>
      <c r="P626" s="53">
        <f t="shared" si="389"/>
        <v>2025</v>
      </c>
    </row>
    <row r="627" spans="1:16" customFormat="1" x14ac:dyDescent="0.25">
      <c r="A627">
        <v>3000003493</v>
      </c>
      <c r="B627" s="22">
        <v>45838</v>
      </c>
      <c r="C627" s="4">
        <v>3993372.93</v>
      </c>
      <c r="D627" t="s">
        <v>709</v>
      </c>
      <c r="E627">
        <v>1461</v>
      </c>
      <c r="F627" s="4">
        <v>3993372.93</v>
      </c>
      <c r="G627" s="3">
        <v>45840</v>
      </c>
      <c r="H627" t="s">
        <v>32</v>
      </c>
      <c r="I627" s="51" t="str">
        <f>IFERROR(IF(VLOOKUP(E627,extracto!C:C,1,FALSE)=E627,"pagado","no pagado"),"no pagado")</f>
        <v>pagado</v>
      </c>
      <c r="J627" s="52" t="str">
        <f t="shared" si="384"/>
        <v>pagado</v>
      </c>
      <c r="K627" s="51" t="str">
        <f t="shared" ca="1" si="385"/>
        <v>excluir</v>
      </c>
      <c r="L627" s="51" t="str">
        <f t="shared" ca="1" si="386"/>
        <v>no semana</v>
      </c>
      <c r="M627" s="51" t="str">
        <f>IFERROR(VLOOKUP(E627,'cheques a conf'!A:D,4,FALSE),"no clearing")</f>
        <v>no clearing</v>
      </c>
      <c r="N627" s="51">
        <f t="shared" si="387"/>
        <v>27</v>
      </c>
      <c r="O627" s="53">
        <f t="shared" si="388"/>
        <v>7</v>
      </c>
      <c r="P627" s="53">
        <f t="shared" si="389"/>
        <v>2025</v>
      </c>
    </row>
    <row r="628" spans="1:16" customFormat="1" x14ac:dyDescent="0.25">
      <c r="A628">
        <v>3000003493</v>
      </c>
      <c r="B628" s="22">
        <v>45838</v>
      </c>
      <c r="C628" s="4">
        <v>1912648.4</v>
      </c>
      <c r="D628" t="s">
        <v>709</v>
      </c>
      <c r="E628">
        <v>1462</v>
      </c>
      <c r="F628" s="4">
        <v>1912648.4</v>
      </c>
      <c r="G628" s="3">
        <v>45840</v>
      </c>
      <c r="H628" t="s">
        <v>32</v>
      </c>
      <c r="I628" s="51" t="str">
        <f>IFERROR(IF(VLOOKUP(E628,extracto!C:C,1,FALSE)=E628,"pagado","no pagado"),"no pagado")</f>
        <v>pagado</v>
      </c>
      <c r="J628" s="52" t="str">
        <f t="shared" si="384"/>
        <v>pagado</v>
      </c>
      <c r="K628" s="51" t="str">
        <f t="shared" ca="1" si="385"/>
        <v>excluir</v>
      </c>
      <c r="L628" s="51" t="str">
        <f t="shared" ca="1" si="386"/>
        <v>no semana</v>
      </c>
      <c r="M628" s="51" t="str">
        <f>IFERROR(VLOOKUP(E628,'cheques a conf'!A:D,4,FALSE),"no clearing")</f>
        <v>no clearing</v>
      </c>
      <c r="N628" s="51">
        <f t="shared" si="387"/>
        <v>27</v>
      </c>
      <c r="O628" s="53">
        <f t="shared" si="388"/>
        <v>7</v>
      </c>
      <c r="P628" s="53">
        <f t="shared" si="389"/>
        <v>2025</v>
      </c>
    </row>
    <row r="629" spans="1:16" customFormat="1" x14ac:dyDescent="0.25">
      <c r="A629">
        <v>3000003493</v>
      </c>
      <c r="B629" s="22">
        <v>45838</v>
      </c>
      <c r="C629" s="4">
        <v>122000000</v>
      </c>
      <c r="D629" t="s">
        <v>709</v>
      </c>
      <c r="E629">
        <v>1463</v>
      </c>
      <c r="F629" s="4">
        <v>122000000</v>
      </c>
      <c r="G629" s="3">
        <v>45840</v>
      </c>
      <c r="H629" t="s">
        <v>32</v>
      </c>
      <c r="I629" s="51" t="str">
        <f>IFERROR(IF(VLOOKUP(E629,extracto!C:C,1,FALSE)=E629,"pagado","no pagado"),"no pagado")</f>
        <v>pagado</v>
      </c>
      <c r="J629" s="52" t="str">
        <f t="shared" si="384"/>
        <v>pagado</v>
      </c>
      <c r="K629" s="51" t="str">
        <f t="shared" ca="1" si="385"/>
        <v>excluir</v>
      </c>
      <c r="L629" s="51" t="str">
        <f t="shared" ca="1" si="386"/>
        <v>no semana</v>
      </c>
      <c r="M629" s="51" t="str">
        <f>IFERROR(VLOOKUP(E629,'cheques a conf'!A:D,4,FALSE),"no clearing")</f>
        <v>no clearing</v>
      </c>
      <c r="N629" s="51">
        <f t="shared" si="387"/>
        <v>27</v>
      </c>
      <c r="O629" s="53">
        <f t="shared" si="388"/>
        <v>7</v>
      </c>
      <c r="P629" s="53">
        <f t="shared" si="389"/>
        <v>2025</v>
      </c>
    </row>
    <row r="630" spans="1:16" customFormat="1" x14ac:dyDescent="0.25">
      <c r="A630">
        <v>3000003493</v>
      </c>
      <c r="B630" s="22">
        <v>45838</v>
      </c>
      <c r="C630" s="4">
        <v>300000000</v>
      </c>
      <c r="D630" t="s">
        <v>709</v>
      </c>
      <c r="E630">
        <v>1464</v>
      </c>
      <c r="F630" s="4">
        <v>300000000</v>
      </c>
      <c r="G630" s="3">
        <v>45840</v>
      </c>
      <c r="H630" t="s">
        <v>32</v>
      </c>
      <c r="I630" s="51" t="str">
        <f>IFERROR(IF(VLOOKUP(E630,extracto!C:C,1,FALSE)=E630,"pagado","no pagado"),"no pagado")</f>
        <v>pagado</v>
      </c>
      <c r="J630" s="52" t="str">
        <f t="shared" si="384"/>
        <v>pagado</v>
      </c>
      <c r="K630" s="51" t="str">
        <f t="shared" ca="1" si="385"/>
        <v>excluir</v>
      </c>
      <c r="L630" s="51" t="str">
        <f t="shared" ca="1" si="386"/>
        <v>no semana</v>
      </c>
      <c r="M630" s="51" t="str">
        <f>IFERROR(VLOOKUP(E630,'cheques a conf'!A:D,4,FALSE),"no clearing")</f>
        <v>no clearing</v>
      </c>
      <c r="N630" s="51">
        <f t="shared" si="387"/>
        <v>27</v>
      </c>
      <c r="O630" s="53">
        <f t="shared" si="388"/>
        <v>7</v>
      </c>
      <c r="P630" s="53">
        <f t="shared" si="389"/>
        <v>2025</v>
      </c>
    </row>
    <row r="631" spans="1:16" customFormat="1" x14ac:dyDescent="0.25">
      <c r="A631">
        <v>3000003493</v>
      </c>
      <c r="B631" s="22">
        <v>45838</v>
      </c>
      <c r="C631" s="4">
        <v>50000000</v>
      </c>
      <c r="D631" t="s">
        <v>709</v>
      </c>
      <c r="E631">
        <v>1465</v>
      </c>
      <c r="F631" s="4">
        <v>50000000</v>
      </c>
      <c r="G631" s="3">
        <v>45840</v>
      </c>
      <c r="H631" t="s">
        <v>32</v>
      </c>
      <c r="I631" s="51" t="str">
        <f>IFERROR(IF(VLOOKUP(E631,extracto!C:C,1,FALSE)=E631,"pagado","no pagado"),"no pagado")</f>
        <v>pagado</v>
      </c>
      <c r="J631" s="52" t="str">
        <f t="shared" si="384"/>
        <v>pagado</v>
      </c>
      <c r="K631" s="51" t="str">
        <f t="shared" ca="1" si="385"/>
        <v>excluir</v>
      </c>
      <c r="L631" s="51" t="str">
        <f t="shared" ca="1" si="386"/>
        <v>no semana</v>
      </c>
      <c r="M631" s="51" t="str">
        <f>IFERROR(VLOOKUP(E631,'cheques a conf'!A:D,4,FALSE),"no clearing")</f>
        <v>no clearing</v>
      </c>
      <c r="N631" s="51">
        <f t="shared" si="387"/>
        <v>27</v>
      </c>
      <c r="O631" s="53">
        <f t="shared" si="388"/>
        <v>7</v>
      </c>
      <c r="P631" s="53">
        <f t="shared" si="389"/>
        <v>2025</v>
      </c>
    </row>
    <row r="632" spans="1:16" customFormat="1" x14ac:dyDescent="0.25">
      <c r="A632">
        <v>3000003493</v>
      </c>
      <c r="B632" s="22">
        <v>45838</v>
      </c>
      <c r="C632" s="4">
        <v>50000000</v>
      </c>
      <c r="D632" t="s">
        <v>709</v>
      </c>
      <c r="E632">
        <v>1466</v>
      </c>
      <c r="F632" s="4">
        <v>50000000</v>
      </c>
      <c r="G632" s="3">
        <v>45840</v>
      </c>
      <c r="H632" t="s">
        <v>32</v>
      </c>
      <c r="I632" s="51" t="str">
        <f>IFERROR(IF(VLOOKUP(E632,extracto!C:C,1,FALSE)=E632,"pagado","no pagado"),"no pagado")</f>
        <v>pagado</v>
      </c>
      <c r="J632" s="52" t="str">
        <f t="shared" si="384"/>
        <v>pagado</v>
      </c>
      <c r="K632" s="51" t="str">
        <f t="shared" ca="1" si="385"/>
        <v>excluir</v>
      </c>
      <c r="L632" s="51" t="str">
        <f t="shared" ca="1" si="386"/>
        <v>no semana</v>
      </c>
      <c r="M632" s="51" t="str">
        <f>IFERROR(VLOOKUP(E632,'cheques a conf'!A:D,4,FALSE),"no clearing")</f>
        <v>no clearing</v>
      </c>
      <c r="N632" s="51">
        <f t="shared" si="387"/>
        <v>27</v>
      </c>
      <c r="O632" s="53">
        <f t="shared" si="388"/>
        <v>7</v>
      </c>
      <c r="P632" s="53">
        <f t="shared" si="389"/>
        <v>2025</v>
      </c>
    </row>
    <row r="633" spans="1:16" customFormat="1" x14ac:dyDescent="0.25">
      <c r="A633">
        <v>3000003493</v>
      </c>
      <c r="B633" s="22">
        <v>45838</v>
      </c>
      <c r="C633" s="4">
        <v>50000000</v>
      </c>
      <c r="D633" t="s">
        <v>709</v>
      </c>
      <c r="E633">
        <v>1467</v>
      </c>
      <c r="F633" s="4">
        <v>50000000</v>
      </c>
      <c r="G633" s="3">
        <v>45840</v>
      </c>
      <c r="H633" t="s">
        <v>32</v>
      </c>
      <c r="I633" s="51" t="str">
        <f>IFERROR(IF(VLOOKUP(E633,extracto!C:C,1,FALSE)=E633,"pagado","no pagado"),"no pagado")</f>
        <v>pagado</v>
      </c>
      <c r="J633" s="52" t="str">
        <f t="shared" si="384"/>
        <v>pagado</v>
      </c>
      <c r="K633" s="51" t="str">
        <f t="shared" ca="1" si="385"/>
        <v>excluir</v>
      </c>
      <c r="L633" s="51" t="str">
        <f t="shared" ca="1" si="386"/>
        <v>no semana</v>
      </c>
      <c r="M633" s="51" t="str">
        <f>IFERROR(VLOOKUP(E633,'cheques a conf'!A:D,4,FALSE),"no clearing")</f>
        <v>no clearing</v>
      </c>
      <c r="N633" s="51">
        <f t="shared" si="387"/>
        <v>27</v>
      </c>
      <c r="O633" s="53">
        <f t="shared" si="388"/>
        <v>7</v>
      </c>
      <c r="P633" s="53">
        <f t="shared" si="389"/>
        <v>2025</v>
      </c>
    </row>
    <row r="634" spans="1:16" customFormat="1" x14ac:dyDescent="0.25">
      <c r="A634">
        <v>3000003493</v>
      </c>
      <c r="B634" s="22">
        <v>45838</v>
      </c>
      <c r="C634" s="4">
        <v>50000000</v>
      </c>
      <c r="D634" t="s">
        <v>709</v>
      </c>
      <c r="E634">
        <v>1468</v>
      </c>
      <c r="F634" s="4">
        <v>50000000</v>
      </c>
      <c r="G634" s="3">
        <v>45840</v>
      </c>
      <c r="H634" t="s">
        <v>32</v>
      </c>
      <c r="I634" s="51" t="str">
        <f>IFERROR(IF(VLOOKUP(E634,extracto!C:C,1,FALSE)=E634,"pagado","no pagado"),"no pagado")</f>
        <v>pagado</v>
      </c>
      <c r="J634" s="52" t="str">
        <f t="shared" si="384"/>
        <v>pagado</v>
      </c>
      <c r="K634" s="51" t="str">
        <f t="shared" ca="1" si="385"/>
        <v>excluir</v>
      </c>
      <c r="L634" s="51" t="str">
        <f t="shared" ca="1" si="386"/>
        <v>no semana</v>
      </c>
      <c r="M634" s="51" t="str">
        <f>IFERROR(VLOOKUP(E634,'cheques a conf'!A:D,4,FALSE),"no clearing")</f>
        <v>no clearing</v>
      </c>
      <c r="N634" s="51">
        <f t="shared" si="387"/>
        <v>27</v>
      </c>
      <c r="O634" s="53">
        <f t="shared" si="388"/>
        <v>7</v>
      </c>
      <c r="P634" s="53">
        <f t="shared" si="389"/>
        <v>2025</v>
      </c>
    </row>
    <row r="635" spans="1:16" customFormat="1" x14ac:dyDescent="0.25">
      <c r="A635">
        <v>3000003493</v>
      </c>
      <c r="B635" s="22">
        <v>45838</v>
      </c>
      <c r="C635" s="4">
        <v>50000000</v>
      </c>
      <c r="D635" t="s">
        <v>709</v>
      </c>
      <c r="E635">
        <v>1469</v>
      </c>
      <c r="F635" s="4">
        <v>50000000</v>
      </c>
      <c r="G635" s="3">
        <v>45840</v>
      </c>
      <c r="H635" t="s">
        <v>32</v>
      </c>
      <c r="I635" s="51" t="str">
        <f>IFERROR(IF(VLOOKUP(E635,extracto!C:C,1,FALSE)=E635,"pagado","no pagado"),"no pagado")</f>
        <v>pagado</v>
      </c>
      <c r="J635" s="52" t="str">
        <f t="shared" si="384"/>
        <v>pagado</v>
      </c>
      <c r="K635" s="51" t="str">
        <f t="shared" ca="1" si="385"/>
        <v>excluir</v>
      </c>
      <c r="L635" s="51" t="str">
        <f t="shared" ca="1" si="386"/>
        <v>no semana</v>
      </c>
      <c r="M635" s="51" t="str">
        <f>IFERROR(VLOOKUP(E635,'cheques a conf'!A:D,4,FALSE),"no clearing")</f>
        <v>no clearing</v>
      </c>
      <c r="N635" s="51">
        <f t="shared" si="387"/>
        <v>27</v>
      </c>
      <c r="O635" s="53">
        <f t="shared" si="388"/>
        <v>7</v>
      </c>
      <c r="P635" s="53">
        <f t="shared" si="389"/>
        <v>2025</v>
      </c>
    </row>
    <row r="636" spans="1:16" customFormat="1" x14ac:dyDescent="0.25">
      <c r="A636">
        <v>3000003493</v>
      </c>
      <c r="B636" s="22">
        <v>45838</v>
      </c>
      <c r="C636" s="4">
        <v>32467453.350000001</v>
      </c>
      <c r="D636" t="s">
        <v>709</v>
      </c>
      <c r="E636">
        <v>1470</v>
      </c>
      <c r="F636" s="4">
        <v>32467453.350000001</v>
      </c>
      <c r="G636" s="3">
        <v>45840</v>
      </c>
      <c r="H636" t="s">
        <v>32</v>
      </c>
      <c r="I636" s="51" t="str">
        <f>IFERROR(IF(VLOOKUP(E636,extracto!C:C,1,FALSE)=E636,"pagado","no pagado"),"no pagado")</f>
        <v>pagado</v>
      </c>
      <c r="J636" s="52" t="str">
        <f t="shared" si="384"/>
        <v>pagado</v>
      </c>
      <c r="K636" s="51" t="str">
        <f t="shared" ca="1" si="385"/>
        <v>excluir</v>
      </c>
      <c r="L636" s="51" t="str">
        <f t="shared" ca="1" si="386"/>
        <v>no semana</v>
      </c>
      <c r="M636" s="51" t="str">
        <f>IFERROR(VLOOKUP(E636,'cheques a conf'!A:D,4,FALSE),"no clearing")</f>
        <v>no clearing</v>
      </c>
      <c r="N636" s="51">
        <f t="shared" si="387"/>
        <v>27</v>
      </c>
      <c r="O636" s="53">
        <f t="shared" si="388"/>
        <v>7</v>
      </c>
      <c r="P636" s="53">
        <f t="shared" si="389"/>
        <v>2025</v>
      </c>
    </row>
    <row r="637" spans="1:16" customFormat="1" x14ac:dyDescent="0.25">
      <c r="A637">
        <v>3000003498</v>
      </c>
      <c r="B637" s="22">
        <v>45838</v>
      </c>
      <c r="C637" s="4">
        <v>6158806.5300000003</v>
      </c>
      <c r="D637" t="s">
        <v>595</v>
      </c>
      <c r="E637">
        <v>1471</v>
      </c>
      <c r="F637" s="4">
        <v>6158806.5300000003</v>
      </c>
      <c r="G637" s="3">
        <v>45840</v>
      </c>
      <c r="H637" t="s">
        <v>32</v>
      </c>
      <c r="I637" s="51" t="str">
        <f>IFERROR(IF(VLOOKUP(E637,extracto!C:C,1,FALSE)=E637,"pagado","no pagado"),"no pagado")</f>
        <v>pagado</v>
      </c>
      <c r="J637" s="52" t="str">
        <f t="shared" si="384"/>
        <v>pagado</v>
      </c>
      <c r="K637" s="51" t="str">
        <f t="shared" ca="1" si="385"/>
        <v>excluir</v>
      </c>
      <c r="L637" s="51" t="str">
        <f t="shared" ca="1" si="386"/>
        <v>no semana</v>
      </c>
      <c r="M637" s="51" t="str">
        <f>IFERROR(VLOOKUP(E637,'cheques a conf'!A:D,4,FALSE),"no clearing")</f>
        <v>no clearing</v>
      </c>
      <c r="N637" s="51">
        <f t="shared" si="387"/>
        <v>27</v>
      </c>
      <c r="O637" s="53">
        <f t="shared" si="388"/>
        <v>7</v>
      </c>
      <c r="P637" s="53">
        <f t="shared" si="389"/>
        <v>2025</v>
      </c>
    </row>
    <row r="638" spans="1:16" customFormat="1" x14ac:dyDescent="0.25">
      <c r="A638">
        <v>3000003499</v>
      </c>
      <c r="B638" s="22">
        <v>45838</v>
      </c>
      <c r="C638" s="4">
        <v>4354537.47</v>
      </c>
      <c r="D638" t="s">
        <v>710</v>
      </c>
      <c r="E638">
        <v>1472</v>
      </c>
      <c r="F638" s="4">
        <v>4354537.47</v>
      </c>
      <c r="G638" s="3">
        <v>45841</v>
      </c>
      <c r="H638" t="s">
        <v>32</v>
      </c>
      <c r="I638" s="51" t="str">
        <f>IFERROR(IF(VLOOKUP(E638,extracto!C:C,1,FALSE)=E638,"pagado","no pagado"),"no pagado")</f>
        <v>pagado</v>
      </c>
      <c r="J638" s="52" t="str">
        <f t="shared" si="384"/>
        <v>pagado</v>
      </c>
      <c r="K638" s="51" t="str">
        <f t="shared" ca="1" si="385"/>
        <v>excluir</v>
      </c>
      <c r="L638" s="51" t="str">
        <f t="shared" ca="1" si="386"/>
        <v>no semana</v>
      </c>
      <c r="M638" s="51" t="str">
        <f>IFERROR(VLOOKUP(E638,'cheques a conf'!A:D,4,FALSE),"no clearing")</f>
        <v>no clearing</v>
      </c>
      <c r="N638" s="51">
        <f t="shared" si="387"/>
        <v>27</v>
      </c>
      <c r="O638" s="53">
        <f t="shared" si="388"/>
        <v>7</v>
      </c>
      <c r="P638" s="53">
        <f t="shared" si="389"/>
        <v>2025</v>
      </c>
    </row>
    <row r="639" spans="1:16" customFormat="1" x14ac:dyDescent="0.25">
      <c r="A639">
        <v>3000003500</v>
      </c>
      <c r="B639" s="22">
        <v>45838</v>
      </c>
      <c r="C639" s="4">
        <v>7305998.1799999997</v>
      </c>
      <c r="D639" t="s">
        <v>658</v>
      </c>
      <c r="E639">
        <v>1473</v>
      </c>
      <c r="F639" s="4">
        <v>7305998.1799999997</v>
      </c>
      <c r="G639" s="3">
        <v>45840</v>
      </c>
      <c r="H639" t="s">
        <v>32</v>
      </c>
      <c r="I639" s="51" t="str">
        <f>IFERROR(IF(VLOOKUP(E639,extracto!C:C,1,FALSE)=E639,"pagado","no pagado"),"no pagado")</f>
        <v>pagado</v>
      </c>
      <c r="J639" s="52" t="str">
        <f t="shared" si="384"/>
        <v>pagado</v>
      </c>
      <c r="K639" s="51" t="str">
        <f t="shared" ca="1" si="385"/>
        <v>excluir</v>
      </c>
      <c r="L639" s="51" t="str">
        <f t="shared" ca="1" si="386"/>
        <v>no semana</v>
      </c>
      <c r="M639" s="51" t="str">
        <f>IFERROR(VLOOKUP(E639,'cheques a conf'!A:D,4,FALSE),"no clearing")</f>
        <v>no clearing</v>
      </c>
      <c r="N639" s="51">
        <f t="shared" si="387"/>
        <v>27</v>
      </c>
      <c r="O639" s="53">
        <f t="shared" si="388"/>
        <v>7</v>
      </c>
      <c r="P639" s="53">
        <f t="shared" si="389"/>
        <v>2025</v>
      </c>
    </row>
    <row r="640" spans="1:16" customFormat="1" x14ac:dyDescent="0.25">
      <c r="A640">
        <v>3000003501</v>
      </c>
      <c r="B640" s="22">
        <v>45838</v>
      </c>
      <c r="C640" s="4">
        <v>15000000</v>
      </c>
      <c r="D640" t="s">
        <v>711</v>
      </c>
      <c r="E640">
        <v>1474</v>
      </c>
      <c r="F640" s="4">
        <v>15000000</v>
      </c>
      <c r="G640" s="3">
        <v>45840</v>
      </c>
      <c r="H640" t="s">
        <v>32</v>
      </c>
      <c r="I640" s="51" t="str">
        <f>IFERROR(IF(VLOOKUP(E640,extracto!C:C,1,FALSE)=E640,"pagado","no pagado"),"no pagado")</f>
        <v>pagado</v>
      </c>
      <c r="J640" s="52" t="str">
        <f t="shared" si="384"/>
        <v>pagado</v>
      </c>
      <c r="K640" s="51" t="str">
        <f t="shared" ca="1" si="385"/>
        <v>excluir</v>
      </c>
      <c r="L640" s="51" t="str">
        <f t="shared" ca="1" si="386"/>
        <v>no semana</v>
      </c>
      <c r="M640" s="51" t="str">
        <f>IFERROR(VLOOKUP(E640,'cheques a conf'!A:D,4,FALSE),"no clearing")</f>
        <v>no clearing</v>
      </c>
      <c r="N640" s="51">
        <f t="shared" si="387"/>
        <v>27</v>
      </c>
      <c r="O640" s="53">
        <f t="shared" si="388"/>
        <v>7</v>
      </c>
      <c r="P640" s="53">
        <f t="shared" si="389"/>
        <v>2025</v>
      </c>
    </row>
    <row r="641" spans="1:16" customFormat="1" x14ac:dyDescent="0.25">
      <c r="A641">
        <v>3000003501</v>
      </c>
      <c r="B641" s="22">
        <v>45838</v>
      </c>
      <c r="C641" s="4">
        <v>15870968.109999999</v>
      </c>
      <c r="D641" t="s">
        <v>711</v>
      </c>
      <c r="E641">
        <v>1475</v>
      </c>
      <c r="F641" s="4">
        <v>15870968.109999999</v>
      </c>
      <c r="G641" s="3">
        <v>45841</v>
      </c>
      <c r="H641" t="s">
        <v>32</v>
      </c>
      <c r="I641" s="51" t="str">
        <f>IFERROR(IF(VLOOKUP(E641,extracto!C:C,1,FALSE)=E641,"pagado","no pagado"),"no pagado")</f>
        <v>pagado</v>
      </c>
      <c r="J641" s="52" t="str">
        <f t="shared" si="384"/>
        <v>pagado</v>
      </c>
      <c r="K641" s="51" t="str">
        <f t="shared" ca="1" si="385"/>
        <v>excluir</v>
      </c>
      <c r="L641" s="51" t="str">
        <f t="shared" ca="1" si="386"/>
        <v>no semana</v>
      </c>
      <c r="M641" s="51" t="str">
        <f>IFERROR(VLOOKUP(E641,'cheques a conf'!A:D,4,FALSE),"no clearing")</f>
        <v>no clearing</v>
      </c>
      <c r="N641" s="51">
        <f t="shared" si="387"/>
        <v>27</v>
      </c>
      <c r="O641" s="53">
        <f t="shared" si="388"/>
        <v>7</v>
      </c>
      <c r="P641" s="53">
        <f t="shared" si="389"/>
        <v>2025</v>
      </c>
    </row>
    <row r="642" spans="1:16" customFormat="1" x14ac:dyDescent="0.25">
      <c r="A642">
        <v>3000003502</v>
      </c>
      <c r="B642" s="22">
        <v>45838</v>
      </c>
      <c r="C642" s="4">
        <v>9957268.25</v>
      </c>
      <c r="D642" t="s">
        <v>712</v>
      </c>
      <c r="E642">
        <v>1476</v>
      </c>
      <c r="F642" s="4">
        <v>9957268.25</v>
      </c>
      <c r="G642" s="3">
        <v>45840</v>
      </c>
      <c r="H642" t="s">
        <v>32</v>
      </c>
      <c r="I642" s="51" t="str">
        <f>IFERROR(IF(VLOOKUP(E642,extracto!C:C,1,FALSE)=E642,"pagado","no pagado"),"no pagado")</f>
        <v>pagado</v>
      </c>
      <c r="J642" s="52" t="str">
        <f t="shared" si="384"/>
        <v>pagado</v>
      </c>
      <c r="K642" s="51" t="str">
        <f t="shared" ca="1" si="385"/>
        <v>excluir</v>
      </c>
      <c r="L642" s="51" t="str">
        <f t="shared" ca="1" si="386"/>
        <v>no semana</v>
      </c>
      <c r="M642" s="51" t="str">
        <f>IFERROR(VLOOKUP(E642,'cheques a conf'!A:D,4,FALSE),"no clearing")</f>
        <v>no clearing</v>
      </c>
      <c r="N642" s="51">
        <f t="shared" si="387"/>
        <v>27</v>
      </c>
      <c r="O642" s="53">
        <f t="shared" si="388"/>
        <v>7</v>
      </c>
      <c r="P642" s="53">
        <f t="shared" si="389"/>
        <v>2025</v>
      </c>
    </row>
    <row r="643" spans="1:16" customFormat="1" x14ac:dyDescent="0.25">
      <c r="A643">
        <v>3000003503</v>
      </c>
      <c r="B643" s="22">
        <v>45838</v>
      </c>
      <c r="C643" s="4">
        <v>6263730.8300000001</v>
      </c>
      <c r="D643" t="s">
        <v>713</v>
      </c>
      <c r="E643">
        <v>1477</v>
      </c>
      <c r="F643" s="4">
        <v>6263730.8300000001</v>
      </c>
      <c r="G643" s="3">
        <v>45840</v>
      </c>
      <c r="H643" t="s">
        <v>32</v>
      </c>
      <c r="I643" s="51" t="str">
        <f>IFERROR(IF(VLOOKUP(E643,extracto!C:C,1,FALSE)=E643,"pagado","no pagado"),"no pagado")</f>
        <v>pagado</v>
      </c>
      <c r="J643" s="52" t="str">
        <f t="shared" si="384"/>
        <v>pagado</v>
      </c>
      <c r="K643" s="51" t="str">
        <f t="shared" ca="1" si="385"/>
        <v>excluir</v>
      </c>
      <c r="L643" s="51" t="str">
        <f t="shared" ca="1" si="386"/>
        <v>no semana</v>
      </c>
      <c r="M643" s="51" t="str">
        <f>IFERROR(VLOOKUP(E643,'cheques a conf'!A:D,4,FALSE),"no clearing")</f>
        <v>no clearing</v>
      </c>
      <c r="N643" s="51">
        <f t="shared" si="387"/>
        <v>27</v>
      </c>
      <c r="O643" s="53">
        <f t="shared" si="388"/>
        <v>7</v>
      </c>
      <c r="P643" s="53">
        <f t="shared" si="389"/>
        <v>2025</v>
      </c>
    </row>
    <row r="644" spans="1:16" customFormat="1" x14ac:dyDescent="0.25">
      <c r="A644">
        <v>3000003504</v>
      </c>
      <c r="B644" s="22">
        <v>45838</v>
      </c>
      <c r="C644" s="4">
        <v>6586616.4699999997</v>
      </c>
      <c r="D644" t="s">
        <v>182</v>
      </c>
      <c r="E644">
        <v>1478</v>
      </c>
      <c r="F644" s="4">
        <v>6586616.4699999997</v>
      </c>
      <c r="G644" s="3">
        <v>45840</v>
      </c>
      <c r="H644" t="s">
        <v>32</v>
      </c>
      <c r="I644" s="51" t="str">
        <f>IFERROR(IF(VLOOKUP(E644,extracto!C:C,1,FALSE)=E644,"pagado","no pagado"),"no pagado")</f>
        <v>pagado</v>
      </c>
      <c r="J644" s="52" t="str">
        <f t="shared" si="384"/>
        <v>pagado</v>
      </c>
      <c r="K644" s="51" t="str">
        <f t="shared" ca="1" si="385"/>
        <v>excluir</v>
      </c>
      <c r="L644" s="51" t="str">
        <f t="shared" ca="1" si="386"/>
        <v>no semana</v>
      </c>
      <c r="M644" s="51" t="str">
        <f>IFERROR(VLOOKUP(E644,'cheques a conf'!A:D,4,FALSE),"no clearing")</f>
        <v>no clearing</v>
      </c>
      <c r="N644" s="51">
        <f t="shared" si="387"/>
        <v>27</v>
      </c>
      <c r="O644" s="53">
        <f t="shared" si="388"/>
        <v>7</v>
      </c>
      <c r="P644" s="53">
        <f t="shared" si="389"/>
        <v>2025</v>
      </c>
    </row>
    <row r="645" spans="1:16" customFormat="1" x14ac:dyDescent="0.25">
      <c r="A645">
        <v>3000003505</v>
      </c>
      <c r="B645" s="22">
        <v>45838</v>
      </c>
      <c r="C645" s="4">
        <v>10967169.91</v>
      </c>
      <c r="D645" t="s">
        <v>714</v>
      </c>
      <c r="E645">
        <v>1479</v>
      </c>
      <c r="F645" s="4">
        <v>10967169.91</v>
      </c>
      <c r="G645" s="3">
        <v>45840</v>
      </c>
      <c r="H645" t="s">
        <v>32</v>
      </c>
      <c r="I645" s="51" t="str">
        <f>IFERROR(IF(VLOOKUP(E645,extracto!C:C,1,FALSE)=E645,"pagado","no pagado"),"no pagado")</f>
        <v>pagado</v>
      </c>
      <c r="J645" s="52" t="str">
        <f t="shared" si="384"/>
        <v>pagado</v>
      </c>
      <c r="K645" s="51" t="str">
        <f t="shared" ca="1" si="385"/>
        <v>excluir</v>
      </c>
      <c r="L645" s="51" t="str">
        <f t="shared" ca="1" si="386"/>
        <v>no semana</v>
      </c>
      <c r="M645" s="51" t="str">
        <f>IFERROR(VLOOKUP(E645,'cheques a conf'!A:D,4,FALSE),"no clearing")</f>
        <v>no clearing</v>
      </c>
      <c r="N645" s="51">
        <f t="shared" si="387"/>
        <v>27</v>
      </c>
      <c r="O645" s="53">
        <f t="shared" si="388"/>
        <v>7</v>
      </c>
      <c r="P645" s="53">
        <f t="shared" si="389"/>
        <v>2025</v>
      </c>
    </row>
    <row r="646" spans="1:16" customFormat="1" x14ac:dyDescent="0.25">
      <c r="A646">
        <v>3000003506</v>
      </c>
      <c r="B646" s="22">
        <v>45838</v>
      </c>
      <c r="C646" s="4">
        <v>8381553.0800000001</v>
      </c>
      <c r="D646" t="s">
        <v>715</v>
      </c>
      <c r="E646">
        <v>1480</v>
      </c>
      <c r="F646" s="4">
        <v>8381553.0800000001</v>
      </c>
      <c r="G646" s="3">
        <v>45840</v>
      </c>
      <c r="H646" t="s">
        <v>32</v>
      </c>
      <c r="I646" s="51" t="str">
        <f>IFERROR(IF(VLOOKUP(E646,extracto!C:C,1,FALSE)=E646,"pagado","no pagado"),"no pagado")</f>
        <v>pagado</v>
      </c>
      <c r="J646" s="52" t="str">
        <f t="shared" si="384"/>
        <v>pagado</v>
      </c>
      <c r="K646" s="51" t="str">
        <f t="shared" ca="1" si="385"/>
        <v>excluir</v>
      </c>
      <c r="L646" s="51" t="str">
        <f t="shared" ca="1" si="386"/>
        <v>no semana</v>
      </c>
      <c r="M646" s="51" t="str">
        <f>IFERROR(VLOOKUP(E646,'cheques a conf'!A:D,4,FALSE),"no clearing")</f>
        <v>no clearing</v>
      </c>
      <c r="N646" s="51">
        <f t="shared" si="387"/>
        <v>27</v>
      </c>
      <c r="O646" s="53">
        <f t="shared" si="388"/>
        <v>7</v>
      </c>
      <c r="P646" s="53">
        <f t="shared" si="389"/>
        <v>2025</v>
      </c>
    </row>
    <row r="647" spans="1:16" customFormat="1" x14ac:dyDescent="0.25">
      <c r="A647">
        <v>3000003507</v>
      </c>
      <c r="B647" s="22">
        <v>45838</v>
      </c>
      <c r="C647" s="4">
        <v>45000000</v>
      </c>
      <c r="D647" t="s">
        <v>595</v>
      </c>
      <c r="E647">
        <v>1481</v>
      </c>
      <c r="F647" s="4">
        <v>45000000</v>
      </c>
      <c r="G647" s="3">
        <v>45840</v>
      </c>
      <c r="H647" t="s">
        <v>32</v>
      </c>
      <c r="I647" s="51" t="str">
        <f>IFERROR(IF(VLOOKUP(E647,extracto!C:C,1,FALSE)=E647,"pagado","no pagado"),"no pagado")</f>
        <v>pagado</v>
      </c>
      <c r="J647" s="52" t="str">
        <f t="shared" si="384"/>
        <v>pagado</v>
      </c>
      <c r="K647" s="51" t="str">
        <f t="shared" ca="1" si="385"/>
        <v>excluir</v>
      </c>
      <c r="L647" s="51" t="str">
        <f t="shared" ca="1" si="386"/>
        <v>no semana</v>
      </c>
      <c r="M647" s="51" t="str">
        <f>IFERROR(VLOOKUP(E647,'cheques a conf'!A:D,4,FALSE),"no clearing")</f>
        <v>no clearing</v>
      </c>
      <c r="N647" s="51">
        <f t="shared" si="387"/>
        <v>27</v>
      </c>
      <c r="O647" s="53">
        <f t="shared" si="388"/>
        <v>7</v>
      </c>
      <c r="P647" s="53">
        <f t="shared" si="389"/>
        <v>2025</v>
      </c>
    </row>
    <row r="648" spans="1:16" customFormat="1" x14ac:dyDescent="0.25">
      <c r="A648">
        <v>3000003507</v>
      </c>
      <c r="B648" s="22">
        <v>45838</v>
      </c>
      <c r="C648" s="4">
        <v>23000000</v>
      </c>
      <c r="D648" t="s">
        <v>595</v>
      </c>
      <c r="E648">
        <v>1482</v>
      </c>
      <c r="F648" s="4">
        <v>23000000</v>
      </c>
      <c r="G648" s="3">
        <v>45841</v>
      </c>
      <c r="H648" t="s">
        <v>32</v>
      </c>
      <c r="I648" s="51" t="str">
        <f>IFERROR(IF(VLOOKUP(E648,extracto!C:C,1,FALSE)=E648,"pagado","no pagado"),"no pagado")</f>
        <v>pagado</v>
      </c>
      <c r="J648" s="52" t="str">
        <f t="shared" si="384"/>
        <v>pagado</v>
      </c>
      <c r="K648" s="51" t="str">
        <f t="shared" ca="1" si="385"/>
        <v>excluir</v>
      </c>
      <c r="L648" s="51" t="str">
        <f t="shared" ca="1" si="386"/>
        <v>no semana</v>
      </c>
      <c r="M648" s="51" t="str">
        <f>IFERROR(VLOOKUP(E648,'cheques a conf'!A:D,4,FALSE),"no clearing")</f>
        <v>no clearing</v>
      </c>
      <c r="N648" s="51">
        <f t="shared" si="387"/>
        <v>27</v>
      </c>
      <c r="O648" s="53">
        <f t="shared" si="388"/>
        <v>7</v>
      </c>
      <c r="P648" s="53">
        <f t="shared" si="389"/>
        <v>2025</v>
      </c>
    </row>
    <row r="649" spans="1:16" customFormat="1" x14ac:dyDescent="0.25">
      <c r="A649">
        <v>3000003507</v>
      </c>
      <c r="B649" s="22">
        <v>45838</v>
      </c>
      <c r="C649" s="4">
        <v>7000000</v>
      </c>
      <c r="D649" t="s">
        <v>595</v>
      </c>
      <c r="E649">
        <v>1483</v>
      </c>
      <c r="F649" s="4">
        <v>7000000</v>
      </c>
      <c r="G649" s="3">
        <v>45841</v>
      </c>
      <c r="H649" t="s">
        <v>32</v>
      </c>
      <c r="I649" s="51" t="str">
        <f>IFERROR(IF(VLOOKUP(E649,extracto!C:C,1,FALSE)=E649,"pagado","no pagado"),"no pagado")</f>
        <v>pagado</v>
      </c>
      <c r="J649" s="52" t="str">
        <f t="shared" si="384"/>
        <v>pagado</v>
      </c>
      <c r="K649" s="51" t="str">
        <f t="shared" ca="1" si="385"/>
        <v>excluir</v>
      </c>
      <c r="L649" s="51" t="str">
        <f t="shared" ca="1" si="386"/>
        <v>no semana</v>
      </c>
      <c r="M649" s="51" t="str">
        <f>IFERROR(VLOOKUP(E649,'cheques a conf'!A:D,4,FALSE),"no clearing")</f>
        <v>no clearing</v>
      </c>
      <c r="N649" s="51">
        <f t="shared" si="387"/>
        <v>27</v>
      </c>
      <c r="O649" s="53">
        <f t="shared" si="388"/>
        <v>7</v>
      </c>
      <c r="P649" s="53">
        <f t="shared" si="389"/>
        <v>2025</v>
      </c>
    </row>
    <row r="650" spans="1:16" customFormat="1" x14ac:dyDescent="0.25">
      <c r="A650">
        <v>3000003507</v>
      </c>
      <c r="B650" s="22">
        <v>45838</v>
      </c>
      <c r="C650" s="4">
        <v>3415405.07</v>
      </c>
      <c r="D650" t="s">
        <v>595</v>
      </c>
      <c r="E650">
        <v>1484</v>
      </c>
      <c r="F650" s="4">
        <v>3415405.07</v>
      </c>
      <c r="G650" s="3">
        <v>45841</v>
      </c>
      <c r="H650" t="s">
        <v>32</v>
      </c>
      <c r="I650" s="51" t="str">
        <f>IFERROR(IF(VLOOKUP(E650,extracto!C:C,1,FALSE)=E650,"pagado","no pagado"),"no pagado")</f>
        <v>pagado</v>
      </c>
      <c r="J650" s="52" t="str">
        <f t="shared" si="384"/>
        <v>pagado</v>
      </c>
      <c r="K650" s="51" t="str">
        <f t="shared" ca="1" si="385"/>
        <v>excluir</v>
      </c>
      <c r="L650" s="51" t="str">
        <f t="shared" ca="1" si="386"/>
        <v>no semana</v>
      </c>
      <c r="M650" s="51" t="str">
        <f>IFERROR(VLOOKUP(E650,'cheques a conf'!A:D,4,FALSE),"no clearing")</f>
        <v>no clearing</v>
      </c>
      <c r="N650" s="51">
        <f t="shared" si="387"/>
        <v>27</v>
      </c>
      <c r="O650" s="53">
        <f t="shared" si="388"/>
        <v>7</v>
      </c>
      <c r="P650" s="53">
        <f t="shared" si="389"/>
        <v>2025</v>
      </c>
    </row>
    <row r="651" spans="1:16" customFormat="1" x14ac:dyDescent="0.25">
      <c r="A651">
        <v>3000003517</v>
      </c>
      <c r="B651" s="22">
        <v>45839</v>
      </c>
      <c r="C651" s="4">
        <v>4856074.25</v>
      </c>
      <c r="D651" t="s">
        <v>657</v>
      </c>
      <c r="E651">
        <v>1485</v>
      </c>
      <c r="F651" s="4">
        <v>4856074.25</v>
      </c>
      <c r="G651" s="3">
        <v>45841</v>
      </c>
      <c r="H651" t="s">
        <v>32</v>
      </c>
      <c r="I651" s="51" t="str">
        <f>IFERROR(IF(VLOOKUP(E651,extracto!C:C,1,FALSE)=E651,"pagado","no pagado"),"no pagado")</f>
        <v>pagado</v>
      </c>
      <c r="J651" s="52" t="str">
        <f t="shared" si="384"/>
        <v>pagado</v>
      </c>
      <c r="K651" s="51" t="str">
        <f t="shared" ca="1" si="385"/>
        <v>excluir</v>
      </c>
      <c r="L651" s="51" t="str">
        <f t="shared" ca="1" si="386"/>
        <v>no semana</v>
      </c>
      <c r="M651" s="51" t="str">
        <f>IFERROR(VLOOKUP(E651,'cheques a conf'!A:D,4,FALSE),"no clearing")</f>
        <v>no clearing</v>
      </c>
      <c r="N651" s="51">
        <f t="shared" si="387"/>
        <v>27</v>
      </c>
      <c r="O651" s="53">
        <f t="shared" si="388"/>
        <v>7</v>
      </c>
      <c r="P651" s="53">
        <f t="shared" si="389"/>
        <v>2025</v>
      </c>
    </row>
    <row r="652" spans="1:16" customFormat="1" x14ac:dyDescent="0.25">
      <c r="A652">
        <v>3000003518</v>
      </c>
      <c r="B652" s="22">
        <v>45839</v>
      </c>
      <c r="C652" s="4">
        <v>3233798.57</v>
      </c>
      <c r="D652" t="s">
        <v>716</v>
      </c>
      <c r="E652">
        <v>1486</v>
      </c>
      <c r="F652" s="4">
        <v>3233798.57</v>
      </c>
      <c r="G652" s="3">
        <v>45841</v>
      </c>
      <c r="H652" t="s">
        <v>32</v>
      </c>
      <c r="I652" s="51" t="str">
        <f>IFERROR(IF(VLOOKUP(E652,extracto!C:C,1,FALSE)=E652,"pagado","no pagado"),"no pagado")</f>
        <v>pagado</v>
      </c>
      <c r="J652" s="52" t="str">
        <f t="shared" si="384"/>
        <v>pagado</v>
      </c>
      <c r="K652" s="51" t="str">
        <f t="shared" ca="1" si="385"/>
        <v>excluir</v>
      </c>
      <c r="L652" s="51" t="str">
        <f t="shared" ca="1" si="386"/>
        <v>no semana</v>
      </c>
      <c r="M652" s="51" t="str">
        <f>IFERROR(VLOOKUP(E652,'cheques a conf'!A:D,4,FALSE),"no clearing")</f>
        <v>no clearing</v>
      </c>
      <c r="N652" s="51">
        <f t="shared" si="387"/>
        <v>27</v>
      </c>
      <c r="O652" s="53">
        <f t="shared" si="388"/>
        <v>7</v>
      </c>
      <c r="P652" s="53">
        <f t="shared" si="389"/>
        <v>2025</v>
      </c>
    </row>
    <row r="653" spans="1:16" customFormat="1" x14ac:dyDescent="0.25">
      <c r="A653">
        <v>3000003519</v>
      </c>
      <c r="B653" s="22">
        <v>45839</v>
      </c>
      <c r="C653" s="4">
        <v>6098541.5499999998</v>
      </c>
      <c r="D653" t="s">
        <v>664</v>
      </c>
      <c r="E653">
        <v>1487</v>
      </c>
      <c r="F653" s="4">
        <v>6098541.5499999998</v>
      </c>
      <c r="G653" s="3">
        <v>45841</v>
      </c>
      <c r="H653" t="s">
        <v>32</v>
      </c>
      <c r="I653" s="51" t="str">
        <f>IFERROR(IF(VLOOKUP(E653,extracto!C:C,1,FALSE)=E653,"pagado","no pagado"),"no pagado")</f>
        <v>pagado</v>
      </c>
      <c r="J653" s="52" t="str">
        <f t="shared" si="384"/>
        <v>pagado</v>
      </c>
      <c r="K653" s="51" t="str">
        <f t="shared" ca="1" si="385"/>
        <v>excluir</v>
      </c>
      <c r="L653" s="51" t="str">
        <f t="shared" ca="1" si="386"/>
        <v>no semana</v>
      </c>
      <c r="M653" s="51" t="str">
        <f>IFERROR(VLOOKUP(E653,'cheques a conf'!A:D,4,FALSE),"no clearing")</f>
        <v>no clearing</v>
      </c>
      <c r="N653" s="51">
        <f t="shared" si="387"/>
        <v>27</v>
      </c>
      <c r="O653" s="53">
        <f t="shared" si="388"/>
        <v>7</v>
      </c>
      <c r="P653" s="53">
        <f t="shared" si="389"/>
        <v>2025</v>
      </c>
    </row>
    <row r="654" spans="1:16" customFormat="1" x14ac:dyDescent="0.25">
      <c r="A654">
        <v>3000003520</v>
      </c>
      <c r="B654" s="22">
        <v>45839</v>
      </c>
      <c r="C654" s="4">
        <v>6866727.3300000001</v>
      </c>
      <c r="D654" t="s">
        <v>679</v>
      </c>
      <c r="E654">
        <v>1488</v>
      </c>
      <c r="F654" s="4">
        <v>6866727.3300000001</v>
      </c>
      <c r="G654" s="3">
        <v>45841</v>
      </c>
      <c r="H654" t="s">
        <v>32</v>
      </c>
      <c r="I654" s="51" t="str">
        <f>IFERROR(IF(VLOOKUP(E654,extracto!C:C,1,FALSE)=E654,"pagado","no pagado"),"no pagado")</f>
        <v>pagado</v>
      </c>
      <c r="J654" s="52" t="str">
        <f t="shared" si="384"/>
        <v>pagado</v>
      </c>
      <c r="K654" s="51" t="str">
        <f t="shared" ca="1" si="385"/>
        <v>excluir</v>
      </c>
      <c r="L654" s="51" t="str">
        <f t="shared" ca="1" si="386"/>
        <v>no semana</v>
      </c>
      <c r="M654" s="51" t="str">
        <f>IFERROR(VLOOKUP(E654,'cheques a conf'!A:D,4,FALSE),"no clearing")</f>
        <v>no clearing</v>
      </c>
      <c r="N654" s="51">
        <f t="shared" si="387"/>
        <v>27</v>
      </c>
      <c r="O654" s="53">
        <f t="shared" si="388"/>
        <v>7</v>
      </c>
      <c r="P654" s="53">
        <f t="shared" si="389"/>
        <v>2025</v>
      </c>
    </row>
    <row r="655" spans="1:16" customFormat="1" x14ac:dyDescent="0.25">
      <c r="A655">
        <v>3000003521</v>
      </c>
      <c r="B655" s="22">
        <v>45839</v>
      </c>
      <c r="C655" s="4">
        <v>4122092.11</v>
      </c>
      <c r="D655" t="s">
        <v>717</v>
      </c>
      <c r="E655">
        <v>1489</v>
      </c>
      <c r="F655" s="4">
        <v>4122092.11</v>
      </c>
      <c r="G655" s="3">
        <v>45841</v>
      </c>
      <c r="H655" t="s">
        <v>32</v>
      </c>
      <c r="I655" s="51" t="str">
        <f>IFERROR(IF(VLOOKUP(E655,extracto!C:C,1,FALSE)=E655,"pagado","no pagado"),"no pagado")</f>
        <v>pagado</v>
      </c>
      <c r="J655" s="52" t="str">
        <f t="shared" si="384"/>
        <v>pagado</v>
      </c>
      <c r="K655" s="51" t="str">
        <f t="shared" ca="1" si="385"/>
        <v>excluir</v>
      </c>
      <c r="L655" s="51" t="str">
        <f t="shared" ca="1" si="386"/>
        <v>no semana</v>
      </c>
      <c r="M655" s="51" t="str">
        <f>IFERROR(VLOOKUP(E655,'cheques a conf'!A:D,4,FALSE),"no clearing")</f>
        <v>no clearing</v>
      </c>
      <c r="N655" s="51">
        <f t="shared" si="387"/>
        <v>27</v>
      </c>
      <c r="O655" s="53">
        <f t="shared" si="388"/>
        <v>7</v>
      </c>
      <c r="P655" s="53">
        <f t="shared" si="389"/>
        <v>2025</v>
      </c>
    </row>
    <row r="656" spans="1:16" customFormat="1" x14ac:dyDescent="0.25">
      <c r="A656">
        <v>3000003522</v>
      </c>
      <c r="B656" s="22">
        <v>45839</v>
      </c>
      <c r="C656" s="4">
        <v>14947995.310000001</v>
      </c>
      <c r="D656" t="s">
        <v>613</v>
      </c>
      <c r="E656">
        <v>1490</v>
      </c>
      <c r="F656" s="4">
        <v>14947995.310000001</v>
      </c>
      <c r="G656" s="3">
        <v>45841</v>
      </c>
      <c r="H656" t="s">
        <v>32</v>
      </c>
      <c r="I656" s="51" t="str">
        <f>IFERROR(IF(VLOOKUP(E656,extracto!C:C,1,FALSE)=E656,"pagado","no pagado"),"no pagado")</f>
        <v>pagado</v>
      </c>
      <c r="J656" s="52" t="str">
        <f t="shared" si="384"/>
        <v>pagado</v>
      </c>
      <c r="K656" s="51" t="str">
        <f t="shared" ca="1" si="385"/>
        <v>excluir</v>
      </c>
      <c r="L656" s="51" t="str">
        <f t="shared" ca="1" si="386"/>
        <v>no semana</v>
      </c>
      <c r="M656" s="51" t="str">
        <f>IFERROR(VLOOKUP(E656,'cheques a conf'!A:D,4,FALSE),"no clearing")</f>
        <v>no clearing</v>
      </c>
      <c r="N656" s="51">
        <f t="shared" si="387"/>
        <v>27</v>
      </c>
      <c r="O656" s="53">
        <f t="shared" si="388"/>
        <v>7</v>
      </c>
      <c r="P656" s="53">
        <f t="shared" si="389"/>
        <v>2025</v>
      </c>
    </row>
    <row r="657" spans="1:16" customFormat="1" x14ac:dyDescent="0.25">
      <c r="A657">
        <v>3000003523</v>
      </c>
      <c r="B657" s="22">
        <v>45839</v>
      </c>
      <c r="C657" s="4">
        <v>8000000</v>
      </c>
      <c r="D657" t="s">
        <v>619</v>
      </c>
      <c r="E657">
        <v>1491</v>
      </c>
      <c r="F657" s="4">
        <v>8000000</v>
      </c>
      <c r="G657" s="3">
        <v>45841</v>
      </c>
      <c r="H657" t="s">
        <v>32</v>
      </c>
      <c r="I657" s="51" t="str">
        <f>IFERROR(IF(VLOOKUP(E657,extracto!C:C,1,FALSE)=E657,"pagado","no pagado"),"no pagado")</f>
        <v>pagado</v>
      </c>
      <c r="J657" s="52" t="str">
        <f t="shared" si="384"/>
        <v>pagado</v>
      </c>
      <c r="K657" s="51" t="str">
        <f t="shared" ca="1" si="385"/>
        <v>excluir</v>
      </c>
      <c r="L657" s="51" t="str">
        <f t="shared" ca="1" si="386"/>
        <v>no semana</v>
      </c>
      <c r="M657" s="51" t="str">
        <f>IFERROR(VLOOKUP(E657,'cheques a conf'!A:D,4,FALSE),"no clearing")</f>
        <v>no clearing</v>
      </c>
      <c r="N657" s="51">
        <f t="shared" si="387"/>
        <v>27</v>
      </c>
      <c r="O657" s="53">
        <f t="shared" si="388"/>
        <v>7</v>
      </c>
      <c r="P657" s="53">
        <f t="shared" si="389"/>
        <v>2025</v>
      </c>
    </row>
    <row r="658" spans="1:16" customFormat="1" x14ac:dyDescent="0.25">
      <c r="A658">
        <v>3000003523</v>
      </c>
      <c r="B658" s="22">
        <v>45839</v>
      </c>
      <c r="C658" s="4">
        <v>8875156.7300000004</v>
      </c>
      <c r="D658" t="s">
        <v>619</v>
      </c>
      <c r="E658">
        <v>1492</v>
      </c>
      <c r="F658" s="4">
        <v>8875156.7300000004</v>
      </c>
      <c r="G658" s="3">
        <v>45842</v>
      </c>
      <c r="H658" t="s">
        <v>32</v>
      </c>
      <c r="I658" s="51" t="str">
        <f>IFERROR(IF(VLOOKUP(E658,extracto!C:C,1,FALSE)=E658,"pagado","no pagado"),"no pagado")</f>
        <v>pagado</v>
      </c>
      <c r="J658" s="52" t="str">
        <f t="shared" si="384"/>
        <v>pagado</v>
      </c>
      <c r="K658" s="51" t="str">
        <f t="shared" ca="1" si="385"/>
        <v>excluir</v>
      </c>
      <c r="L658" s="51" t="str">
        <f t="shared" ca="1" si="386"/>
        <v>no semana</v>
      </c>
      <c r="M658" s="51" t="str">
        <f>IFERROR(VLOOKUP(E658,'cheques a conf'!A:D,4,FALSE),"no clearing")</f>
        <v>no clearing</v>
      </c>
      <c r="N658" s="51">
        <f t="shared" si="387"/>
        <v>27</v>
      </c>
      <c r="O658" s="53">
        <f t="shared" si="388"/>
        <v>7</v>
      </c>
      <c r="P658" s="53">
        <f t="shared" si="389"/>
        <v>2025</v>
      </c>
    </row>
    <row r="659" spans="1:16" customFormat="1" x14ac:dyDescent="0.25">
      <c r="A659">
        <v>3000003524</v>
      </c>
      <c r="B659" s="22">
        <v>45839</v>
      </c>
      <c r="C659" s="4">
        <v>20000000</v>
      </c>
      <c r="D659" t="s">
        <v>618</v>
      </c>
      <c r="E659">
        <v>1493</v>
      </c>
      <c r="F659" s="4">
        <v>20000000</v>
      </c>
      <c r="G659" s="3">
        <v>45841</v>
      </c>
      <c r="H659" t="s">
        <v>32</v>
      </c>
      <c r="I659" s="51" t="str">
        <f>IFERROR(IF(VLOOKUP(E659,extracto!C:C,1,FALSE)=E659,"pagado","no pagado"),"no pagado")</f>
        <v>pagado</v>
      </c>
      <c r="J659" s="52" t="str">
        <f t="shared" si="384"/>
        <v>pagado</v>
      </c>
      <c r="K659" s="51" t="str">
        <f t="shared" ca="1" si="385"/>
        <v>excluir</v>
      </c>
      <c r="L659" s="51" t="str">
        <f t="shared" ca="1" si="386"/>
        <v>no semana</v>
      </c>
      <c r="M659" s="51" t="str">
        <f>IFERROR(VLOOKUP(E659,'cheques a conf'!A:D,4,FALSE),"no clearing")</f>
        <v>no clearing</v>
      </c>
      <c r="N659" s="51">
        <f t="shared" si="387"/>
        <v>27</v>
      </c>
      <c r="O659" s="53">
        <f t="shared" si="388"/>
        <v>7</v>
      </c>
      <c r="P659" s="53">
        <f t="shared" si="389"/>
        <v>2025</v>
      </c>
    </row>
    <row r="660" spans="1:16" customFormat="1" x14ac:dyDescent="0.25">
      <c r="A660">
        <v>3000003524</v>
      </c>
      <c r="B660" s="22">
        <v>45839</v>
      </c>
      <c r="C660" s="4">
        <v>14715513.439999999</v>
      </c>
      <c r="D660" t="s">
        <v>618</v>
      </c>
      <c r="E660">
        <v>1494</v>
      </c>
      <c r="F660" s="4">
        <v>14715513.439999999</v>
      </c>
      <c r="G660" s="3">
        <v>45842</v>
      </c>
      <c r="H660" t="s">
        <v>32</v>
      </c>
      <c r="I660" s="51" t="str">
        <f>IFERROR(IF(VLOOKUP(E660,extracto!C:C,1,FALSE)=E660,"pagado","no pagado"),"no pagado")</f>
        <v>pagado</v>
      </c>
      <c r="J660" s="52" t="str">
        <f t="shared" si="384"/>
        <v>pagado</v>
      </c>
      <c r="K660" s="51" t="str">
        <f t="shared" ca="1" si="385"/>
        <v>excluir</v>
      </c>
      <c r="L660" s="51" t="str">
        <f t="shared" ca="1" si="386"/>
        <v>no semana</v>
      </c>
      <c r="M660" s="51" t="str">
        <f>IFERROR(VLOOKUP(E660,'cheques a conf'!A:D,4,FALSE),"no clearing")</f>
        <v>no clearing</v>
      </c>
      <c r="N660" s="51">
        <f t="shared" si="387"/>
        <v>27</v>
      </c>
      <c r="O660" s="53">
        <f t="shared" si="388"/>
        <v>7</v>
      </c>
      <c r="P660" s="53">
        <f t="shared" si="389"/>
        <v>2025</v>
      </c>
    </row>
    <row r="661" spans="1:16" customFormat="1" x14ac:dyDescent="0.25">
      <c r="A661">
        <v>3000003525</v>
      </c>
      <c r="B661" s="22">
        <v>45839</v>
      </c>
      <c r="C661" s="4">
        <v>8070083.9699999997</v>
      </c>
      <c r="D661" t="s">
        <v>593</v>
      </c>
      <c r="E661">
        <v>1495</v>
      </c>
      <c r="F661" s="4">
        <v>8070083.9699999997</v>
      </c>
      <c r="G661" s="3">
        <v>45841</v>
      </c>
      <c r="H661" t="s">
        <v>32</v>
      </c>
      <c r="I661" s="51" t="str">
        <f>IFERROR(IF(VLOOKUP(E661,extracto!C:C,1,FALSE)=E661,"pagado","no pagado"),"no pagado")</f>
        <v>pagado</v>
      </c>
      <c r="J661" s="52" t="str">
        <f t="shared" si="384"/>
        <v>pagado</v>
      </c>
      <c r="K661" s="51" t="str">
        <f t="shared" ca="1" si="385"/>
        <v>excluir</v>
      </c>
      <c r="L661" s="51" t="str">
        <f t="shared" ca="1" si="386"/>
        <v>no semana</v>
      </c>
      <c r="M661" s="51" t="str">
        <f>IFERROR(VLOOKUP(E661,'cheques a conf'!A:D,4,FALSE),"no clearing")</f>
        <v>no clearing</v>
      </c>
      <c r="N661" s="51">
        <f t="shared" si="387"/>
        <v>27</v>
      </c>
      <c r="O661" s="53">
        <f t="shared" si="388"/>
        <v>7</v>
      </c>
      <c r="P661" s="53">
        <f t="shared" si="389"/>
        <v>2025</v>
      </c>
    </row>
    <row r="662" spans="1:16" customFormat="1" x14ac:dyDescent="0.25">
      <c r="A662">
        <v>3000003526</v>
      </c>
      <c r="B662" s="22">
        <v>45839</v>
      </c>
      <c r="C662" s="4">
        <v>12874847.92</v>
      </c>
      <c r="D662" t="s">
        <v>592</v>
      </c>
      <c r="E662">
        <v>1496</v>
      </c>
      <c r="F662" s="4">
        <v>12874847.92</v>
      </c>
      <c r="G662" s="3">
        <v>45841</v>
      </c>
      <c r="H662" t="s">
        <v>32</v>
      </c>
      <c r="I662" s="51" t="str">
        <f>IFERROR(IF(VLOOKUP(E662,extracto!C:C,1,FALSE)=E662,"pagado","no pagado"),"no pagado")</f>
        <v>pagado</v>
      </c>
      <c r="J662" s="52" t="str">
        <f t="shared" si="384"/>
        <v>pagado</v>
      </c>
      <c r="K662" s="51" t="str">
        <f t="shared" ca="1" si="385"/>
        <v>excluir</v>
      </c>
      <c r="L662" s="51" t="str">
        <f t="shared" ca="1" si="386"/>
        <v>no semana</v>
      </c>
      <c r="M662" s="51" t="str">
        <f>IFERROR(VLOOKUP(E662,'cheques a conf'!A:D,4,FALSE),"no clearing")</f>
        <v>no clearing</v>
      </c>
      <c r="N662" s="51">
        <f t="shared" si="387"/>
        <v>27</v>
      </c>
      <c r="O662" s="53">
        <f t="shared" si="388"/>
        <v>7</v>
      </c>
      <c r="P662" s="53">
        <f t="shared" si="389"/>
        <v>2025</v>
      </c>
    </row>
    <row r="663" spans="1:16" customFormat="1" x14ac:dyDescent="0.25">
      <c r="A663">
        <v>3000003527</v>
      </c>
      <c r="B663" s="22">
        <v>45839</v>
      </c>
      <c r="C663" s="4">
        <v>10000000</v>
      </c>
      <c r="D663" t="s">
        <v>621</v>
      </c>
      <c r="E663">
        <v>1497</v>
      </c>
      <c r="F663" s="4">
        <v>10000000</v>
      </c>
      <c r="G663" s="3">
        <v>45841</v>
      </c>
      <c r="H663" t="s">
        <v>32</v>
      </c>
      <c r="I663" s="51" t="str">
        <f>IFERROR(IF(VLOOKUP(E663,extracto!C:C,1,FALSE)=E663,"pagado","no pagado"),"no pagado")</f>
        <v>pagado</v>
      </c>
      <c r="J663" s="52" t="str">
        <f t="shared" si="384"/>
        <v>pagado</v>
      </c>
      <c r="K663" s="51" t="str">
        <f t="shared" ca="1" si="385"/>
        <v>excluir</v>
      </c>
      <c r="L663" s="51" t="str">
        <f t="shared" ca="1" si="386"/>
        <v>no semana</v>
      </c>
      <c r="M663" s="51" t="str">
        <f>IFERROR(VLOOKUP(E663,'cheques a conf'!A:D,4,FALSE),"no clearing")</f>
        <v>no clearing</v>
      </c>
      <c r="N663" s="51">
        <f t="shared" si="387"/>
        <v>27</v>
      </c>
      <c r="O663" s="53">
        <f t="shared" si="388"/>
        <v>7</v>
      </c>
      <c r="P663" s="53">
        <f t="shared" si="389"/>
        <v>2025</v>
      </c>
    </row>
    <row r="664" spans="1:16" customFormat="1" x14ac:dyDescent="0.25">
      <c r="A664">
        <v>3000003527</v>
      </c>
      <c r="B664" s="22">
        <v>45839</v>
      </c>
      <c r="C664" s="4">
        <v>10170667.92</v>
      </c>
      <c r="D664" t="s">
        <v>621</v>
      </c>
      <c r="E664">
        <v>1498</v>
      </c>
      <c r="F664" s="4">
        <v>10170667.92</v>
      </c>
      <c r="G664" s="3">
        <v>45842</v>
      </c>
      <c r="H664" t="s">
        <v>32</v>
      </c>
      <c r="I664" s="51" t="str">
        <f>IFERROR(IF(VLOOKUP(E664,extracto!C:C,1,FALSE)=E664,"pagado","no pagado"),"no pagado")</f>
        <v>pagado</v>
      </c>
      <c r="J664" s="52" t="str">
        <f t="shared" si="384"/>
        <v>pagado</v>
      </c>
      <c r="K664" s="51" t="str">
        <f t="shared" ca="1" si="385"/>
        <v>excluir</v>
      </c>
      <c r="L664" s="51" t="str">
        <f t="shared" ca="1" si="386"/>
        <v>no semana</v>
      </c>
      <c r="M664" s="51" t="str">
        <f>IFERROR(VLOOKUP(E664,'cheques a conf'!A:D,4,FALSE),"no clearing")</f>
        <v>no clearing</v>
      </c>
      <c r="N664" s="51">
        <f t="shared" si="387"/>
        <v>27</v>
      </c>
      <c r="O664" s="53">
        <f t="shared" si="388"/>
        <v>7</v>
      </c>
      <c r="P664" s="53">
        <f t="shared" si="389"/>
        <v>2025</v>
      </c>
    </row>
    <row r="665" spans="1:16" customFormat="1" x14ac:dyDescent="0.25">
      <c r="A665">
        <v>3000003528</v>
      </c>
      <c r="B665" s="22">
        <v>45839</v>
      </c>
      <c r="C665" s="4">
        <v>10000000</v>
      </c>
      <c r="D665" t="s">
        <v>653</v>
      </c>
      <c r="E665">
        <v>1499</v>
      </c>
      <c r="F665" s="4">
        <v>10000000</v>
      </c>
      <c r="G665" s="3">
        <v>45841</v>
      </c>
      <c r="H665" t="s">
        <v>32</v>
      </c>
      <c r="I665" s="51" t="str">
        <f>IFERROR(IF(VLOOKUP(E665,extracto!C:C,1,FALSE)=E665,"pagado","no pagado"),"no pagado")</f>
        <v>pagado</v>
      </c>
      <c r="J665" s="52" t="str">
        <f t="shared" si="384"/>
        <v>pagado</v>
      </c>
      <c r="K665" s="51" t="str">
        <f t="shared" ca="1" si="385"/>
        <v>excluir</v>
      </c>
      <c r="L665" s="51" t="str">
        <f t="shared" ca="1" si="386"/>
        <v>no semana</v>
      </c>
      <c r="M665" s="51" t="str">
        <f>IFERROR(VLOOKUP(E665,'cheques a conf'!A:D,4,FALSE),"no clearing")</f>
        <v>no clearing</v>
      </c>
      <c r="N665" s="51">
        <f t="shared" si="387"/>
        <v>27</v>
      </c>
      <c r="O665" s="53">
        <f t="shared" si="388"/>
        <v>7</v>
      </c>
      <c r="P665" s="53">
        <f t="shared" si="389"/>
        <v>2025</v>
      </c>
    </row>
    <row r="666" spans="1:16" customFormat="1" x14ac:dyDescent="0.25">
      <c r="A666">
        <v>3000003528</v>
      </c>
      <c r="B666" s="22">
        <v>45839</v>
      </c>
      <c r="C666" s="4">
        <v>8430989.8900000006</v>
      </c>
      <c r="D666" t="s">
        <v>653</v>
      </c>
      <c r="E666">
        <v>1500</v>
      </c>
      <c r="F666" s="4">
        <v>8430989.8900000006</v>
      </c>
      <c r="G666" s="3">
        <v>45842</v>
      </c>
      <c r="H666" t="s">
        <v>32</v>
      </c>
      <c r="I666" s="51" t="str">
        <f>IFERROR(IF(VLOOKUP(E666,extracto!C:C,1,FALSE)=E666,"pagado","no pagado"),"no pagado")</f>
        <v>pagado</v>
      </c>
      <c r="J666" s="52" t="str">
        <f t="shared" si="384"/>
        <v>pagado</v>
      </c>
      <c r="K666" s="51" t="str">
        <f t="shared" ca="1" si="385"/>
        <v>excluir</v>
      </c>
      <c r="L666" s="51" t="str">
        <f t="shared" ca="1" si="386"/>
        <v>no semana</v>
      </c>
      <c r="M666" s="51" t="str">
        <f>IFERROR(VLOOKUP(E666,'cheques a conf'!A:D,4,FALSE),"no clearing")</f>
        <v>no clearing</v>
      </c>
      <c r="N666" s="51">
        <f t="shared" si="387"/>
        <v>27</v>
      </c>
      <c r="O666" s="53">
        <f t="shared" si="388"/>
        <v>7</v>
      </c>
      <c r="P666" s="53">
        <f t="shared" si="389"/>
        <v>2025</v>
      </c>
    </row>
    <row r="667" spans="1:16" customFormat="1" x14ac:dyDescent="0.25">
      <c r="A667">
        <v>3000003529</v>
      </c>
      <c r="B667" s="22">
        <v>45839</v>
      </c>
      <c r="C667" s="4">
        <v>6622806.2800000003</v>
      </c>
      <c r="D667" t="s">
        <v>676</v>
      </c>
      <c r="E667">
        <v>1501</v>
      </c>
      <c r="F667" s="4">
        <v>6622806.2800000003</v>
      </c>
      <c r="G667" s="3">
        <v>45841</v>
      </c>
      <c r="H667" t="s">
        <v>32</v>
      </c>
      <c r="I667" s="51" t="str">
        <f>IFERROR(IF(VLOOKUP(E667,extracto!C:C,1,FALSE)=E667,"pagado","no pagado"),"no pagado")</f>
        <v>pagado</v>
      </c>
      <c r="J667" s="52" t="str">
        <f t="shared" si="384"/>
        <v>pagado</v>
      </c>
      <c r="K667" s="51" t="str">
        <f t="shared" ca="1" si="385"/>
        <v>excluir</v>
      </c>
      <c r="L667" s="51" t="str">
        <f t="shared" ca="1" si="386"/>
        <v>no semana</v>
      </c>
      <c r="M667" s="51" t="str">
        <f>IFERROR(VLOOKUP(E667,'cheques a conf'!A:D,4,FALSE),"no clearing")</f>
        <v>no clearing</v>
      </c>
      <c r="N667" s="51">
        <f t="shared" si="387"/>
        <v>27</v>
      </c>
      <c r="O667" s="53">
        <f t="shared" si="388"/>
        <v>7</v>
      </c>
      <c r="P667" s="53">
        <f t="shared" si="389"/>
        <v>2025</v>
      </c>
    </row>
    <row r="668" spans="1:16" customFormat="1" x14ac:dyDescent="0.25">
      <c r="A668">
        <v>3000003530</v>
      </c>
      <c r="B668" s="22">
        <v>45840</v>
      </c>
      <c r="C668" s="4">
        <v>9020002.0299999993</v>
      </c>
      <c r="D668" t="s">
        <v>718</v>
      </c>
      <c r="E668">
        <v>1502</v>
      </c>
      <c r="F668" s="4">
        <v>9020002.0299999993</v>
      </c>
      <c r="G668" s="3">
        <v>45842</v>
      </c>
      <c r="H668" t="s">
        <v>32</v>
      </c>
      <c r="I668" s="51" t="str">
        <f>IFERROR(IF(VLOOKUP(E668,extracto!C:C,1,FALSE)=E668,"pagado","no pagado"),"no pagado")</f>
        <v>pagado</v>
      </c>
      <c r="J668" s="52" t="str">
        <f t="shared" ref="J668:J669" si="390">IF(I668="pagado","pagado",IF(G668&lt;$V$1-30,"fuera de fecha","en periodo de pago"))</f>
        <v>pagado</v>
      </c>
      <c r="K668" s="51" t="str">
        <f t="shared" ref="K668:K669" ca="1" si="391">+IF(B668&gt;$V$1,"excluir",IF(J668="en periodo de pago",IF($V$1&gt;G668,"a pagar","proximo a vencer"),"excluir"))</f>
        <v>excluir</v>
      </c>
      <c r="L668" s="51" t="str">
        <f t="shared" ref="L668:L669" ca="1" si="392">+IF(K668="proximo a vencer",IF($V$1+5&gt;G668,"para la semana","no semana"),"no semana")</f>
        <v>no semana</v>
      </c>
      <c r="M668" s="51" t="str">
        <f>IFERROR(VLOOKUP(E668,'cheques a conf'!A:D,4,FALSE),"no clearing")</f>
        <v>no clearing</v>
      </c>
      <c r="N668" s="51">
        <f t="shared" ref="N668:N669" si="393">+WEEKNUM(G668,2)</f>
        <v>27</v>
      </c>
      <c r="O668" s="53">
        <f t="shared" ref="O668:O669" si="394">+MONTH(G668)</f>
        <v>7</v>
      </c>
      <c r="P668" s="53">
        <f t="shared" ref="P668:P669" si="395">+YEAR(G668)</f>
        <v>2025</v>
      </c>
    </row>
    <row r="669" spans="1:16" customFormat="1" x14ac:dyDescent="0.25">
      <c r="A669">
        <v>3000003531</v>
      </c>
      <c r="B669" s="22">
        <v>45840</v>
      </c>
      <c r="C669" s="4">
        <v>25615103.690000001</v>
      </c>
      <c r="D669" t="s">
        <v>719</v>
      </c>
      <c r="E669">
        <v>1503</v>
      </c>
      <c r="F669" s="4">
        <v>25615103.690000001</v>
      </c>
      <c r="G669" s="3">
        <v>45842</v>
      </c>
      <c r="H669" t="s">
        <v>32</v>
      </c>
      <c r="I669" s="51" t="str">
        <f>IFERROR(IF(VLOOKUP(E669,extracto!C:C,1,FALSE)=E669,"pagado","no pagado"),"no pagado")</f>
        <v>pagado</v>
      </c>
      <c r="J669" s="52" t="str">
        <f t="shared" si="390"/>
        <v>pagado</v>
      </c>
      <c r="K669" s="51" t="str">
        <f t="shared" ca="1" si="391"/>
        <v>excluir</v>
      </c>
      <c r="L669" s="51" t="str">
        <f t="shared" ca="1" si="392"/>
        <v>no semana</v>
      </c>
      <c r="M669" s="51" t="str">
        <f>IFERROR(VLOOKUP(E669,'cheques a conf'!A:D,4,FALSE),"no clearing")</f>
        <v>no clearing</v>
      </c>
      <c r="N669" s="51">
        <f t="shared" si="393"/>
        <v>27</v>
      </c>
      <c r="O669" s="53">
        <f t="shared" si="394"/>
        <v>7</v>
      </c>
      <c r="P669" s="53">
        <f t="shared" si="395"/>
        <v>2025</v>
      </c>
    </row>
    <row r="670" spans="1:16" customFormat="1" x14ac:dyDescent="0.25">
      <c r="A670">
        <v>3000003634</v>
      </c>
      <c r="B670" s="22">
        <v>45841</v>
      </c>
      <c r="C670" s="4">
        <v>5196842.9800000004</v>
      </c>
      <c r="D670" t="s">
        <v>720</v>
      </c>
      <c r="E670">
        <v>1504</v>
      </c>
      <c r="F670" s="4">
        <v>5196842.9800000004</v>
      </c>
      <c r="G670" s="3">
        <v>45846</v>
      </c>
      <c r="H670" t="s">
        <v>32</v>
      </c>
      <c r="I670" s="51" t="str">
        <f>IFERROR(IF(VLOOKUP(E670,extracto!C:C,1,FALSE)=E670,"pagado","no pagado"),"no pagado")</f>
        <v>pagado</v>
      </c>
      <c r="J670" s="52" t="str">
        <f t="shared" ref="J670:J721" si="396">IF(I670="pagado","pagado",IF(G670&lt;$V$1-30,"fuera de fecha","en periodo de pago"))</f>
        <v>pagado</v>
      </c>
      <c r="K670" s="51" t="str">
        <f t="shared" ref="K670:K721" ca="1" si="397">+IF(B670&gt;$V$1,"excluir",IF(J670="en periodo de pago",IF($V$1&gt;G670,"a pagar","proximo a vencer"),"excluir"))</f>
        <v>excluir</v>
      </c>
      <c r="L670" s="51" t="str">
        <f t="shared" ref="L670:L721" ca="1" si="398">+IF(K670="proximo a vencer",IF($V$1+5&gt;G670,"para la semana","no semana"),"no semana")</f>
        <v>no semana</v>
      </c>
      <c r="M670" s="51" t="str">
        <f>IFERROR(VLOOKUP(E670,'cheques a conf'!A:D,4,FALSE),"no clearing")</f>
        <v>no clearing</v>
      </c>
      <c r="N670" s="51">
        <f t="shared" ref="N670:N721" si="399">+WEEKNUM(G670,2)</f>
        <v>28</v>
      </c>
      <c r="O670" s="53">
        <f t="shared" ref="O670:O721" si="400">+MONTH(G670)</f>
        <v>7</v>
      </c>
      <c r="P670" s="53">
        <f t="shared" ref="P670:P721" si="401">+YEAR(G670)</f>
        <v>2025</v>
      </c>
    </row>
    <row r="671" spans="1:16" customFormat="1" x14ac:dyDescent="0.25">
      <c r="A671">
        <v>3000003634</v>
      </c>
      <c r="B671" s="22">
        <v>45841</v>
      </c>
      <c r="C671" s="4">
        <v>46811.51</v>
      </c>
      <c r="D671" t="s">
        <v>720</v>
      </c>
      <c r="E671">
        <v>1505</v>
      </c>
      <c r="F671" s="4">
        <v>46811.51</v>
      </c>
      <c r="G671" s="3">
        <v>45846</v>
      </c>
      <c r="H671" t="s">
        <v>32</v>
      </c>
      <c r="I671" s="51" t="str">
        <f>IFERROR(IF(VLOOKUP(E671,extracto!C:C,1,FALSE)=E671,"pagado","no pagado"),"no pagado")</f>
        <v>pagado</v>
      </c>
      <c r="J671" s="52" t="str">
        <f t="shared" si="396"/>
        <v>pagado</v>
      </c>
      <c r="K671" s="51" t="str">
        <f t="shared" ca="1" si="397"/>
        <v>excluir</v>
      </c>
      <c r="L671" s="51" t="str">
        <f t="shared" ca="1" si="398"/>
        <v>no semana</v>
      </c>
      <c r="M671" s="51" t="str">
        <f>IFERROR(VLOOKUP(E671,'cheques a conf'!A:D,4,FALSE),"no clearing")</f>
        <v>no clearing</v>
      </c>
      <c r="N671" s="51">
        <f t="shared" si="399"/>
        <v>28</v>
      </c>
      <c r="O671" s="53">
        <f t="shared" si="400"/>
        <v>7</v>
      </c>
      <c r="P671" s="53">
        <f t="shared" si="401"/>
        <v>2025</v>
      </c>
    </row>
    <row r="672" spans="1:16" customFormat="1" x14ac:dyDescent="0.25">
      <c r="A672">
        <v>3000003634</v>
      </c>
      <c r="B672" s="22">
        <v>45841</v>
      </c>
      <c r="C672" s="4">
        <v>2758609.5</v>
      </c>
      <c r="D672" t="s">
        <v>720</v>
      </c>
      <c r="E672">
        <v>1506</v>
      </c>
      <c r="F672" s="4">
        <v>2758609.5</v>
      </c>
      <c r="G672" s="3">
        <v>45846</v>
      </c>
      <c r="H672" t="s">
        <v>32</v>
      </c>
      <c r="I672" s="51" t="str">
        <f>IFERROR(IF(VLOOKUP(E672,extracto!C:C,1,FALSE)=E672,"pagado","no pagado"),"no pagado")</f>
        <v>pagado</v>
      </c>
      <c r="J672" s="52" t="str">
        <f t="shared" si="396"/>
        <v>pagado</v>
      </c>
      <c r="K672" s="51" t="str">
        <f t="shared" ca="1" si="397"/>
        <v>excluir</v>
      </c>
      <c r="L672" s="51" t="str">
        <f t="shared" ca="1" si="398"/>
        <v>no semana</v>
      </c>
      <c r="M672" s="51" t="str">
        <f>IFERROR(VLOOKUP(E672,'cheques a conf'!A:D,4,FALSE),"no clearing")</f>
        <v>no clearing</v>
      </c>
      <c r="N672" s="51">
        <f t="shared" si="399"/>
        <v>28</v>
      </c>
      <c r="O672" s="53">
        <f t="shared" si="400"/>
        <v>7</v>
      </c>
      <c r="P672" s="53">
        <f t="shared" si="401"/>
        <v>2025</v>
      </c>
    </row>
    <row r="673" spans="1:16" customFormat="1" x14ac:dyDescent="0.25">
      <c r="A673">
        <v>3000003634</v>
      </c>
      <c r="B673" s="22">
        <v>45841</v>
      </c>
      <c r="C673" s="4">
        <v>2758609.5</v>
      </c>
      <c r="D673" t="s">
        <v>720</v>
      </c>
      <c r="E673">
        <v>1507</v>
      </c>
      <c r="F673" s="4">
        <v>2758609.5</v>
      </c>
      <c r="G673" s="3">
        <v>45846</v>
      </c>
      <c r="H673" t="s">
        <v>32</v>
      </c>
      <c r="I673" s="51" t="str">
        <f>IFERROR(IF(VLOOKUP(E673,extracto!C:C,1,FALSE)=E673,"pagado","no pagado"),"no pagado")</f>
        <v>pagado</v>
      </c>
      <c r="J673" s="52" t="str">
        <f t="shared" si="396"/>
        <v>pagado</v>
      </c>
      <c r="K673" s="51" t="str">
        <f t="shared" ca="1" si="397"/>
        <v>excluir</v>
      </c>
      <c r="L673" s="51" t="str">
        <f t="shared" ca="1" si="398"/>
        <v>no semana</v>
      </c>
      <c r="M673" s="51" t="str">
        <f>IFERROR(VLOOKUP(E673,'cheques a conf'!A:D,4,FALSE),"no clearing")</f>
        <v>no clearing</v>
      </c>
      <c r="N673" s="51">
        <f t="shared" si="399"/>
        <v>28</v>
      </c>
      <c r="O673" s="53">
        <f t="shared" si="400"/>
        <v>7</v>
      </c>
      <c r="P673" s="53">
        <f t="shared" si="401"/>
        <v>2025</v>
      </c>
    </row>
    <row r="674" spans="1:16" customFormat="1" x14ac:dyDescent="0.25">
      <c r="A674">
        <v>3000003634</v>
      </c>
      <c r="B674" s="22">
        <v>45841</v>
      </c>
      <c r="C674" s="4">
        <v>38049786.170000002</v>
      </c>
      <c r="D674" t="s">
        <v>720</v>
      </c>
      <c r="E674">
        <v>1508</v>
      </c>
      <c r="F674" s="4">
        <v>38049786.170000002</v>
      </c>
      <c r="G674" s="3">
        <v>45846</v>
      </c>
      <c r="H674" t="s">
        <v>32</v>
      </c>
      <c r="I674" s="51" t="str">
        <f>IFERROR(IF(VLOOKUP(E674,extracto!C:C,1,FALSE)=E674,"pagado","no pagado"),"no pagado")</f>
        <v>pagado</v>
      </c>
      <c r="J674" s="52" t="str">
        <f t="shared" si="396"/>
        <v>pagado</v>
      </c>
      <c r="K674" s="51" t="str">
        <f t="shared" ca="1" si="397"/>
        <v>excluir</v>
      </c>
      <c r="L674" s="51" t="str">
        <f t="shared" ca="1" si="398"/>
        <v>no semana</v>
      </c>
      <c r="M674" s="51" t="str">
        <f>IFERROR(VLOOKUP(E674,'cheques a conf'!A:D,4,FALSE),"no clearing")</f>
        <v>no clearing</v>
      </c>
      <c r="N674" s="51">
        <f t="shared" si="399"/>
        <v>28</v>
      </c>
      <c r="O674" s="53">
        <f t="shared" si="400"/>
        <v>7</v>
      </c>
      <c r="P674" s="53">
        <f t="shared" si="401"/>
        <v>2025</v>
      </c>
    </row>
    <row r="675" spans="1:16" customFormat="1" x14ac:dyDescent="0.25">
      <c r="A675">
        <v>3000003635</v>
      </c>
      <c r="B675" s="22">
        <v>45841</v>
      </c>
      <c r="C675" s="4">
        <v>6829004.1900000004</v>
      </c>
      <c r="D675" t="s">
        <v>721</v>
      </c>
      <c r="E675">
        <v>1509</v>
      </c>
      <c r="F675" s="4">
        <v>6829004.1900000004</v>
      </c>
      <c r="G675" s="3">
        <v>45846</v>
      </c>
      <c r="H675" t="s">
        <v>32</v>
      </c>
      <c r="I675" s="51" t="str">
        <f>IFERROR(IF(VLOOKUP(E675,extracto!C:C,1,FALSE)=E675,"pagado","no pagado"),"no pagado")</f>
        <v>pagado</v>
      </c>
      <c r="J675" s="52" t="str">
        <f t="shared" si="396"/>
        <v>pagado</v>
      </c>
      <c r="K675" s="51" t="str">
        <f t="shared" ca="1" si="397"/>
        <v>excluir</v>
      </c>
      <c r="L675" s="51" t="str">
        <f t="shared" ca="1" si="398"/>
        <v>no semana</v>
      </c>
      <c r="M675" s="51" t="str">
        <f>IFERROR(VLOOKUP(E675,'cheques a conf'!A:D,4,FALSE),"no clearing")</f>
        <v>no clearing</v>
      </c>
      <c r="N675" s="51">
        <f t="shared" si="399"/>
        <v>28</v>
      </c>
      <c r="O675" s="53">
        <f t="shared" si="400"/>
        <v>7</v>
      </c>
      <c r="P675" s="53">
        <f t="shared" si="401"/>
        <v>2025</v>
      </c>
    </row>
    <row r="676" spans="1:16" customFormat="1" x14ac:dyDescent="0.25">
      <c r="A676">
        <v>3000003635</v>
      </c>
      <c r="B676" s="22">
        <v>45841</v>
      </c>
      <c r="C676" s="4">
        <v>61513.5</v>
      </c>
      <c r="D676" t="s">
        <v>721</v>
      </c>
      <c r="E676">
        <v>1510</v>
      </c>
      <c r="F676" s="4">
        <v>61513.5</v>
      </c>
      <c r="G676" s="3">
        <v>45846</v>
      </c>
      <c r="H676" t="s">
        <v>32</v>
      </c>
      <c r="I676" s="51" t="str">
        <f>IFERROR(IF(VLOOKUP(E676,extracto!C:C,1,FALSE)=E676,"pagado","no pagado"),"no pagado")</f>
        <v>pagado</v>
      </c>
      <c r="J676" s="52" t="str">
        <f t="shared" si="396"/>
        <v>pagado</v>
      </c>
      <c r="K676" s="51" t="str">
        <f t="shared" ca="1" si="397"/>
        <v>excluir</v>
      </c>
      <c r="L676" s="51" t="str">
        <f t="shared" ca="1" si="398"/>
        <v>no semana</v>
      </c>
      <c r="M676" s="51" t="str">
        <f>IFERROR(VLOOKUP(E676,'cheques a conf'!A:D,4,FALSE),"no clearing")</f>
        <v>no clearing</v>
      </c>
      <c r="N676" s="51">
        <f t="shared" si="399"/>
        <v>28</v>
      </c>
      <c r="O676" s="53">
        <f t="shared" si="400"/>
        <v>7</v>
      </c>
      <c r="P676" s="53">
        <f t="shared" si="401"/>
        <v>2025</v>
      </c>
    </row>
    <row r="677" spans="1:16" customFormat="1" x14ac:dyDescent="0.25">
      <c r="A677">
        <v>3000003635</v>
      </c>
      <c r="B677" s="22">
        <v>45841</v>
      </c>
      <c r="C677" s="4">
        <v>3625000</v>
      </c>
      <c r="D677" t="s">
        <v>721</v>
      </c>
      <c r="E677">
        <v>1511</v>
      </c>
      <c r="F677" s="4">
        <v>3625000</v>
      </c>
      <c r="G677" s="3">
        <v>45846</v>
      </c>
      <c r="H677" t="s">
        <v>32</v>
      </c>
      <c r="I677" s="51" t="str">
        <f>IFERROR(IF(VLOOKUP(E677,extracto!C:C,1,FALSE)=E677,"pagado","no pagado"),"no pagado")</f>
        <v>pagado</v>
      </c>
      <c r="J677" s="52" t="str">
        <f t="shared" si="396"/>
        <v>pagado</v>
      </c>
      <c r="K677" s="51" t="str">
        <f t="shared" ca="1" si="397"/>
        <v>excluir</v>
      </c>
      <c r="L677" s="51" t="str">
        <f t="shared" ca="1" si="398"/>
        <v>no semana</v>
      </c>
      <c r="M677" s="51" t="str">
        <f>IFERROR(VLOOKUP(E677,'cheques a conf'!A:D,4,FALSE),"no clearing")</f>
        <v>no clearing</v>
      </c>
      <c r="N677" s="51">
        <f t="shared" si="399"/>
        <v>28</v>
      </c>
      <c r="O677" s="53">
        <f t="shared" si="400"/>
        <v>7</v>
      </c>
      <c r="P677" s="53">
        <f t="shared" si="401"/>
        <v>2025</v>
      </c>
    </row>
    <row r="678" spans="1:16" customFormat="1" x14ac:dyDescent="0.25">
      <c r="A678">
        <v>3000003635</v>
      </c>
      <c r="B678" s="22">
        <v>45841</v>
      </c>
      <c r="C678" s="4">
        <v>3625000</v>
      </c>
      <c r="D678" t="s">
        <v>721</v>
      </c>
      <c r="E678">
        <v>1512</v>
      </c>
      <c r="F678" s="4">
        <v>3625000</v>
      </c>
      <c r="G678" s="3">
        <v>45846</v>
      </c>
      <c r="H678" t="s">
        <v>32</v>
      </c>
      <c r="I678" s="51" t="str">
        <f>IFERROR(IF(VLOOKUP(E678,extracto!C:C,1,FALSE)=E678,"pagado","no pagado"),"no pagado")</f>
        <v>pagado</v>
      </c>
      <c r="J678" s="52" t="str">
        <f t="shared" si="396"/>
        <v>pagado</v>
      </c>
      <c r="K678" s="51" t="str">
        <f t="shared" ca="1" si="397"/>
        <v>excluir</v>
      </c>
      <c r="L678" s="51" t="str">
        <f t="shared" ca="1" si="398"/>
        <v>no semana</v>
      </c>
      <c r="M678" s="51" t="str">
        <f>IFERROR(VLOOKUP(E678,'cheques a conf'!A:D,4,FALSE),"no clearing")</f>
        <v>no clearing</v>
      </c>
      <c r="N678" s="51">
        <f t="shared" si="399"/>
        <v>28</v>
      </c>
      <c r="O678" s="53">
        <f t="shared" si="400"/>
        <v>7</v>
      </c>
      <c r="P678" s="53">
        <f t="shared" si="401"/>
        <v>2025</v>
      </c>
    </row>
    <row r="679" spans="1:16" customFormat="1" x14ac:dyDescent="0.25">
      <c r="A679">
        <v>3000003635</v>
      </c>
      <c r="B679" s="22">
        <v>45841</v>
      </c>
      <c r="C679" s="4">
        <v>50000000</v>
      </c>
      <c r="D679" t="s">
        <v>721</v>
      </c>
      <c r="E679">
        <v>1513</v>
      </c>
      <c r="F679" s="4">
        <v>50000000</v>
      </c>
      <c r="G679" s="3">
        <v>45846</v>
      </c>
      <c r="H679" t="s">
        <v>32</v>
      </c>
      <c r="I679" s="51" t="str">
        <f>IFERROR(IF(VLOOKUP(E679,extracto!C:C,1,FALSE)=E679,"pagado","no pagado"),"no pagado")</f>
        <v>pagado</v>
      </c>
      <c r="J679" s="52" t="str">
        <f t="shared" si="396"/>
        <v>pagado</v>
      </c>
      <c r="K679" s="51" t="str">
        <f t="shared" ca="1" si="397"/>
        <v>excluir</v>
      </c>
      <c r="L679" s="51" t="str">
        <f t="shared" ca="1" si="398"/>
        <v>no semana</v>
      </c>
      <c r="M679" s="51" t="str">
        <f>IFERROR(VLOOKUP(E679,'cheques a conf'!A:D,4,FALSE),"no clearing")</f>
        <v>no clearing</v>
      </c>
      <c r="N679" s="51">
        <f t="shared" si="399"/>
        <v>28</v>
      </c>
      <c r="O679" s="53">
        <f t="shared" si="400"/>
        <v>7</v>
      </c>
      <c r="P679" s="53">
        <f t="shared" si="401"/>
        <v>2025</v>
      </c>
    </row>
    <row r="680" spans="1:16" customFormat="1" x14ac:dyDescent="0.25">
      <c r="A680">
        <v>3000003636</v>
      </c>
      <c r="B680" s="22">
        <v>45841</v>
      </c>
      <c r="C680" s="4">
        <v>1632161.21</v>
      </c>
      <c r="D680" t="s">
        <v>722</v>
      </c>
      <c r="E680">
        <v>1514</v>
      </c>
      <c r="F680" s="4">
        <v>1632161.21</v>
      </c>
      <c r="G680" s="3">
        <v>45846</v>
      </c>
      <c r="H680" t="s">
        <v>32</v>
      </c>
      <c r="I680" s="51" t="str">
        <f>IFERROR(IF(VLOOKUP(E680,extracto!C:C,1,FALSE)=E680,"pagado","no pagado"),"no pagado")</f>
        <v>pagado</v>
      </c>
      <c r="J680" s="52" t="str">
        <f t="shared" si="396"/>
        <v>pagado</v>
      </c>
      <c r="K680" s="51" t="str">
        <f t="shared" ca="1" si="397"/>
        <v>excluir</v>
      </c>
      <c r="L680" s="51" t="str">
        <f t="shared" ca="1" si="398"/>
        <v>no semana</v>
      </c>
      <c r="M680" s="51" t="str">
        <f>IFERROR(VLOOKUP(E680,'cheques a conf'!A:D,4,FALSE),"no clearing")</f>
        <v>no clearing</v>
      </c>
      <c r="N680" s="51">
        <f t="shared" si="399"/>
        <v>28</v>
      </c>
      <c r="O680" s="53">
        <f t="shared" si="400"/>
        <v>7</v>
      </c>
      <c r="P680" s="53">
        <f t="shared" si="401"/>
        <v>2025</v>
      </c>
    </row>
    <row r="681" spans="1:16" customFormat="1" x14ac:dyDescent="0.25">
      <c r="A681">
        <v>3000003636</v>
      </c>
      <c r="B681" s="22">
        <v>45841</v>
      </c>
      <c r="C681" s="4">
        <v>14701.99</v>
      </c>
      <c r="D681" t="s">
        <v>722</v>
      </c>
      <c r="E681">
        <v>1515</v>
      </c>
      <c r="F681" s="4">
        <v>14701.99</v>
      </c>
      <c r="G681" s="3">
        <v>45846</v>
      </c>
      <c r="H681" t="s">
        <v>32</v>
      </c>
      <c r="I681" s="51" t="str">
        <f>IFERROR(IF(VLOOKUP(E681,extracto!C:C,1,FALSE)=E681,"pagado","no pagado"),"no pagado")</f>
        <v>pagado</v>
      </c>
      <c r="J681" s="52" t="str">
        <f t="shared" si="396"/>
        <v>pagado</v>
      </c>
      <c r="K681" s="51" t="str">
        <f t="shared" ca="1" si="397"/>
        <v>excluir</v>
      </c>
      <c r="L681" s="51" t="str">
        <f t="shared" ca="1" si="398"/>
        <v>no semana</v>
      </c>
      <c r="M681" s="51" t="str">
        <f>IFERROR(VLOOKUP(E681,'cheques a conf'!A:D,4,FALSE),"no clearing")</f>
        <v>no clearing</v>
      </c>
      <c r="N681" s="51">
        <f t="shared" si="399"/>
        <v>28</v>
      </c>
      <c r="O681" s="53">
        <f t="shared" si="400"/>
        <v>7</v>
      </c>
      <c r="P681" s="53">
        <f t="shared" si="401"/>
        <v>2025</v>
      </c>
    </row>
    <row r="682" spans="1:16" customFormat="1" x14ac:dyDescent="0.25">
      <c r="A682">
        <v>3000003636</v>
      </c>
      <c r="B682" s="22">
        <v>45841</v>
      </c>
      <c r="C682" s="4">
        <v>866390.5</v>
      </c>
      <c r="D682" t="s">
        <v>722</v>
      </c>
      <c r="E682">
        <v>1516</v>
      </c>
      <c r="F682" s="4">
        <v>866390.5</v>
      </c>
      <c r="G682" s="3">
        <v>45846</v>
      </c>
      <c r="H682" t="s">
        <v>32</v>
      </c>
      <c r="I682" s="51" t="str">
        <f>IFERROR(IF(VLOOKUP(E682,extracto!C:C,1,FALSE)=E682,"pagado","no pagado"),"no pagado")</f>
        <v>pagado</v>
      </c>
      <c r="J682" s="52" t="str">
        <f t="shared" si="396"/>
        <v>pagado</v>
      </c>
      <c r="K682" s="51" t="str">
        <f t="shared" ca="1" si="397"/>
        <v>excluir</v>
      </c>
      <c r="L682" s="51" t="str">
        <f t="shared" ca="1" si="398"/>
        <v>no semana</v>
      </c>
      <c r="M682" s="51" t="str">
        <f>IFERROR(VLOOKUP(E682,'cheques a conf'!A:D,4,FALSE),"no clearing")</f>
        <v>no clearing</v>
      </c>
      <c r="N682" s="51">
        <f t="shared" si="399"/>
        <v>28</v>
      </c>
      <c r="O682" s="53">
        <f t="shared" si="400"/>
        <v>7</v>
      </c>
      <c r="P682" s="53">
        <f t="shared" si="401"/>
        <v>2025</v>
      </c>
    </row>
    <row r="683" spans="1:16" customFormat="1" x14ac:dyDescent="0.25">
      <c r="A683">
        <v>3000003636</v>
      </c>
      <c r="B683" s="22">
        <v>45841</v>
      </c>
      <c r="C683" s="4">
        <v>866390.5</v>
      </c>
      <c r="D683" t="s">
        <v>722</v>
      </c>
      <c r="E683">
        <v>1517</v>
      </c>
      <c r="F683" s="4">
        <v>866390.5</v>
      </c>
      <c r="G683" s="3">
        <v>45846</v>
      </c>
      <c r="H683" t="s">
        <v>32</v>
      </c>
      <c r="I683" s="51" t="str">
        <f>IFERROR(IF(VLOOKUP(E683,extracto!C:C,1,FALSE)=E683,"pagado","no pagado"),"no pagado")</f>
        <v>pagado</v>
      </c>
      <c r="J683" s="52" t="str">
        <f t="shared" si="396"/>
        <v>pagado</v>
      </c>
      <c r="K683" s="51" t="str">
        <f t="shared" ca="1" si="397"/>
        <v>excluir</v>
      </c>
      <c r="L683" s="51" t="str">
        <f t="shared" ca="1" si="398"/>
        <v>no semana</v>
      </c>
      <c r="M683" s="51" t="str">
        <f>IFERROR(VLOOKUP(E683,'cheques a conf'!A:D,4,FALSE),"no clearing")</f>
        <v>no clearing</v>
      </c>
      <c r="N683" s="51">
        <f t="shared" si="399"/>
        <v>28</v>
      </c>
      <c r="O683" s="53">
        <f t="shared" si="400"/>
        <v>7</v>
      </c>
      <c r="P683" s="53">
        <f t="shared" si="401"/>
        <v>2025</v>
      </c>
    </row>
    <row r="684" spans="1:16" customFormat="1" x14ac:dyDescent="0.25">
      <c r="A684">
        <v>3000003636</v>
      </c>
      <c r="B684" s="22">
        <v>45841</v>
      </c>
      <c r="C684" s="4">
        <v>11950213.83</v>
      </c>
      <c r="D684" t="s">
        <v>722</v>
      </c>
      <c r="E684">
        <v>1518</v>
      </c>
      <c r="F684" s="4">
        <v>11950213.83</v>
      </c>
      <c r="G684" s="3">
        <v>45846</v>
      </c>
      <c r="H684" t="s">
        <v>32</v>
      </c>
      <c r="I684" s="51" t="str">
        <f>IFERROR(IF(VLOOKUP(E684,extracto!C:C,1,FALSE)=E684,"pagado","no pagado"),"no pagado")</f>
        <v>pagado</v>
      </c>
      <c r="J684" s="52" t="str">
        <f t="shared" si="396"/>
        <v>pagado</v>
      </c>
      <c r="K684" s="51" t="str">
        <f t="shared" ca="1" si="397"/>
        <v>excluir</v>
      </c>
      <c r="L684" s="51" t="str">
        <f t="shared" ca="1" si="398"/>
        <v>no semana</v>
      </c>
      <c r="M684" s="51" t="str">
        <f>IFERROR(VLOOKUP(E684,'cheques a conf'!A:D,4,FALSE),"no clearing")</f>
        <v>no clearing</v>
      </c>
      <c r="N684" s="51">
        <f t="shared" si="399"/>
        <v>28</v>
      </c>
      <c r="O684" s="53">
        <f t="shared" si="400"/>
        <v>7</v>
      </c>
      <c r="P684" s="53">
        <f t="shared" si="401"/>
        <v>2025</v>
      </c>
    </row>
    <row r="685" spans="1:16" customFormat="1" x14ac:dyDescent="0.25">
      <c r="A685">
        <v>3000003637</v>
      </c>
      <c r="B685" s="22">
        <v>45841</v>
      </c>
      <c r="C685" s="4">
        <v>45802777.619999997</v>
      </c>
      <c r="D685" t="s">
        <v>720</v>
      </c>
      <c r="E685">
        <v>1519</v>
      </c>
      <c r="F685" s="4">
        <v>45802777.619999997</v>
      </c>
      <c r="G685" s="3">
        <v>45846</v>
      </c>
      <c r="H685" t="s">
        <v>32</v>
      </c>
      <c r="I685" s="51" t="str">
        <f>IFERROR(IF(VLOOKUP(E685,extracto!C:C,1,FALSE)=E685,"pagado","no pagado"),"no pagado")</f>
        <v>pagado</v>
      </c>
      <c r="J685" s="52" t="str">
        <f t="shared" si="396"/>
        <v>pagado</v>
      </c>
      <c r="K685" s="51" t="str">
        <f t="shared" ca="1" si="397"/>
        <v>excluir</v>
      </c>
      <c r="L685" s="51" t="str">
        <f t="shared" ca="1" si="398"/>
        <v>no semana</v>
      </c>
      <c r="M685" s="51" t="str">
        <f>IFERROR(VLOOKUP(E685,'cheques a conf'!A:D,4,FALSE),"no clearing")</f>
        <v>no clearing</v>
      </c>
      <c r="N685" s="51">
        <f t="shared" si="399"/>
        <v>28</v>
      </c>
      <c r="O685" s="53">
        <f t="shared" si="400"/>
        <v>7</v>
      </c>
      <c r="P685" s="53">
        <f t="shared" si="401"/>
        <v>2025</v>
      </c>
    </row>
    <row r="686" spans="1:16" customFormat="1" x14ac:dyDescent="0.25">
      <c r="A686">
        <v>3000003637</v>
      </c>
      <c r="B686" s="22">
        <v>45841</v>
      </c>
      <c r="C686" s="4">
        <v>518336.5</v>
      </c>
      <c r="D686" t="s">
        <v>720</v>
      </c>
      <c r="E686">
        <v>1520</v>
      </c>
      <c r="F686" s="4">
        <v>518336.5</v>
      </c>
      <c r="G686" s="3">
        <v>45846</v>
      </c>
      <c r="H686" t="s">
        <v>32</v>
      </c>
      <c r="I686" s="51" t="str">
        <f>IFERROR(IF(VLOOKUP(E686,extracto!C:C,1,FALSE)=E686,"pagado","no pagado"),"no pagado")</f>
        <v>pagado</v>
      </c>
      <c r="J686" s="52" t="str">
        <f t="shared" si="396"/>
        <v>pagado</v>
      </c>
      <c r="K686" s="51" t="str">
        <f t="shared" ca="1" si="397"/>
        <v>excluir</v>
      </c>
      <c r="L686" s="51" t="str">
        <f t="shared" ca="1" si="398"/>
        <v>no semana</v>
      </c>
      <c r="M686" s="51" t="str">
        <f>IFERROR(VLOOKUP(E686,'cheques a conf'!A:D,4,FALSE),"no clearing")</f>
        <v>no clearing</v>
      </c>
      <c r="N686" s="51">
        <f t="shared" si="399"/>
        <v>28</v>
      </c>
      <c r="O686" s="53">
        <f t="shared" si="400"/>
        <v>7</v>
      </c>
      <c r="P686" s="53">
        <f t="shared" si="401"/>
        <v>2025</v>
      </c>
    </row>
    <row r="687" spans="1:16" customFormat="1" x14ac:dyDescent="0.25">
      <c r="A687">
        <v>3000003637</v>
      </c>
      <c r="B687" s="22">
        <v>45841</v>
      </c>
      <c r="C687" s="4">
        <v>32627008.489999998</v>
      </c>
      <c r="D687" t="s">
        <v>720</v>
      </c>
      <c r="E687">
        <v>1521</v>
      </c>
      <c r="F687" s="4">
        <v>32627008.489999998</v>
      </c>
      <c r="G687" s="3">
        <v>45846</v>
      </c>
      <c r="H687" t="s">
        <v>32</v>
      </c>
      <c r="I687" s="51" t="str">
        <f>IFERROR(IF(VLOOKUP(E687,extracto!C:C,1,FALSE)=E687,"pagado","no pagado"),"no pagado")</f>
        <v>pagado</v>
      </c>
      <c r="J687" s="52" t="str">
        <f t="shared" si="396"/>
        <v>pagado</v>
      </c>
      <c r="K687" s="51" t="str">
        <f t="shared" ca="1" si="397"/>
        <v>excluir</v>
      </c>
      <c r="L687" s="51" t="str">
        <f t="shared" ca="1" si="398"/>
        <v>no semana</v>
      </c>
      <c r="M687" s="51" t="str">
        <f>IFERROR(VLOOKUP(E687,'cheques a conf'!A:D,4,FALSE),"no clearing")</f>
        <v>no clearing</v>
      </c>
      <c r="N687" s="51">
        <f t="shared" si="399"/>
        <v>28</v>
      </c>
      <c r="O687" s="53">
        <f t="shared" si="400"/>
        <v>7</v>
      </c>
      <c r="P687" s="53">
        <f t="shared" si="401"/>
        <v>2025</v>
      </c>
    </row>
    <row r="688" spans="1:16" customFormat="1" x14ac:dyDescent="0.25">
      <c r="A688">
        <v>3000003637</v>
      </c>
      <c r="B688" s="22">
        <v>45841</v>
      </c>
      <c r="C688" s="4">
        <v>29915816.530000001</v>
      </c>
      <c r="D688" t="s">
        <v>720</v>
      </c>
      <c r="E688">
        <v>1522</v>
      </c>
      <c r="F688" s="4">
        <v>29915816.530000001</v>
      </c>
      <c r="G688" s="3">
        <v>45846</v>
      </c>
      <c r="H688" t="s">
        <v>32</v>
      </c>
      <c r="I688" s="51" t="str">
        <f>IFERROR(IF(VLOOKUP(E688,extracto!C:C,1,FALSE)=E688,"pagado","no pagado"),"no pagado")</f>
        <v>pagado</v>
      </c>
      <c r="J688" s="52" t="str">
        <f t="shared" si="396"/>
        <v>pagado</v>
      </c>
      <c r="K688" s="51" t="str">
        <f t="shared" ca="1" si="397"/>
        <v>excluir</v>
      </c>
      <c r="L688" s="51" t="str">
        <f t="shared" ca="1" si="398"/>
        <v>no semana</v>
      </c>
      <c r="M688" s="51" t="str">
        <f>IFERROR(VLOOKUP(E688,'cheques a conf'!A:D,4,FALSE),"no clearing")</f>
        <v>no clearing</v>
      </c>
      <c r="N688" s="51">
        <f t="shared" si="399"/>
        <v>28</v>
      </c>
      <c r="O688" s="53">
        <f t="shared" si="400"/>
        <v>7</v>
      </c>
      <c r="P688" s="53">
        <f t="shared" si="401"/>
        <v>2025</v>
      </c>
    </row>
    <row r="689" spans="1:16" customFormat="1" x14ac:dyDescent="0.25">
      <c r="A689">
        <v>3000003637</v>
      </c>
      <c r="B689" s="22">
        <v>45841</v>
      </c>
      <c r="C689" s="4">
        <v>29915816.52</v>
      </c>
      <c r="D689" t="s">
        <v>720</v>
      </c>
      <c r="E689">
        <v>1523</v>
      </c>
      <c r="F689" s="4">
        <v>29915816.52</v>
      </c>
      <c r="G689" s="3">
        <v>45846</v>
      </c>
      <c r="H689" t="s">
        <v>32</v>
      </c>
      <c r="I689" s="51" t="str">
        <f>IFERROR(IF(VLOOKUP(E689,extracto!C:C,1,FALSE)=E689,"pagado","no pagado"),"no pagado")</f>
        <v>pagado</v>
      </c>
      <c r="J689" s="52" t="str">
        <f t="shared" si="396"/>
        <v>pagado</v>
      </c>
      <c r="K689" s="51" t="str">
        <f t="shared" ca="1" si="397"/>
        <v>excluir</v>
      </c>
      <c r="L689" s="51" t="str">
        <f t="shared" ca="1" si="398"/>
        <v>no semana</v>
      </c>
      <c r="M689" s="51" t="str">
        <f>IFERROR(VLOOKUP(E689,'cheques a conf'!A:D,4,FALSE),"no clearing")</f>
        <v>no clearing</v>
      </c>
      <c r="N689" s="51">
        <f t="shared" si="399"/>
        <v>28</v>
      </c>
      <c r="O689" s="53">
        <f t="shared" si="400"/>
        <v>7</v>
      </c>
      <c r="P689" s="53">
        <f t="shared" si="401"/>
        <v>2025</v>
      </c>
    </row>
    <row r="690" spans="1:16" customFormat="1" x14ac:dyDescent="0.25">
      <c r="A690">
        <v>3000003638</v>
      </c>
      <c r="B690" s="22">
        <v>45841</v>
      </c>
      <c r="C690" s="4">
        <v>681129.32</v>
      </c>
      <c r="D690" t="s">
        <v>721</v>
      </c>
      <c r="E690">
        <v>1524</v>
      </c>
      <c r="F690" s="4">
        <v>681129.32</v>
      </c>
      <c r="G690" s="3">
        <v>45846</v>
      </c>
      <c r="H690" t="s">
        <v>32</v>
      </c>
      <c r="I690" s="51" t="str">
        <f>IFERROR(IF(VLOOKUP(E690,extracto!C:C,1,FALSE)=E690,"pagado","no pagado"),"no pagado")</f>
        <v>pagado</v>
      </c>
      <c r="J690" s="52" t="str">
        <f t="shared" si="396"/>
        <v>pagado</v>
      </c>
      <c r="K690" s="51" t="str">
        <f t="shared" ca="1" si="397"/>
        <v>excluir</v>
      </c>
      <c r="L690" s="51" t="str">
        <f t="shared" ca="1" si="398"/>
        <v>no semana</v>
      </c>
      <c r="M690" s="51" t="str">
        <f>IFERROR(VLOOKUP(E690,'cheques a conf'!A:D,4,FALSE),"no clearing")</f>
        <v>no clearing</v>
      </c>
      <c r="N690" s="51">
        <f t="shared" si="399"/>
        <v>28</v>
      </c>
      <c r="O690" s="53">
        <f t="shared" si="400"/>
        <v>7</v>
      </c>
      <c r="P690" s="53">
        <f t="shared" si="401"/>
        <v>2025</v>
      </c>
    </row>
    <row r="691" spans="1:16" customFormat="1" x14ac:dyDescent="0.25">
      <c r="A691">
        <v>3000003638</v>
      </c>
      <c r="B691" s="22">
        <v>45841</v>
      </c>
      <c r="C691" s="4">
        <v>42874102.289999999</v>
      </c>
      <c r="D691" t="s">
        <v>721</v>
      </c>
      <c r="E691">
        <v>1525</v>
      </c>
      <c r="F691" s="4">
        <v>42874102.289999999</v>
      </c>
      <c r="G691" s="3">
        <v>45846</v>
      </c>
      <c r="H691" t="s">
        <v>32</v>
      </c>
      <c r="I691" s="51" t="str">
        <f>IFERROR(IF(VLOOKUP(E691,extracto!C:C,1,FALSE)=E691,"pagado","no pagado"),"no pagado")</f>
        <v>pagado</v>
      </c>
      <c r="J691" s="52" t="str">
        <f t="shared" si="396"/>
        <v>pagado</v>
      </c>
      <c r="K691" s="51" t="str">
        <f t="shared" ca="1" si="397"/>
        <v>excluir</v>
      </c>
      <c r="L691" s="51" t="str">
        <f t="shared" ca="1" si="398"/>
        <v>no semana</v>
      </c>
      <c r="M691" s="51" t="str">
        <f>IFERROR(VLOOKUP(E691,'cheques a conf'!A:D,4,FALSE),"no clearing")</f>
        <v>no clearing</v>
      </c>
      <c r="N691" s="51">
        <f t="shared" si="399"/>
        <v>28</v>
      </c>
      <c r="O691" s="53">
        <f t="shared" si="400"/>
        <v>7</v>
      </c>
      <c r="P691" s="53">
        <f t="shared" si="401"/>
        <v>2025</v>
      </c>
    </row>
    <row r="692" spans="1:16" customFormat="1" x14ac:dyDescent="0.25">
      <c r="A692">
        <v>3000003638</v>
      </c>
      <c r="B692" s="22">
        <v>45841</v>
      </c>
      <c r="C692" s="4">
        <v>39311412.149999999</v>
      </c>
      <c r="D692" t="s">
        <v>721</v>
      </c>
      <c r="E692">
        <v>1526</v>
      </c>
      <c r="F692" s="4">
        <v>39311412.149999999</v>
      </c>
      <c r="G692" s="3">
        <v>45846</v>
      </c>
      <c r="H692" t="s">
        <v>32</v>
      </c>
      <c r="I692" s="51" t="str">
        <f>IFERROR(IF(VLOOKUP(E692,extracto!C:C,1,FALSE)=E692,"pagado","no pagado"),"no pagado")</f>
        <v>pagado</v>
      </c>
      <c r="J692" s="52" t="str">
        <f t="shared" si="396"/>
        <v>pagado</v>
      </c>
      <c r="K692" s="51" t="str">
        <f t="shared" ca="1" si="397"/>
        <v>excluir</v>
      </c>
      <c r="L692" s="51" t="str">
        <f t="shared" ca="1" si="398"/>
        <v>no semana</v>
      </c>
      <c r="M692" s="51" t="str">
        <f>IFERROR(VLOOKUP(E692,'cheques a conf'!A:D,4,FALSE),"no clearing")</f>
        <v>no clearing</v>
      </c>
      <c r="N692" s="51">
        <f t="shared" si="399"/>
        <v>28</v>
      </c>
      <c r="O692" s="53">
        <f t="shared" si="400"/>
        <v>7</v>
      </c>
      <c r="P692" s="53">
        <f t="shared" si="401"/>
        <v>2025</v>
      </c>
    </row>
    <row r="693" spans="1:16" customFormat="1" x14ac:dyDescent="0.25">
      <c r="A693">
        <v>3000003638</v>
      </c>
      <c r="B693" s="22">
        <v>45841</v>
      </c>
      <c r="C693" s="4">
        <v>39311412.149999999</v>
      </c>
      <c r="D693" t="s">
        <v>721</v>
      </c>
      <c r="E693">
        <v>1527</v>
      </c>
      <c r="F693" s="4">
        <v>39311412.149999999</v>
      </c>
      <c r="G693" s="3">
        <v>45846</v>
      </c>
      <c r="H693" t="s">
        <v>32</v>
      </c>
      <c r="I693" s="51" t="str">
        <f>IFERROR(IF(VLOOKUP(E693,extracto!C:C,1,FALSE)=E693,"pagado","no pagado"),"no pagado")</f>
        <v>pagado</v>
      </c>
      <c r="J693" s="52" t="str">
        <f t="shared" si="396"/>
        <v>pagado</v>
      </c>
      <c r="K693" s="51" t="str">
        <f t="shared" ca="1" si="397"/>
        <v>excluir</v>
      </c>
      <c r="L693" s="51" t="str">
        <f t="shared" ca="1" si="398"/>
        <v>no semana</v>
      </c>
      <c r="M693" s="51" t="str">
        <f>IFERROR(VLOOKUP(E693,'cheques a conf'!A:D,4,FALSE),"no clearing")</f>
        <v>no clearing</v>
      </c>
      <c r="N693" s="51">
        <f t="shared" si="399"/>
        <v>28</v>
      </c>
      <c r="O693" s="53">
        <f t="shared" si="400"/>
        <v>7</v>
      </c>
      <c r="P693" s="53">
        <f t="shared" si="401"/>
        <v>2025</v>
      </c>
    </row>
    <row r="694" spans="1:16" customFormat="1" x14ac:dyDescent="0.25">
      <c r="A694">
        <v>3000003639</v>
      </c>
      <c r="B694" s="22">
        <v>45841</v>
      </c>
      <c r="C694" s="4">
        <v>14385179.029999999</v>
      </c>
      <c r="D694" t="s">
        <v>722</v>
      </c>
      <c r="E694">
        <v>1528</v>
      </c>
      <c r="F694" s="4">
        <v>14385179.029999999</v>
      </c>
      <c r="G694" s="3">
        <v>45846</v>
      </c>
      <c r="H694" t="s">
        <v>32</v>
      </c>
      <c r="I694" s="51" t="str">
        <f>IFERROR(IF(VLOOKUP(E694,extracto!C:C,1,FALSE)=E694,"pagado","no pagado"),"no pagado")</f>
        <v>pagado</v>
      </c>
      <c r="J694" s="52" t="str">
        <f t="shared" si="396"/>
        <v>pagado</v>
      </c>
      <c r="K694" s="51" t="str">
        <f t="shared" ca="1" si="397"/>
        <v>excluir</v>
      </c>
      <c r="L694" s="51" t="str">
        <f t="shared" ca="1" si="398"/>
        <v>no semana</v>
      </c>
      <c r="M694" s="51" t="str">
        <f>IFERROR(VLOOKUP(E694,'cheques a conf'!A:D,4,FALSE),"no clearing")</f>
        <v>no clearing</v>
      </c>
      <c r="N694" s="51">
        <f t="shared" si="399"/>
        <v>28</v>
      </c>
      <c r="O694" s="53">
        <f t="shared" si="400"/>
        <v>7</v>
      </c>
      <c r="P694" s="53">
        <f t="shared" si="401"/>
        <v>2025</v>
      </c>
    </row>
    <row r="695" spans="1:16" customFormat="1" x14ac:dyDescent="0.25">
      <c r="A695">
        <v>3000003639</v>
      </c>
      <c r="B695" s="22">
        <v>45841</v>
      </c>
      <c r="C695" s="4">
        <v>162792.82</v>
      </c>
      <c r="D695" t="s">
        <v>722</v>
      </c>
      <c r="E695">
        <v>1529</v>
      </c>
      <c r="F695" s="4">
        <v>162792.82</v>
      </c>
      <c r="G695" s="3">
        <v>45846</v>
      </c>
      <c r="H695" t="s">
        <v>32</v>
      </c>
      <c r="I695" s="51" t="str">
        <f>IFERROR(IF(VLOOKUP(E695,extracto!C:C,1,FALSE)=E695,"pagado","no pagado"),"no pagado")</f>
        <v>pagado</v>
      </c>
      <c r="J695" s="52" t="str">
        <f t="shared" si="396"/>
        <v>pagado</v>
      </c>
      <c r="K695" s="51" t="str">
        <f t="shared" ca="1" si="397"/>
        <v>excluir</v>
      </c>
      <c r="L695" s="51" t="str">
        <f t="shared" ca="1" si="398"/>
        <v>no semana</v>
      </c>
      <c r="M695" s="51" t="str">
        <f>IFERROR(VLOOKUP(E695,'cheques a conf'!A:D,4,FALSE),"no clearing")</f>
        <v>no clearing</v>
      </c>
      <c r="N695" s="51">
        <f t="shared" si="399"/>
        <v>28</v>
      </c>
      <c r="O695" s="53">
        <f t="shared" si="400"/>
        <v>7</v>
      </c>
      <c r="P695" s="53">
        <f t="shared" si="401"/>
        <v>2025</v>
      </c>
    </row>
    <row r="696" spans="1:16" customFormat="1" x14ac:dyDescent="0.25">
      <c r="A696">
        <v>3000003639</v>
      </c>
      <c r="B696" s="22">
        <v>45841</v>
      </c>
      <c r="C696" s="4">
        <v>10247093.800000001</v>
      </c>
      <c r="D696" t="s">
        <v>722</v>
      </c>
      <c r="E696">
        <v>1530</v>
      </c>
      <c r="F696" s="4">
        <v>10247093.800000001</v>
      </c>
      <c r="G696" s="3">
        <v>45846</v>
      </c>
      <c r="H696" t="s">
        <v>32</v>
      </c>
      <c r="I696" s="51" t="str">
        <f>IFERROR(IF(VLOOKUP(E696,extracto!C:C,1,FALSE)=E696,"pagado","no pagado"),"no pagado")</f>
        <v>pagado</v>
      </c>
      <c r="J696" s="52" t="str">
        <f t="shared" si="396"/>
        <v>pagado</v>
      </c>
      <c r="K696" s="51" t="str">
        <f t="shared" ca="1" si="397"/>
        <v>excluir</v>
      </c>
      <c r="L696" s="51" t="str">
        <f t="shared" ca="1" si="398"/>
        <v>no semana</v>
      </c>
      <c r="M696" s="51" t="str">
        <f>IFERROR(VLOOKUP(E696,'cheques a conf'!A:D,4,FALSE),"no clearing")</f>
        <v>no clearing</v>
      </c>
      <c r="N696" s="51">
        <f t="shared" si="399"/>
        <v>28</v>
      </c>
      <c r="O696" s="53">
        <f t="shared" si="400"/>
        <v>7</v>
      </c>
      <c r="P696" s="53">
        <f t="shared" si="401"/>
        <v>2025</v>
      </c>
    </row>
    <row r="697" spans="1:16" customFormat="1" x14ac:dyDescent="0.25">
      <c r="A697">
        <v>3000003639</v>
      </c>
      <c r="B697" s="22">
        <v>45841</v>
      </c>
      <c r="C697" s="4">
        <v>26913913.91</v>
      </c>
      <c r="D697" t="s">
        <v>722</v>
      </c>
      <c r="E697">
        <v>1531</v>
      </c>
      <c r="F697" s="4">
        <v>26913913.91</v>
      </c>
      <c r="G697" s="3">
        <v>45846</v>
      </c>
      <c r="H697" t="s">
        <v>32</v>
      </c>
      <c r="I697" s="51" t="str">
        <f>IFERROR(IF(VLOOKUP(E697,extracto!C:C,1,FALSE)=E697,"pagado","no pagado"),"no pagado")</f>
        <v>pagado</v>
      </c>
      <c r="J697" s="52" t="str">
        <f t="shared" si="396"/>
        <v>pagado</v>
      </c>
      <c r="K697" s="51" t="str">
        <f t="shared" ca="1" si="397"/>
        <v>excluir</v>
      </c>
      <c r="L697" s="51" t="str">
        <f t="shared" ca="1" si="398"/>
        <v>no semana</v>
      </c>
      <c r="M697" s="51" t="str">
        <f>IFERROR(VLOOKUP(E697,'cheques a conf'!A:D,4,FALSE),"no clearing")</f>
        <v>no clearing</v>
      </c>
      <c r="N697" s="51">
        <f t="shared" si="399"/>
        <v>28</v>
      </c>
      <c r="O697" s="53">
        <f t="shared" si="400"/>
        <v>7</v>
      </c>
      <c r="P697" s="53">
        <f t="shared" si="401"/>
        <v>2025</v>
      </c>
    </row>
    <row r="698" spans="1:16" customFormat="1" x14ac:dyDescent="0.25">
      <c r="A698">
        <v>3000003639</v>
      </c>
      <c r="B698" s="22">
        <v>45841</v>
      </c>
      <c r="C698" s="4">
        <v>9395595.6199999992</v>
      </c>
      <c r="D698" t="s">
        <v>722</v>
      </c>
      <c r="E698">
        <v>1532</v>
      </c>
      <c r="F698" s="4">
        <v>9395595.6199999992</v>
      </c>
      <c r="G698" s="3">
        <v>45846</v>
      </c>
      <c r="H698" t="s">
        <v>32</v>
      </c>
      <c r="I698" s="51" t="str">
        <f>IFERROR(IF(VLOOKUP(E698,extracto!C:C,1,FALSE)=E698,"pagado","no pagado"),"no pagado")</f>
        <v>pagado</v>
      </c>
      <c r="J698" s="52" t="str">
        <f t="shared" si="396"/>
        <v>pagado</v>
      </c>
      <c r="K698" s="51" t="str">
        <f t="shared" ca="1" si="397"/>
        <v>excluir</v>
      </c>
      <c r="L698" s="51" t="str">
        <f t="shared" ca="1" si="398"/>
        <v>no semana</v>
      </c>
      <c r="M698" s="51" t="str">
        <f>IFERROR(VLOOKUP(E698,'cheques a conf'!A:D,4,FALSE),"no clearing")</f>
        <v>no clearing</v>
      </c>
      <c r="N698" s="51">
        <f t="shared" si="399"/>
        <v>28</v>
      </c>
      <c r="O698" s="53">
        <f t="shared" si="400"/>
        <v>7</v>
      </c>
      <c r="P698" s="53">
        <f t="shared" si="401"/>
        <v>2025</v>
      </c>
    </row>
    <row r="699" spans="1:16" customFormat="1" x14ac:dyDescent="0.25">
      <c r="A699">
        <v>3000003639</v>
      </c>
      <c r="B699" s="22">
        <v>45841</v>
      </c>
      <c r="C699" s="4">
        <v>9395595.6199999992</v>
      </c>
      <c r="D699" t="s">
        <v>722</v>
      </c>
      <c r="E699">
        <v>1533</v>
      </c>
      <c r="F699" s="4">
        <v>9395595.6199999992</v>
      </c>
      <c r="G699" s="3">
        <v>45846</v>
      </c>
      <c r="H699" t="s">
        <v>32</v>
      </c>
      <c r="I699" s="51" t="str">
        <f>IFERROR(IF(VLOOKUP(E699,extracto!C:C,1,FALSE)=E699,"pagado","no pagado"),"no pagado")</f>
        <v>pagado</v>
      </c>
      <c r="J699" s="52" t="str">
        <f t="shared" si="396"/>
        <v>pagado</v>
      </c>
      <c r="K699" s="51" t="str">
        <f t="shared" ca="1" si="397"/>
        <v>excluir</v>
      </c>
      <c r="L699" s="51" t="str">
        <f t="shared" ca="1" si="398"/>
        <v>no semana</v>
      </c>
      <c r="M699" s="51" t="str">
        <f>IFERROR(VLOOKUP(E699,'cheques a conf'!A:D,4,FALSE),"no clearing")</f>
        <v>no clearing</v>
      </c>
      <c r="N699" s="51">
        <f t="shared" si="399"/>
        <v>28</v>
      </c>
      <c r="O699" s="53">
        <f t="shared" si="400"/>
        <v>7</v>
      </c>
      <c r="P699" s="53">
        <f t="shared" si="401"/>
        <v>2025</v>
      </c>
    </row>
    <row r="700" spans="1:16" customFormat="1" x14ac:dyDescent="0.25">
      <c r="A700">
        <v>3000003640</v>
      </c>
      <c r="B700" s="22">
        <v>45841</v>
      </c>
      <c r="C700" s="4">
        <v>19613283.219999999</v>
      </c>
      <c r="D700" t="s">
        <v>722</v>
      </c>
      <c r="E700">
        <v>1534</v>
      </c>
      <c r="F700" s="4">
        <v>19613283.219999999</v>
      </c>
      <c r="G700" s="3">
        <v>45846</v>
      </c>
      <c r="H700" t="s">
        <v>32</v>
      </c>
      <c r="I700" s="51" t="str">
        <f>IFERROR(IF(VLOOKUP(E700,extracto!C:C,1,FALSE)=E700,"pagado","no pagado"),"no pagado")</f>
        <v>pagado</v>
      </c>
      <c r="J700" s="52" t="str">
        <f t="shared" si="396"/>
        <v>pagado</v>
      </c>
      <c r="K700" s="51" t="str">
        <f t="shared" ca="1" si="397"/>
        <v>excluir</v>
      </c>
      <c r="L700" s="51" t="str">
        <f t="shared" ca="1" si="398"/>
        <v>no semana</v>
      </c>
      <c r="M700" s="51" t="str">
        <f>IFERROR(VLOOKUP(E700,'cheques a conf'!A:D,4,FALSE),"no clearing")</f>
        <v>no clearing</v>
      </c>
      <c r="N700" s="51">
        <f t="shared" si="399"/>
        <v>28</v>
      </c>
      <c r="O700" s="53">
        <f t="shared" si="400"/>
        <v>7</v>
      </c>
      <c r="P700" s="53">
        <f t="shared" si="401"/>
        <v>2025</v>
      </c>
    </row>
    <row r="701" spans="1:16" customFormat="1" x14ac:dyDescent="0.25">
      <c r="A701">
        <v>3000003625</v>
      </c>
      <c r="B701" s="22">
        <v>45841</v>
      </c>
      <c r="C701" s="4">
        <v>0</v>
      </c>
      <c r="D701" t="s">
        <v>720</v>
      </c>
      <c r="E701">
        <v>40272954</v>
      </c>
      <c r="F701" s="4">
        <v>0</v>
      </c>
      <c r="G701" s="3">
        <v>45840</v>
      </c>
      <c r="H701" t="s">
        <v>79</v>
      </c>
      <c r="I701" s="51" t="str">
        <f>IFERROR(IF(VLOOKUP(E701,extracto!C:C,1,FALSE)=E701,"pagado","no pagado"),"no pagado")</f>
        <v>no pagado</v>
      </c>
      <c r="J701" s="52" t="str">
        <f t="shared" ca="1" si="396"/>
        <v>fuera de fecha</v>
      </c>
      <c r="K701" s="51" t="str">
        <f t="shared" ca="1" si="397"/>
        <v>excluir</v>
      </c>
      <c r="L701" s="51" t="str">
        <f t="shared" ca="1" si="398"/>
        <v>no semana</v>
      </c>
      <c r="M701" s="51" t="str">
        <f>IFERROR(VLOOKUP(E701,'cheques a conf'!A:D,4,FALSE),"no clearing")</f>
        <v>no clearing</v>
      </c>
      <c r="N701" s="51">
        <f t="shared" si="399"/>
        <v>27</v>
      </c>
      <c r="O701" s="53">
        <f t="shared" si="400"/>
        <v>7</v>
      </c>
      <c r="P701" s="53">
        <f t="shared" si="401"/>
        <v>2025</v>
      </c>
    </row>
    <row r="702" spans="1:16" customFormat="1" x14ac:dyDescent="0.25">
      <c r="A702">
        <v>3000003626</v>
      </c>
      <c r="B702" s="22">
        <v>45841</v>
      </c>
      <c r="C702" s="4">
        <v>0</v>
      </c>
      <c r="D702" t="s">
        <v>721</v>
      </c>
      <c r="E702">
        <v>40272955</v>
      </c>
      <c r="F702" s="4">
        <v>0</v>
      </c>
      <c r="G702" s="3">
        <v>45840</v>
      </c>
      <c r="H702" t="s">
        <v>79</v>
      </c>
      <c r="I702" s="51" t="str">
        <f>IFERROR(IF(VLOOKUP(E702,extracto!C:C,1,FALSE)=E702,"pagado","no pagado"),"no pagado")</f>
        <v>no pagado</v>
      </c>
      <c r="J702" s="52" t="str">
        <f t="shared" ca="1" si="396"/>
        <v>fuera de fecha</v>
      </c>
      <c r="K702" s="51" t="str">
        <f t="shared" ca="1" si="397"/>
        <v>excluir</v>
      </c>
      <c r="L702" s="51" t="str">
        <f t="shared" ca="1" si="398"/>
        <v>no semana</v>
      </c>
      <c r="M702" s="51" t="str">
        <f>IFERROR(VLOOKUP(E702,'cheques a conf'!A:D,4,FALSE),"no clearing")</f>
        <v>no clearing</v>
      </c>
      <c r="N702" s="51">
        <f t="shared" si="399"/>
        <v>27</v>
      </c>
      <c r="O702" s="53">
        <f t="shared" si="400"/>
        <v>7</v>
      </c>
      <c r="P702" s="53">
        <f t="shared" si="401"/>
        <v>2025</v>
      </c>
    </row>
    <row r="703" spans="1:16" customFormat="1" x14ac:dyDescent="0.25">
      <c r="A703">
        <v>3000003627</v>
      </c>
      <c r="B703" s="22">
        <v>45841</v>
      </c>
      <c r="C703" s="4">
        <v>0</v>
      </c>
      <c r="D703" t="s">
        <v>722</v>
      </c>
      <c r="E703">
        <v>40272956</v>
      </c>
      <c r="F703" s="4">
        <v>0</v>
      </c>
      <c r="G703" s="3">
        <v>45840</v>
      </c>
      <c r="H703" t="s">
        <v>79</v>
      </c>
      <c r="I703" s="51" t="str">
        <f>IFERROR(IF(VLOOKUP(E703,extracto!C:C,1,FALSE)=E703,"pagado","no pagado"),"no pagado")</f>
        <v>no pagado</v>
      </c>
      <c r="J703" s="52" t="str">
        <f t="shared" ca="1" si="396"/>
        <v>fuera de fecha</v>
      </c>
      <c r="K703" s="51" t="str">
        <f t="shared" ca="1" si="397"/>
        <v>excluir</v>
      </c>
      <c r="L703" s="51" t="str">
        <f t="shared" ca="1" si="398"/>
        <v>no semana</v>
      </c>
      <c r="M703" s="51" t="str">
        <f>IFERROR(VLOOKUP(E703,'cheques a conf'!A:D,4,FALSE),"no clearing")</f>
        <v>no clearing</v>
      </c>
      <c r="N703" s="51">
        <f t="shared" si="399"/>
        <v>27</v>
      </c>
      <c r="O703" s="53">
        <f t="shared" si="400"/>
        <v>7</v>
      </c>
      <c r="P703" s="53">
        <f t="shared" si="401"/>
        <v>2025</v>
      </c>
    </row>
    <row r="704" spans="1:16" customFormat="1" x14ac:dyDescent="0.25">
      <c r="A704">
        <v>3000003628</v>
      </c>
      <c r="B704" s="22">
        <v>45841</v>
      </c>
      <c r="C704" s="4">
        <v>0</v>
      </c>
      <c r="D704" t="s">
        <v>720</v>
      </c>
      <c r="E704">
        <v>40272957</v>
      </c>
      <c r="F704" s="4">
        <v>0</v>
      </c>
      <c r="G704" s="3">
        <v>45840</v>
      </c>
      <c r="H704" t="s">
        <v>79</v>
      </c>
      <c r="I704" s="51" t="str">
        <f>IFERROR(IF(VLOOKUP(E704,extracto!C:C,1,FALSE)=E704,"pagado","no pagado"),"no pagado")</f>
        <v>no pagado</v>
      </c>
      <c r="J704" s="52" t="str">
        <f t="shared" ca="1" si="396"/>
        <v>fuera de fecha</v>
      </c>
      <c r="K704" s="51" t="str">
        <f t="shared" ca="1" si="397"/>
        <v>excluir</v>
      </c>
      <c r="L704" s="51" t="str">
        <f t="shared" ca="1" si="398"/>
        <v>no semana</v>
      </c>
      <c r="M704" s="51" t="str">
        <f>IFERROR(VLOOKUP(E704,'cheques a conf'!A:D,4,FALSE),"no clearing")</f>
        <v>no clearing</v>
      </c>
      <c r="N704" s="51">
        <f t="shared" si="399"/>
        <v>27</v>
      </c>
      <c r="O704" s="53">
        <f t="shared" si="400"/>
        <v>7</v>
      </c>
      <c r="P704" s="53">
        <f t="shared" si="401"/>
        <v>2025</v>
      </c>
    </row>
    <row r="705" spans="1:16" customFormat="1" x14ac:dyDescent="0.25">
      <c r="A705">
        <v>3000003629</v>
      </c>
      <c r="B705" s="22">
        <v>45841</v>
      </c>
      <c r="C705" s="4">
        <v>0</v>
      </c>
      <c r="D705" t="s">
        <v>721</v>
      </c>
      <c r="E705">
        <v>40272958</v>
      </c>
      <c r="F705" s="4">
        <v>0</v>
      </c>
      <c r="G705" s="3">
        <v>45840</v>
      </c>
      <c r="H705" t="s">
        <v>79</v>
      </c>
      <c r="I705" s="51" t="str">
        <f>IFERROR(IF(VLOOKUP(E705,extracto!C:C,1,FALSE)=E705,"pagado","no pagado"),"no pagado")</f>
        <v>no pagado</v>
      </c>
      <c r="J705" s="52" t="str">
        <f t="shared" ca="1" si="396"/>
        <v>fuera de fecha</v>
      </c>
      <c r="K705" s="51" t="str">
        <f t="shared" ca="1" si="397"/>
        <v>excluir</v>
      </c>
      <c r="L705" s="51" t="str">
        <f t="shared" ca="1" si="398"/>
        <v>no semana</v>
      </c>
      <c r="M705" s="51" t="str">
        <f>IFERROR(VLOOKUP(E705,'cheques a conf'!A:D,4,FALSE),"no clearing")</f>
        <v>no clearing</v>
      </c>
      <c r="N705" s="51">
        <f t="shared" si="399"/>
        <v>27</v>
      </c>
      <c r="O705" s="53">
        <f t="shared" si="400"/>
        <v>7</v>
      </c>
      <c r="P705" s="53">
        <f t="shared" si="401"/>
        <v>2025</v>
      </c>
    </row>
    <row r="706" spans="1:16" customFormat="1" x14ac:dyDescent="0.25">
      <c r="A706">
        <v>3000003630</v>
      </c>
      <c r="B706" s="22">
        <v>45841</v>
      </c>
      <c r="C706" s="4">
        <v>0</v>
      </c>
      <c r="D706" t="s">
        <v>722</v>
      </c>
      <c r="E706">
        <v>40272959</v>
      </c>
      <c r="F706" s="4">
        <v>0</v>
      </c>
      <c r="G706" s="3">
        <v>45840</v>
      </c>
      <c r="H706" t="s">
        <v>79</v>
      </c>
      <c r="I706" s="51" t="str">
        <f>IFERROR(IF(VLOOKUP(E706,extracto!C:C,1,FALSE)=E706,"pagado","no pagado"),"no pagado")</f>
        <v>no pagado</v>
      </c>
      <c r="J706" s="52" t="str">
        <f t="shared" ca="1" si="396"/>
        <v>fuera de fecha</v>
      </c>
      <c r="K706" s="51" t="str">
        <f t="shared" ca="1" si="397"/>
        <v>excluir</v>
      </c>
      <c r="L706" s="51" t="str">
        <f t="shared" ca="1" si="398"/>
        <v>no semana</v>
      </c>
      <c r="M706" s="51" t="str">
        <f>IFERROR(VLOOKUP(E706,'cheques a conf'!A:D,4,FALSE),"no clearing")</f>
        <v>no clearing</v>
      </c>
      <c r="N706" s="51">
        <f t="shared" si="399"/>
        <v>27</v>
      </c>
      <c r="O706" s="53">
        <f t="shared" si="400"/>
        <v>7</v>
      </c>
      <c r="P706" s="53">
        <f t="shared" si="401"/>
        <v>2025</v>
      </c>
    </row>
    <row r="707" spans="1:16" customFormat="1" x14ac:dyDescent="0.25">
      <c r="A707">
        <v>3000003631</v>
      </c>
      <c r="B707" s="22">
        <v>45841</v>
      </c>
      <c r="C707" s="4">
        <v>0</v>
      </c>
      <c r="D707" t="s">
        <v>720</v>
      </c>
      <c r="E707">
        <v>40272960</v>
      </c>
      <c r="F707" s="4">
        <v>0</v>
      </c>
      <c r="G707" s="3">
        <v>45840</v>
      </c>
      <c r="H707" t="s">
        <v>79</v>
      </c>
      <c r="I707" s="51" t="str">
        <f>IFERROR(IF(VLOOKUP(E707,extracto!C:C,1,FALSE)=E707,"pagado","no pagado"),"no pagado")</f>
        <v>no pagado</v>
      </c>
      <c r="J707" s="52" t="str">
        <f t="shared" ca="1" si="396"/>
        <v>fuera de fecha</v>
      </c>
      <c r="K707" s="51" t="str">
        <f t="shared" ca="1" si="397"/>
        <v>excluir</v>
      </c>
      <c r="L707" s="51" t="str">
        <f t="shared" ca="1" si="398"/>
        <v>no semana</v>
      </c>
      <c r="M707" s="51" t="str">
        <f>IFERROR(VLOOKUP(E707,'cheques a conf'!A:D,4,FALSE),"no clearing")</f>
        <v>no clearing</v>
      </c>
      <c r="N707" s="51">
        <f t="shared" si="399"/>
        <v>27</v>
      </c>
      <c r="O707" s="53">
        <f t="shared" si="400"/>
        <v>7</v>
      </c>
      <c r="P707" s="53">
        <f t="shared" si="401"/>
        <v>2025</v>
      </c>
    </row>
    <row r="708" spans="1:16" customFormat="1" x14ac:dyDescent="0.25">
      <c r="A708">
        <v>3000003632</v>
      </c>
      <c r="B708" s="22">
        <v>45841</v>
      </c>
      <c r="C708" s="4">
        <v>0</v>
      </c>
      <c r="D708" t="s">
        <v>721</v>
      </c>
      <c r="E708">
        <v>40272961</v>
      </c>
      <c r="F708" s="4">
        <v>0</v>
      </c>
      <c r="G708" s="3">
        <v>45840</v>
      </c>
      <c r="H708" t="s">
        <v>79</v>
      </c>
      <c r="I708" s="51" t="str">
        <f>IFERROR(IF(VLOOKUP(E708,extracto!C:C,1,FALSE)=E708,"pagado","no pagado"),"no pagado")</f>
        <v>no pagado</v>
      </c>
      <c r="J708" s="52" t="str">
        <f t="shared" ca="1" si="396"/>
        <v>fuera de fecha</v>
      </c>
      <c r="K708" s="51" t="str">
        <f t="shared" ca="1" si="397"/>
        <v>excluir</v>
      </c>
      <c r="L708" s="51" t="str">
        <f t="shared" ca="1" si="398"/>
        <v>no semana</v>
      </c>
      <c r="M708" s="51" t="str">
        <f>IFERROR(VLOOKUP(E708,'cheques a conf'!A:D,4,FALSE),"no clearing")</f>
        <v>no clearing</v>
      </c>
      <c r="N708" s="51">
        <f t="shared" si="399"/>
        <v>27</v>
      </c>
      <c r="O708" s="53">
        <f t="shared" si="400"/>
        <v>7</v>
      </c>
      <c r="P708" s="53">
        <f t="shared" si="401"/>
        <v>2025</v>
      </c>
    </row>
    <row r="709" spans="1:16" customFormat="1" x14ac:dyDescent="0.25">
      <c r="A709">
        <v>3000003633</v>
      </c>
      <c r="B709" s="22">
        <v>45841</v>
      </c>
      <c r="C709" s="4">
        <v>0</v>
      </c>
      <c r="D709" t="s">
        <v>722</v>
      </c>
      <c r="E709">
        <v>40272962</v>
      </c>
      <c r="F709" s="4">
        <v>0</v>
      </c>
      <c r="G709" s="3">
        <v>45840</v>
      </c>
      <c r="H709" t="s">
        <v>79</v>
      </c>
      <c r="I709" s="51" t="str">
        <f>IFERROR(IF(VLOOKUP(E709,extracto!C:C,1,FALSE)=E709,"pagado","no pagado"),"no pagado")</f>
        <v>no pagado</v>
      </c>
      <c r="J709" s="52" t="str">
        <f t="shared" ca="1" si="396"/>
        <v>fuera de fecha</v>
      </c>
      <c r="K709" s="51" t="str">
        <f t="shared" ca="1" si="397"/>
        <v>excluir</v>
      </c>
      <c r="L709" s="51" t="str">
        <f t="shared" ca="1" si="398"/>
        <v>no semana</v>
      </c>
      <c r="M709" s="51" t="str">
        <f>IFERROR(VLOOKUP(E709,'cheques a conf'!A:D,4,FALSE),"no clearing")</f>
        <v>no clearing</v>
      </c>
      <c r="N709" s="51">
        <f t="shared" si="399"/>
        <v>27</v>
      </c>
      <c r="O709" s="53">
        <f t="shared" si="400"/>
        <v>7</v>
      </c>
      <c r="P709" s="53">
        <f t="shared" si="401"/>
        <v>2025</v>
      </c>
    </row>
    <row r="710" spans="1:16" customFormat="1" x14ac:dyDescent="0.25">
      <c r="A710">
        <v>3000003583</v>
      </c>
      <c r="B710" s="22">
        <v>45840</v>
      </c>
      <c r="C710" s="4">
        <v>1626930.2</v>
      </c>
      <c r="D710" t="s">
        <v>674</v>
      </c>
      <c r="E710">
        <v>40272953</v>
      </c>
      <c r="F710" s="4">
        <v>1626930.2</v>
      </c>
      <c r="G710" s="3">
        <v>45842</v>
      </c>
      <c r="H710" t="s">
        <v>79</v>
      </c>
      <c r="I710" s="51" t="str">
        <f>IFERROR(IF(VLOOKUP(E710,extracto!C:C,1,FALSE)=E710,"pagado","no pagado"),"no pagado")</f>
        <v>no pagado</v>
      </c>
      <c r="J710" s="52" t="str">
        <f t="shared" ca="1" si="396"/>
        <v>fuera de fecha</v>
      </c>
      <c r="K710" s="51" t="str">
        <f t="shared" ca="1" si="397"/>
        <v>excluir</v>
      </c>
      <c r="L710" s="51" t="str">
        <f t="shared" ca="1" si="398"/>
        <v>no semana</v>
      </c>
      <c r="M710" s="51" t="str">
        <f>IFERROR(VLOOKUP(E710,'cheques a conf'!A:D,4,FALSE),"no clearing")</f>
        <v>no clearing</v>
      </c>
      <c r="N710" s="51">
        <f t="shared" si="399"/>
        <v>27</v>
      </c>
      <c r="O710" s="53">
        <f t="shared" si="400"/>
        <v>7</v>
      </c>
      <c r="P710" s="53">
        <f t="shared" si="401"/>
        <v>2025</v>
      </c>
    </row>
    <row r="711" spans="1:16" customFormat="1" x14ac:dyDescent="0.25">
      <c r="A711">
        <v>3000003730</v>
      </c>
      <c r="B711" s="22">
        <v>45846</v>
      </c>
      <c r="C711" s="4">
        <v>20000000</v>
      </c>
      <c r="D711" t="s">
        <v>629</v>
      </c>
      <c r="E711">
        <v>1535</v>
      </c>
      <c r="F711" s="4">
        <v>20000000</v>
      </c>
      <c r="G711" s="3">
        <v>45849</v>
      </c>
      <c r="H711" t="s">
        <v>32</v>
      </c>
      <c r="I711" s="51" t="str">
        <f>IFERROR(IF(VLOOKUP(E711,extracto!C:C,1,FALSE)=E711,"pagado","no pagado"),"no pagado")</f>
        <v>pagado</v>
      </c>
      <c r="J711" s="52" t="str">
        <f t="shared" si="396"/>
        <v>pagado</v>
      </c>
      <c r="K711" s="51" t="str">
        <f t="shared" ca="1" si="397"/>
        <v>excluir</v>
      </c>
      <c r="L711" s="51" t="str">
        <f t="shared" ca="1" si="398"/>
        <v>no semana</v>
      </c>
      <c r="M711" s="51" t="str">
        <f>IFERROR(VLOOKUP(E711,'cheques a conf'!A:D,4,FALSE),"no clearing")</f>
        <v>no clearing</v>
      </c>
      <c r="N711" s="51">
        <f t="shared" si="399"/>
        <v>28</v>
      </c>
      <c r="O711" s="53">
        <f t="shared" si="400"/>
        <v>7</v>
      </c>
      <c r="P711" s="53">
        <f t="shared" si="401"/>
        <v>2025</v>
      </c>
    </row>
    <row r="712" spans="1:16" customFormat="1" x14ac:dyDescent="0.25">
      <c r="A712">
        <v>3000003730</v>
      </c>
      <c r="B712" s="22">
        <v>45846</v>
      </c>
      <c r="C712" s="4">
        <v>14723343.4</v>
      </c>
      <c r="D712" t="s">
        <v>629</v>
      </c>
      <c r="E712">
        <v>1536</v>
      </c>
      <c r="F712" s="4">
        <v>14723343.4</v>
      </c>
      <c r="G712" s="3">
        <v>45852</v>
      </c>
      <c r="H712" t="s">
        <v>32</v>
      </c>
      <c r="I712" s="51" t="str">
        <f>IFERROR(IF(VLOOKUP(E712,extracto!C:C,1,FALSE)=E712,"pagado","no pagado"),"no pagado")</f>
        <v>pagado</v>
      </c>
      <c r="J712" s="52" t="str">
        <f t="shared" si="396"/>
        <v>pagado</v>
      </c>
      <c r="K712" s="51" t="str">
        <f t="shared" ca="1" si="397"/>
        <v>excluir</v>
      </c>
      <c r="L712" s="51" t="str">
        <f t="shared" ca="1" si="398"/>
        <v>no semana</v>
      </c>
      <c r="M712" s="51" t="str">
        <f>IFERROR(VLOOKUP(E712,'cheques a conf'!A:D,4,FALSE),"no clearing")</f>
        <v>no clearing</v>
      </c>
      <c r="N712" s="51">
        <f t="shared" si="399"/>
        <v>29</v>
      </c>
      <c r="O712" s="53">
        <f t="shared" si="400"/>
        <v>7</v>
      </c>
      <c r="P712" s="53">
        <f t="shared" si="401"/>
        <v>2025</v>
      </c>
    </row>
    <row r="713" spans="1:16" customFormat="1" x14ac:dyDescent="0.25">
      <c r="A713">
        <v>3000003731</v>
      </c>
      <c r="B713" s="22">
        <v>45846</v>
      </c>
      <c r="C713" s="4">
        <v>7354746.9699999997</v>
      </c>
      <c r="D713" t="s">
        <v>71</v>
      </c>
      <c r="E713">
        <v>1537</v>
      </c>
      <c r="F713" s="4">
        <v>7354746.9699999997</v>
      </c>
      <c r="G713" s="3">
        <v>45849</v>
      </c>
      <c r="H713" t="s">
        <v>32</v>
      </c>
      <c r="I713" s="51" t="str">
        <f>IFERROR(IF(VLOOKUP(E713,extracto!C:C,1,FALSE)=E713,"pagado","no pagado"),"no pagado")</f>
        <v>pagado</v>
      </c>
      <c r="J713" s="52" t="str">
        <f t="shared" si="396"/>
        <v>pagado</v>
      </c>
      <c r="K713" s="51" t="str">
        <f t="shared" ca="1" si="397"/>
        <v>excluir</v>
      </c>
      <c r="L713" s="51" t="str">
        <f t="shared" ca="1" si="398"/>
        <v>no semana</v>
      </c>
      <c r="M713" s="51" t="str">
        <f>IFERROR(VLOOKUP(E713,'cheques a conf'!A:D,4,FALSE),"no clearing")</f>
        <v>no clearing</v>
      </c>
      <c r="N713" s="51">
        <f t="shared" si="399"/>
        <v>28</v>
      </c>
      <c r="O713" s="53">
        <f t="shared" si="400"/>
        <v>7</v>
      </c>
      <c r="P713" s="53">
        <f t="shared" si="401"/>
        <v>2025</v>
      </c>
    </row>
    <row r="714" spans="1:16" customFormat="1" x14ac:dyDescent="0.25">
      <c r="A714">
        <v>3000003732</v>
      </c>
      <c r="B714" s="22">
        <v>45846</v>
      </c>
      <c r="C714" s="4">
        <v>5758114.7300000004</v>
      </c>
      <c r="D714" t="s">
        <v>723</v>
      </c>
      <c r="E714">
        <v>1538</v>
      </c>
      <c r="F714" s="4">
        <v>5758114.7300000004</v>
      </c>
      <c r="G714" s="3">
        <v>45849</v>
      </c>
      <c r="H714" t="s">
        <v>32</v>
      </c>
      <c r="I714" s="51" t="str">
        <f>IFERROR(IF(VLOOKUP(E714,extracto!C:C,1,FALSE)=E714,"pagado","no pagado"),"no pagado")</f>
        <v>pagado</v>
      </c>
      <c r="J714" s="52" t="str">
        <f t="shared" si="396"/>
        <v>pagado</v>
      </c>
      <c r="K714" s="51" t="str">
        <f t="shared" ca="1" si="397"/>
        <v>excluir</v>
      </c>
      <c r="L714" s="51" t="str">
        <f t="shared" ca="1" si="398"/>
        <v>no semana</v>
      </c>
      <c r="M714" s="51" t="str">
        <f>IFERROR(VLOOKUP(E714,'cheques a conf'!A:D,4,FALSE),"no clearing")</f>
        <v>no clearing</v>
      </c>
      <c r="N714" s="51">
        <f t="shared" si="399"/>
        <v>28</v>
      </c>
      <c r="O714" s="53">
        <f t="shared" si="400"/>
        <v>7</v>
      </c>
      <c r="P714" s="53">
        <f t="shared" si="401"/>
        <v>2025</v>
      </c>
    </row>
    <row r="715" spans="1:16" customFormat="1" x14ac:dyDescent="0.25">
      <c r="A715">
        <v>3000003733</v>
      </c>
      <c r="B715" s="22">
        <v>45846</v>
      </c>
      <c r="C715" s="4">
        <v>7476575.6299999999</v>
      </c>
      <c r="D715" t="s">
        <v>86</v>
      </c>
      <c r="E715">
        <v>1539</v>
      </c>
      <c r="F715" s="4">
        <v>7476575.6299999999</v>
      </c>
      <c r="G715" s="3">
        <v>45849</v>
      </c>
      <c r="H715" t="s">
        <v>32</v>
      </c>
      <c r="I715" s="51" t="str">
        <f>IFERROR(IF(VLOOKUP(E715,extracto!C:C,1,FALSE)=E715,"pagado","no pagado"),"no pagado")</f>
        <v>pagado</v>
      </c>
      <c r="J715" s="41" t="str">
        <f t="shared" si="396"/>
        <v>pagado</v>
      </c>
      <c r="K715" s="51" t="str">
        <f t="shared" ca="1" si="397"/>
        <v>excluir</v>
      </c>
      <c r="L715" s="51" t="str">
        <f t="shared" ca="1" si="398"/>
        <v>no semana</v>
      </c>
      <c r="M715" s="51" t="str">
        <f>IFERROR(VLOOKUP(E715,'cheques a conf'!A:D,4,FALSE),"no clearing")</f>
        <v>no clearing</v>
      </c>
      <c r="N715" s="51">
        <f t="shared" si="399"/>
        <v>28</v>
      </c>
      <c r="O715" s="53">
        <f t="shared" si="400"/>
        <v>7</v>
      </c>
      <c r="P715" s="53">
        <f t="shared" si="401"/>
        <v>2025</v>
      </c>
    </row>
    <row r="716" spans="1:16" customFormat="1" x14ac:dyDescent="0.25">
      <c r="A716">
        <v>3000003734</v>
      </c>
      <c r="B716" s="22">
        <v>45846</v>
      </c>
      <c r="C716" s="4">
        <v>5020319.4000000004</v>
      </c>
      <c r="D716" t="s">
        <v>72</v>
      </c>
      <c r="E716">
        <v>1540</v>
      </c>
      <c r="F716" s="4">
        <v>5020319.4000000004</v>
      </c>
      <c r="G716" s="3">
        <v>45849</v>
      </c>
      <c r="H716" t="s">
        <v>32</v>
      </c>
      <c r="I716" s="51" t="str">
        <f>IFERROR(IF(VLOOKUP(E716,extracto!C:C,1,FALSE)=E716,"pagado","no pagado"),"no pagado")</f>
        <v>pagado</v>
      </c>
      <c r="J716" s="52" t="str">
        <f t="shared" si="396"/>
        <v>pagado</v>
      </c>
      <c r="K716" s="51" t="str">
        <f t="shared" ca="1" si="397"/>
        <v>excluir</v>
      </c>
      <c r="L716" s="51" t="str">
        <f t="shared" ca="1" si="398"/>
        <v>no semana</v>
      </c>
      <c r="M716" s="51" t="str">
        <f>IFERROR(VLOOKUP(E716,'cheques a conf'!A:D,4,FALSE),"no clearing")</f>
        <v>no clearing</v>
      </c>
      <c r="N716" s="51">
        <f t="shared" si="399"/>
        <v>28</v>
      </c>
      <c r="O716" s="53">
        <f t="shared" si="400"/>
        <v>7</v>
      </c>
      <c r="P716" s="53">
        <f t="shared" si="401"/>
        <v>2025</v>
      </c>
    </row>
    <row r="717" spans="1:16" customFormat="1" x14ac:dyDescent="0.25">
      <c r="A717">
        <v>3000003735</v>
      </c>
      <c r="B717" s="22">
        <v>45846</v>
      </c>
      <c r="C717" s="4">
        <v>20000000</v>
      </c>
      <c r="D717" t="s">
        <v>607</v>
      </c>
      <c r="E717">
        <v>1541</v>
      </c>
      <c r="F717" s="4">
        <v>20000000</v>
      </c>
      <c r="G717" s="3">
        <v>45849</v>
      </c>
      <c r="H717" t="s">
        <v>32</v>
      </c>
      <c r="I717" s="51" t="str">
        <f>IFERROR(IF(VLOOKUP(E717,extracto!C:C,1,FALSE)=E717,"pagado","no pagado"),"no pagado")</f>
        <v>pagado</v>
      </c>
      <c r="J717" s="52" t="str">
        <f t="shared" si="396"/>
        <v>pagado</v>
      </c>
      <c r="K717" s="51" t="str">
        <f t="shared" ca="1" si="397"/>
        <v>excluir</v>
      </c>
      <c r="L717" s="51" t="str">
        <f t="shared" ca="1" si="398"/>
        <v>no semana</v>
      </c>
      <c r="M717" s="51" t="str">
        <f>IFERROR(VLOOKUP(E717,'cheques a conf'!A:D,4,FALSE),"no clearing")</f>
        <v>no clearing</v>
      </c>
      <c r="N717" s="51">
        <f t="shared" si="399"/>
        <v>28</v>
      </c>
      <c r="O717" s="53">
        <f t="shared" si="400"/>
        <v>7</v>
      </c>
      <c r="P717" s="53">
        <f t="shared" si="401"/>
        <v>2025</v>
      </c>
    </row>
    <row r="718" spans="1:16" customFormat="1" x14ac:dyDescent="0.25">
      <c r="A718">
        <v>3000003735</v>
      </c>
      <c r="B718" s="22">
        <v>45846</v>
      </c>
      <c r="C718" s="4">
        <v>13230697.699999999</v>
      </c>
      <c r="D718" t="s">
        <v>607</v>
      </c>
      <c r="E718">
        <v>1542</v>
      </c>
      <c r="F718" s="4">
        <v>13230697.699999999</v>
      </c>
      <c r="G718" s="3">
        <v>45852</v>
      </c>
      <c r="H718" t="s">
        <v>32</v>
      </c>
      <c r="I718" s="51" t="str">
        <f>IFERROR(IF(VLOOKUP(E718,extracto!C:C,1,FALSE)=E718,"pagado","no pagado"),"no pagado")</f>
        <v>pagado</v>
      </c>
      <c r="J718" s="52" t="str">
        <f t="shared" si="396"/>
        <v>pagado</v>
      </c>
      <c r="K718" s="51" t="str">
        <f t="shared" ca="1" si="397"/>
        <v>excluir</v>
      </c>
      <c r="L718" s="51" t="str">
        <f t="shared" ca="1" si="398"/>
        <v>no semana</v>
      </c>
      <c r="M718" s="51" t="str">
        <f>IFERROR(VLOOKUP(E718,'cheques a conf'!A:D,4,FALSE),"no clearing")</f>
        <v>no clearing</v>
      </c>
      <c r="N718" s="51">
        <f t="shared" si="399"/>
        <v>29</v>
      </c>
      <c r="O718" s="53">
        <f t="shared" si="400"/>
        <v>7</v>
      </c>
      <c r="P718" s="53">
        <f t="shared" si="401"/>
        <v>2025</v>
      </c>
    </row>
    <row r="719" spans="1:16" customFormat="1" x14ac:dyDescent="0.25">
      <c r="A719">
        <v>3000003736</v>
      </c>
      <c r="B719" s="22">
        <v>45846</v>
      </c>
      <c r="C719" s="4">
        <v>24000000</v>
      </c>
      <c r="D719" t="s">
        <v>597</v>
      </c>
      <c r="E719">
        <v>1543</v>
      </c>
      <c r="F719" s="4">
        <v>24000000</v>
      </c>
      <c r="G719" s="3">
        <v>45849</v>
      </c>
      <c r="H719" t="s">
        <v>32</v>
      </c>
      <c r="I719" s="51" t="str">
        <f>IFERROR(IF(VLOOKUP(E719,extracto!C:C,1,FALSE)=E719,"pagado","no pagado"),"no pagado")</f>
        <v>pagado</v>
      </c>
      <c r="J719" s="52" t="str">
        <f t="shared" si="396"/>
        <v>pagado</v>
      </c>
      <c r="K719" s="51" t="str">
        <f t="shared" ca="1" si="397"/>
        <v>excluir</v>
      </c>
      <c r="L719" s="51" t="str">
        <f t="shared" ca="1" si="398"/>
        <v>no semana</v>
      </c>
      <c r="M719" s="51" t="str">
        <f>IFERROR(VLOOKUP(E719,'cheques a conf'!A:D,4,FALSE),"no clearing")</f>
        <v>no clearing</v>
      </c>
      <c r="N719" s="51">
        <f t="shared" si="399"/>
        <v>28</v>
      </c>
      <c r="O719" s="53">
        <f t="shared" si="400"/>
        <v>7</v>
      </c>
      <c r="P719" s="53">
        <f t="shared" si="401"/>
        <v>2025</v>
      </c>
    </row>
    <row r="720" spans="1:16" customFormat="1" x14ac:dyDescent="0.25">
      <c r="A720">
        <v>3000003736</v>
      </c>
      <c r="B720" s="22">
        <v>45846</v>
      </c>
      <c r="C720" s="4">
        <v>24201797.289999999</v>
      </c>
      <c r="D720" t="s">
        <v>597</v>
      </c>
      <c r="E720">
        <v>1544</v>
      </c>
      <c r="F720" s="4">
        <v>24201797.289999999</v>
      </c>
      <c r="G720" s="3">
        <v>45852</v>
      </c>
      <c r="H720" t="s">
        <v>32</v>
      </c>
      <c r="I720" s="51" t="str">
        <f>IFERROR(IF(VLOOKUP(E720,extracto!C:C,1,FALSE)=E720,"pagado","no pagado"),"no pagado")</f>
        <v>pagado</v>
      </c>
      <c r="J720" s="52" t="str">
        <f t="shared" si="396"/>
        <v>pagado</v>
      </c>
      <c r="K720" s="51" t="str">
        <f t="shared" ca="1" si="397"/>
        <v>excluir</v>
      </c>
      <c r="L720" s="51" t="str">
        <f t="shared" ca="1" si="398"/>
        <v>no semana</v>
      </c>
      <c r="M720" s="51" t="str">
        <f>IFERROR(VLOOKUP(E720,'cheques a conf'!A:D,4,FALSE),"no clearing")</f>
        <v>no clearing</v>
      </c>
      <c r="N720" s="51">
        <f t="shared" si="399"/>
        <v>29</v>
      </c>
      <c r="O720" s="53">
        <f t="shared" si="400"/>
        <v>7</v>
      </c>
      <c r="P720" s="53">
        <f t="shared" si="401"/>
        <v>2025</v>
      </c>
    </row>
    <row r="721" spans="1:16" customFormat="1" x14ac:dyDescent="0.25">
      <c r="A721">
        <v>3000003737</v>
      </c>
      <c r="B721" s="22">
        <v>45846</v>
      </c>
      <c r="C721" s="4">
        <v>24000000</v>
      </c>
      <c r="D721" t="s">
        <v>596</v>
      </c>
      <c r="E721">
        <v>1545</v>
      </c>
      <c r="F721" s="4">
        <v>24000000</v>
      </c>
      <c r="G721" s="3">
        <v>45849</v>
      </c>
      <c r="H721" t="s">
        <v>32</v>
      </c>
      <c r="I721" s="51" t="str">
        <f>IFERROR(IF(VLOOKUP(E721,extracto!C:C,1,FALSE)=E721,"pagado","no pagado"),"no pagado")</f>
        <v>pagado</v>
      </c>
      <c r="J721" s="52" t="str">
        <f t="shared" si="396"/>
        <v>pagado</v>
      </c>
      <c r="K721" s="51" t="str">
        <f t="shared" ca="1" si="397"/>
        <v>excluir</v>
      </c>
      <c r="L721" s="51" t="str">
        <f t="shared" ca="1" si="398"/>
        <v>no semana</v>
      </c>
      <c r="M721" s="51" t="str">
        <f>IFERROR(VLOOKUP(E721,'cheques a conf'!A:D,4,FALSE),"no clearing")</f>
        <v>no clearing</v>
      </c>
      <c r="N721" s="51">
        <f t="shared" si="399"/>
        <v>28</v>
      </c>
      <c r="O721" s="53">
        <f t="shared" si="400"/>
        <v>7</v>
      </c>
      <c r="P721" s="53">
        <f t="shared" si="401"/>
        <v>2025</v>
      </c>
    </row>
    <row r="722" spans="1:16" customFormat="1" x14ac:dyDescent="0.25">
      <c r="A722">
        <v>3000003737</v>
      </c>
      <c r="B722" s="22">
        <v>45846</v>
      </c>
      <c r="C722" s="4">
        <v>23499662.199999999</v>
      </c>
      <c r="D722" t="s">
        <v>596</v>
      </c>
      <c r="E722">
        <v>1546</v>
      </c>
      <c r="F722" s="4">
        <v>23499662.199999999</v>
      </c>
      <c r="G722" s="3">
        <v>45852</v>
      </c>
      <c r="H722" t="s">
        <v>32</v>
      </c>
      <c r="I722" s="51" t="str">
        <f>IFERROR(IF(VLOOKUP(E722,extracto!C:C,1,FALSE)=E722,"pagado","no pagado"),"no pagado")</f>
        <v>pagado</v>
      </c>
      <c r="J722" s="52" t="str">
        <f t="shared" ref="J722:J785" si="402">IF(I722="pagado","pagado",IF(G722&lt;$V$1-30,"fuera de fecha","en periodo de pago"))</f>
        <v>pagado</v>
      </c>
      <c r="K722" s="51" t="str">
        <f t="shared" ref="K722:K785" ca="1" si="403">+IF(B722&gt;$V$1,"excluir",IF(J722="en periodo de pago",IF($V$1&gt;G722,"a pagar","proximo a vencer"),"excluir"))</f>
        <v>excluir</v>
      </c>
      <c r="L722" s="51" t="str">
        <f t="shared" ref="L722:L785" ca="1" si="404">+IF(K722="proximo a vencer",IF($V$1+5&gt;G722,"para la semana","no semana"),"no semana")</f>
        <v>no semana</v>
      </c>
      <c r="M722" s="51" t="str">
        <f>IFERROR(VLOOKUP(E722,'cheques a conf'!A:D,4,FALSE),"no clearing")</f>
        <v>no clearing</v>
      </c>
      <c r="N722" s="51">
        <f t="shared" ref="N722:N785" si="405">+WEEKNUM(G722,2)</f>
        <v>29</v>
      </c>
      <c r="O722" s="53">
        <f t="shared" ref="O722:O785" si="406">+MONTH(G722)</f>
        <v>7</v>
      </c>
      <c r="P722" s="53">
        <f t="shared" ref="P722:P785" si="407">+YEAR(G722)</f>
        <v>2025</v>
      </c>
    </row>
    <row r="723" spans="1:16" customFormat="1" x14ac:dyDescent="0.25">
      <c r="A723">
        <v>3000003738</v>
      </c>
      <c r="B723" s="22">
        <v>45846</v>
      </c>
      <c r="C723" s="4">
        <v>10000000</v>
      </c>
      <c r="D723" t="s">
        <v>74</v>
      </c>
      <c r="E723">
        <v>1547</v>
      </c>
      <c r="F723" s="4">
        <v>10000000</v>
      </c>
      <c r="G723" s="3">
        <v>45849</v>
      </c>
      <c r="H723" t="s">
        <v>32</v>
      </c>
      <c r="I723" s="51" t="str">
        <f>IFERROR(IF(VLOOKUP(E723,extracto!C:C,1,FALSE)=E723,"pagado","no pagado"),"no pagado")</f>
        <v>pagado</v>
      </c>
      <c r="J723" s="52" t="str">
        <f t="shared" si="402"/>
        <v>pagado</v>
      </c>
      <c r="K723" s="51" t="str">
        <f t="shared" ca="1" si="403"/>
        <v>excluir</v>
      </c>
      <c r="L723" s="51" t="str">
        <f t="shared" ca="1" si="404"/>
        <v>no semana</v>
      </c>
      <c r="M723" s="51" t="str">
        <f>IFERROR(VLOOKUP(E723,'cheques a conf'!A:D,4,FALSE),"no clearing")</f>
        <v>no clearing</v>
      </c>
      <c r="N723" s="51">
        <f t="shared" si="405"/>
        <v>28</v>
      </c>
      <c r="O723" s="53">
        <f t="shared" si="406"/>
        <v>7</v>
      </c>
      <c r="P723" s="53">
        <f t="shared" si="407"/>
        <v>2025</v>
      </c>
    </row>
    <row r="724" spans="1:16" customFormat="1" x14ac:dyDescent="0.25">
      <c r="A724">
        <v>3000003738</v>
      </c>
      <c r="B724" s="22">
        <v>45846</v>
      </c>
      <c r="C724" s="4">
        <v>7766457.1500000004</v>
      </c>
      <c r="D724" t="s">
        <v>74</v>
      </c>
      <c r="E724">
        <v>1548</v>
      </c>
      <c r="F724" s="4">
        <v>7766457.1500000004</v>
      </c>
      <c r="G724" s="3">
        <v>45852</v>
      </c>
      <c r="H724" t="s">
        <v>32</v>
      </c>
      <c r="I724" s="51" t="str">
        <f>IFERROR(IF(VLOOKUP(E724,extracto!C:C,1,FALSE)=E724,"pagado","no pagado"),"no pagado")</f>
        <v>pagado</v>
      </c>
      <c r="J724" s="52" t="str">
        <f t="shared" si="402"/>
        <v>pagado</v>
      </c>
      <c r="K724" s="51" t="str">
        <f t="shared" ca="1" si="403"/>
        <v>excluir</v>
      </c>
      <c r="L724" s="51" t="str">
        <f t="shared" ca="1" si="404"/>
        <v>no semana</v>
      </c>
      <c r="M724" s="51" t="str">
        <f>IFERROR(VLOOKUP(E724,'cheques a conf'!A:D,4,FALSE),"no clearing")</f>
        <v>no clearing</v>
      </c>
      <c r="N724" s="51">
        <f t="shared" si="405"/>
        <v>29</v>
      </c>
      <c r="O724" s="53">
        <f t="shared" si="406"/>
        <v>7</v>
      </c>
      <c r="P724" s="53">
        <f t="shared" si="407"/>
        <v>2025</v>
      </c>
    </row>
    <row r="725" spans="1:16" customFormat="1" x14ac:dyDescent="0.25">
      <c r="A725">
        <v>3000003739</v>
      </c>
      <c r="B725" s="22">
        <v>45846</v>
      </c>
      <c r="C725" s="4">
        <v>10000000</v>
      </c>
      <c r="D725" t="s">
        <v>630</v>
      </c>
      <c r="E725">
        <v>1549</v>
      </c>
      <c r="F725" s="4">
        <v>10000000</v>
      </c>
      <c r="G725" s="3">
        <v>45849</v>
      </c>
      <c r="H725" t="s">
        <v>32</v>
      </c>
      <c r="I725" s="51" t="str">
        <f>IFERROR(IF(VLOOKUP(E725,extracto!C:C,1,FALSE)=E725,"pagado","no pagado"),"no pagado")</f>
        <v>pagado</v>
      </c>
      <c r="J725" s="52" t="str">
        <f t="shared" si="402"/>
        <v>pagado</v>
      </c>
      <c r="K725" s="51" t="str">
        <f t="shared" ca="1" si="403"/>
        <v>excluir</v>
      </c>
      <c r="L725" s="51" t="str">
        <f t="shared" ca="1" si="404"/>
        <v>no semana</v>
      </c>
      <c r="M725" s="51" t="str">
        <f>IFERROR(VLOOKUP(E725,'cheques a conf'!A:D,4,FALSE),"no clearing")</f>
        <v>no clearing</v>
      </c>
      <c r="N725" s="51">
        <f t="shared" si="405"/>
        <v>28</v>
      </c>
      <c r="O725" s="53">
        <f t="shared" si="406"/>
        <v>7</v>
      </c>
      <c r="P725" s="53">
        <f t="shared" si="407"/>
        <v>2025</v>
      </c>
    </row>
    <row r="726" spans="1:16" customFormat="1" x14ac:dyDescent="0.25">
      <c r="A726">
        <v>3000003739</v>
      </c>
      <c r="B726" s="22">
        <v>45846</v>
      </c>
      <c r="C726" s="4">
        <v>6764504.54</v>
      </c>
      <c r="D726" t="s">
        <v>630</v>
      </c>
      <c r="E726">
        <v>1550</v>
      </c>
      <c r="F726" s="4">
        <v>6764504.54</v>
      </c>
      <c r="G726" s="3">
        <v>45852</v>
      </c>
      <c r="H726" t="s">
        <v>32</v>
      </c>
      <c r="I726" s="51" t="str">
        <f>IFERROR(IF(VLOOKUP(E726,extracto!C:C,1,FALSE)=E726,"pagado","no pagado"),"no pagado")</f>
        <v>pagado</v>
      </c>
      <c r="J726" s="52" t="str">
        <f t="shared" si="402"/>
        <v>pagado</v>
      </c>
      <c r="K726" s="51" t="str">
        <f t="shared" ca="1" si="403"/>
        <v>excluir</v>
      </c>
      <c r="L726" s="51" t="str">
        <f t="shared" ca="1" si="404"/>
        <v>no semana</v>
      </c>
      <c r="M726" s="51" t="str">
        <f>IFERROR(VLOOKUP(E726,'cheques a conf'!A:D,4,FALSE),"no clearing")</f>
        <v>no clearing</v>
      </c>
      <c r="N726" s="51">
        <f t="shared" si="405"/>
        <v>29</v>
      </c>
      <c r="O726" s="53">
        <f t="shared" si="406"/>
        <v>7</v>
      </c>
      <c r="P726" s="53">
        <f t="shared" si="407"/>
        <v>2025</v>
      </c>
    </row>
    <row r="727" spans="1:16" customFormat="1" x14ac:dyDescent="0.25">
      <c r="A727">
        <v>3000003740</v>
      </c>
      <c r="B727" s="22">
        <v>45846</v>
      </c>
      <c r="C727" s="4">
        <v>6208715.3499999996</v>
      </c>
      <c r="D727" t="s">
        <v>713</v>
      </c>
      <c r="E727">
        <v>1551</v>
      </c>
      <c r="F727" s="4">
        <v>6208715.3499999996</v>
      </c>
      <c r="G727" s="3">
        <v>45849</v>
      </c>
      <c r="H727" t="s">
        <v>32</v>
      </c>
      <c r="I727" s="51" t="str">
        <f>IFERROR(IF(VLOOKUP(E727,extracto!C:C,1,FALSE)=E727,"pagado","no pagado"),"no pagado")</f>
        <v>pagado</v>
      </c>
      <c r="J727" s="52" t="str">
        <f t="shared" si="402"/>
        <v>pagado</v>
      </c>
      <c r="K727" s="51" t="str">
        <f t="shared" ca="1" si="403"/>
        <v>excluir</v>
      </c>
      <c r="L727" s="51" t="str">
        <f t="shared" ca="1" si="404"/>
        <v>no semana</v>
      </c>
      <c r="M727" s="51" t="str">
        <f>IFERROR(VLOOKUP(E727,'cheques a conf'!A:D,4,FALSE),"no clearing")</f>
        <v>no clearing</v>
      </c>
      <c r="N727" s="51">
        <f t="shared" si="405"/>
        <v>28</v>
      </c>
      <c r="O727" s="53">
        <f t="shared" si="406"/>
        <v>7</v>
      </c>
      <c r="P727" s="53">
        <f t="shared" si="407"/>
        <v>2025</v>
      </c>
    </row>
    <row r="728" spans="1:16" customFormat="1" x14ac:dyDescent="0.25">
      <c r="A728">
        <v>3000003741</v>
      </c>
      <c r="B728" s="22">
        <v>45846</v>
      </c>
      <c r="C728" s="4">
        <v>20000000</v>
      </c>
      <c r="D728" t="s">
        <v>711</v>
      </c>
      <c r="E728">
        <v>1552</v>
      </c>
      <c r="F728" s="4">
        <v>20000000</v>
      </c>
      <c r="G728" s="3">
        <v>45849</v>
      </c>
      <c r="H728" t="s">
        <v>32</v>
      </c>
      <c r="I728" s="51" t="str">
        <f>IFERROR(IF(VLOOKUP(E728,extracto!C:C,1,FALSE)=E728,"pagado","no pagado"),"no pagado")</f>
        <v>pagado</v>
      </c>
      <c r="J728" s="52" t="str">
        <f t="shared" si="402"/>
        <v>pagado</v>
      </c>
      <c r="K728" s="51" t="str">
        <f t="shared" ca="1" si="403"/>
        <v>excluir</v>
      </c>
      <c r="L728" s="51" t="str">
        <f t="shared" ca="1" si="404"/>
        <v>no semana</v>
      </c>
      <c r="M728" s="51" t="str">
        <f>IFERROR(VLOOKUP(E728,'cheques a conf'!A:D,4,FALSE),"no clearing")</f>
        <v>no clearing</v>
      </c>
      <c r="N728" s="51">
        <f t="shared" si="405"/>
        <v>28</v>
      </c>
      <c r="O728" s="53">
        <f t="shared" si="406"/>
        <v>7</v>
      </c>
      <c r="P728" s="53">
        <f t="shared" si="407"/>
        <v>2025</v>
      </c>
    </row>
    <row r="729" spans="1:16" customFormat="1" x14ac:dyDescent="0.25">
      <c r="A729">
        <v>3000003741</v>
      </c>
      <c r="B729" s="22">
        <v>45846</v>
      </c>
      <c r="C729" s="4">
        <v>15614443.08</v>
      </c>
      <c r="D729" t="s">
        <v>711</v>
      </c>
      <c r="E729">
        <v>1553</v>
      </c>
      <c r="F729" s="4">
        <v>15614443.08</v>
      </c>
      <c r="G729" s="3">
        <v>45852</v>
      </c>
      <c r="H729" t="s">
        <v>32</v>
      </c>
      <c r="I729" s="51" t="str">
        <f>IFERROR(IF(VLOOKUP(E729,extracto!C:C,1,FALSE)=E729,"pagado","no pagado"),"no pagado")</f>
        <v>pagado</v>
      </c>
      <c r="J729" s="52" t="str">
        <f t="shared" si="402"/>
        <v>pagado</v>
      </c>
      <c r="K729" s="51" t="str">
        <f t="shared" ca="1" si="403"/>
        <v>excluir</v>
      </c>
      <c r="L729" s="51" t="str">
        <f t="shared" ca="1" si="404"/>
        <v>no semana</v>
      </c>
      <c r="M729" s="51" t="str">
        <f>IFERROR(VLOOKUP(E729,'cheques a conf'!A:D,4,FALSE),"no clearing")</f>
        <v>no clearing</v>
      </c>
      <c r="N729" s="51">
        <f t="shared" si="405"/>
        <v>29</v>
      </c>
      <c r="O729" s="53">
        <f t="shared" si="406"/>
        <v>7</v>
      </c>
      <c r="P729" s="53">
        <f t="shared" si="407"/>
        <v>2025</v>
      </c>
    </row>
    <row r="730" spans="1:16" customFormat="1" x14ac:dyDescent="0.25">
      <c r="A730">
        <v>3000003742</v>
      </c>
      <c r="B730" s="22">
        <v>45846</v>
      </c>
      <c r="C730" s="4">
        <v>25000000</v>
      </c>
      <c r="D730" t="s">
        <v>724</v>
      </c>
      <c r="E730">
        <v>1554</v>
      </c>
      <c r="F730" s="4">
        <v>25000000</v>
      </c>
      <c r="G730" s="3">
        <v>45849</v>
      </c>
      <c r="H730" t="s">
        <v>32</v>
      </c>
      <c r="I730" s="51" t="str">
        <f>IFERROR(IF(VLOOKUP(E730,extracto!C:C,1,FALSE)=E730,"pagado","no pagado"),"no pagado")</f>
        <v>pagado</v>
      </c>
      <c r="J730" s="52" t="str">
        <f t="shared" si="402"/>
        <v>pagado</v>
      </c>
      <c r="K730" s="51" t="str">
        <f t="shared" ca="1" si="403"/>
        <v>excluir</v>
      </c>
      <c r="L730" s="51" t="str">
        <f t="shared" ca="1" si="404"/>
        <v>no semana</v>
      </c>
      <c r="M730" s="51" t="str">
        <f>IFERROR(VLOOKUP(E730,'cheques a conf'!A:D,4,FALSE),"no clearing")</f>
        <v>no clearing</v>
      </c>
      <c r="N730" s="51">
        <f t="shared" si="405"/>
        <v>28</v>
      </c>
      <c r="O730" s="53">
        <f t="shared" si="406"/>
        <v>7</v>
      </c>
      <c r="P730" s="53">
        <f t="shared" si="407"/>
        <v>2025</v>
      </c>
    </row>
    <row r="731" spans="1:16" customFormat="1" x14ac:dyDescent="0.25">
      <c r="A731">
        <v>3000003742</v>
      </c>
      <c r="B731" s="22">
        <v>45846</v>
      </c>
      <c r="C731" s="4">
        <v>24680603.440000001</v>
      </c>
      <c r="D731" t="s">
        <v>724</v>
      </c>
      <c r="E731">
        <v>1555</v>
      </c>
      <c r="F731" s="4">
        <v>24680603.440000001</v>
      </c>
      <c r="G731" s="3">
        <v>45852</v>
      </c>
      <c r="H731" t="s">
        <v>32</v>
      </c>
      <c r="I731" s="51" t="str">
        <f>IFERROR(IF(VLOOKUP(E731,extracto!C:C,1,FALSE)=E731,"pagado","no pagado"),"no pagado")</f>
        <v>pagado</v>
      </c>
      <c r="J731" s="52" t="str">
        <f t="shared" si="402"/>
        <v>pagado</v>
      </c>
      <c r="K731" s="51" t="str">
        <f t="shared" ca="1" si="403"/>
        <v>excluir</v>
      </c>
      <c r="L731" s="51" t="str">
        <f t="shared" ca="1" si="404"/>
        <v>no semana</v>
      </c>
      <c r="M731" s="51" t="str">
        <f>IFERROR(VLOOKUP(E731,'cheques a conf'!A:D,4,FALSE),"no clearing")</f>
        <v>no clearing</v>
      </c>
      <c r="N731" s="51">
        <f t="shared" si="405"/>
        <v>29</v>
      </c>
      <c r="O731" s="53">
        <f t="shared" si="406"/>
        <v>7</v>
      </c>
      <c r="P731" s="53">
        <f t="shared" si="407"/>
        <v>2025</v>
      </c>
    </row>
    <row r="732" spans="1:16" customFormat="1" x14ac:dyDescent="0.25">
      <c r="A732">
        <v>3000003743</v>
      </c>
      <c r="B732" s="22">
        <v>45846</v>
      </c>
      <c r="C732" s="4">
        <v>15000000</v>
      </c>
      <c r="D732" t="s">
        <v>595</v>
      </c>
      <c r="E732">
        <v>1556</v>
      </c>
      <c r="F732" s="4">
        <v>15000000</v>
      </c>
      <c r="G732" s="3">
        <v>45849</v>
      </c>
      <c r="H732" t="s">
        <v>32</v>
      </c>
      <c r="I732" s="51" t="str">
        <f>IFERROR(IF(VLOOKUP(E732,extracto!C:C,1,FALSE)=E732,"pagado","no pagado"),"no pagado")</f>
        <v>pagado</v>
      </c>
      <c r="J732" s="52" t="str">
        <f t="shared" si="402"/>
        <v>pagado</v>
      </c>
      <c r="K732" s="51" t="str">
        <f t="shared" ca="1" si="403"/>
        <v>excluir</v>
      </c>
      <c r="L732" s="51" t="str">
        <f t="shared" ca="1" si="404"/>
        <v>no semana</v>
      </c>
      <c r="M732" s="51" t="str">
        <f>IFERROR(VLOOKUP(E732,'cheques a conf'!A:D,4,FALSE),"no clearing")</f>
        <v>no clearing</v>
      </c>
      <c r="N732" s="51">
        <f t="shared" si="405"/>
        <v>28</v>
      </c>
      <c r="O732" s="53">
        <f t="shared" si="406"/>
        <v>7</v>
      </c>
      <c r="P732" s="53">
        <f t="shared" si="407"/>
        <v>2025</v>
      </c>
    </row>
    <row r="733" spans="1:16" customFormat="1" x14ac:dyDescent="0.25">
      <c r="A733">
        <v>3000003743</v>
      </c>
      <c r="B733" s="22">
        <v>45846</v>
      </c>
      <c r="C733" s="4">
        <v>15000000</v>
      </c>
      <c r="D733" t="s">
        <v>595</v>
      </c>
      <c r="E733">
        <v>1557</v>
      </c>
      <c r="F733" s="4">
        <v>15000000</v>
      </c>
      <c r="G733" s="3">
        <v>45849</v>
      </c>
      <c r="H733" t="s">
        <v>32</v>
      </c>
      <c r="I733" s="51" t="str">
        <f>IFERROR(IF(VLOOKUP(E733,extracto!C:C,1,FALSE)=E733,"pagado","no pagado"),"no pagado")</f>
        <v>pagado</v>
      </c>
      <c r="J733" s="52" t="str">
        <f t="shared" si="402"/>
        <v>pagado</v>
      </c>
      <c r="K733" s="51" t="str">
        <f t="shared" ca="1" si="403"/>
        <v>excluir</v>
      </c>
      <c r="L733" s="51" t="str">
        <f t="shared" ca="1" si="404"/>
        <v>no semana</v>
      </c>
      <c r="M733" s="51" t="str">
        <f>IFERROR(VLOOKUP(E733,'cheques a conf'!A:D,4,FALSE),"no clearing")</f>
        <v>no clearing</v>
      </c>
      <c r="N733" s="51">
        <f t="shared" si="405"/>
        <v>28</v>
      </c>
      <c r="O733" s="53">
        <f t="shared" si="406"/>
        <v>7</v>
      </c>
      <c r="P733" s="53">
        <f t="shared" si="407"/>
        <v>2025</v>
      </c>
    </row>
    <row r="734" spans="1:16" customFormat="1" x14ac:dyDescent="0.25">
      <c r="A734">
        <v>3000003743</v>
      </c>
      <c r="B734" s="22">
        <v>45846</v>
      </c>
      <c r="C734" s="4">
        <v>15000000</v>
      </c>
      <c r="D734" t="s">
        <v>595</v>
      </c>
      <c r="E734">
        <v>1558</v>
      </c>
      <c r="F734" s="4">
        <v>15000000</v>
      </c>
      <c r="G734" s="3">
        <v>45852</v>
      </c>
      <c r="H734" t="s">
        <v>32</v>
      </c>
      <c r="I734" s="51" t="str">
        <f>IFERROR(IF(VLOOKUP(E734,extracto!C:C,1,FALSE)=E734,"pagado","no pagado"),"no pagado")</f>
        <v>pagado</v>
      </c>
      <c r="J734" s="52" t="str">
        <f t="shared" si="402"/>
        <v>pagado</v>
      </c>
      <c r="K734" s="51" t="str">
        <f t="shared" ca="1" si="403"/>
        <v>excluir</v>
      </c>
      <c r="L734" s="51" t="str">
        <f t="shared" ca="1" si="404"/>
        <v>no semana</v>
      </c>
      <c r="M734" s="51" t="str">
        <f>IFERROR(VLOOKUP(E734,'cheques a conf'!A:D,4,FALSE),"no clearing")</f>
        <v>no clearing</v>
      </c>
      <c r="N734" s="51">
        <f t="shared" si="405"/>
        <v>29</v>
      </c>
      <c r="O734" s="53">
        <f t="shared" si="406"/>
        <v>7</v>
      </c>
      <c r="P734" s="53">
        <f t="shared" si="407"/>
        <v>2025</v>
      </c>
    </row>
    <row r="735" spans="1:16" customFormat="1" x14ac:dyDescent="0.25">
      <c r="A735">
        <v>3000003743</v>
      </c>
      <c r="B735" s="22">
        <v>45846</v>
      </c>
      <c r="C735" s="4">
        <v>15326630.699999999</v>
      </c>
      <c r="D735" t="s">
        <v>595</v>
      </c>
      <c r="E735">
        <v>1559</v>
      </c>
      <c r="F735" s="4">
        <v>15326630.699999999</v>
      </c>
      <c r="G735" s="3">
        <v>45852</v>
      </c>
      <c r="H735" t="s">
        <v>32</v>
      </c>
      <c r="I735" s="51" t="str">
        <f>IFERROR(IF(VLOOKUP(E735,extracto!C:C,1,FALSE)=E735,"pagado","no pagado"),"no pagado")</f>
        <v>pagado</v>
      </c>
      <c r="J735" s="52" t="str">
        <f t="shared" si="402"/>
        <v>pagado</v>
      </c>
      <c r="K735" s="51" t="str">
        <f t="shared" ca="1" si="403"/>
        <v>excluir</v>
      </c>
      <c r="L735" s="51" t="str">
        <f t="shared" ca="1" si="404"/>
        <v>no semana</v>
      </c>
      <c r="M735" s="51" t="str">
        <f>IFERROR(VLOOKUP(E735,'cheques a conf'!A:D,4,FALSE),"no clearing")</f>
        <v>no clearing</v>
      </c>
      <c r="N735" s="51">
        <f t="shared" si="405"/>
        <v>29</v>
      </c>
      <c r="O735" s="53">
        <f t="shared" si="406"/>
        <v>7</v>
      </c>
      <c r="P735" s="53">
        <f t="shared" si="407"/>
        <v>2025</v>
      </c>
    </row>
    <row r="736" spans="1:16" customFormat="1" x14ac:dyDescent="0.25">
      <c r="A736">
        <v>3000003744</v>
      </c>
      <c r="B736" s="22">
        <v>45846</v>
      </c>
      <c r="C736" s="4">
        <v>5633692.1699999999</v>
      </c>
      <c r="D736" t="s">
        <v>725</v>
      </c>
      <c r="E736">
        <v>1560</v>
      </c>
      <c r="F736" s="4">
        <v>5633692.1699999999</v>
      </c>
      <c r="G736" s="3">
        <v>45849</v>
      </c>
      <c r="H736" t="s">
        <v>32</v>
      </c>
      <c r="I736" s="51" t="str">
        <f>IFERROR(IF(VLOOKUP(E736,extracto!C:C,1,FALSE)=E736,"pagado","no pagado"),"no pagado")</f>
        <v>pagado</v>
      </c>
      <c r="J736" s="52" t="str">
        <f t="shared" si="402"/>
        <v>pagado</v>
      </c>
      <c r="K736" s="51" t="str">
        <f t="shared" ca="1" si="403"/>
        <v>excluir</v>
      </c>
      <c r="L736" s="51" t="str">
        <f t="shared" ca="1" si="404"/>
        <v>no semana</v>
      </c>
      <c r="M736" s="51" t="str">
        <f>IFERROR(VLOOKUP(E736,'cheques a conf'!A:D,4,FALSE),"no clearing")</f>
        <v>no clearing</v>
      </c>
      <c r="N736" s="51">
        <f t="shared" si="405"/>
        <v>28</v>
      </c>
      <c r="O736" s="53">
        <f t="shared" si="406"/>
        <v>7</v>
      </c>
      <c r="P736" s="53">
        <f t="shared" si="407"/>
        <v>2025</v>
      </c>
    </row>
    <row r="737" spans="1:16" customFormat="1" x14ac:dyDescent="0.25">
      <c r="A737">
        <v>3000003745</v>
      </c>
      <c r="B737" s="22">
        <v>45846</v>
      </c>
      <c r="C737" s="4">
        <v>7658980</v>
      </c>
      <c r="D737" t="s">
        <v>726</v>
      </c>
      <c r="E737">
        <v>1561</v>
      </c>
      <c r="F737" s="4">
        <v>7658980</v>
      </c>
      <c r="G737" s="3">
        <v>45849</v>
      </c>
      <c r="H737" t="s">
        <v>32</v>
      </c>
      <c r="I737" s="51" t="str">
        <f>IFERROR(IF(VLOOKUP(E737,extracto!C:C,1,FALSE)=E737,"pagado","no pagado"),"no pagado")</f>
        <v>pagado</v>
      </c>
      <c r="J737" s="52" t="str">
        <f t="shared" si="402"/>
        <v>pagado</v>
      </c>
      <c r="K737" s="51" t="str">
        <f t="shared" ca="1" si="403"/>
        <v>excluir</v>
      </c>
      <c r="L737" s="51" t="str">
        <f t="shared" ca="1" si="404"/>
        <v>no semana</v>
      </c>
      <c r="M737" s="51" t="str">
        <f>IFERROR(VLOOKUP(E737,'cheques a conf'!A:D,4,FALSE),"no clearing")</f>
        <v>no clearing</v>
      </c>
      <c r="N737" s="51">
        <f t="shared" si="405"/>
        <v>28</v>
      </c>
      <c r="O737" s="53">
        <f t="shared" si="406"/>
        <v>7</v>
      </c>
      <c r="P737" s="53">
        <f t="shared" si="407"/>
        <v>2025</v>
      </c>
    </row>
    <row r="738" spans="1:16" customFormat="1" x14ac:dyDescent="0.25">
      <c r="A738">
        <v>3000003746</v>
      </c>
      <c r="B738" s="22">
        <v>45846</v>
      </c>
      <c r="C738" s="4">
        <v>6217335.1100000003</v>
      </c>
      <c r="D738" t="s">
        <v>658</v>
      </c>
      <c r="E738">
        <v>1562</v>
      </c>
      <c r="F738" s="4">
        <v>6217335.1100000003</v>
      </c>
      <c r="G738" s="3">
        <v>45849</v>
      </c>
      <c r="H738" t="s">
        <v>32</v>
      </c>
      <c r="I738" s="51" t="str">
        <f>IFERROR(IF(VLOOKUP(E738,extracto!C:C,1,FALSE)=E738,"pagado","no pagado"),"no pagado")</f>
        <v>pagado</v>
      </c>
      <c r="J738" s="52" t="str">
        <f t="shared" si="402"/>
        <v>pagado</v>
      </c>
      <c r="K738" s="51" t="str">
        <f t="shared" ca="1" si="403"/>
        <v>excluir</v>
      </c>
      <c r="L738" s="51" t="str">
        <f t="shared" ca="1" si="404"/>
        <v>no semana</v>
      </c>
      <c r="M738" s="51" t="str">
        <f>IFERROR(VLOOKUP(E738,'cheques a conf'!A:D,4,FALSE),"no clearing")</f>
        <v>no clearing</v>
      </c>
      <c r="N738" s="51">
        <f t="shared" si="405"/>
        <v>28</v>
      </c>
      <c r="O738" s="53">
        <f t="shared" si="406"/>
        <v>7</v>
      </c>
      <c r="P738" s="53">
        <f t="shared" si="407"/>
        <v>2025</v>
      </c>
    </row>
    <row r="739" spans="1:16" customFormat="1" x14ac:dyDescent="0.25">
      <c r="A739">
        <v>3000003747</v>
      </c>
      <c r="B739" s="22">
        <v>45846</v>
      </c>
      <c r="C739" s="4">
        <v>10000000</v>
      </c>
      <c r="D739" t="s">
        <v>727</v>
      </c>
      <c r="E739">
        <v>1563</v>
      </c>
      <c r="F739" s="4">
        <v>10000000</v>
      </c>
      <c r="G739" s="3">
        <v>45849</v>
      </c>
      <c r="H739" t="s">
        <v>32</v>
      </c>
      <c r="I739" s="51" t="str">
        <f>IFERROR(IF(VLOOKUP(E739,extracto!C:C,1,FALSE)=E739,"pagado","no pagado"),"no pagado")</f>
        <v>pagado</v>
      </c>
      <c r="J739" s="52" t="str">
        <f t="shared" si="402"/>
        <v>pagado</v>
      </c>
      <c r="K739" s="51" t="str">
        <f t="shared" ca="1" si="403"/>
        <v>excluir</v>
      </c>
      <c r="L739" s="51" t="str">
        <f t="shared" ca="1" si="404"/>
        <v>no semana</v>
      </c>
      <c r="M739" s="51" t="str">
        <f>IFERROR(VLOOKUP(E739,'cheques a conf'!A:D,4,FALSE),"no clearing")</f>
        <v>no clearing</v>
      </c>
      <c r="N739" s="51">
        <f t="shared" si="405"/>
        <v>28</v>
      </c>
      <c r="O739" s="53">
        <f t="shared" si="406"/>
        <v>7</v>
      </c>
      <c r="P739" s="53">
        <f t="shared" si="407"/>
        <v>2025</v>
      </c>
    </row>
    <row r="740" spans="1:16" customFormat="1" x14ac:dyDescent="0.25">
      <c r="A740">
        <v>3000003747</v>
      </c>
      <c r="B740" s="22">
        <v>45846</v>
      </c>
      <c r="C740" s="4">
        <v>9331743</v>
      </c>
      <c r="D740" t="s">
        <v>727</v>
      </c>
      <c r="E740">
        <v>1564</v>
      </c>
      <c r="F740" s="4">
        <v>9331743</v>
      </c>
      <c r="G740" s="3">
        <v>45852</v>
      </c>
      <c r="H740" t="s">
        <v>32</v>
      </c>
      <c r="I740" s="51" t="str">
        <f>IFERROR(IF(VLOOKUP(E740,extracto!C:C,1,FALSE)=E740,"pagado","no pagado"),"no pagado")</f>
        <v>pagado</v>
      </c>
      <c r="J740" s="52" t="str">
        <f t="shared" si="402"/>
        <v>pagado</v>
      </c>
      <c r="K740" s="51" t="str">
        <f t="shared" ca="1" si="403"/>
        <v>excluir</v>
      </c>
      <c r="L740" s="51" t="str">
        <f t="shared" ca="1" si="404"/>
        <v>no semana</v>
      </c>
      <c r="M740" s="51" t="str">
        <f>IFERROR(VLOOKUP(E740,'cheques a conf'!A:D,4,FALSE),"no clearing")</f>
        <v>no clearing</v>
      </c>
      <c r="N740" s="51">
        <f t="shared" si="405"/>
        <v>29</v>
      </c>
      <c r="O740" s="53">
        <f t="shared" si="406"/>
        <v>7</v>
      </c>
      <c r="P740" s="53">
        <f t="shared" si="407"/>
        <v>2025</v>
      </c>
    </row>
    <row r="741" spans="1:16" customFormat="1" x14ac:dyDescent="0.25">
      <c r="A741">
        <v>3000003748</v>
      </c>
      <c r="B741" s="22">
        <v>45846</v>
      </c>
      <c r="C741" s="4">
        <v>22000000</v>
      </c>
      <c r="D741" t="s">
        <v>649</v>
      </c>
      <c r="E741">
        <v>1565</v>
      </c>
      <c r="F741" s="4">
        <v>22000000</v>
      </c>
      <c r="G741" s="3">
        <v>45849</v>
      </c>
      <c r="H741" t="s">
        <v>32</v>
      </c>
      <c r="I741" s="51" t="str">
        <f>IFERROR(IF(VLOOKUP(E741,extracto!C:C,1,FALSE)=E741,"pagado","no pagado"),"no pagado")</f>
        <v>pagado</v>
      </c>
      <c r="J741" s="52" t="str">
        <f t="shared" si="402"/>
        <v>pagado</v>
      </c>
      <c r="K741" s="51" t="str">
        <f t="shared" ca="1" si="403"/>
        <v>excluir</v>
      </c>
      <c r="L741" s="51" t="str">
        <f t="shared" ca="1" si="404"/>
        <v>no semana</v>
      </c>
      <c r="M741" s="51" t="str">
        <f>IFERROR(VLOOKUP(E741,'cheques a conf'!A:D,4,FALSE),"no clearing")</f>
        <v>no clearing</v>
      </c>
      <c r="N741" s="51">
        <f t="shared" si="405"/>
        <v>28</v>
      </c>
      <c r="O741" s="53">
        <f t="shared" si="406"/>
        <v>7</v>
      </c>
      <c r="P741" s="53">
        <f t="shared" si="407"/>
        <v>2025</v>
      </c>
    </row>
    <row r="742" spans="1:16" customFormat="1" x14ac:dyDescent="0.25">
      <c r="A742">
        <v>3000003748</v>
      </c>
      <c r="B742" s="22">
        <v>45846</v>
      </c>
      <c r="C742" s="4">
        <v>20944742.699999999</v>
      </c>
      <c r="D742" t="s">
        <v>649</v>
      </c>
      <c r="E742">
        <v>1566</v>
      </c>
      <c r="F742" s="4">
        <v>20944742.699999999</v>
      </c>
      <c r="G742" s="3">
        <v>45852</v>
      </c>
      <c r="H742" t="s">
        <v>32</v>
      </c>
      <c r="I742" s="51" t="str">
        <f>IFERROR(IF(VLOOKUP(E742,extracto!C:C,1,FALSE)=E742,"pagado","no pagado"),"no pagado")</f>
        <v>pagado</v>
      </c>
      <c r="J742" s="52" t="str">
        <f t="shared" si="402"/>
        <v>pagado</v>
      </c>
      <c r="K742" s="51" t="str">
        <f t="shared" ca="1" si="403"/>
        <v>excluir</v>
      </c>
      <c r="L742" s="51" t="str">
        <f t="shared" ca="1" si="404"/>
        <v>no semana</v>
      </c>
      <c r="M742" s="51" t="str">
        <f>IFERROR(VLOOKUP(E742,'cheques a conf'!A:D,4,FALSE),"no clearing")</f>
        <v>no clearing</v>
      </c>
      <c r="N742" s="51">
        <f t="shared" si="405"/>
        <v>29</v>
      </c>
      <c r="O742" s="53">
        <f t="shared" si="406"/>
        <v>7</v>
      </c>
      <c r="P742" s="53">
        <f t="shared" si="407"/>
        <v>2025</v>
      </c>
    </row>
    <row r="743" spans="1:16" customFormat="1" x14ac:dyDescent="0.25">
      <c r="A743">
        <v>3000003749</v>
      </c>
      <c r="B743" s="22">
        <v>45846</v>
      </c>
      <c r="C743" s="4">
        <v>13000000</v>
      </c>
      <c r="D743" t="s">
        <v>683</v>
      </c>
      <c r="E743">
        <v>1567</v>
      </c>
      <c r="F743" s="4">
        <v>13000000</v>
      </c>
      <c r="G743" s="3">
        <v>45849</v>
      </c>
      <c r="H743" t="s">
        <v>32</v>
      </c>
      <c r="I743" s="51" t="str">
        <f>IFERROR(IF(VLOOKUP(E743,extracto!C:C,1,FALSE)=E743,"pagado","no pagado"),"no pagado")</f>
        <v>pagado</v>
      </c>
      <c r="J743" s="52" t="str">
        <f t="shared" si="402"/>
        <v>pagado</v>
      </c>
      <c r="K743" s="51" t="str">
        <f t="shared" ca="1" si="403"/>
        <v>excluir</v>
      </c>
      <c r="L743" s="51" t="str">
        <f t="shared" ca="1" si="404"/>
        <v>no semana</v>
      </c>
      <c r="M743" s="51" t="str">
        <f>IFERROR(VLOOKUP(E743,'cheques a conf'!A:D,4,FALSE),"no clearing")</f>
        <v>no clearing</v>
      </c>
      <c r="N743" s="51">
        <f t="shared" si="405"/>
        <v>28</v>
      </c>
      <c r="O743" s="53">
        <f t="shared" si="406"/>
        <v>7</v>
      </c>
      <c r="P743" s="53">
        <f t="shared" si="407"/>
        <v>2025</v>
      </c>
    </row>
    <row r="744" spans="1:16" customFormat="1" x14ac:dyDescent="0.25">
      <c r="A744">
        <v>3000003749</v>
      </c>
      <c r="B744" s="22">
        <v>45846</v>
      </c>
      <c r="C744" s="4">
        <v>10211664</v>
      </c>
      <c r="D744" t="s">
        <v>683</v>
      </c>
      <c r="E744">
        <v>1568</v>
      </c>
      <c r="F744" s="4">
        <v>10211664</v>
      </c>
      <c r="G744" s="3">
        <v>45852</v>
      </c>
      <c r="H744" t="s">
        <v>32</v>
      </c>
      <c r="I744" s="51" t="str">
        <f>IFERROR(IF(VLOOKUP(E744,extracto!C:C,1,FALSE)=E744,"pagado","no pagado"),"no pagado")</f>
        <v>pagado</v>
      </c>
      <c r="J744" s="52" t="str">
        <f t="shared" si="402"/>
        <v>pagado</v>
      </c>
      <c r="K744" s="51" t="str">
        <f t="shared" ca="1" si="403"/>
        <v>excluir</v>
      </c>
      <c r="L744" s="51" t="str">
        <f t="shared" ca="1" si="404"/>
        <v>no semana</v>
      </c>
      <c r="M744" s="51" t="str">
        <f>IFERROR(VLOOKUP(E744,'cheques a conf'!A:D,4,FALSE),"no clearing")</f>
        <v>no clearing</v>
      </c>
      <c r="N744" s="51">
        <f t="shared" si="405"/>
        <v>29</v>
      </c>
      <c r="O744" s="53">
        <f t="shared" si="406"/>
        <v>7</v>
      </c>
      <c r="P744" s="53">
        <f t="shared" si="407"/>
        <v>2025</v>
      </c>
    </row>
    <row r="745" spans="1:16" customFormat="1" x14ac:dyDescent="0.25">
      <c r="A745">
        <v>3000003750</v>
      </c>
      <c r="B745" s="22">
        <v>45846</v>
      </c>
      <c r="C745" s="4">
        <v>36000000</v>
      </c>
      <c r="D745" t="s">
        <v>644</v>
      </c>
      <c r="E745">
        <v>1569</v>
      </c>
      <c r="F745" s="4">
        <v>36000000</v>
      </c>
      <c r="G745" s="3">
        <v>45849</v>
      </c>
      <c r="H745" t="s">
        <v>32</v>
      </c>
      <c r="I745" s="51" t="str">
        <f>IFERROR(IF(VLOOKUP(E745,extracto!C:C,1,FALSE)=E745,"pagado","no pagado"),"no pagado")</f>
        <v>pagado</v>
      </c>
      <c r="J745" s="52" t="str">
        <f t="shared" si="402"/>
        <v>pagado</v>
      </c>
      <c r="K745" s="51" t="str">
        <f t="shared" ca="1" si="403"/>
        <v>excluir</v>
      </c>
      <c r="L745" s="51" t="str">
        <f t="shared" ca="1" si="404"/>
        <v>no semana</v>
      </c>
      <c r="M745" s="51" t="str">
        <f>IFERROR(VLOOKUP(E745,'cheques a conf'!A:D,4,FALSE),"no clearing")</f>
        <v>no clearing</v>
      </c>
      <c r="N745" s="51">
        <f t="shared" si="405"/>
        <v>28</v>
      </c>
      <c r="O745" s="53">
        <f t="shared" si="406"/>
        <v>7</v>
      </c>
      <c r="P745" s="53">
        <f t="shared" si="407"/>
        <v>2025</v>
      </c>
    </row>
    <row r="746" spans="1:16" customFormat="1" x14ac:dyDescent="0.25">
      <c r="A746">
        <v>3000003750</v>
      </c>
      <c r="B746" s="22">
        <v>45846</v>
      </c>
      <c r="C746" s="4">
        <v>30093588.199999999</v>
      </c>
      <c r="D746" t="s">
        <v>644</v>
      </c>
      <c r="E746">
        <v>1570</v>
      </c>
      <c r="F746" s="4">
        <v>30093588.199999999</v>
      </c>
      <c r="G746" s="3">
        <v>45852</v>
      </c>
      <c r="H746" t="s">
        <v>32</v>
      </c>
      <c r="I746" s="51" t="str">
        <f>IFERROR(IF(VLOOKUP(E746,extracto!C:C,1,FALSE)=E746,"pagado","no pagado"),"no pagado")</f>
        <v>pagado</v>
      </c>
      <c r="J746" s="52" t="str">
        <f t="shared" si="402"/>
        <v>pagado</v>
      </c>
      <c r="K746" s="51" t="str">
        <f t="shared" ca="1" si="403"/>
        <v>excluir</v>
      </c>
      <c r="L746" s="51" t="str">
        <f t="shared" ca="1" si="404"/>
        <v>no semana</v>
      </c>
      <c r="M746" s="51" t="str">
        <f>IFERROR(VLOOKUP(E746,'cheques a conf'!A:D,4,FALSE),"no clearing")</f>
        <v>no clearing</v>
      </c>
      <c r="N746" s="51">
        <f t="shared" si="405"/>
        <v>29</v>
      </c>
      <c r="O746" s="53">
        <f t="shared" si="406"/>
        <v>7</v>
      </c>
      <c r="P746" s="53">
        <f t="shared" si="407"/>
        <v>2025</v>
      </c>
    </row>
    <row r="747" spans="1:16" customFormat="1" x14ac:dyDescent="0.25">
      <c r="A747">
        <v>3000003751</v>
      </c>
      <c r="B747" s="22">
        <v>45846</v>
      </c>
      <c r="C747" s="4">
        <v>20000000</v>
      </c>
      <c r="D747" t="s">
        <v>631</v>
      </c>
      <c r="E747">
        <v>1571</v>
      </c>
      <c r="F747" s="4">
        <v>20000000</v>
      </c>
      <c r="G747" s="3">
        <v>45849</v>
      </c>
      <c r="H747" t="s">
        <v>32</v>
      </c>
      <c r="I747" s="51" t="str">
        <f>IFERROR(IF(VLOOKUP(E747,extracto!C:C,1,FALSE)=E747,"pagado","no pagado"),"no pagado")</f>
        <v>pagado</v>
      </c>
      <c r="J747" s="52" t="str">
        <f t="shared" si="402"/>
        <v>pagado</v>
      </c>
      <c r="K747" s="51" t="str">
        <f t="shared" ca="1" si="403"/>
        <v>excluir</v>
      </c>
      <c r="L747" s="51" t="str">
        <f t="shared" ca="1" si="404"/>
        <v>no semana</v>
      </c>
      <c r="M747" s="51" t="str">
        <f>IFERROR(VLOOKUP(E747,'cheques a conf'!A:D,4,FALSE),"no clearing")</f>
        <v>no clearing</v>
      </c>
      <c r="N747" s="51">
        <f t="shared" si="405"/>
        <v>28</v>
      </c>
      <c r="O747" s="53">
        <f t="shared" si="406"/>
        <v>7</v>
      </c>
      <c r="P747" s="53">
        <f t="shared" si="407"/>
        <v>2025</v>
      </c>
    </row>
    <row r="748" spans="1:16" customFormat="1" x14ac:dyDescent="0.25">
      <c r="A748">
        <v>3000003751</v>
      </c>
      <c r="B748" s="22">
        <v>45846</v>
      </c>
      <c r="C748" s="4">
        <v>18158856.329999998</v>
      </c>
      <c r="D748" t="s">
        <v>631</v>
      </c>
      <c r="E748">
        <v>1572</v>
      </c>
      <c r="F748" s="4">
        <v>18158856.329999998</v>
      </c>
      <c r="G748" s="3">
        <v>45852</v>
      </c>
      <c r="H748" t="s">
        <v>32</v>
      </c>
      <c r="I748" s="51" t="str">
        <f>IFERROR(IF(VLOOKUP(E748,extracto!C:C,1,FALSE)=E748,"pagado","no pagado"),"no pagado")</f>
        <v>pagado</v>
      </c>
      <c r="J748" s="52" t="str">
        <f t="shared" si="402"/>
        <v>pagado</v>
      </c>
      <c r="K748" s="51" t="str">
        <f t="shared" ca="1" si="403"/>
        <v>excluir</v>
      </c>
      <c r="L748" s="51" t="str">
        <f t="shared" ca="1" si="404"/>
        <v>no semana</v>
      </c>
      <c r="M748" s="51" t="str">
        <f>IFERROR(VLOOKUP(E748,'cheques a conf'!A:D,4,FALSE),"no clearing")</f>
        <v>no clearing</v>
      </c>
      <c r="N748" s="51">
        <f t="shared" si="405"/>
        <v>29</v>
      </c>
      <c r="O748" s="53">
        <f t="shared" si="406"/>
        <v>7</v>
      </c>
      <c r="P748" s="53">
        <f t="shared" si="407"/>
        <v>2025</v>
      </c>
    </row>
    <row r="749" spans="1:16" customFormat="1" x14ac:dyDescent="0.25">
      <c r="A749">
        <v>3000003752</v>
      </c>
      <c r="B749" s="22">
        <v>45846</v>
      </c>
      <c r="C749" s="4">
        <v>15000000</v>
      </c>
      <c r="D749" t="s">
        <v>626</v>
      </c>
      <c r="E749">
        <v>1573</v>
      </c>
      <c r="F749" s="4">
        <v>15000000</v>
      </c>
      <c r="G749" s="3">
        <v>45849</v>
      </c>
      <c r="H749" t="s">
        <v>32</v>
      </c>
      <c r="I749" s="51" t="str">
        <f>IFERROR(IF(VLOOKUP(E749,extracto!C:C,1,FALSE)=E749,"pagado","no pagado"),"no pagado")</f>
        <v>pagado</v>
      </c>
      <c r="J749" s="52" t="str">
        <f t="shared" si="402"/>
        <v>pagado</v>
      </c>
      <c r="K749" s="51" t="str">
        <f t="shared" ca="1" si="403"/>
        <v>excluir</v>
      </c>
      <c r="L749" s="51" t="str">
        <f t="shared" ca="1" si="404"/>
        <v>no semana</v>
      </c>
      <c r="M749" s="51" t="str">
        <f>IFERROR(VLOOKUP(E749,'cheques a conf'!A:D,4,FALSE),"no clearing")</f>
        <v>no clearing</v>
      </c>
      <c r="N749" s="51">
        <f t="shared" si="405"/>
        <v>28</v>
      </c>
      <c r="O749" s="53">
        <f t="shared" si="406"/>
        <v>7</v>
      </c>
      <c r="P749" s="53">
        <f t="shared" si="407"/>
        <v>2025</v>
      </c>
    </row>
    <row r="750" spans="1:16" customFormat="1" x14ac:dyDescent="0.25">
      <c r="A750">
        <v>3000003752</v>
      </c>
      <c r="B750" s="22">
        <v>45846</v>
      </c>
      <c r="C750" s="4">
        <v>12332042.08</v>
      </c>
      <c r="D750" t="s">
        <v>626</v>
      </c>
      <c r="E750">
        <v>1574</v>
      </c>
      <c r="F750" s="4">
        <v>12332042.08</v>
      </c>
      <c r="G750" s="3">
        <v>45852</v>
      </c>
      <c r="H750" t="s">
        <v>32</v>
      </c>
      <c r="I750" s="51" t="str">
        <f>IFERROR(IF(VLOOKUP(E750,extracto!C:C,1,FALSE)=E750,"pagado","no pagado"),"no pagado")</f>
        <v>pagado</v>
      </c>
      <c r="J750" s="52" t="str">
        <f t="shared" si="402"/>
        <v>pagado</v>
      </c>
      <c r="K750" s="51" t="str">
        <f t="shared" ca="1" si="403"/>
        <v>excluir</v>
      </c>
      <c r="L750" s="51" t="str">
        <f t="shared" ca="1" si="404"/>
        <v>no semana</v>
      </c>
      <c r="M750" s="51" t="str">
        <f>IFERROR(VLOOKUP(E750,'cheques a conf'!A:D,4,FALSE),"no clearing")</f>
        <v>no clearing</v>
      </c>
      <c r="N750" s="51">
        <f t="shared" si="405"/>
        <v>29</v>
      </c>
      <c r="O750" s="53">
        <f t="shared" si="406"/>
        <v>7</v>
      </c>
      <c r="P750" s="53">
        <f t="shared" si="407"/>
        <v>2025</v>
      </c>
    </row>
    <row r="751" spans="1:16" customFormat="1" x14ac:dyDescent="0.25">
      <c r="A751">
        <v>3000003753</v>
      </c>
      <c r="B751" s="22">
        <v>45846</v>
      </c>
      <c r="C751" s="4">
        <v>12752756.26</v>
      </c>
      <c r="D751" t="s">
        <v>640</v>
      </c>
      <c r="E751">
        <v>1575</v>
      </c>
      <c r="F751" s="4">
        <v>12752756.26</v>
      </c>
      <c r="G751" s="3">
        <v>45849</v>
      </c>
      <c r="H751" t="s">
        <v>32</v>
      </c>
      <c r="I751" s="51" t="str">
        <f>IFERROR(IF(VLOOKUP(E751,extracto!C:C,1,FALSE)=E751,"pagado","no pagado"),"no pagado")</f>
        <v>pagado</v>
      </c>
      <c r="J751" s="52" t="str">
        <f t="shared" si="402"/>
        <v>pagado</v>
      </c>
      <c r="K751" s="51" t="str">
        <f t="shared" ca="1" si="403"/>
        <v>excluir</v>
      </c>
      <c r="L751" s="51" t="str">
        <f t="shared" ca="1" si="404"/>
        <v>no semana</v>
      </c>
      <c r="M751" s="51" t="str">
        <f>IFERROR(VLOOKUP(E751,'cheques a conf'!A:D,4,FALSE),"no clearing")</f>
        <v>no clearing</v>
      </c>
      <c r="N751" s="51">
        <f t="shared" si="405"/>
        <v>28</v>
      </c>
      <c r="O751" s="53">
        <f t="shared" si="406"/>
        <v>7</v>
      </c>
      <c r="P751" s="53">
        <f t="shared" si="407"/>
        <v>2025</v>
      </c>
    </row>
    <row r="752" spans="1:16" customFormat="1" x14ac:dyDescent="0.25">
      <c r="A752">
        <v>3000003754</v>
      </c>
      <c r="B752" s="22">
        <v>45846</v>
      </c>
      <c r="C752" s="4">
        <v>10000000</v>
      </c>
      <c r="D752" t="s">
        <v>595</v>
      </c>
      <c r="E752">
        <v>1576</v>
      </c>
      <c r="F752" s="4">
        <v>10000000</v>
      </c>
      <c r="G752" s="3">
        <v>45849</v>
      </c>
      <c r="H752" t="s">
        <v>32</v>
      </c>
      <c r="I752" s="51" t="str">
        <f>IFERROR(IF(VLOOKUP(E752,extracto!C:C,1,FALSE)=E752,"pagado","no pagado"),"no pagado")</f>
        <v>pagado</v>
      </c>
      <c r="J752" s="52" t="str">
        <f t="shared" si="402"/>
        <v>pagado</v>
      </c>
      <c r="K752" s="51" t="str">
        <f t="shared" ca="1" si="403"/>
        <v>excluir</v>
      </c>
      <c r="L752" s="51" t="str">
        <f t="shared" ca="1" si="404"/>
        <v>no semana</v>
      </c>
      <c r="M752" s="51" t="str">
        <f>IFERROR(VLOOKUP(E752,'cheques a conf'!A:D,4,FALSE),"no clearing")</f>
        <v>no clearing</v>
      </c>
      <c r="N752" s="51">
        <f t="shared" si="405"/>
        <v>28</v>
      </c>
      <c r="O752" s="53">
        <f t="shared" si="406"/>
        <v>7</v>
      </c>
      <c r="P752" s="53">
        <f t="shared" si="407"/>
        <v>2025</v>
      </c>
    </row>
    <row r="753" spans="1:16" customFormat="1" x14ac:dyDescent="0.25">
      <c r="A753">
        <v>3000003754</v>
      </c>
      <c r="B753" s="22">
        <v>45846</v>
      </c>
      <c r="C753" s="4">
        <v>10000000</v>
      </c>
      <c r="D753" t="s">
        <v>595</v>
      </c>
      <c r="E753">
        <v>1577</v>
      </c>
      <c r="F753" s="4">
        <v>10000000</v>
      </c>
      <c r="G753" s="3">
        <v>45849</v>
      </c>
      <c r="H753" t="s">
        <v>32</v>
      </c>
      <c r="I753" s="51" t="str">
        <f>IFERROR(IF(VLOOKUP(E753,extracto!C:C,1,FALSE)=E753,"pagado","no pagado"),"no pagado")</f>
        <v>pagado</v>
      </c>
      <c r="J753" s="52" t="str">
        <f t="shared" si="402"/>
        <v>pagado</v>
      </c>
      <c r="K753" s="51" t="str">
        <f t="shared" ca="1" si="403"/>
        <v>excluir</v>
      </c>
      <c r="L753" s="51" t="str">
        <f t="shared" ca="1" si="404"/>
        <v>no semana</v>
      </c>
      <c r="M753" s="51" t="str">
        <f>IFERROR(VLOOKUP(E753,'cheques a conf'!A:D,4,FALSE),"no clearing")</f>
        <v>no clearing</v>
      </c>
      <c r="N753" s="51">
        <f t="shared" si="405"/>
        <v>28</v>
      </c>
      <c r="O753" s="53">
        <f t="shared" si="406"/>
        <v>7</v>
      </c>
      <c r="P753" s="53">
        <f t="shared" si="407"/>
        <v>2025</v>
      </c>
    </row>
    <row r="754" spans="1:16" customFormat="1" x14ac:dyDescent="0.25">
      <c r="A754">
        <v>3000003754</v>
      </c>
      <c r="B754" s="22">
        <v>45846</v>
      </c>
      <c r="C754" s="4">
        <v>10000000</v>
      </c>
      <c r="D754" t="s">
        <v>595</v>
      </c>
      <c r="E754">
        <v>1578</v>
      </c>
      <c r="F754" s="4">
        <v>10000000</v>
      </c>
      <c r="G754" s="3">
        <v>45849</v>
      </c>
      <c r="H754" t="s">
        <v>32</v>
      </c>
      <c r="I754" s="51" t="str">
        <f>IFERROR(IF(VLOOKUP(E754,extracto!C:C,1,FALSE)=E754,"pagado","no pagado"),"no pagado")</f>
        <v>pagado</v>
      </c>
      <c r="J754" s="52" t="str">
        <f t="shared" si="402"/>
        <v>pagado</v>
      </c>
      <c r="K754" s="51" t="str">
        <f t="shared" ca="1" si="403"/>
        <v>excluir</v>
      </c>
      <c r="L754" s="51" t="str">
        <f t="shared" ca="1" si="404"/>
        <v>no semana</v>
      </c>
      <c r="M754" s="51" t="str">
        <f>IFERROR(VLOOKUP(E754,'cheques a conf'!A:D,4,FALSE),"no clearing")</f>
        <v>no clearing</v>
      </c>
      <c r="N754" s="51">
        <f t="shared" si="405"/>
        <v>28</v>
      </c>
      <c r="O754" s="53">
        <f t="shared" si="406"/>
        <v>7</v>
      </c>
      <c r="P754" s="53">
        <f t="shared" si="407"/>
        <v>2025</v>
      </c>
    </row>
    <row r="755" spans="1:16" customFormat="1" x14ac:dyDescent="0.25">
      <c r="A755">
        <v>3000003754</v>
      </c>
      <c r="B755" s="22">
        <v>45846</v>
      </c>
      <c r="C755" s="4">
        <v>10000000</v>
      </c>
      <c r="D755" t="s">
        <v>595</v>
      </c>
      <c r="E755">
        <v>1579</v>
      </c>
      <c r="F755" s="4">
        <v>10000000</v>
      </c>
      <c r="G755" s="3">
        <v>45849</v>
      </c>
      <c r="H755" t="s">
        <v>32</v>
      </c>
      <c r="I755" s="51" t="str">
        <f>IFERROR(IF(VLOOKUP(E755,extracto!C:C,1,FALSE)=E755,"pagado","no pagado"),"no pagado")</f>
        <v>pagado</v>
      </c>
      <c r="J755" s="52" t="str">
        <f t="shared" si="402"/>
        <v>pagado</v>
      </c>
      <c r="K755" s="51" t="str">
        <f t="shared" ca="1" si="403"/>
        <v>excluir</v>
      </c>
      <c r="L755" s="51" t="str">
        <f t="shared" ca="1" si="404"/>
        <v>no semana</v>
      </c>
      <c r="M755" s="51" t="str">
        <f>IFERROR(VLOOKUP(E755,'cheques a conf'!A:D,4,FALSE),"no clearing")</f>
        <v>no clearing</v>
      </c>
      <c r="N755" s="51">
        <f t="shared" si="405"/>
        <v>28</v>
      </c>
      <c r="O755" s="53">
        <f t="shared" si="406"/>
        <v>7</v>
      </c>
      <c r="P755" s="53">
        <f t="shared" si="407"/>
        <v>2025</v>
      </c>
    </row>
    <row r="756" spans="1:16" customFormat="1" x14ac:dyDescent="0.25">
      <c r="A756">
        <v>3000003754</v>
      </c>
      <c r="B756" s="22">
        <v>45846</v>
      </c>
      <c r="C756" s="4">
        <v>20000000</v>
      </c>
      <c r="D756" t="s">
        <v>595</v>
      </c>
      <c r="E756">
        <v>1580</v>
      </c>
      <c r="F756" s="4">
        <v>20000000</v>
      </c>
      <c r="G756" s="3">
        <v>45852</v>
      </c>
      <c r="H756" t="s">
        <v>32</v>
      </c>
      <c r="I756" s="51" t="str">
        <f>IFERROR(IF(VLOOKUP(E756,extracto!C:C,1,FALSE)=E756,"pagado","no pagado"),"no pagado")</f>
        <v>pagado</v>
      </c>
      <c r="J756" s="52" t="str">
        <f t="shared" si="402"/>
        <v>pagado</v>
      </c>
      <c r="K756" s="51" t="str">
        <f t="shared" ca="1" si="403"/>
        <v>excluir</v>
      </c>
      <c r="L756" s="51" t="str">
        <f t="shared" ca="1" si="404"/>
        <v>no semana</v>
      </c>
      <c r="M756" s="51" t="str">
        <f>IFERROR(VLOOKUP(E756,'cheques a conf'!A:D,4,FALSE),"no clearing")</f>
        <v>no clearing</v>
      </c>
      <c r="N756" s="51">
        <f t="shared" si="405"/>
        <v>29</v>
      </c>
      <c r="O756" s="53">
        <f t="shared" si="406"/>
        <v>7</v>
      </c>
      <c r="P756" s="53">
        <f t="shared" si="407"/>
        <v>2025</v>
      </c>
    </row>
    <row r="757" spans="1:16" customFormat="1" x14ac:dyDescent="0.25">
      <c r="A757">
        <v>3000003754</v>
      </c>
      <c r="B757" s="22">
        <v>45846</v>
      </c>
      <c r="C757" s="4">
        <v>23236134.239999998</v>
      </c>
      <c r="D757" t="s">
        <v>595</v>
      </c>
      <c r="E757">
        <v>1581</v>
      </c>
      <c r="F757" s="4">
        <v>23236134.239999998</v>
      </c>
      <c r="G757" s="3">
        <v>45852</v>
      </c>
      <c r="H757" t="s">
        <v>32</v>
      </c>
      <c r="I757" s="51" t="str">
        <f>IFERROR(IF(VLOOKUP(E757,extracto!C:C,1,FALSE)=E757,"pagado","no pagado"),"no pagado")</f>
        <v>pagado</v>
      </c>
      <c r="J757" s="52" t="str">
        <f t="shared" si="402"/>
        <v>pagado</v>
      </c>
      <c r="K757" s="51" t="str">
        <f t="shared" ca="1" si="403"/>
        <v>excluir</v>
      </c>
      <c r="L757" s="51" t="str">
        <f t="shared" ca="1" si="404"/>
        <v>no semana</v>
      </c>
      <c r="M757" s="51" t="str">
        <f>IFERROR(VLOOKUP(E757,'cheques a conf'!A:D,4,FALSE),"no clearing")</f>
        <v>no clearing</v>
      </c>
      <c r="N757" s="51">
        <f t="shared" si="405"/>
        <v>29</v>
      </c>
      <c r="O757" s="53">
        <f t="shared" si="406"/>
        <v>7</v>
      </c>
      <c r="P757" s="53">
        <f t="shared" si="407"/>
        <v>2025</v>
      </c>
    </row>
    <row r="758" spans="1:16" customFormat="1" x14ac:dyDescent="0.25">
      <c r="A758">
        <v>3000003755</v>
      </c>
      <c r="B758" s="22">
        <v>45846</v>
      </c>
      <c r="C758" s="4">
        <v>15939620.75</v>
      </c>
      <c r="D758" t="s">
        <v>719</v>
      </c>
      <c r="E758">
        <v>1582</v>
      </c>
      <c r="F758" s="4">
        <v>15939620.75</v>
      </c>
      <c r="G758" s="3">
        <v>45849</v>
      </c>
      <c r="H758" t="s">
        <v>32</v>
      </c>
      <c r="I758" s="51" t="str">
        <f>IFERROR(IF(VLOOKUP(E758,extracto!C:C,1,FALSE)=E758,"pagado","no pagado"),"no pagado")</f>
        <v>pagado</v>
      </c>
      <c r="J758" s="52" t="str">
        <f t="shared" si="402"/>
        <v>pagado</v>
      </c>
      <c r="K758" s="51" t="str">
        <f t="shared" ca="1" si="403"/>
        <v>excluir</v>
      </c>
      <c r="L758" s="51" t="str">
        <f t="shared" ca="1" si="404"/>
        <v>no semana</v>
      </c>
      <c r="M758" s="51" t="str">
        <f>IFERROR(VLOOKUP(E758,'cheques a conf'!A:D,4,FALSE),"no clearing")</f>
        <v>no clearing</v>
      </c>
      <c r="N758" s="51">
        <f t="shared" si="405"/>
        <v>28</v>
      </c>
      <c r="O758" s="53">
        <f t="shared" si="406"/>
        <v>7</v>
      </c>
      <c r="P758" s="53">
        <f t="shared" si="407"/>
        <v>2025</v>
      </c>
    </row>
    <row r="759" spans="1:16" customFormat="1" x14ac:dyDescent="0.25">
      <c r="A759">
        <v>3000003811</v>
      </c>
      <c r="B759" s="22">
        <v>45848</v>
      </c>
      <c r="C759" s="4">
        <v>6710848.5599999996</v>
      </c>
      <c r="D759" t="s">
        <v>680</v>
      </c>
      <c r="E759">
        <v>1583</v>
      </c>
      <c r="F759" s="4">
        <v>6710848.5599999996</v>
      </c>
      <c r="G759" s="3">
        <v>45853</v>
      </c>
      <c r="H759" t="s">
        <v>32</v>
      </c>
      <c r="I759" s="51" t="str">
        <f>IFERROR(IF(VLOOKUP(E759,extracto!C:C,1,FALSE)=E759,"pagado","no pagado"),"no pagado")</f>
        <v>pagado</v>
      </c>
      <c r="J759" s="52" t="str">
        <f t="shared" si="402"/>
        <v>pagado</v>
      </c>
      <c r="K759" s="51" t="str">
        <f t="shared" ca="1" si="403"/>
        <v>excluir</v>
      </c>
      <c r="L759" s="51" t="str">
        <f t="shared" ca="1" si="404"/>
        <v>no semana</v>
      </c>
      <c r="M759" s="51" t="str">
        <f>IFERROR(VLOOKUP(E759,'cheques a conf'!A:D,4,FALSE),"no clearing")</f>
        <v>no clearing</v>
      </c>
      <c r="N759" s="51">
        <f t="shared" si="405"/>
        <v>29</v>
      </c>
      <c r="O759" s="53">
        <f t="shared" si="406"/>
        <v>7</v>
      </c>
      <c r="P759" s="53">
        <f t="shared" si="407"/>
        <v>2025</v>
      </c>
    </row>
    <row r="760" spans="1:16" customFormat="1" x14ac:dyDescent="0.25">
      <c r="A760">
        <v>3000003812</v>
      </c>
      <c r="B760" s="22">
        <v>45848</v>
      </c>
      <c r="C760" s="4">
        <v>6753755.9000000004</v>
      </c>
      <c r="D760" t="s">
        <v>663</v>
      </c>
      <c r="E760">
        <v>1584</v>
      </c>
      <c r="F760" s="4">
        <v>6753755.9000000004</v>
      </c>
      <c r="G760" s="3">
        <v>45853</v>
      </c>
      <c r="H760" t="s">
        <v>32</v>
      </c>
      <c r="I760" s="51" t="str">
        <f>IFERROR(IF(VLOOKUP(E760,extracto!C:C,1,FALSE)=E760,"pagado","no pagado"),"no pagado")</f>
        <v>pagado</v>
      </c>
      <c r="J760" s="52" t="str">
        <f t="shared" si="402"/>
        <v>pagado</v>
      </c>
      <c r="K760" s="51" t="str">
        <f t="shared" ca="1" si="403"/>
        <v>excluir</v>
      </c>
      <c r="L760" s="51" t="str">
        <f t="shared" ca="1" si="404"/>
        <v>no semana</v>
      </c>
      <c r="M760" s="51" t="str">
        <f>IFERROR(VLOOKUP(E760,'cheques a conf'!A:D,4,FALSE),"no clearing")</f>
        <v>no clearing</v>
      </c>
      <c r="N760" s="51">
        <f t="shared" si="405"/>
        <v>29</v>
      </c>
      <c r="O760" s="53">
        <f t="shared" si="406"/>
        <v>7</v>
      </c>
      <c r="P760" s="53">
        <f t="shared" si="407"/>
        <v>2025</v>
      </c>
    </row>
    <row r="761" spans="1:16" customFormat="1" x14ac:dyDescent="0.25">
      <c r="A761">
        <v>3000003813</v>
      </c>
      <c r="B761" s="22">
        <v>45848</v>
      </c>
      <c r="C761" s="4">
        <v>4831229.0199999996</v>
      </c>
      <c r="D761" t="s">
        <v>694</v>
      </c>
      <c r="E761">
        <v>1585</v>
      </c>
      <c r="F761" s="4">
        <v>4831229.0199999996</v>
      </c>
      <c r="G761" s="3">
        <v>45853</v>
      </c>
      <c r="H761" t="s">
        <v>32</v>
      </c>
      <c r="I761" s="51" t="str">
        <f>IFERROR(IF(VLOOKUP(E761,extracto!C:C,1,FALSE)=E761,"pagado","no pagado"),"no pagado")</f>
        <v>pagado</v>
      </c>
      <c r="J761" s="52" t="str">
        <f t="shared" si="402"/>
        <v>pagado</v>
      </c>
      <c r="K761" s="51" t="str">
        <f t="shared" ca="1" si="403"/>
        <v>excluir</v>
      </c>
      <c r="L761" s="51" t="str">
        <f t="shared" ca="1" si="404"/>
        <v>no semana</v>
      </c>
      <c r="M761" s="51" t="str">
        <f>IFERROR(VLOOKUP(E761,'cheques a conf'!A:D,4,FALSE),"no clearing")</f>
        <v>no clearing</v>
      </c>
      <c r="N761" s="51">
        <f t="shared" si="405"/>
        <v>29</v>
      </c>
      <c r="O761" s="53">
        <f t="shared" si="406"/>
        <v>7</v>
      </c>
      <c r="P761" s="53">
        <f t="shared" si="407"/>
        <v>2025</v>
      </c>
    </row>
    <row r="762" spans="1:16" customFormat="1" x14ac:dyDescent="0.25">
      <c r="A762">
        <v>3000003814</v>
      </c>
      <c r="B762" s="22">
        <v>45848</v>
      </c>
      <c r="C762" s="4">
        <v>17357672.760000002</v>
      </c>
      <c r="D762" t="s">
        <v>618</v>
      </c>
      <c r="E762">
        <v>1586</v>
      </c>
      <c r="F762" s="4">
        <v>17357672.760000002</v>
      </c>
      <c r="G762" s="3">
        <v>45853</v>
      </c>
      <c r="H762" t="s">
        <v>32</v>
      </c>
      <c r="I762" s="51" t="str">
        <f>IFERROR(IF(VLOOKUP(E762,extracto!C:C,1,FALSE)=E762,"pagado","no pagado"),"no pagado")</f>
        <v>pagado</v>
      </c>
      <c r="J762" s="52" t="str">
        <f t="shared" si="402"/>
        <v>pagado</v>
      </c>
      <c r="K762" s="51" t="str">
        <f t="shared" ca="1" si="403"/>
        <v>excluir</v>
      </c>
      <c r="L762" s="51" t="str">
        <f t="shared" ca="1" si="404"/>
        <v>no semana</v>
      </c>
      <c r="M762" s="51" t="str">
        <f>IFERROR(VLOOKUP(E762,'cheques a conf'!A:D,4,FALSE),"no clearing")</f>
        <v>no clearing</v>
      </c>
      <c r="N762" s="51">
        <f t="shared" si="405"/>
        <v>29</v>
      </c>
      <c r="O762" s="53">
        <f t="shared" si="406"/>
        <v>7</v>
      </c>
      <c r="P762" s="53">
        <f t="shared" si="407"/>
        <v>2025</v>
      </c>
    </row>
    <row r="763" spans="1:16" customFormat="1" x14ac:dyDescent="0.25">
      <c r="A763">
        <v>3000003815</v>
      </c>
      <c r="B763" s="22">
        <v>45848</v>
      </c>
      <c r="C763" s="4">
        <v>20000000</v>
      </c>
      <c r="D763" t="s">
        <v>613</v>
      </c>
      <c r="E763">
        <v>1587</v>
      </c>
      <c r="F763" s="4">
        <v>20000000</v>
      </c>
      <c r="G763" s="3">
        <v>45853</v>
      </c>
      <c r="H763" t="s">
        <v>32</v>
      </c>
      <c r="I763" s="51" t="str">
        <f>IFERROR(IF(VLOOKUP(E763,extracto!C:C,1,FALSE)=E763,"pagado","no pagado"),"no pagado")</f>
        <v>pagado</v>
      </c>
      <c r="J763" s="52" t="str">
        <f t="shared" si="402"/>
        <v>pagado</v>
      </c>
      <c r="K763" s="51" t="str">
        <f t="shared" ca="1" si="403"/>
        <v>excluir</v>
      </c>
      <c r="L763" s="51" t="str">
        <f t="shared" ca="1" si="404"/>
        <v>no semana</v>
      </c>
      <c r="M763" s="51" t="str">
        <f>IFERROR(VLOOKUP(E763,'cheques a conf'!A:D,4,FALSE),"no clearing")</f>
        <v>no clearing</v>
      </c>
      <c r="N763" s="51">
        <f t="shared" si="405"/>
        <v>29</v>
      </c>
      <c r="O763" s="53">
        <f t="shared" si="406"/>
        <v>7</v>
      </c>
      <c r="P763" s="53">
        <f t="shared" si="407"/>
        <v>2025</v>
      </c>
    </row>
    <row r="764" spans="1:16" customFormat="1" x14ac:dyDescent="0.25">
      <c r="A764">
        <v>3000003815</v>
      </c>
      <c r="B764" s="22">
        <v>45848</v>
      </c>
      <c r="C764" s="4">
        <v>14533641.789999999</v>
      </c>
      <c r="D764" t="s">
        <v>613</v>
      </c>
      <c r="E764">
        <v>1588</v>
      </c>
      <c r="F764" s="4">
        <v>14533641.789999999</v>
      </c>
      <c r="G764" s="3">
        <v>45853</v>
      </c>
      <c r="H764" t="s">
        <v>32</v>
      </c>
      <c r="I764" s="51" t="str">
        <f>IFERROR(IF(VLOOKUP(E764,extracto!C:C,1,FALSE)=E764,"pagado","no pagado"),"no pagado")</f>
        <v>pagado</v>
      </c>
      <c r="J764" s="52" t="str">
        <f t="shared" si="402"/>
        <v>pagado</v>
      </c>
      <c r="K764" s="51" t="str">
        <f t="shared" ca="1" si="403"/>
        <v>excluir</v>
      </c>
      <c r="L764" s="51" t="str">
        <f t="shared" ca="1" si="404"/>
        <v>no semana</v>
      </c>
      <c r="M764" s="51" t="str">
        <f>IFERROR(VLOOKUP(E764,'cheques a conf'!A:D,4,FALSE),"no clearing")</f>
        <v>no clearing</v>
      </c>
      <c r="N764" s="51">
        <f t="shared" si="405"/>
        <v>29</v>
      </c>
      <c r="O764" s="53">
        <f t="shared" si="406"/>
        <v>7</v>
      </c>
      <c r="P764" s="53">
        <f t="shared" si="407"/>
        <v>2025</v>
      </c>
    </row>
    <row r="765" spans="1:16" customFormat="1" x14ac:dyDescent="0.25">
      <c r="A765">
        <v>3000003816</v>
      </c>
      <c r="B765" s="22">
        <v>45848</v>
      </c>
      <c r="C765" s="20">
        <v>0</v>
      </c>
      <c r="D765" s="21" t="s">
        <v>162</v>
      </c>
      <c r="E765">
        <v>1589</v>
      </c>
      <c r="F765" s="20">
        <v>0</v>
      </c>
      <c r="G765" s="3">
        <v>45853</v>
      </c>
      <c r="H765" t="s">
        <v>32</v>
      </c>
      <c r="I765" s="51" t="str">
        <f>IFERROR(IF(VLOOKUP(E765,extracto!C:C,1,FALSE)=E765,"pagado","no pagado"),"no pagado")</f>
        <v>no pagado</v>
      </c>
      <c r="J765" s="52" t="str">
        <f t="shared" ca="1" si="402"/>
        <v>fuera de fecha</v>
      </c>
      <c r="K765" s="51" t="str">
        <f t="shared" ca="1" si="403"/>
        <v>excluir</v>
      </c>
      <c r="L765" s="51" t="str">
        <f t="shared" ca="1" si="404"/>
        <v>no semana</v>
      </c>
      <c r="M765" s="51" t="str">
        <f>IFERROR(VLOOKUP(E765,'cheques a conf'!A:D,4,FALSE),"no clearing")</f>
        <v>no clearing</v>
      </c>
      <c r="N765" s="51">
        <f t="shared" si="405"/>
        <v>29</v>
      </c>
      <c r="O765" s="53">
        <f t="shared" si="406"/>
        <v>7</v>
      </c>
      <c r="P765" s="53">
        <f t="shared" si="407"/>
        <v>2025</v>
      </c>
    </row>
    <row r="766" spans="1:16" customFormat="1" x14ac:dyDescent="0.25">
      <c r="A766">
        <v>3000003816</v>
      </c>
      <c r="B766" s="22">
        <v>45848</v>
      </c>
      <c r="C766" s="4">
        <v>10914260.119999999</v>
      </c>
      <c r="D766" t="s">
        <v>619</v>
      </c>
      <c r="E766">
        <v>1590</v>
      </c>
      <c r="F766" s="4">
        <v>10914260.119999999</v>
      </c>
      <c r="G766" s="3">
        <v>45853</v>
      </c>
      <c r="H766" t="s">
        <v>32</v>
      </c>
      <c r="I766" s="51" t="str">
        <f>IFERROR(IF(VLOOKUP(E766,extracto!C:C,1,FALSE)=E766,"pagado","no pagado"),"no pagado")</f>
        <v>pagado</v>
      </c>
      <c r="J766" s="52" t="str">
        <f t="shared" si="402"/>
        <v>pagado</v>
      </c>
      <c r="K766" s="51" t="str">
        <f t="shared" ca="1" si="403"/>
        <v>excluir</v>
      </c>
      <c r="L766" s="51" t="str">
        <f t="shared" ca="1" si="404"/>
        <v>no semana</v>
      </c>
      <c r="M766" s="51" t="str">
        <f>IFERROR(VLOOKUP(E766,'cheques a conf'!A:D,4,FALSE),"no clearing")</f>
        <v>no clearing</v>
      </c>
      <c r="N766" s="51">
        <f t="shared" si="405"/>
        <v>29</v>
      </c>
      <c r="O766" s="53">
        <f t="shared" si="406"/>
        <v>7</v>
      </c>
      <c r="P766" s="53">
        <f t="shared" si="407"/>
        <v>2025</v>
      </c>
    </row>
    <row r="767" spans="1:16" customFormat="1" x14ac:dyDescent="0.25">
      <c r="A767">
        <v>3000003817</v>
      </c>
      <c r="B767" s="22">
        <v>45848</v>
      </c>
      <c r="C767" s="4">
        <v>4260111.08</v>
      </c>
      <c r="D767" t="s">
        <v>612</v>
      </c>
      <c r="E767">
        <v>1591</v>
      </c>
      <c r="F767" s="4">
        <v>4260111.08</v>
      </c>
      <c r="G767" s="3">
        <v>45853</v>
      </c>
      <c r="H767" t="s">
        <v>32</v>
      </c>
      <c r="I767" s="51" t="str">
        <f>IFERROR(IF(VLOOKUP(E767,extracto!C:C,1,FALSE)=E767,"pagado","no pagado"),"no pagado")</f>
        <v>pagado</v>
      </c>
      <c r="J767" s="52" t="str">
        <f t="shared" si="402"/>
        <v>pagado</v>
      </c>
      <c r="K767" s="51" t="str">
        <f t="shared" ca="1" si="403"/>
        <v>excluir</v>
      </c>
      <c r="L767" s="51" t="str">
        <f t="shared" ca="1" si="404"/>
        <v>no semana</v>
      </c>
      <c r="M767" s="51" t="str">
        <f>IFERROR(VLOOKUP(E767,'cheques a conf'!A:D,4,FALSE),"no clearing")</f>
        <v>no clearing</v>
      </c>
      <c r="N767" s="51">
        <f t="shared" si="405"/>
        <v>29</v>
      </c>
      <c r="O767" s="53">
        <f t="shared" si="406"/>
        <v>7</v>
      </c>
      <c r="P767" s="53">
        <f t="shared" si="407"/>
        <v>2025</v>
      </c>
    </row>
    <row r="768" spans="1:16" customFormat="1" x14ac:dyDescent="0.25">
      <c r="A768">
        <v>3000003818</v>
      </c>
      <c r="B768" s="22">
        <v>45848</v>
      </c>
      <c r="C768" s="4">
        <v>8466031.1600000001</v>
      </c>
      <c r="D768" t="s">
        <v>616</v>
      </c>
      <c r="E768">
        <v>1592</v>
      </c>
      <c r="F768" s="4">
        <v>8466031.1600000001</v>
      </c>
      <c r="G768" s="3">
        <v>45853</v>
      </c>
      <c r="H768" t="s">
        <v>32</v>
      </c>
      <c r="I768" s="51" t="str">
        <f>IFERROR(IF(VLOOKUP(E768,extracto!C:C,1,FALSE)=E768,"pagado","no pagado"),"no pagado")</f>
        <v>pagado</v>
      </c>
      <c r="J768" s="52" t="str">
        <f t="shared" si="402"/>
        <v>pagado</v>
      </c>
      <c r="K768" s="51" t="str">
        <f t="shared" ca="1" si="403"/>
        <v>excluir</v>
      </c>
      <c r="L768" s="51" t="str">
        <f t="shared" ca="1" si="404"/>
        <v>no semana</v>
      </c>
      <c r="M768" s="51" t="str">
        <f>IFERROR(VLOOKUP(E768,'cheques a conf'!A:D,4,FALSE),"no clearing")</f>
        <v>no clearing</v>
      </c>
      <c r="N768" s="51">
        <f t="shared" si="405"/>
        <v>29</v>
      </c>
      <c r="O768" s="53">
        <f t="shared" si="406"/>
        <v>7</v>
      </c>
      <c r="P768" s="53">
        <f t="shared" si="407"/>
        <v>2025</v>
      </c>
    </row>
    <row r="769" spans="1:16" customFormat="1" x14ac:dyDescent="0.25">
      <c r="A769">
        <v>3000003819</v>
      </c>
      <c r="B769" s="22">
        <v>45848</v>
      </c>
      <c r="C769" s="20">
        <v>0</v>
      </c>
      <c r="D769" s="21" t="s">
        <v>162</v>
      </c>
      <c r="E769">
        <v>1593</v>
      </c>
      <c r="F769" s="20">
        <v>0</v>
      </c>
      <c r="G769" s="3">
        <v>45853</v>
      </c>
      <c r="H769" t="s">
        <v>32</v>
      </c>
      <c r="I769" s="51" t="str">
        <f>IFERROR(IF(VLOOKUP(E769,extracto!C:C,1,FALSE)=E769,"pagado","no pagado"),"no pagado")</f>
        <v>no pagado</v>
      </c>
      <c r="J769" s="52" t="str">
        <f t="shared" ca="1" si="402"/>
        <v>fuera de fecha</v>
      </c>
      <c r="K769" s="51" t="str">
        <f t="shared" ca="1" si="403"/>
        <v>excluir</v>
      </c>
      <c r="L769" s="51" t="str">
        <f t="shared" ca="1" si="404"/>
        <v>no semana</v>
      </c>
      <c r="M769" s="51" t="str">
        <f>IFERROR(VLOOKUP(E769,'cheques a conf'!A:D,4,FALSE),"no clearing")</f>
        <v>no clearing</v>
      </c>
      <c r="N769" s="51">
        <f t="shared" si="405"/>
        <v>29</v>
      </c>
      <c r="O769" s="53">
        <f t="shared" si="406"/>
        <v>7</v>
      </c>
      <c r="P769" s="53">
        <f t="shared" si="407"/>
        <v>2025</v>
      </c>
    </row>
    <row r="770" spans="1:16" customFormat="1" x14ac:dyDescent="0.25">
      <c r="A770">
        <v>3000003820</v>
      </c>
      <c r="B770" s="22">
        <v>45848</v>
      </c>
      <c r="C770" s="4">
        <v>7000000</v>
      </c>
      <c r="D770" t="s">
        <v>653</v>
      </c>
      <c r="E770">
        <v>1594</v>
      </c>
      <c r="F770" s="4">
        <v>7000000</v>
      </c>
      <c r="G770" s="3">
        <v>45853</v>
      </c>
      <c r="H770" t="s">
        <v>32</v>
      </c>
      <c r="I770" s="51" t="str">
        <f>IFERROR(IF(VLOOKUP(E770,extracto!C:C,1,FALSE)=E770,"pagado","no pagado"),"no pagado")</f>
        <v>pagado</v>
      </c>
      <c r="J770" s="52" t="str">
        <f t="shared" si="402"/>
        <v>pagado</v>
      </c>
      <c r="K770" s="51" t="str">
        <f t="shared" ca="1" si="403"/>
        <v>excluir</v>
      </c>
      <c r="L770" s="51" t="str">
        <f t="shared" ca="1" si="404"/>
        <v>no semana</v>
      </c>
      <c r="M770" s="51" t="str">
        <f>IFERROR(VLOOKUP(E770,'cheques a conf'!A:D,4,FALSE),"no clearing")</f>
        <v>no clearing</v>
      </c>
      <c r="N770" s="51">
        <f t="shared" si="405"/>
        <v>29</v>
      </c>
      <c r="O770" s="53">
        <f t="shared" si="406"/>
        <v>7</v>
      </c>
      <c r="P770" s="53">
        <f t="shared" si="407"/>
        <v>2025</v>
      </c>
    </row>
    <row r="771" spans="1:16" customFormat="1" x14ac:dyDescent="0.25">
      <c r="A771">
        <v>3000003820</v>
      </c>
      <c r="B771" s="22">
        <v>45848</v>
      </c>
      <c r="C771" s="4">
        <v>8136224.2400000002</v>
      </c>
      <c r="D771" t="s">
        <v>653</v>
      </c>
      <c r="E771">
        <v>1595</v>
      </c>
      <c r="F771" s="4">
        <v>8136224.2400000002</v>
      </c>
      <c r="G771" s="3">
        <v>45853</v>
      </c>
      <c r="H771" t="s">
        <v>32</v>
      </c>
      <c r="I771" s="51" t="str">
        <f>IFERROR(IF(VLOOKUP(E771,extracto!C:C,1,FALSE)=E771,"pagado","no pagado"),"no pagado")</f>
        <v>pagado</v>
      </c>
      <c r="J771" s="52" t="str">
        <f t="shared" si="402"/>
        <v>pagado</v>
      </c>
      <c r="K771" s="51" t="str">
        <f t="shared" ca="1" si="403"/>
        <v>excluir</v>
      </c>
      <c r="L771" s="51" t="str">
        <f t="shared" ca="1" si="404"/>
        <v>no semana</v>
      </c>
      <c r="M771" s="51" t="str">
        <f>IFERROR(VLOOKUP(E771,'cheques a conf'!A:D,4,FALSE),"no clearing")</f>
        <v>no clearing</v>
      </c>
      <c r="N771" s="51">
        <f t="shared" si="405"/>
        <v>29</v>
      </c>
      <c r="O771" s="53">
        <f t="shared" si="406"/>
        <v>7</v>
      </c>
      <c r="P771" s="53">
        <f t="shared" si="407"/>
        <v>2025</v>
      </c>
    </row>
    <row r="772" spans="1:16" x14ac:dyDescent="0.25">
      <c r="A772" s="21">
        <v>3000003900</v>
      </c>
      <c r="B772" s="22">
        <v>45852</v>
      </c>
      <c r="C772" s="20">
        <v>10261641.91</v>
      </c>
      <c r="D772" s="21" t="s">
        <v>628</v>
      </c>
      <c r="E772" s="21">
        <v>1596</v>
      </c>
      <c r="F772" s="20">
        <v>10261641.91</v>
      </c>
      <c r="G772" s="22">
        <v>45855</v>
      </c>
      <c r="H772" t="s">
        <v>32</v>
      </c>
      <c r="I772" s="40" t="str">
        <f>IFERROR(IF(VLOOKUP(E772,extracto!C:C,1,FALSE)=E772,"pagado","no pagado"),"no pagado")</f>
        <v>pagado</v>
      </c>
      <c r="J772" s="41" t="str">
        <f t="shared" si="402"/>
        <v>pagado</v>
      </c>
      <c r="K772" s="40" t="str">
        <f t="shared" ca="1" si="403"/>
        <v>excluir</v>
      </c>
      <c r="L772" s="40" t="str">
        <f t="shared" ca="1" si="404"/>
        <v>no semana</v>
      </c>
      <c r="M772" s="40" t="str">
        <f>IFERROR(VLOOKUP(E772,'cheques a conf'!A:D,4,FALSE),"no clearing")</f>
        <v>no clearing</v>
      </c>
      <c r="N772" s="40">
        <f t="shared" si="405"/>
        <v>29</v>
      </c>
      <c r="O772" s="42">
        <f t="shared" si="406"/>
        <v>7</v>
      </c>
      <c r="P772" s="42">
        <f t="shared" si="407"/>
        <v>2025</v>
      </c>
    </row>
    <row r="773" spans="1:16" x14ac:dyDescent="0.25">
      <c r="A773" s="21">
        <v>3000003901</v>
      </c>
      <c r="B773" s="22">
        <v>45852</v>
      </c>
      <c r="C773" s="20">
        <v>30000000</v>
      </c>
      <c r="D773" s="21" t="s">
        <v>75</v>
      </c>
      <c r="E773" s="21">
        <v>1597</v>
      </c>
      <c r="F773" s="20">
        <v>30000000</v>
      </c>
      <c r="G773" s="22">
        <v>45855</v>
      </c>
      <c r="H773" t="s">
        <v>32</v>
      </c>
      <c r="I773" s="40" t="str">
        <f>IFERROR(IF(VLOOKUP(E773,extracto!C:C,1,FALSE)=E773,"pagado","no pagado"),"no pagado")</f>
        <v>pagado</v>
      </c>
      <c r="J773" s="41" t="str">
        <f t="shared" si="402"/>
        <v>pagado</v>
      </c>
      <c r="K773" s="40" t="str">
        <f t="shared" ca="1" si="403"/>
        <v>excluir</v>
      </c>
      <c r="L773" s="40" t="str">
        <f t="shared" ca="1" si="404"/>
        <v>no semana</v>
      </c>
      <c r="M773" s="40" t="str">
        <f>IFERROR(VLOOKUP(E773,'cheques a conf'!A:D,4,FALSE),"no clearing")</f>
        <v>no clearing</v>
      </c>
      <c r="N773" s="40">
        <f t="shared" si="405"/>
        <v>29</v>
      </c>
      <c r="O773" s="42">
        <f t="shared" si="406"/>
        <v>7</v>
      </c>
      <c r="P773" s="42">
        <f t="shared" si="407"/>
        <v>2025</v>
      </c>
    </row>
    <row r="774" spans="1:16" x14ac:dyDescent="0.25">
      <c r="A774" s="21">
        <v>3000003901</v>
      </c>
      <c r="B774" s="22">
        <v>45852</v>
      </c>
      <c r="C774" s="20">
        <v>22220964.949999999</v>
      </c>
      <c r="D774" s="21" t="s">
        <v>75</v>
      </c>
      <c r="E774" s="21">
        <v>1598</v>
      </c>
      <c r="F774" s="20">
        <v>22220964.949999999</v>
      </c>
      <c r="G774" s="22">
        <v>45856</v>
      </c>
      <c r="H774" t="s">
        <v>32</v>
      </c>
      <c r="I774" s="40" t="str">
        <f>IFERROR(IF(VLOOKUP(E774,extracto!C:C,1,FALSE)=E774,"pagado","no pagado"),"no pagado")</f>
        <v>pagado</v>
      </c>
      <c r="J774" s="41" t="str">
        <f t="shared" si="402"/>
        <v>pagado</v>
      </c>
      <c r="K774" s="40" t="str">
        <f t="shared" ca="1" si="403"/>
        <v>excluir</v>
      </c>
      <c r="L774" s="40" t="str">
        <f t="shared" ca="1" si="404"/>
        <v>no semana</v>
      </c>
      <c r="M774" s="40" t="str">
        <f>IFERROR(VLOOKUP(E774,'cheques a conf'!A:D,4,FALSE),"no clearing")</f>
        <v>no clearing</v>
      </c>
      <c r="N774" s="40">
        <f t="shared" si="405"/>
        <v>29</v>
      </c>
      <c r="O774" s="42">
        <f t="shared" si="406"/>
        <v>7</v>
      </c>
      <c r="P774" s="42">
        <f t="shared" si="407"/>
        <v>2025</v>
      </c>
    </row>
    <row r="775" spans="1:16" x14ac:dyDescent="0.25">
      <c r="A775" s="21">
        <v>3000003902</v>
      </c>
      <c r="B775" s="22">
        <v>45852</v>
      </c>
      <c r="C775" s="20">
        <v>13699381.84</v>
      </c>
      <c r="D775" s="21" t="s">
        <v>631</v>
      </c>
      <c r="E775" s="21">
        <v>1599</v>
      </c>
      <c r="F775" s="20">
        <v>13699381.84</v>
      </c>
      <c r="G775" s="22">
        <v>45855</v>
      </c>
      <c r="H775" t="s">
        <v>32</v>
      </c>
      <c r="I775" s="40" t="str">
        <f>IFERROR(IF(VLOOKUP(E775,extracto!C:C,1,FALSE)=E775,"pagado","no pagado"),"no pagado")</f>
        <v>pagado</v>
      </c>
      <c r="J775" s="41" t="str">
        <f t="shared" si="402"/>
        <v>pagado</v>
      </c>
      <c r="K775" s="40" t="str">
        <f t="shared" ca="1" si="403"/>
        <v>excluir</v>
      </c>
      <c r="L775" s="40" t="str">
        <f t="shared" ca="1" si="404"/>
        <v>no semana</v>
      </c>
      <c r="M775" s="40" t="str">
        <f>IFERROR(VLOOKUP(E775,'cheques a conf'!A:D,4,FALSE),"no clearing")</f>
        <v>no clearing</v>
      </c>
      <c r="N775" s="40">
        <f t="shared" si="405"/>
        <v>29</v>
      </c>
      <c r="O775" s="42">
        <f t="shared" si="406"/>
        <v>7</v>
      </c>
      <c r="P775" s="42">
        <f t="shared" si="407"/>
        <v>2025</v>
      </c>
    </row>
    <row r="776" spans="1:16" x14ac:dyDescent="0.25">
      <c r="A776" s="21">
        <v>3000003903</v>
      </c>
      <c r="B776" s="22">
        <v>45852</v>
      </c>
      <c r="C776" s="20">
        <v>7800000</v>
      </c>
      <c r="D776" s="21" t="s">
        <v>728</v>
      </c>
      <c r="E776" s="21">
        <v>1600</v>
      </c>
      <c r="F776" s="20">
        <v>7800000</v>
      </c>
      <c r="G776" s="22">
        <v>45855</v>
      </c>
      <c r="H776" t="s">
        <v>32</v>
      </c>
      <c r="I776" s="40" t="str">
        <f>IFERROR(IF(VLOOKUP(E776,extracto!C:C,1,FALSE)=E776,"pagado","no pagado"),"no pagado")</f>
        <v>pagado</v>
      </c>
      <c r="J776" s="41" t="str">
        <f t="shared" si="402"/>
        <v>pagado</v>
      </c>
      <c r="K776" s="40" t="str">
        <f t="shared" ca="1" si="403"/>
        <v>excluir</v>
      </c>
      <c r="L776" s="40" t="str">
        <f t="shared" ca="1" si="404"/>
        <v>no semana</v>
      </c>
      <c r="M776" s="40" t="str">
        <f>IFERROR(VLOOKUP(E776,'cheques a conf'!A:D,4,FALSE),"no clearing")</f>
        <v>no clearing</v>
      </c>
      <c r="N776" s="40">
        <f t="shared" si="405"/>
        <v>29</v>
      </c>
      <c r="O776" s="42">
        <f t="shared" si="406"/>
        <v>7</v>
      </c>
      <c r="P776" s="42">
        <f t="shared" si="407"/>
        <v>2025</v>
      </c>
    </row>
    <row r="777" spans="1:16" x14ac:dyDescent="0.25">
      <c r="A777" s="21">
        <v>3000003904</v>
      </c>
      <c r="B777" s="22">
        <v>45852</v>
      </c>
      <c r="C777" s="20">
        <v>4353141.97</v>
      </c>
      <c r="D777" s="21" t="s">
        <v>729</v>
      </c>
      <c r="E777" s="21">
        <v>1601</v>
      </c>
      <c r="F777" s="20">
        <v>4353141.97</v>
      </c>
      <c r="G777" s="22">
        <v>45855</v>
      </c>
      <c r="H777" t="s">
        <v>32</v>
      </c>
      <c r="I777" s="40" t="str">
        <f>IFERROR(IF(VLOOKUP(E777,extracto!C:C,1,FALSE)=E777,"pagado","no pagado"),"no pagado")</f>
        <v>pagado</v>
      </c>
      <c r="J777" s="41" t="str">
        <f t="shared" si="402"/>
        <v>pagado</v>
      </c>
      <c r="K777" s="40" t="str">
        <f t="shared" ca="1" si="403"/>
        <v>excluir</v>
      </c>
      <c r="L777" s="40" t="str">
        <f t="shared" ca="1" si="404"/>
        <v>no semana</v>
      </c>
      <c r="M777" s="40" t="str">
        <f>IFERROR(VLOOKUP(E777,'cheques a conf'!A:D,4,FALSE),"no clearing")</f>
        <v>no clearing</v>
      </c>
      <c r="N777" s="40">
        <f t="shared" si="405"/>
        <v>29</v>
      </c>
      <c r="O777" s="42">
        <f t="shared" si="406"/>
        <v>7</v>
      </c>
      <c r="P777" s="42">
        <f t="shared" si="407"/>
        <v>2025</v>
      </c>
    </row>
    <row r="778" spans="1:16" x14ac:dyDescent="0.25">
      <c r="A778" s="21">
        <v>3000003905</v>
      </c>
      <c r="B778" s="22">
        <v>45852</v>
      </c>
      <c r="C778" s="20">
        <v>13488459.039999999</v>
      </c>
      <c r="D778" s="21" t="s">
        <v>700</v>
      </c>
      <c r="E778" s="21">
        <v>1602</v>
      </c>
      <c r="F778" s="20">
        <v>13488459.039999999</v>
      </c>
      <c r="G778" s="22">
        <v>45855</v>
      </c>
      <c r="H778" t="s">
        <v>32</v>
      </c>
      <c r="I778" s="40" t="str">
        <f>IFERROR(IF(VLOOKUP(E778,extracto!C:C,1,FALSE)=E778,"pagado","no pagado"),"no pagado")</f>
        <v>pagado</v>
      </c>
      <c r="J778" s="41" t="str">
        <f t="shared" si="402"/>
        <v>pagado</v>
      </c>
      <c r="K778" s="40" t="str">
        <f t="shared" ca="1" si="403"/>
        <v>excluir</v>
      </c>
      <c r="L778" s="40" t="str">
        <f t="shared" ca="1" si="404"/>
        <v>no semana</v>
      </c>
      <c r="M778" s="40" t="str">
        <f>IFERROR(VLOOKUP(E778,'cheques a conf'!A:D,4,FALSE),"no clearing")</f>
        <v>no clearing</v>
      </c>
      <c r="N778" s="40">
        <f t="shared" si="405"/>
        <v>29</v>
      </c>
      <c r="O778" s="42">
        <f t="shared" si="406"/>
        <v>7</v>
      </c>
      <c r="P778" s="42">
        <f t="shared" si="407"/>
        <v>2025</v>
      </c>
    </row>
    <row r="779" spans="1:16" x14ac:dyDescent="0.25">
      <c r="A779" s="21">
        <v>3000003907</v>
      </c>
      <c r="B779" s="22">
        <v>45852</v>
      </c>
      <c r="C779" s="20">
        <v>6569181.9100000001</v>
      </c>
      <c r="D779" s="21" t="s">
        <v>730</v>
      </c>
      <c r="E779" s="21">
        <v>1603</v>
      </c>
      <c r="F779" s="20">
        <v>6569181.9100000001</v>
      </c>
      <c r="G779" s="22">
        <v>45855</v>
      </c>
      <c r="H779" t="s">
        <v>32</v>
      </c>
      <c r="I779" s="40" t="str">
        <f>IFERROR(IF(VLOOKUP(E779,extracto!C:C,1,FALSE)=E779,"pagado","no pagado"),"no pagado")</f>
        <v>pagado</v>
      </c>
      <c r="J779" s="41" t="str">
        <f t="shared" si="402"/>
        <v>pagado</v>
      </c>
      <c r="K779" s="40" t="str">
        <f t="shared" ca="1" si="403"/>
        <v>excluir</v>
      </c>
      <c r="L779" s="40" t="str">
        <f t="shared" ca="1" si="404"/>
        <v>no semana</v>
      </c>
      <c r="M779" s="40" t="str">
        <f>IFERROR(VLOOKUP(E779,'cheques a conf'!A:D,4,FALSE),"no clearing")</f>
        <v>no clearing</v>
      </c>
      <c r="N779" s="40">
        <f t="shared" si="405"/>
        <v>29</v>
      </c>
      <c r="O779" s="42">
        <f t="shared" si="406"/>
        <v>7</v>
      </c>
      <c r="P779" s="42">
        <f t="shared" si="407"/>
        <v>2025</v>
      </c>
    </row>
    <row r="780" spans="1:16" x14ac:dyDescent="0.25">
      <c r="A780" s="21">
        <v>3000003908</v>
      </c>
      <c r="B780" s="22">
        <v>45852</v>
      </c>
      <c r="C780" s="20">
        <v>0</v>
      </c>
      <c r="D780" s="21" t="s">
        <v>731</v>
      </c>
      <c r="E780" s="21">
        <v>1604</v>
      </c>
      <c r="F780" s="20">
        <v>0</v>
      </c>
      <c r="G780" s="22">
        <v>45855</v>
      </c>
      <c r="H780" t="s">
        <v>32</v>
      </c>
      <c r="I780" s="40" t="str">
        <f>IFERROR(IF(VLOOKUP(E780,extracto!C:C,1,FALSE)=E780,"pagado","no pagado"),"no pagado")</f>
        <v>no pagado</v>
      </c>
      <c r="J780" s="41" t="str">
        <f t="shared" ca="1" si="402"/>
        <v>fuera de fecha</v>
      </c>
      <c r="K780" s="40" t="str">
        <f t="shared" ca="1" si="403"/>
        <v>excluir</v>
      </c>
      <c r="L780" s="40" t="str">
        <f t="shared" ca="1" si="404"/>
        <v>no semana</v>
      </c>
      <c r="M780" s="40" t="str">
        <f>IFERROR(VLOOKUP(E780,'cheques a conf'!A:D,4,FALSE),"no clearing")</f>
        <v>no clearing</v>
      </c>
      <c r="N780" s="40">
        <f t="shared" si="405"/>
        <v>29</v>
      </c>
      <c r="O780" s="42">
        <f t="shared" si="406"/>
        <v>7</v>
      </c>
      <c r="P780" s="42">
        <f t="shared" si="407"/>
        <v>2025</v>
      </c>
    </row>
    <row r="781" spans="1:16" x14ac:dyDescent="0.25">
      <c r="A781" s="21">
        <v>3000003908</v>
      </c>
      <c r="B781" s="22">
        <v>45852</v>
      </c>
      <c r="C781" s="20">
        <v>0</v>
      </c>
      <c r="D781" s="21" t="s">
        <v>731</v>
      </c>
      <c r="E781" s="21">
        <v>1605</v>
      </c>
      <c r="F781" s="20">
        <v>0</v>
      </c>
      <c r="G781" s="22">
        <v>45856</v>
      </c>
      <c r="H781" t="s">
        <v>32</v>
      </c>
      <c r="I781" s="40" t="str">
        <f>IFERROR(IF(VLOOKUP(E781,extracto!C:C,1,FALSE)=E781,"pagado","no pagado"),"no pagado")</f>
        <v>no pagado</v>
      </c>
      <c r="J781" s="41" t="str">
        <f t="shared" ca="1" si="402"/>
        <v>fuera de fecha</v>
      </c>
      <c r="K781" s="40" t="str">
        <f t="shared" ca="1" si="403"/>
        <v>excluir</v>
      </c>
      <c r="L781" s="40" t="str">
        <f t="shared" ca="1" si="404"/>
        <v>no semana</v>
      </c>
      <c r="M781" s="40" t="str">
        <f>IFERROR(VLOOKUP(E781,'cheques a conf'!A:D,4,FALSE),"no clearing")</f>
        <v>no clearing</v>
      </c>
      <c r="N781" s="40">
        <f t="shared" si="405"/>
        <v>29</v>
      </c>
      <c r="O781" s="42">
        <f t="shared" si="406"/>
        <v>7</v>
      </c>
      <c r="P781" s="42">
        <f t="shared" si="407"/>
        <v>2025</v>
      </c>
    </row>
    <row r="782" spans="1:16" x14ac:dyDescent="0.25">
      <c r="A782" s="21">
        <v>3000003909</v>
      </c>
      <c r="B782" s="22">
        <v>45852</v>
      </c>
      <c r="C782" s="20">
        <v>12489750</v>
      </c>
      <c r="D782" s="21" t="s">
        <v>658</v>
      </c>
      <c r="E782" s="21">
        <v>1606</v>
      </c>
      <c r="F782" s="20">
        <v>12489750</v>
      </c>
      <c r="G782" s="22">
        <v>45855</v>
      </c>
      <c r="H782" t="s">
        <v>32</v>
      </c>
      <c r="I782" s="40" t="str">
        <f>IFERROR(IF(VLOOKUP(E782,extracto!C:C,1,FALSE)=E782,"pagado","no pagado"),"no pagado")</f>
        <v>pagado</v>
      </c>
      <c r="J782" s="41" t="str">
        <f t="shared" si="402"/>
        <v>pagado</v>
      </c>
      <c r="K782" s="40" t="str">
        <f t="shared" ca="1" si="403"/>
        <v>excluir</v>
      </c>
      <c r="L782" s="40" t="str">
        <f t="shared" ca="1" si="404"/>
        <v>no semana</v>
      </c>
      <c r="M782" s="40" t="str">
        <f>IFERROR(VLOOKUP(E782,'cheques a conf'!A:D,4,FALSE),"no clearing")</f>
        <v>no clearing</v>
      </c>
      <c r="N782" s="40">
        <f t="shared" si="405"/>
        <v>29</v>
      </c>
      <c r="O782" s="42">
        <f t="shared" si="406"/>
        <v>7</v>
      </c>
      <c r="P782" s="42">
        <f t="shared" si="407"/>
        <v>2025</v>
      </c>
    </row>
    <row r="783" spans="1:16" x14ac:dyDescent="0.25">
      <c r="A783" s="21">
        <v>3000003910</v>
      </c>
      <c r="B783" s="22">
        <v>45852</v>
      </c>
      <c r="C783" s="20">
        <v>6983753.46</v>
      </c>
      <c r="D783" s="21" t="s">
        <v>182</v>
      </c>
      <c r="E783" s="21">
        <v>1607</v>
      </c>
      <c r="F783" s="20">
        <v>6983753.46</v>
      </c>
      <c r="G783" s="22">
        <v>45855</v>
      </c>
      <c r="H783" t="s">
        <v>32</v>
      </c>
      <c r="I783" s="40" t="str">
        <f>IFERROR(IF(VLOOKUP(E783,extracto!C:C,1,FALSE)=E783,"pagado","no pagado"),"no pagado")</f>
        <v>pagado</v>
      </c>
      <c r="J783" s="41" t="str">
        <f t="shared" si="402"/>
        <v>pagado</v>
      </c>
      <c r="K783" s="40" t="str">
        <f t="shared" ca="1" si="403"/>
        <v>excluir</v>
      </c>
      <c r="L783" s="40" t="str">
        <f t="shared" ca="1" si="404"/>
        <v>no semana</v>
      </c>
      <c r="M783" s="40" t="str">
        <f>IFERROR(VLOOKUP(E783,'cheques a conf'!A:D,4,FALSE),"no clearing")</f>
        <v>no clearing</v>
      </c>
      <c r="N783" s="40">
        <f t="shared" si="405"/>
        <v>29</v>
      </c>
      <c r="O783" s="42">
        <f t="shared" si="406"/>
        <v>7</v>
      </c>
      <c r="P783" s="42">
        <f t="shared" si="407"/>
        <v>2025</v>
      </c>
    </row>
    <row r="784" spans="1:16" x14ac:dyDescent="0.25">
      <c r="A784" s="21">
        <v>3000003965</v>
      </c>
      <c r="B784" s="22">
        <v>45854</v>
      </c>
      <c r="C784" s="20">
        <v>10000000</v>
      </c>
      <c r="D784" s="21" t="s">
        <v>580</v>
      </c>
      <c r="E784" s="21">
        <v>1608</v>
      </c>
      <c r="F784" s="20">
        <v>10000000</v>
      </c>
      <c r="G784" s="22">
        <v>45856</v>
      </c>
      <c r="H784" t="s">
        <v>32</v>
      </c>
      <c r="I784" s="40" t="str">
        <f>IFERROR(IF(VLOOKUP(E784,extracto!C:C,1,FALSE)=E784,"pagado","no pagado"),"no pagado")</f>
        <v>pagado</v>
      </c>
      <c r="J784" s="41" t="str">
        <f t="shared" si="402"/>
        <v>pagado</v>
      </c>
      <c r="K784" s="40" t="str">
        <f t="shared" ca="1" si="403"/>
        <v>excluir</v>
      </c>
      <c r="L784" s="40" t="str">
        <f t="shared" ca="1" si="404"/>
        <v>no semana</v>
      </c>
      <c r="M784" s="40" t="str">
        <f>IFERROR(VLOOKUP(E784,'cheques a conf'!A:D,4,FALSE),"no clearing")</f>
        <v>no clearing</v>
      </c>
      <c r="N784" s="40">
        <f t="shared" si="405"/>
        <v>29</v>
      </c>
      <c r="O784" s="42">
        <f t="shared" si="406"/>
        <v>7</v>
      </c>
      <c r="P784" s="42">
        <f t="shared" si="407"/>
        <v>2025</v>
      </c>
    </row>
    <row r="785" spans="1:16" x14ac:dyDescent="0.25">
      <c r="A785" s="21">
        <v>3000003965</v>
      </c>
      <c r="B785" s="22">
        <v>45854</v>
      </c>
      <c r="C785" s="20">
        <v>10713128.49</v>
      </c>
      <c r="D785" s="21" t="s">
        <v>580</v>
      </c>
      <c r="E785" s="21">
        <v>1609</v>
      </c>
      <c r="F785" s="20">
        <v>10713128.49</v>
      </c>
      <c r="G785" s="22">
        <v>45859</v>
      </c>
      <c r="H785" t="s">
        <v>32</v>
      </c>
      <c r="I785" s="40" t="str">
        <f>IFERROR(IF(VLOOKUP(E785,extracto!C:C,1,FALSE)=E785,"pagado","no pagado"),"no pagado")</f>
        <v>pagado</v>
      </c>
      <c r="J785" s="41" t="str">
        <f t="shared" si="402"/>
        <v>pagado</v>
      </c>
      <c r="K785" s="40" t="str">
        <f t="shared" ca="1" si="403"/>
        <v>excluir</v>
      </c>
      <c r="L785" s="40" t="str">
        <f t="shared" ca="1" si="404"/>
        <v>no semana</v>
      </c>
      <c r="M785" s="40" t="str">
        <f>IFERROR(VLOOKUP(E785,'cheques a conf'!A:D,4,FALSE),"no clearing")</f>
        <v>no clearing</v>
      </c>
      <c r="N785" s="40">
        <f t="shared" si="405"/>
        <v>30</v>
      </c>
      <c r="O785" s="42">
        <f t="shared" si="406"/>
        <v>7</v>
      </c>
      <c r="P785" s="42">
        <f t="shared" si="407"/>
        <v>2025</v>
      </c>
    </row>
    <row r="786" spans="1:16" x14ac:dyDescent="0.25">
      <c r="A786" s="21">
        <v>3000003966</v>
      </c>
      <c r="B786" s="22">
        <v>45854</v>
      </c>
      <c r="C786" s="20">
        <v>10000000</v>
      </c>
      <c r="D786" s="21" t="s">
        <v>592</v>
      </c>
      <c r="E786" s="21">
        <v>1610</v>
      </c>
      <c r="F786" s="20">
        <v>10000000</v>
      </c>
      <c r="G786" s="22">
        <v>45856</v>
      </c>
      <c r="H786" t="s">
        <v>32</v>
      </c>
      <c r="I786" s="40" t="str">
        <f>IFERROR(IF(VLOOKUP(E786,extracto!C:C,1,FALSE)=E786,"pagado","no pagado"),"no pagado")</f>
        <v>pagado</v>
      </c>
      <c r="J786" s="41" t="str">
        <f t="shared" ref="J786:J802" si="408">IF(I786="pagado","pagado",IF(G786&lt;$V$1-30,"fuera de fecha","en periodo de pago"))</f>
        <v>pagado</v>
      </c>
      <c r="K786" s="40" t="str">
        <f t="shared" ref="K786:K802" ca="1" si="409">+IF(B786&gt;$V$1,"excluir",IF(J786="en periodo de pago",IF($V$1&gt;G786,"a pagar","proximo a vencer"),"excluir"))</f>
        <v>excluir</v>
      </c>
      <c r="L786" s="40" t="str">
        <f t="shared" ref="L786:L802" ca="1" si="410">+IF(K786="proximo a vencer",IF($V$1+5&gt;G786,"para la semana","no semana"),"no semana")</f>
        <v>no semana</v>
      </c>
      <c r="M786" s="40" t="str">
        <f>IFERROR(VLOOKUP(E786,'cheques a conf'!A:D,4,FALSE),"no clearing")</f>
        <v>no clearing</v>
      </c>
      <c r="N786" s="40">
        <f t="shared" ref="N786:N802" si="411">+WEEKNUM(G786,2)</f>
        <v>29</v>
      </c>
      <c r="O786" s="42">
        <f t="shared" ref="O786:O802" si="412">+MONTH(G786)</f>
        <v>7</v>
      </c>
      <c r="P786" s="42">
        <f t="shared" ref="P786:P802" si="413">+YEAR(G786)</f>
        <v>2025</v>
      </c>
    </row>
    <row r="787" spans="1:16" x14ac:dyDescent="0.25">
      <c r="A787" s="21">
        <v>3000003966</v>
      </c>
      <c r="B787" s="22">
        <v>45854</v>
      </c>
      <c r="C787" s="20">
        <v>8034755</v>
      </c>
      <c r="D787" s="21" t="s">
        <v>592</v>
      </c>
      <c r="E787" s="21">
        <v>1611</v>
      </c>
      <c r="F787" s="20">
        <v>8034755</v>
      </c>
      <c r="G787" s="22">
        <v>45859</v>
      </c>
      <c r="H787" t="s">
        <v>32</v>
      </c>
      <c r="I787" s="40" t="str">
        <f>IFERROR(IF(VLOOKUP(E787,extracto!C:C,1,FALSE)=E787,"pagado","no pagado"),"no pagado")</f>
        <v>pagado</v>
      </c>
      <c r="J787" s="41" t="str">
        <f t="shared" si="408"/>
        <v>pagado</v>
      </c>
      <c r="K787" s="40" t="str">
        <f t="shared" ca="1" si="409"/>
        <v>excluir</v>
      </c>
      <c r="L787" s="40" t="str">
        <f t="shared" ca="1" si="410"/>
        <v>no semana</v>
      </c>
      <c r="M787" s="40" t="str">
        <f>IFERROR(VLOOKUP(E787,'cheques a conf'!A:D,4,FALSE),"no clearing")</f>
        <v>no clearing</v>
      </c>
      <c r="N787" s="40">
        <f t="shared" si="411"/>
        <v>30</v>
      </c>
      <c r="O787" s="42">
        <f t="shared" si="412"/>
        <v>7</v>
      </c>
      <c r="P787" s="42">
        <f t="shared" si="413"/>
        <v>2025</v>
      </c>
    </row>
    <row r="788" spans="1:16" x14ac:dyDescent="0.25">
      <c r="A788" s="21">
        <v>3000003967</v>
      </c>
      <c r="B788" s="22">
        <v>45854</v>
      </c>
      <c r="C788" s="20">
        <v>12492016.390000001</v>
      </c>
      <c r="D788" s="21" t="s">
        <v>642</v>
      </c>
      <c r="E788" s="21">
        <v>1612</v>
      </c>
      <c r="F788" s="20">
        <v>12492016.390000001</v>
      </c>
      <c r="G788" s="22">
        <v>45856</v>
      </c>
      <c r="H788" t="s">
        <v>32</v>
      </c>
      <c r="I788" s="40" t="str">
        <f>IFERROR(IF(VLOOKUP(E788,extracto!C:C,1,FALSE)=E788,"pagado","no pagado"),"no pagado")</f>
        <v>pagado</v>
      </c>
      <c r="J788" s="41" t="str">
        <f t="shared" si="408"/>
        <v>pagado</v>
      </c>
      <c r="K788" s="40" t="str">
        <f t="shared" ca="1" si="409"/>
        <v>excluir</v>
      </c>
      <c r="L788" s="40" t="str">
        <f t="shared" ca="1" si="410"/>
        <v>no semana</v>
      </c>
      <c r="M788" s="40" t="str">
        <f>IFERROR(VLOOKUP(E788,'cheques a conf'!A:D,4,FALSE),"no clearing")</f>
        <v>no clearing</v>
      </c>
      <c r="N788" s="40">
        <f t="shared" si="411"/>
        <v>29</v>
      </c>
      <c r="O788" s="42">
        <f t="shared" si="412"/>
        <v>7</v>
      </c>
      <c r="P788" s="42">
        <f t="shared" si="413"/>
        <v>2025</v>
      </c>
    </row>
    <row r="789" spans="1:16" x14ac:dyDescent="0.25">
      <c r="A789" s="21">
        <v>3000003968</v>
      </c>
      <c r="B789" s="22">
        <v>45854</v>
      </c>
      <c r="C789" s="20">
        <v>4233015.58</v>
      </c>
      <c r="D789" s="21" t="s">
        <v>616</v>
      </c>
      <c r="E789" s="21">
        <v>1613</v>
      </c>
      <c r="F789" s="20">
        <v>4233015.58</v>
      </c>
      <c r="G789" s="22">
        <v>45856</v>
      </c>
      <c r="H789" t="s">
        <v>32</v>
      </c>
      <c r="I789" s="40" t="str">
        <f>IFERROR(IF(VLOOKUP(E789,extracto!C:C,1,FALSE)=E789,"pagado","no pagado"),"no pagado")</f>
        <v>pagado</v>
      </c>
      <c r="J789" s="41" t="str">
        <f t="shared" si="408"/>
        <v>pagado</v>
      </c>
      <c r="K789" s="40" t="str">
        <f t="shared" ca="1" si="409"/>
        <v>excluir</v>
      </c>
      <c r="L789" s="40" t="str">
        <f t="shared" ca="1" si="410"/>
        <v>no semana</v>
      </c>
      <c r="M789" s="40" t="str">
        <f>IFERROR(VLOOKUP(E789,'cheques a conf'!A:D,4,FALSE),"no clearing")</f>
        <v>no clearing</v>
      </c>
      <c r="N789" s="40">
        <f t="shared" si="411"/>
        <v>29</v>
      </c>
      <c r="O789" s="42">
        <f t="shared" si="412"/>
        <v>7</v>
      </c>
      <c r="P789" s="42">
        <f t="shared" si="413"/>
        <v>2025</v>
      </c>
    </row>
    <row r="790" spans="1:16" x14ac:dyDescent="0.25">
      <c r="A790" s="21">
        <v>3000003969</v>
      </c>
      <c r="B790" s="22">
        <v>45854</v>
      </c>
      <c r="C790" s="20">
        <v>0</v>
      </c>
      <c r="D790" s="21" t="s">
        <v>162</v>
      </c>
      <c r="E790" s="21">
        <v>1614</v>
      </c>
      <c r="F790" s="20">
        <v>0</v>
      </c>
      <c r="G790" s="22">
        <v>45856</v>
      </c>
      <c r="H790" t="s">
        <v>32</v>
      </c>
      <c r="I790" s="40" t="str">
        <f>IFERROR(IF(VLOOKUP(E790,extracto!C:C,1,FALSE)=E790,"pagado","no pagado"),"no pagado")</f>
        <v>no pagado</v>
      </c>
      <c r="J790" s="41" t="str">
        <f t="shared" ca="1" si="408"/>
        <v>fuera de fecha</v>
      </c>
      <c r="K790" s="40" t="str">
        <f t="shared" ca="1" si="409"/>
        <v>excluir</v>
      </c>
      <c r="L790" s="40" t="str">
        <f t="shared" ca="1" si="410"/>
        <v>no semana</v>
      </c>
      <c r="M790" s="40" t="str">
        <f>IFERROR(VLOOKUP(E790,'cheques a conf'!A:D,4,FALSE),"no clearing")</f>
        <v>no clearing</v>
      </c>
      <c r="N790" s="40">
        <f t="shared" si="411"/>
        <v>29</v>
      </c>
      <c r="O790" s="42">
        <f t="shared" si="412"/>
        <v>7</v>
      </c>
      <c r="P790" s="42">
        <f t="shared" si="413"/>
        <v>2025</v>
      </c>
    </row>
    <row r="791" spans="1:16" x14ac:dyDescent="0.25">
      <c r="A791" s="21">
        <v>3000003970</v>
      </c>
      <c r="B791" s="22">
        <v>45854</v>
      </c>
      <c r="C791" s="20">
        <v>25000000</v>
      </c>
      <c r="D791" s="21" t="s">
        <v>613</v>
      </c>
      <c r="E791" s="21">
        <v>1615</v>
      </c>
      <c r="F791" s="20">
        <v>25000000</v>
      </c>
      <c r="G791" s="22">
        <v>45856</v>
      </c>
      <c r="H791" t="s">
        <v>32</v>
      </c>
      <c r="I791" s="40" t="str">
        <f>IFERROR(IF(VLOOKUP(E791,extracto!C:C,1,FALSE)=E791,"pagado","no pagado"),"no pagado")</f>
        <v>pagado</v>
      </c>
      <c r="J791" s="41" t="str">
        <f t="shared" si="408"/>
        <v>pagado</v>
      </c>
      <c r="K791" s="40" t="str">
        <f t="shared" ca="1" si="409"/>
        <v>excluir</v>
      </c>
      <c r="L791" s="40" t="str">
        <f t="shared" ca="1" si="410"/>
        <v>no semana</v>
      </c>
      <c r="M791" s="40" t="str">
        <f>IFERROR(VLOOKUP(E791,'cheques a conf'!A:D,4,FALSE),"no clearing")</f>
        <v>no clearing</v>
      </c>
      <c r="N791" s="40">
        <f t="shared" si="411"/>
        <v>29</v>
      </c>
      <c r="O791" s="42">
        <f t="shared" si="412"/>
        <v>7</v>
      </c>
      <c r="P791" s="42">
        <f t="shared" si="413"/>
        <v>2025</v>
      </c>
    </row>
    <row r="792" spans="1:16" x14ac:dyDescent="0.25">
      <c r="A792" s="21">
        <v>3000003970</v>
      </c>
      <c r="B792" s="22">
        <v>45854</v>
      </c>
      <c r="C792" s="20">
        <v>21218891.469999999</v>
      </c>
      <c r="D792" s="21" t="s">
        <v>613</v>
      </c>
      <c r="E792" s="21">
        <v>1616</v>
      </c>
      <c r="F792" s="20">
        <v>21218891.469999999</v>
      </c>
      <c r="G792" s="22">
        <v>45859</v>
      </c>
      <c r="H792" t="s">
        <v>32</v>
      </c>
      <c r="I792" s="40" t="str">
        <f>IFERROR(IF(VLOOKUP(E792,extracto!C:C,1,FALSE)=E792,"pagado","no pagado"),"no pagado")</f>
        <v>pagado</v>
      </c>
      <c r="J792" s="41" t="str">
        <f t="shared" si="408"/>
        <v>pagado</v>
      </c>
      <c r="K792" s="40" t="str">
        <f t="shared" ca="1" si="409"/>
        <v>excluir</v>
      </c>
      <c r="L792" s="40" t="str">
        <f t="shared" ca="1" si="410"/>
        <v>no semana</v>
      </c>
      <c r="M792" s="40" t="str">
        <f>IFERROR(VLOOKUP(E792,'cheques a conf'!A:D,4,FALSE),"no clearing")</f>
        <v>no clearing</v>
      </c>
      <c r="N792" s="40">
        <f t="shared" si="411"/>
        <v>30</v>
      </c>
      <c r="O792" s="42">
        <f t="shared" si="412"/>
        <v>7</v>
      </c>
      <c r="P792" s="42">
        <f t="shared" si="413"/>
        <v>2025</v>
      </c>
    </row>
    <row r="793" spans="1:16" x14ac:dyDescent="0.25">
      <c r="A793" s="21">
        <v>3000003971</v>
      </c>
      <c r="B793" s="22">
        <v>45854</v>
      </c>
      <c r="C793" s="20">
        <v>5801867.54</v>
      </c>
      <c r="D793" s="21" t="s">
        <v>618</v>
      </c>
      <c r="E793" s="21">
        <v>1617</v>
      </c>
      <c r="F793" s="20">
        <v>5801867.54</v>
      </c>
      <c r="G793" s="22">
        <v>45856</v>
      </c>
      <c r="H793" t="s">
        <v>32</v>
      </c>
      <c r="I793" s="40" t="str">
        <f>IFERROR(IF(VLOOKUP(E793,extracto!C:C,1,FALSE)=E793,"pagado","no pagado"),"no pagado")</f>
        <v>pagado</v>
      </c>
      <c r="J793" s="41" t="str">
        <f t="shared" si="408"/>
        <v>pagado</v>
      </c>
      <c r="K793" s="40" t="str">
        <f t="shared" ca="1" si="409"/>
        <v>excluir</v>
      </c>
      <c r="L793" s="40" t="str">
        <f t="shared" ca="1" si="410"/>
        <v>no semana</v>
      </c>
      <c r="M793" s="40" t="str">
        <f>IFERROR(VLOOKUP(E793,'cheques a conf'!A:D,4,FALSE),"no clearing")</f>
        <v>no clearing</v>
      </c>
      <c r="N793" s="40">
        <f t="shared" si="411"/>
        <v>29</v>
      </c>
      <c r="O793" s="42">
        <f t="shared" si="412"/>
        <v>7</v>
      </c>
      <c r="P793" s="42">
        <f t="shared" si="413"/>
        <v>2025</v>
      </c>
    </row>
    <row r="794" spans="1:16" x14ac:dyDescent="0.25">
      <c r="A794" s="21">
        <v>3000003972</v>
      </c>
      <c r="B794" s="22">
        <v>45854</v>
      </c>
      <c r="C794" s="20">
        <v>4491060.1900000004</v>
      </c>
      <c r="D794" s="21" t="s">
        <v>668</v>
      </c>
      <c r="E794" s="21">
        <v>1618</v>
      </c>
      <c r="F794" s="20">
        <v>4491060.1900000004</v>
      </c>
      <c r="G794" s="22">
        <v>45856</v>
      </c>
      <c r="H794" t="s">
        <v>32</v>
      </c>
      <c r="I794" s="40" t="str">
        <f>IFERROR(IF(VLOOKUP(E794,extracto!C:C,1,FALSE)=E794,"pagado","no pagado"),"no pagado")</f>
        <v>pagado</v>
      </c>
      <c r="J794" s="41" t="str">
        <f t="shared" si="408"/>
        <v>pagado</v>
      </c>
      <c r="K794" s="40" t="str">
        <f t="shared" ca="1" si="409"/>
        <v>excluir</v>
      </c>
      <c r="L794" s="40" t="str">
        <f t="shared" ca="1" si="410"/>
        <v>no semana</v>
      </c>
      <c r="M794" s="40" t="str">
        <f>IFERROR(VLOOKUP(E794,'cheques a conf'!A:D,4,FALSE),"no clearing")</f>
        <v>no clearing</v>
      </c>
      <c r="N794" s="40">
        <f t="shared" si="411"/>
        <v>29</v>
      </c>
      <c r="O794" s="42">
        <f t="shared" si="412"/>
        <v>7</v>
      </c>
      <c r="P794" s="42">
        <f t="shared" si="413"/>
        <v>2025</v>
      </c>
    </row>
    <row r="795" spans="1:16" x14ac:dyDescent="0.25">
      <c r="A795" s="21">
        <v>3000003973</v>
      </c>
      <c r="B795" s="22">
        <v>45854</v>
      </c>
      <c r="C795" s="20">
        <v>5061103.07</v>
      </c>
      <c r="D795" s="21" t="s">
        <v>669</v>
      </c>
      <c r="E795" s="21">
        <v>1619</v>
      </c>
      <c r="F795" s="20">
        <v>5061103.07</v>
      </c>
      <c r="G795" s="22">
        <v>45856</v>
      </c>
      <c r="H795" t="s">
        <v>32</v>
      </c>
      <c r="I795" s="40" t="str">
        <f>IFERROR(IF(VLOOKUP(E795,extracto!C:C,1,FALSE)=E795,"pagado","no pagado"),"no pagado")</f>
        <v>pagado</v>
      </c>
      <c r="J795" s="41" t="str">
        <f t="shared" si="408"/>
        <v>pagado</v>
      </c>
      <c r="K795" s="40" t="str">
        <f t="shared" ca="1" si="409"/>
        <v>excluir</v>
      </c>
      <c r="L795" s="40" t="str">
        <f t="shared" ca="1" si="410"/>
        <v>no semana</v>
      </c>
      <c r="M795" s="40" t="str">
        <f>IFERROR(VLOOKUP(E795,'cheques a conf'!A:D,4,FALSE),"no clearing")</f>
        <v>no clearing</v>
      </c>
      <c r="N795" s="40">
        <f t="shared" si="411"/>
        <v>29</v>
      </c>
      <c r="O795" s="42">
        <f t="shared" si="412"/>
        <v>7</v>
      </c>
      <c r="P795" s="42">
        <f t="shared" si="413"/>
        <v>2025</v>
      </c>
    </row>
    <row r="796" spans="1:16" x14ac:dyDescent="0.25">
      <c r="A796" s="21">
        <v>3000003974</v>
      </c>
      <c r="B796" s="22">
        <v>45854</v>
      </c>
      <c r="C796" s="20">
        <v>10000000</v>
      </c>
      <c r="D796" s="21" t="s">
        <v>675</v>
      </c>
      <c r="E796" s="21">
        <v>1620</v>
      </c>
      <c r="F796" s="20">
        <v>10000000</v>
      </c>
      <c r="G796" s="22">
        <v>45856</v>
      </c>
      <c r="H796" t="s">
        <v>32</v>
      </c>
      <c r="I796" s="40" t="str">
        <f>IFERROR(IF(VLOOKUP(E796,extracto!C:C,1,FALSE)=E796,"pagado","no pagado"),"no pagado")</f>
        <v>pagado</v>
      </c>
      <c r="J796" s="41" t="str">
        <f t="shared" si="408"/>
        <v>pagado</v>
      </c>
      <c r="K796" s="40" t="str">
        <f t="shared" ca="1" si="409"/>
        <v>excluir</v>
      </c>
      <c r="L796" s="40" t="str">
        <f t="shared" ca="1" si="410"/>
        <v>no semana</v>
      </c>
      <c r="M796" s="40" t="str">
        <f>IFERROR(VLOOKUP(E796,'cheques a conf'!A:D,4,FALSE),"no clearing")</f>
        <v>no clearing</v>
      </c>
      <c r="N796" s="40">
        <f t="shared" si="411"/>
        <v>29</v>
      </c>
      <c r="O796" s="42">
        <f t="shared" si="412"/>
        <v>7</v>
      </c>
      <c r="P796" s="42">
        <f t="shared" si="413"/>
        <v>2025</v>
      </c>
    </row>
    <row r="797" spans="1:16" x14ac:dyDescent="0.25">
      <c r="A797" s="21">
        <v>3000003974</v>
      </c>
      <c r="B797" s="22">
        <v>45854</v>
      </c>
      <c r="C797" s="20">
        <v>9550707.5500000007</v>
      </c>
      <c r="D797" s="21" t="s">
        <v>675</v>
      </c>
      <c r="E797" s="21">
        <v>1621</v>
      </c>
      <c r="F797" s="20">
        <v>9550707.5500000007</v>
      </c>
      <c r="G797" s="22">
        <v>45859</v>
      </c>
      <c r="H797" t="s">
        <v>32</v>
      </c>
      <c r="I797" s="40" t="str">
        <f>IFERROR(IF(VLOOKUP(E797,extracto!C:C,1,FALSE)=E797,"pagado","no pagado"),"no pagado")</f>
        <v>pagado</v>
      </c>
      <c r="J797" s="41" t="str">
        <f t="shared" si="408"/>
        <v>pagado</v>
      </c>
      <c r="K797" s="40" t="str">
        <f t="shared" ca="1" si="409"/>
        <v>excluir</v>
      </c>
      <c r="L797" s="40" t="str">
        <f t="shared" ca="1" si="410"/>
        <v>no semana</v>
      </c>
      <c r="M797" s="40" t="str">
        <f>IFERROR(VLOOKUP(E797,'cheques a conf'!A:D,4,FALSE),"no clearing")</f>
        <v>no clearing</v>
      </c>
      <c r="N797" s="40">
        <f t="shared" si="411"/>
        <v>30</v>
      </c>
      <c r="O797" s="42">
        <f t="shared" si="412"/>
        <v>7</v>
      </c>
      <c r="P797" s="42">
        <f t="shared" si="413"/>
        <v>2025</v>
      </c>
    </row>
    <row r="798" spans="1:16" x14ac:dyDescent="0.25">
      <c r="A798" s="21">
        <v>3000003975</v>
      </c>
      <c r="B798" s="22">
        <v>45854</v>
      </c>
      <c r="C798" s="20">
        <v>13413612.02</v>
      </c>
      <c r="D798" s="21" t="s">
        <v>593</v>
      </c>
      <c r="E798" s="21">
        <v>1622</v>
      </c>
      <c r="F798" s="20">
        <v>13413612.02</v>
      </c>
      <c r="G798" s="22">
        <v>45856</v>
      </c>
      <c r="H798" t="s">
        <v>32</v>
      </c>
      <c r="I798" s="40" t="str">
        <f>IFERROR(IF(VLOOKUP(E798,extracto!C:C,1,FALSE)=E798,"pagado","no pagado"),"no pagado")</f>
        <v>pagado</v>
      </c>
      <c r="J798" s="41" t="str">
        <f t="shared" si="408"/>
        <v>pagado</v>
      </c>
      <c r="K798" s="40" t="str">
        <f t="shared" ca="1" si="409"/>
        <v>excluir</v>
      </c>
      <c r="L798" s="40" t="str">
        <f t="shared" ca="1" si="410"/>
        <v>no semana</v>
      </c>
      <c r="M798" s="40" t="str">
        <f>IFERROR(VLOOKUP(E798,'cheques a conf'!A:D,4,FALSE),"no clearing")</f>
        <v>no clearing</v>
      </c>
      <c r="N798" s="40">
        <f t="shared" si="411"/>
        <v>29</v>
      </c>
      <c r="O798" s="42">
        <f t="shared" si="412"/>
        <v>7</v>
      </c>
      <c r="P798" s="42">
        <f t="shared" si="413"/>
        <v>2025</v>
      </c>
    </row>
    <row r="799" spans="1:16" x14ac:dyDescent="0.25">
      <c r="A799" s="21">
        <v>3000003976</v>
      </c>
      <c r="B799" s="22">
        <v>45854</v>
      </c>
      <c r="C799" s="20">
        <v>10621473.99</v>
      </c>
      <c r="D799" s="21" t="s">
        <v>31</v>
      </c>
      <c r="E799" s="21">
        <v>1623</v>
      </c>
      <c r="F799" s="20">
        <v>10621473.99</v>
      </c>
      <c r="G799" s="22">
        <v>45856</v>
      </c>
      <c r="H799" t="s">
        <v>32</v>
      </c>
      <c r="I799" s="40" t="str">
        <f>IFERROR(IF(VLOOKUP(E799,extracto!C:C,1,FALSE)=E799,"pagado","no pagado"),"no pagado")</f>
        <v>pagado</v>
      </c>
      <c r="J799" s="41" t="str">
        <f t="shared" si="408"/>
        <v>pagado</v>
      </c>
      <c r="K799" s="40" t="str">
        <f t="shared" ca="1" si="409"/>
        <v>excluir</v>
      </c>
      <c r="L799" s="40" t="str">
        <f t="shared" ca="1" si="410"/>
        <v>no semana</v>
      </c>
      <c r="M799" s="40" t="str">
        <f>IFERROR(VLOOKUP(E799,'cheques a conf'!A:D,4,FALSE),"no clearing")</f>
        <v>no clearing</v>
      </c>
      <c r="N799" s="40">
        <f t="shared" si="411"/>
        <v>29</v>
      </c>
      <c r="O799" s="42">
        <f t="shared" si="412"/>
        <v>7</v>
      </c>
      <c r="P799" s="42">
        <f t="shared" si="413"/>
        <v>2025</v>
      </c>
    </row>
    <row r="800" spans="1:16" x14ac:dyDescent="0.25">
      <c r="A800" s="21">
        <v>3000003977</v>
      </c>
      <c r="B800" s="22">
        <v>45854</v>
      </c>
      <c r="C800" s="20">
        <v>10000000</v>
      </c>
      <c r="D800" s="21" t="s">
        <v>657</v>
      </c>
      <c r="E800" s="21">
        <v>1624</v>
      </c>
      <c r="F800" s="20">
        <v>10000000</v>
      </c>
      <c r="G800" s="22">
        <v>45856</v>
      </c>
      <c r="H800" t="s">
        <v>32</v>
      </c>
      <c r="I800" s="40" t="str">
        <f>IFERROR(IF(VLOOKUP(E800,extracto!C:C,1,FALSE)=E800,"pagado","no pagado"),"no pagado")</f>
        <v>pagado</v>
      </c>
      <c r="J800" s="41" t="str">
        <f t="shared" si="408"/>
        <v>pagado</v>
      </c>
      <c r="K800" s="40" t="str">
        <f t="shared" ca="1" si="409"/>
        <v>excluir</v>
      </c>
      <c r="L800" s="40" t="str">
        <f t="shared" ca="1" si="410"/>
        <v>no semana</v>
      </c>
      <c r="M800" s="40" t="str">
        <f>IFERROR(VLOOKUP(E800,'cheques a conf'!A:D,4,FALSE),"no clearing")</f>
        <v>no clearing</v>
      </c>
      <c r="N800" s="40">
        <f t="shared" si="411"/>
        <v>29</v>
      </c>
      <c r="O800" s="42">
        <f t="shared" si="412"/>
        <v>7</v>
      </c>
      <c r="P800" s="42">
        <f t="shared" si="413"/>
        <v>2025</v>
      </c>
    </row>
    <row r="801" spans="1:16" x14ac:dyDescent="0.25">
      <c r="A801" s="21">
        <v>3000003977</v>
      </c>
      <c r="B801" s="22">
        <v>45854</v>
      </c>
      <c r="C801" s="20">
        <v>6641609.0599999996</v>
      </c>
      <c r="D801" s="21" t="s">
        <v>657</v>
      </c>
      <c r="E801" s="21">
        <v>1625</v>
      </c>
      <c r="F801" s="20">
        <v>6641609.0599999996</v>
      </c>
      <c r="G801" s="22">
        <v>45859</v>
      </c>
      <c r="H801" t="s">
        <v>32</v>
      </c>
      <c r="I801" s="40" t="str">
        <f>IFERROR(IF(VLOOKUP(E801,extracto!C:C,1,FALSE)=E801,"pagado","no pagado"),"no pagado")</f>
        <v>pagado</v>
      </c>
      <c r="J801" s="41" t="str">
        <f t="shared" si="408"/>
        <v>pagado</v>
      </c>
      <c r="K801" s="40" t="str">
        <f t="shared" ca="1" si="409"/>
        <v>excluir</v>
      </c>
      <c r="L801" s="40" t="str">
        <f t="shared" ca="1" si="410"/>
        <v>no semana</v>
      </c>
      <c r="M801" s="40" t="str">
        <f>IFERROR(VLOOKUP(E801,'cheques a conf'!A:D,4,FALSE),"no clearing")</f>
        <v>no clearing</v>
      </c>
      <c r="N801" s="40">
        <f t="shared" si="411"/>
        <v>30</v>
      </c>
      <c r="O801" s="42">
        <f t="shared" si="412"/>
        <v>7</v>
      </c>
      <c r="P801" s="42">
        <f t="shared" si="413"/>
        <v>2025</v>
      </c>
    </row>
    <row r="802" spans="1:16" x14ac:dyDescent="0.25">
      <c r="A802" s="21">
        <v>3000003978</v>
      </c>
      <c r="B802" s="22">
        <v>45854</v>
      </c>
      <c r="C802" s="20">
        <v>4521811.55</v>
      </c>
      <c r="D802" s="21" t="s">
        <v>667</v>
      </c>
      <c r="E802" s="21">
        <v>1626</v>
      </c>
      <c r="F802" s="20">
        <v>4521811.55</v>
      </c>
      <c r="G802" s="22">
        <v>45856</v>
      </c>
      <c r="H802" t="s">
        <v>32</v>
      </c>
      <c r="I802" s="40" t="str">
        <f>IFERROR(IF(VLOOKUP(E802,extracto!C:C,1,FALSE)=E802,"pagado","no pagado"),"no pagado")</f>
        <v>pagado</v>
      </c>
      <c r="J802" s="41" t="str">
        <f t="shared" si="408"/>
        <v>pagado</v>
      </c>
      <c r="K802" s="40" t="str">
        <f t="shared" ca="1" si="409"/>
        <v>excluir</v>
      </c>
      <c r="L802" s="40" t="str">
        <f t="shared" ca="1" si="410"/>
        <v>no semana</v>
      </c>
      <c r="M802" s="40" t="str">
        <f>IFERROR(VLOOKUP(E802,'cheques a conf'!A:D,4,FALSE),"no clearing")</f>
        <v>no clearing</v>
      </c>
      <c r="N802" s="40">
        <f t="shared" si="411"/>
        <v>29</v>
      </c>
      <c r="O802" s="42">
        <f t="shared" si="412"/>
        <v>7</v>
      </c>
      <c r="P802" s="42">
        <f t="shared" si="413"/>
        <v>2025</v>
      </c>
    </row>
    <row r="803" spans="1:16" x14ac:dyDescent="0.25">
      <c r="A803" s="21">
        <v>3000003979</v>
      </c>
      <c r="B803" s="22">
        <v>45854</v>
      </c>
      <c r="C803" s="20">
        <v>7632102.7000000002</v>
      </c>
      <c r="D803" s="21" t="s">
        <v>673</v>
      </c>
      <c r="E803" s="21">
        <v>1627</v>
      </c>
      <c r="F803" s="20">
        <v>7632102.7000000002</v>
      </c>
      <c r="G803" s="22">
        <v>45856</v>
      </c>
      <c r="H803" t="s">
        <v>32</v>
      </c>
      <c r="I803" s="40" t="str">
        <f>IFERROR(IF(VLOOKUP(E803,extracto!C:C,1,FALSE)=E803,"pagado","no pagado"),"no pagado")</f>
        <v>pagado</v>
      </c>
      <c r="J803" s="41" t="str">
        <f t="shared" ref="J803:J805" si="414">IF(I803="pagado","pagado",IF(G803&lt;$V$1-30,"fuera de fecha","en periodo de pago"))</f>
        <v>pagado</v>
      </c>
      <c r="K803" s="40" t="str">
        <f t="shared" ref="K803:K805" ca="1" si="415">+IF(B803&gt;$V$1,"excluir",IF(J803="en periodo de pago",IF($V$1&gt;G803,"a pagar","proximo a vencer"),"excluir"))</f>
        <v>excluir</v>
      </c>
      <c r="L803" s="40" t="str">
        <f t="shared" ref="L803:L805" ca="1" si="416">+IF(K803="proximo a vencer",IF($V$1+5&gt;G803,"para la semana","no semana"),"no semana")</f>
        <v>no semana</v>
      </c>
      <c r="M803" s="40" t="str">
        <f>IFERROR(VLOOKUP(E803,'cheques a conf'!A:D,4,FALSE),"no clearing")</f>
        <v>no clearing</v>
      </c>
      <c r="N803" s="40">
        <f t="shared" ref="N803:N805" si="417">+WEEKNUM(G803,2)</f>
        <v>29</v>
      </c>
      <c r="O803" s="42">
        <f t="shared" ref="O803:O805" si="418">+MONTH(G803)</f>
        <v>7</v>
      </c>
      <c r="P803" s="42">
        <f t="shared" ref="P803:P805" si="419">+YEAR(G803)</f>
        <v>2025</v>
      </c>
    </row>
    <row r="804" spans="1:16" x14ac:dyDescent="0.25">
      <c r="A804" s="21">
        <v>3000003980</v>
      </c>
      <c r="B804" s="22">
        <v>45854</v>
      </c>
      <c r="C804" s="20">
        <v>3955942.8</v>
      </c>
      <c r="D804" s="21" t="s">
        <v>68</v>
      </c>
      <c r="E804" s="21">
        <v>1628</v>
      </c>
      <c r="F804" s="20">
        <v>3955942.8</v>
      </c>
      <c r="G804" s="22">
        <v>45856</v>
      </c>
      <c r="H804" t="s">
        <v>32</v>
      </c>
      <c r="I804" s="40" t="str">
        <f>IFERROR(IF(VLOOKUP(E804,extracto!C:C,1,FALSE)=E804,"pagado","no pagado"),"no pagado")</f>
        <v>pagado</v>
      </c>
      <c r="J804" s="41" t="str">
        <f t="shared" si="414"/>
        <v>pagado</v>
      </c>
      <c r="K804" s="40" t="str">
        <f t="shared" ca="1" si="415"/>
        <v>excluir</v>
      </c>
      <c r="L804" s="40" t="str">
        <f t="shared" ca="1" si="416"/>
        <v>no semana</v>
      </c>
      <c r="M804" s="40" t="str">
        <f>IFERROR(VLOOKUP(E804,'cheques a conf'!A:D,4,FALSE),"no clearing")</f>
        <v>no clearing</v>
      </c>
      <c r="N804" s="40">
        <f t="shared" si="417"/>
        <v>29</v>
      </c>
      <c r="O804" s="42">
        <f t="shared" si="418"/>
        <v>7</v>
      </c>
      <c r="P804" s="42">
        <f t="shared" si="419"/>
        <v>2025</v>
      </c>
    </row>
    <row r="805" spans="1:16" x14ac:dyDescent="0.25">
      <c r="A805" s="21">
        <v>3000003981</v>
      </c>
      <c r="B805" s="22">
        <v>45854</v>
      </c>
      <c r="C805" s="20">
        <v>5113517.75</v>
      </c>
      <c r="D805" s="21" t="s">
        <v>659</v>
      </c>
      <c r="E805" s="21">
        <v>40272963</v>
      </c>
      <c r="F805" s="20">
        <v>5113517.75</v>
      </c>
      <c r="G805" s="22">
        <v>45856</v>
      </c>
      <c r="H805" t="s">
        <v>79</v>
      </c>
      <c r="I805" s="40" t="str">
        <f>IFERROR(IF(VLOOKUP(E805,extracto!C:C,1,FALSE)=E805,"pagado","no pagado"),"no pagado")</f>
        <v>pagado</v>
      </c>
      <c r="J805" s="41" t="str">
        <f t="shared" si="414"/>
        <v>pagado</v>
      </c>
      <c r="K805" s="40" t="str">
        <f t="shared" ca="1" si="415"/>
        <v>excluir</v>
      </c>
      <c r="L805" s="40" t="str">
        <f t="shared" ca="1" si="416"/>
        <v>no semana</v>
      </c>
      <c r="M805" s="40" t="str">
        <f>IFERROR(VLOOKUP(E805,'cheques a conf'!A:D,4,FALSE),"no clearing")</f>
        <v>no clearing</v>
      </c>
      <c r="N805" s="40">
        <f t="shared" si="417"/>
        <v>29</v>
      </c>
      <c r="O805" s="42">
        <f t="shared" si="418"/>
        <v>7</v>
      </c>
      <c r="P805" s="42">
        <f t="shared" si="419"/>
        <v>2025</v>
      </c>
    </row>
    <row r="806" spans="1:16" x14ac:dyDescent="0.25">
      <c r="A806" s="21">
        <v>3000004017</v>
      </c>
      <c r="B806" s="22">
        <v>45855</v>
      </c>
      <c r="C806" s="20">
        <v>44511430</v>
      </c>
      <c r="D806" s="21" t="s">
        <v>25</v>
      </c>
      <c r="E806" s="21">
        <v>40272964</v>
      </c>
      <c r="F806" s="20">
        <v>44511430</v>
      </c>
      <c r="G806" s="22">
        <v>45856</v>
      </c>
      <c r="H806" t="s">
        <v>79</v>
      </c>
      <c r="I806" s="40" t="str">
        <f>IFERROR(IF(VLOOKUP(E806,extracto!C:C,1,FALSE)=E806,"pagado","no pagado"),"no pagado")</f>
        <v>pagado</v>
      </c>
      <c r="J806" s="41" t="str">
        <f t="shared" ref="J806" si="420">IF(I806="pagado","pagado",IF(G806&lt;$V$1-30,"fuera de fecha","en periodo de pago"))</f>
        <v>pagado</v>
      </c>
      <c r="K806" s="40" t="str">
        <f t="shared" ref="K806" ca="1" si="421">+IF(B806&gt;$V$1,"excluir",IF(J806="en periodo de pago",IF($V$1&gt;G806,"a pagar","proximo a vencer"),"excluir"))</f>
        <v>excluir</v>
      </c>
      <c r="L806" s="40" t="str">
        <f t="shared" ref="L806" ca="1" si="422">+IF(K806="proximo a vencer",IF($V$1+5&gt;G806,"para la semana","no semana"),"no semana")</f>
        <v>no semana</v>
      </c>
      <c r="M806" s="40" t="str">
        <f>IFERROR(VLOOKUP(E806,'cheques a conf'!A:D,4,FALSE),"no clearing")</f>
        <v>no clearing</v>
      </c>
      <c r="N806" s="40">
        <f t="shared" ref="N806" si="423">+WEEKNUM(G806,2)</f>
        <v>29</v>
      </c>
      <c r="O806" s="42">
        <f t="shared" ref="O806" si="424">+MONTH(G806)</f>
        <v>7</v>
      </c>
      <c r="P806" s="42">
        <f t="shared" ref="P806" si="425">+YEAR(G806)</f>
        <v>2025</v>
      </c>
    </row>
    <row r="807" spans="1:16" x14ac:dyDescent="0.25">
      <c r="A807" s="21">
        <v>3000004035</v>
      </c>
      <c r="B807" s="22">
        <v>45856</v>
      </c>
      <c r="C807" s="20">
        <v>48913640</v>
      </c>
      <c r="D807" s="21" t="s">
        <v>25</v>
      </c>
      <c r="E807" s="21">
        <v>40272965</v>
      </c>
      <c r="F807" s="20">
        <v>48913640</v>
      </c>
      <c r="G807" s="22">
        <v>45859</v>
      </c>
      <c r="H807" t="s">
        <v>79</v>
      </c>
      <c r="I807" s="40" t="str">
        <f>IFERROR(IF(VLOOKUP(E807,extracto!C:C,1,FALSE)=E807,"pagado","no pagado"),"no pagado")</f>
        <v>pagado</v>
      </c>
      <c r="J807" s="41" t="str">
        <f t="shared" ref="J807" si="426">IF(I807="pagado","pagado",IF(G807&lt;$V$1-30,"fuera de fecha","en periodo de pago"))</f>
        <v>pagado</v>
      </c>
      <c r="K807" s="40" t="str">
        <f t="shared" ref="K807" ca="1" si="427">+IF(B807&gt;$V$1,"excluir",IF(J807="en periodo de pago",IF($V$1&gt;G807,"a pagar","proximo a vencer"),"excluir"))</f>
        <v>excluir</v>
      </c>
      <c r="L807" s="40" t="str">
        <f t="shared" ref="L807" ca="1" si="428">+IF(K807="proximo a vencer",IF($V$1+5&gt;G807,"para la semana","no semana"),"no semana")</f>
        <v>no semana</v>
      </c>
      <c r="M807" s="40" t="str">
        <f>IFERROR(VLOOKUP(E807,'cheques a conf'!A:D,4,FALSE),"no clearing")</f>
        <v>no clearing</v>
      </c>
      <c r="N807" s="40">
        <f t="shared" ref="N807" si="429">+WEEKNUM(G807,2)</f>
        <v>30</v>
      </c>
      <c r="O807" s="42">
        <f t="shared" ref="O807" si="430">+MONTH(G807)</f>
        <v>7</v>
      </c>
      <c r="P807" s="42">
        <f t="shared" ref="P807" si="431">+YEAR(G807)</f>
        <v>2025</v>
      </c>
    </row>
    <row r="808" spans="1:16" x14ac:dyDescent="0.25">
      <c r="A808" s="21">
        <v>3000004127</v>
      </c>
      <c r="B808" s="22">
        <v>45860</v>
      </c>
      <c r="C808" s="20">
        <v>189261030</v>
      </c>
      <c r="D808" s="21" t="s">
        <v>25</v>
      </c>
      <c r="E808" s="21">
        <v>40272966</v>
      </c>
      <c r="F808" s="20">
        <v>189261030</v>
      </c>
      <c r="G808" s="22">
        <v>45862</v>
      </c>
      <c r="H808" t="s">
        <v>79</v>
      </c>
      <c r="I808" s="40" t="str">
        <f>IFERROR(IF(VLOOKUP(E808,extracto!C:C,1,FALSE)=E808,"pagado","no pagado"),"no pagado")</f>
        <v>pagado</v>
      </c>
      <c r="J808" s="41" t="str">
        <f t="shared" ref="J808:J849" si="432">IF(I808="pagado","pagado",IF(G808&lt;$V$1-30,"fuera de fecha","en periodo de pago"))</f>
        <v>pagado</v>
      </c>
      <c r="K808" s="40" t="str">
        <f t="shared" ref="K808:K849" ca="1" si="433">+IF(B808&gt;$V$1,"excluir",IF(J808="en periodo de pago",IF($V$1&gt;G808,"a pagar","proximo a vencer"),"excluir"))</f>
        <v>excluir</v>
      </c>
      <c r="L808" s="40" t="str">
        <f t="shared" ref="L808:L849" ca="1" si="434">+IF(K808="proximo a vencer",IF($V$1+5&gt;G808,"para la semana","no semana"),"no semana")</f>
        <v>no semana</v>
      </c>
      <c r="M808" s="40" t="str">
        <f>IFERROR(VLOOKUP(E808,'cheques a conf'!A:D,4,FALSE),"no clearing")</f>
        <v>no clearing</v>
      </c>
      <c r="N808" s="40">
        <f t="shared" ref="N808:N849" si="435">+WEEKNUM(G808,2)</f>
        <v>30</v>
      </c>
      <c r="O808" s="42">
        <f t="shared" ref="O808:O849" si="436">+MONTH(G808)</f>
        <v>7</v>
      </c>
      <c r="P808" s="42">
        <f t="shared" ref="P808:P849" si="437">+YEAR(G808)</f>
        <v>2025</v>
      </c>
    </row>
    <row r="809" spans="1:16" x14ac:dyDescent="0.25">
      <c r="A809" s="21">
        <v>3000004145</v>
      </c>
      <c r="B809" s="22">
        <v>45860</v>
      </c>
      <c r="C809" s="20">
        <v>11607857.279999999</v>
      </c>
      <c r="D809" s="21" t="s">
        <v>732</v>
      </c>
      <c r="E809" s="21">
        <v>40272967</v>
      </c>
      <c r="F809" s="20">
        <v>11607857.279999999</v>
      </c>
      <c r="G809" s="22">
        <v>45863</v>
      </c>
      <c r="H809" t="s">
        <v>79</v>
      </c>
      <c r="I809" s="40" t="str">
        <f>IFERROR(IF(VLOOKUP(E809,extracto!C:C,1,FALSE)=E809,"pagado","no pagado"),"no pagado")</f>
        <v>pagado</v>
      </c>
      <c r="J809" s="41" t="str">
        <f t="shared" si="432"/>
        <v>pagado</v>
      </c>
      <c r="K809" s="40" t="str">
        <f t="shared" ca="1" si="433"/>
        <v>excluir</v>
      </c>
      <c r="L809" s="40" t="str">
        <f t="shared" ca="1" si="434"/>
        <v>no semana</v>
      </c>
      <c r="M809" s="40" t="str">
        <f>IFERROR(VLOOKUP(E809,'cheques a conf'!A:D,4,FALSE),"no clearing")</f>
        <v>no clearing</v>
      </c>
      <c r="N809" s="40">
        <f t="shared" si="435"/>
        <v>30</v>
      </c>
      <c r="O809" s="42">
        <f t="shared" si="436"/>
        <v>7</v>
      </c>
      <c r="P809" s="42">
        <f t="shared" si="437"/>
        <v>2025</v>
      </c>
    </row>
    <row r="810" spans="1:16" x14ac:dyDescent="0.25">
      <c r="A810" s="21">
        <v>3000004146</v>
      </c>
      <c r="B810" s="22">
        <v>45860</v>
      </c>
      <c r="C810" s="20">
        <v>2916734.73</v>
      </c>
      <c r="D810" s="21" t="s">
        <v>659</v>
      </c>
      <c r="E810" s="21">
        <v>40272968</v>
      </c>
      <c r="F810" s="20">
        <v>2916734.73</v>
      </c>
      <c r="G810" s="22">
        <v>45863</v>
      </c>
      <c r="H810" t="s">
        <v>79</v>
      </c>
      <c r="I810" s="40" t="str">
        <f>IFERROR(IF(VLOOKUP(E810,extracto!C:C,1,FALSE)=E810,"pagado","no pagado"),"no pagado")</f>
        <v>pagado</v>
      </c>
      <c r="J810" s="41" t="str">
        <f t="shared" si="432"/>
        <v>pagado</v>
      </c>
      <c r="K810" s="40" t="str">
        <f t="shared" ca="1" si="433"/>
        <v>excluir</v>
      </c>
      <c r="L810" s="40" t="str">
        <f t="shared" ca="1" si="434"/>
        <v>no semana</v>
      </c>
      <c r="M810" s="40" t="str">
        <f>IFERROR(VLOOKUP(E810,'cheques a conf'!A:D,4,FALSE),"no clearing")</f>
        <v>no clearing</v>
      </c>
      <c r="N810" s="40">
        <f t="shared" si="435"/>
        <v>30</v>
      </c>
      <c r="O810" s="42">
        <f t="shared" si="436"/>
        <v>7</v>
      </c>
      <c r="P810" s="42">
        <f t="shared" si="437"/>
        <v>2025</v>
      </c>
    </row>
    <row r="811" spans="1:16" x14ac:dyDescent="0.25">
      <c r="A811" s="21">
        <v>3000004075</v>
      </c>
      <c r="B811" s="22">
        <v>45860</v>
      </c>
      <c r="C811" s="20">
        <v>15115990.58</v>
      </c>
      <c r="D811" s="21" t="s">
        <v>652</v>
      </c>
      <c r="E811" s="21">
        <v>91002425</v>
      </c>
      <c r="F811" s="20">
        <v>15115990.58</v>
      </c>
      <c r="G811" s="22">
        <v>45862</v>
      </c>
      <c r="H811" t="s">
        <v>79</v>
      </c>
      <c r="I811" s="40" t="str">
        <f>IFERROR(IF(VLOOKUP(E811,extracto!C:C,1,FALSE)=E811,"pagado","no pagado"),"no pagado")</f>
        <v>pagado</v>
      </c>
      <c r="J811" s="41" t="str">
        <f t="shared" si="432"/>
        <v>pagado</v>
      </c>
      <c r="K811" s="40" t="str">
        <f t="shared" ca="1" si="433"/>
        <v>excluir</v>
      </c>
      <c r="L811" s="40" t="str">
        <f t="shared" ca="1" si="434"/>
        <v>no semana</v>
      </c>
      <c r="M811" s="40" t="str">
        <f>IFERROR(VLOOKUP(E811,'cheques a conf'!A:D,4,FALSE),"no clearing")</f>
        <v>no clearing</v>
      </c>
      <c r="N811" s="40">
        <f t="shared" si="435"/>
        <v>30</v>
      </c>
      <c r="O811" s="42">
        <f t="shared" si="436"/>
        <v>7</v>
      </c>
      <c r="P811" s="42">
        <f t="shared" si="437"/>
        <v>2025</v>
      </c>
    </row>
    <row r="812" spans="1:16" x14ac:dyDescent="0.25">
      <c r="A812" s="21">
        <v>3000004076</v>
      </c>
      <c r="B812" s="22">
        <v>45860</v>
      </c>
      <c r="C812" s="20">
        <v>5122469.21</v>
      </c>
      <c r="D812" s="21" t="s">
        <v>717</v>
      </c>
      <c r="E812" s="21">
        <v>91002426</v>
      </c>
      <c r="F812" s="20">
        <v>5122469.21</v>
      </c>
      <c r="G812" s="22">
        <v>45862</v>
      </c>
      <c r="H812" t="s">
        <v>79</v>
      </c>
      <c r="I812" s="40" t="str">
        <f>IFERROR(IF(VLOOKUP(E812,extracto!C:C,1,FALSE)=E812,"pagado","no pagado"),"no pagado")</f>
        <v>pagado</v>
      </c>
      <c r="J812" s="41" t="str">
        <f t="shared" si="432"/>
        <v>pagado</v>
      </c>
      <c r="K812" s="40" t="str">
        <f t="shared" ca="1" si="433"/>
        <v>excluir</v>
      </c>
      <c r="L812" s="40" t="str">
        <f t="shared" ca="1" si="434"/>
        <v>no semana</v>
      </c>
      <c r="M812" s="40" t="str">
        <f>IFERROR(VLOOKUP(E812,'cheques a conf'!A:D,4,FALSE),"no clearing")</f>
        <v>no clearing</v>
      </c>
      <c r="N812" s="40">
        <f t="shared" si="435"/>
        <v>30</v>
      </c>
      <c r="O812" s="42">
        <f t="shared" si="436"/>
        <v>7</v>
      </c>
      <c r="P812" s="42">
        <f t="shared" si="437"/>
        <v>2025</v>
      </c>
    </row>
    <row r="813" spans="1:16" x14ac:dyDescent="0.25">
      <c r="A813" s="21">
        <v>3000004077</v>
      </c>
      <c r="B813" s="22">
        <v>45860</v>
      </c>
      <c r="C813" s="20">
        <v>5121589.4400000004</v>
      </c>
      <c r="D813" s="21" t="s">
        <v>733</v>
      </c>
      <c r="E813" s="21">
        <v>91002427</v>
      </c>
      <c r="F813" s="20">
        <v>5121589.4400000004</v>
      </c>
      <c r="G813" s="22">
        <v>45862</v>
      </c>
      <c r="H813" t="s">
        <v>79</v>
      </c>
      <c r="I813" s="40" t="str">
        <f>IFERROR(IF(VLOOKUP(E813,extracto!C:C,1,FALSE)=E813,"pagado","no pagado"),"no pagado")</f>
        <v>pagado</v>
      </c>
      <c r="J813" s="41" t="str">
        <f t="shared" si="432"/>
        <v>pagado</v>
      </c>
      <c r="K813" s="40" t="str">
        <f t="shared" ca="1" si="433"/>
        <v>excluir</v>
      </c>
      <c r="L813" s="40" t="str">
        <f t="shared" ca="1" si="434"/>
        <v>no semana</v>
      </c>
      <c r="M813" s="40" t="str">
        <f>IFERROR(VLOOKUP(E813,'cheques a conf'!A:D,4,FALSE),"no clearing")</f>
        <v>no clearing</v>
      </c>
      <c r="N813" s="40">
        <f t="shared" si="435"/>
        <v>30</v>
      </c>
      <c r="O813" s="42">
        <f t="shared" si="436"/>
        <v>7</v>
      </c>
      <c r="P813" s="42">
        <f t="shared" si="437"/>
        <v>2025</v>
      </c>
    </row>
    <row r="814" spans="1:16" x14ac:dyDescent="0.25">
      <c r="A814" s="21">
        <v>3000004078</v>
      </c>
      <c r="B814" s="22">
        <v>45860</v>
      </c>
      <c r="C814" s="20">
        <v>13226597.09</v>
      </c>
      <c r="D814" s="21" t="s">
        <v>87</v>
      </c>
      <c r="E814" s="21">
        <v>91002428</v>
      </c>
      <c r="F814" s="20">
        <v>13226597.09</v>
      </c>
      <c r="G814" s="22">
        <v>45862</v>
      </c>
      <c r="H814" t="s">
        <v>79</v>
      </c>
      <c r="I814" s="40" t="str">
        <f>IFERROR(IF(VLOOKUP(E814,extracto!C:C,1,FALSE)=E814,"pagado","no pagado"),"no pagado")</f>
        <v>pagado</v>
      </c>
      <c r="J814" s="41" t="str">
        <f t="shared" si="432"/>
        <v>pagado</v>
      </c>
      <c r="K814" s="40" t="str">
        <f t="shared" ca="1" si="433"/>
        <v>excluir</v>
      </c>
      <c r="L814" s="40" t="str">
        <f t="shared" ca="1" si="434"/>
        <v>no semana</v>
      </c>
      <c r="M814" s="40" t="str">
        <f>IFERROR(VLOOKUP(E814,'cheques a conf'!A:D,4,FALSE),"no clearing")</f>
        <v>no clearing</v>
      </c>
      <c r="N814" s="40">
        <f t="shared" si="435"/>
        <v>30</v>
      </c>
      <c r="O814" s="42">
        <f t="shared" si="436"/>
        <v>7</v>
      </c>
      <c r="P814" s="42">
        <f t="shared" si="437"/>
        <v>2025</v>
      </c>
    </row>
    <row r="815" spans="1:16" x14ac:dyDescent="0.25">
      <c r="A815" s="21">
        <v>3000004079</v>
      </c>
      <c r="B815" s="22">
        <v>45860</v>
      </c>
      <c r="C815" s="20">
        <v>38157945.75</v>
      </c>
      <c r="D815" s="21" t="s">
        <v>734</v>
      </c>
      <c r="E815" s="21">
        <v>91002429</v>
      </c>
      <c r="F815" s="20">
        <v>38157945.75</v>
      </c>
      <c r="G815" s="22">
        <v>45861</v>
      </c>
      <c r="H815" t="s">
        <v>79</v>
      </c>
      <c r="I815" s="40" t="str">
        <f>IFERROR(IF(VLOOKUP(E815,extracto!C:C,1,FALSE)=E815,"pagado","no pagado"),"no pagado")</f>
        <v>pagado</v>
      </c>
      <c r="J815" s="41" t="str">
        <f t="shared" si="432"/>
        <v>pagado</v>
      </c>
      <c r="K815" s="40" t="str">
        <f t="shared" ca="1" si="433"/>
        <v>excluir</v>
      </c>
      <c r="L815" s="40" t="str">
        <f t="shared" ca="1" si="434"/>
        <v>no semana</v>
      </c>
      <c r="M815" s="40" t="str">
        <f>IFERROR(VLOOKUP(E815,'cheques a conf'!A:D,4,FALSE),"no clearing")</f>
        <v>no clearing</v>
      </c>
      <c r="N815" s="40">
        <f t="shared" si="435"/>
        <v>30</v>
      </c>
      <c r="O815" s="42">
        <f t="shared" si="436"/>
        <v>7</v>
      </c>
      <c r="P815" s="42">
        <f t="shared" si="437"/>
        <v>2025</v>
      </c>
    </row>
    <row r="816" spans="1:16" x14ac:dyDescent="0.25">
      <c r="A816" s="21">
        <v>3000004080</v>
      </c>
      <c r="B816" s="22">
        <v>45860</v>
      </c>
      <c r="C816" s="20">
        <v>7637657.4900000002</v>
      </c>
      <c r="D816" s="21" t="s">
        <v>620</v>
      </c>
      <c r="E816" s="21">
        <v>91002430</v>
      </c>
      <c r="F816" s="20">
        <v>7637657.4900000002</v>
      </c>
      <c r="G816" s="22">
        <v>45862</v>
      </c>
      <c r="H816" t="s">
        <v>79</v>
      </c>
      <c r="I816" s="40" t="str">
        <f>IFERROR(IF(VLOOKUP(E816,extracto!C:C,1,FALSE)=E816,"pagado","no pagado"),"no pagado")</f>
        <v>pagado</v>
      </c>
      <c r="J816" s="41" t="str">
        <f t="shared" si="432"/>
        <v>pagado</v>
      </c>
      <c r="K816" s="40" t="str">
        <f t="shared" ca="1" si="433"/>
        <v>excluir</v>
      </c>
      <c r="L816" s="40" t="str">
        <f t="shared" ca="1" si="434"/>
        <v>no semana</v>
      </c>
      <c r="M816" s="40" t="str">
        <f>IFERROR(VLOOKUP(E816,'cheques a conf'!A:D,4,FALSE),"no clearing")</f>
        <v>no clearing</v>
      </c>
      <c r="N816" s="40">
        <f t="shared" si="435"/>
        <v>30</v>
      </c>
      <c r="O816" s="42">
        <f t="shared" si="436"/>
        <v>7</v>
      </c>
      <c r="P816" s="42">
        <f t="shared" si="437"/>
        <v>2025</v>
      </c>
    </row>
    <row r="817" spans="1:16" x14ac:dyDescent="0.25">
      <c r="A817" s="21">
        <v>3000004081</v>
      </c>
      <c r="B817" s="22">
        <v>45860</v>
      </c>
      <c r="C817" s="20">
        <v>5362448.92</v>
      </c>
      <c r="D817" s="21" t="s">
        <v>735</v>
      </c>
      <c r="E817" s="21">
        <v>91002431</v>
      </c>
      <c r="F817" s="20">
        <v>5362448.92</v>
      </c>
      <c r="G817" s="22">
        <v>45866</v>
      </c>
      <c r="H817" t="s">
        <v>79</v>
      </c>
      <c r="I817" s="40" t="str">
        <f>IFERROR(IF(VLOOKUP(E817,extracto!C:C,1,FALSE)=E817,"pagado","no pagado"),"no pagado")</f>
        <v>pagado</v>
      </c>
      <c r="J817" s="41" t="str">
        <f t="shared" si="432"/>
        <v>pagado</v>
      </c>
      <c r="K817" s="40" t="str">
        <f t="shared" ca="1" si="433"/>
        <v>excluir</v>
      </c>
      <c r="L817" s="40" t="str">
        <f t="shared" ca="1" si="434"/>
        <v>no semana</v>
      </c>
      <c r="M817" s="40" t="str">
        <f>IFERROR(VLOOKUP(E817,'cheques a conf'!A:D,4,FALSE),"no clearing")</f>
        <v>no clearing</v>
      </c>
      <c r="N817" s="40">
        <f t="shared" si="435"/>
        <v>31</v>
      </c>
      <c r="O817" s="42">
        <f t="shared" si="436"/>
        <v>7</v>
      </c>
      <c r="P817" s="42">
        <f t="shared" si="437"/>
        <v>2025</v>
      </c>
    </row>
    <row r="818" spans="1:16" x14ac:dyDescent="0.25">
      <c r="A818" s="21">
        <v>3000004082</v>
      </c>
      <c r="B818" s="22">
        <v>45860</v>
      </c>
      <c r="C818" s="20">
        <v>18435105.66</v>
      </c>
      <c r="D818" s="21" t="s">
        <v>671</v>
      </c>
      <c r="E818" s="21">
        <v>91002432</v>
      </c>
      <c r="F818" s="20">
        <v>18435105.66</v>
      </c>
      <c r="G818" s="22">
        <v>45862</v>
      </c>
      <c r="H818" t="s">
        <v>79</v>
      </c>
      <c r="I818" s="40" t="str">
        <f>IFERROR(IF(VLOOKUP(E818,extracto!C:C,1,FALSE)=E818,"pagado","no pagado"),"no pagado")</f>
        <v>pagado</v>
      </c>
      <c r="J818" s="41" t="str">
        <f t="shared" si="432"/>
        <v>pagado</v>
      </c>
      <c r="K818" s="40" t="str">
        <f t="shared" ca="1" si="433"/>
        <v>excluir</v>
      </c>
      <c r="L818" s="40" t="str">
        <f t="shared" ca="1" si="434"/>
        <v>no semana</v>
      </c>
      <c r="M818" s="40" t="str">
        <f>IFERROR(VLOOKUP(E818,'cheques a conf'!A:D,4,FALSE),"no clearing")</f>
        <v>no clearing</v>
      </c>
      <c r="N818" s="40">
        <f t="shared" si="435"/>
        <v>30</v>
      </c>
      <c r="O818" s="42">
        <f t="shared" si="436"/>
        <v>7</v>
      </c>
      <c r="P818" s="42">
        <f t="shared" si="437"/>
        <v>2025</v>
      </c>
    </row>
    <row r="819" spans="1:16" x14ac:dyDescent="0.25">
      <c r="A819" s="21">
        <v>3000004083</v>
      </c>
      <c r="B819" s="22">
        <v>45860</v>
      </c>
      <c r="C819" s="20">
        <v>6240742.1100000003</v>
      </c>
      <c r="D819" s="21" t="s">
        <v>631</v>
      </c>
      <c r="E819" s="21">
        <v>91002433</v>
      </c>
      <c r="F819" s="20">
        <v>6240742.1100000003</v>
      </c>
      <c r="G819" s="22">
        <v>45862</v>
      </c>
      <c r="H819" t="s">
        <v>79</v>
      </c>
      <c r="I819" s="40" t="str">
        <f>IFERROR(IF(VLOOKUP(E819,extracto!C:C,1,FALSE)=E819,"pagado","no pagado"),"no pagado")</f>
        <v>pagado</v>
      </c>
      <c r="J819" s="41" t="str">
        <f t="shared" si="432"/>
        <v>pagado</v>
      </c>
      <c r="K819" s="40" t="str">
        <f t="shared" ca="1" si="433"/>
        <v>excluir</v>
      </c>
      <c r="L819" s="40" t="str">
        <f t="shared" ca="1" si="434"/>
        <v>no semana</v>
      </c>
      <c r="M819" s="40" t="str">
        <f>IFERROR(VLOOKUP(E819,'cheques a conf'!A:D,4,FALSE),"no clearing")</f>
        <v>no clearing</v>
      </c>
      <c r="N819" s="40">
        <f t="shared" si="435"/>
        <v>30</v>
      </c>
      <c r="O819" s="42">
        <f t="shared" si="436"/>
        <v>7</v>
      </c>
      <c r="P819" s="42">
        <f t="shared" si="437"/>
        <v>2025</v>
      </c>
    </row>
    <row r="820" spans="1:16" x14ac:dyDescent="0.25">
      <c r="A820" s="21">
        <v>3000004084</v>
      </c>
      <c r="B820" s="22">
        <v>45860</v>
      </c>
      <c r="C820" s="20">
        <v>2189670.7400000002</v>
      </c>
      <c r="D820" s="21" t="s">
        <v>595</v>
      </c>
      <c r="E820" s="21">
        <v>91002434</v>
      </c>
      <c r="F820" s="20">
        <v>2189670.7400000002</v>
      </c>
      <c r="G820" s="22">
        <v>45862</v>
      </c>
      <c r="H820" t="s">
        <v>79</v>
      </c>
      <c r="I820" s="40" t="str">
        <f>IFERROR(IF(VLOOKUP(E820,extracto!C:C,1,FALSE)=E820,"pagado","no pagado"),"no pagado")</f>
        <v>pagado</v>
      </c>
      <c r="J820" s="41" t="str">
        <f t="shared" si="432"/>
        <v>pagado</v>
      </c>
      <c r="K820" s="40" t="str">
        <f t="shared" ca="1" si="433"/>
        <v>excluir</v>
      </c>
      <c r="L820" s="40" t="str">
        <f t="shared" ca="1" si="434"/>
        <v>no semana</v>
      </c>
      <c r="M820" s="40" t="str">
        <f>IFERROR(VLOOKUP(E820,'cheques a conf'!A:D,4,FALSE),"no clearing")</f>
        <v>no clearing</v>
      </c>
      <c r="N820" s="40">
        <f t="shared" si="435"/>
        <v>30</v>
      </c>
      <c r="O820" s="42">
        <f t="shared" si="436"/>
        <v>7</v>
      </c>
      <c r="P820" s="42">
        <f t="shared" si="437"/>
        <v>2025</v>
      </c>
    </row>
    <row r="821" spans="1:16" x14ac:dyDescent="0.25">
      <c r="A821" s="21">
        <v>3000004085</v>
      </c>
      <c r="B821" s="22">
        <v>45860</v>
      </c>
      <c r="C821" s="20">
        <v>7196152.6200000001</v>
      </c>
      <c r="D821" s="21" t="s">
        <v>626</v>
      </c>
      <c r="E821" s="21">
        <v>91002435</v>
      </c>
      <c r="F821" s="20">
        <v>7196152.6200000001</v>
      </c>
      <c r="G821" s="22">
        <v>45862</v>
      </c>
      <c r="H821" t="s">
        <v>79</v>
      </c>
      <c r="I821" s="40" t="str">
        <f>IFERROR(IF(VLOOKUP(E821,extracto!C:C,1,FALSE)=E821,"pagado","no pagado"),"no pagado")</f>
        <v>pagado</v>
      </c>
      <c r="J821" s="41" t="str">
        <f t="shared" si="432"/>
        <v>pagado</v>
      </c>
      <c r="K821" s="40" t="str">
        <f t="shared" ca="1" si="433"/>
        <v>excluir</v>
      </c>
      <c r="L821" s="40" t="str">
        <f t="shared" ca="1" si="434"/>
        <v>no semana</v>
      </c>
      <c r="M821" s="40" t="str">
        <f>IFERROR(VLOOKUP(E821,'cheques a conf'!A:D,4,FALSE),"no clearing")</f>
        <v>no clearing</v>
      </c>
      <c r="N821" s="40">
        <f t="shared" si="435"/>
        <v>30</v>
      </c>
      <c r="O821" s="42">
        <f t="shared" si="436"/>
        <v>7</v>
      </c>
      <c r="P821" s="42">
        <f t="shared" si="437"/>
        <v>2025</v>
      </c>
    </row>
    <row r="822" spans="1:16" x14ac:dyDescent="0.25">
      <c r="A822" s="21">
        <v>3000004086</v>
      </c>
      <c r="B822" s="22">
        <v>45860</v>
      </c>
      <c r="C822" s="20">
        <v>25000000</v>
      </c>
      <c r="D822" s="21" t="s">
        <v>622</v>
      </c>
      <c r="E822" s="21">
        <v>91002436</v>
      </c>
      <c r="F822" s="20">
        <v>25000000</v>
      </c>
      <c r="G822" s="22">
        <v>45862</v>
      </c>
      <c r="H822" t="s">
        <v>79</v>
      </c>
      <c r="I822" s="40" t="str">
        <f>IFERROR(IF(VLOOKUP(E822,extracto!C:C,1,FALSE)=E822,"pagado","no pagado"),"no pagado")</f>
        <v>pagado</v>
      </c>
      <c r="J822" s="41" t="str">
        <f t="shared" si="432"/>
        <v>pagado</v>
      </c>
      <c r="K822" s="40" t="str">
        <f t="shared" ca="1" si="433"/>
        <v>excluir</v>
      </c>
      <c r="L822" s="40" t="str">
        <f t="shared" ca="1" si="434"/>
        <v>no semana</v>
      </c>
      <c r="M822" s="40" t="str">
        <f>IFERROR(VLOOKUP(E822,'cheques a conf'!A:D,4,FALSE),"no clearing")</f>
        <v>no clearing</v>
      </c>
      <c r="N822" s="40">
        <f t="shared" si="435"/>
        <v>30</v>
      </c>
      <c r="O822" s="42">
        <f t="shared" si="436"/>
        <v>7</v>
      </c>
      <c r="P822" s="42">
        <f t="shared" si="437"/>
        <v>2025</v>
      </c>
    </row>
    <row r="823" spans="1:16" x14ac:dyDescent="0.25">
      <c r="A823" s="21">
        <v>3000004086</v>
      </c>
      <c r="B823" s="22">
        <v>45860</v>
      </c>
      <c r="C823" s="20">
        <v>26192022.579999998</v>
      </c>
      <c r="D823" s="21" t="s">
        <v>622</v>
      </c>
      <c r="E823" s="21">
        <v>91002437</v>
      </c>
      <c r="F823" s="20">
        <v>26192022.579999998</v>
      </c>
      <c r="G823" s="22">
        <v>45863</v>
      </c>
      <c r="H823" t="s">
        <v>79</v>
      </c>
      <c r="I823" s="40" t="str">
        <f>IFERROR(IF(VLOOKUP(E823,extracto!C:C,1,FALSE)=E823,"pagado","no pagado"),"no pagado")</f>
        <v>pagado</v>
      </c>
      <c r="J823" s="41" t="str">
        <f t="shared" si="432"/>
        <v>pagado</v>
      </c>
      <c r="K823" s="40" t="str">
        <f t="shared" ca="1" si="433"/>
        <v>excluir</v>
      </c>
      <c r="L823" s="40" t="str">
        <f t="shared" ca="1" si="434"/>
        <v>no semana</v>
      </c>
      <c r="M823" s="40" t="str">
        <f>IFERROR(VLOOKUP(E823,'cheques a conf'!A:D,4,FALSE),"no clearing")</f>
        <v>no clearing</v>
      </c>
      <c r="N823" s="40">
        <f t="shared" si="435"/>
        <v>30</v>
      </c>
      <c r="O823" s="42">
        <f t="shared" si="436"/>
        <v>7</v>
      </c>
      <c r="P823" s="42">
        <f t="shared" si="437"/>
        <v>2025</v>
      </c>
    </row>
    <row r="824" spans="1:16" x14ac:dyDescent="0.25">
      <c r="A824" s="21">
        <v>3000004128</v>
      </c>
      <c r="B824" s="22">
        <v>45860</v>
      </c>
      <c r="C824" s="20">
        <v>7506500.5099999998</v>
      </c>
      <c r="D824" s="21" t="s">
        <v>679</v>
      </c>
      <c r="E824" s="21">
        <v>1629</v>
      </c>
      <c r="F824" s="20">
        <v>7506500.5099999998</v>
      </c>
      <c r="G824" s="22">
        <v>45863</v>
      </c>
      <c r="H824" t="s">
        <v>32</v>
      </c>
      <c r="I824" s="40" t="str">
        <f>IFERROR(IF(VLOOKUP(E824,extracto!C:C,1,FALSE)=E824,"pagado","no pagado"),"no pagado")</f>
        <v>pagado</v>
      </c>
      <c r="J824" s="41" t="str">
        <f t="shared" si="432"/>
        <v>pagado</v>
      </c>
      <c r="K824" s="40" t="str">
        <f t="shared" ca="1" si="433"/>
        <v>excluir</v>
      </c>
      <c r="L824" s="40" t="str">
        <f t="shared" ca="1" si="434"/>
        <v>no semana</v>
      </c>
      <c r="M824" s="40" t="str">
        <f>IFERROR(VLOOKUP(E824,'cheques a conf'!A:D,4,FALSE),"no clearing")</f>
        <v>no clearing</v>
      </c>
      <c r="N824" s="40">
        <f t="shared" si="435"/>
        <v>30</v>
      </c>
      <c r="O824" s="42">
        <f t="shared" si="436"/>
        <v>7</v>
      </c>
      <c r="P824" s="42">
        <f t="shared" si="437"/>
        <v>2025</v>
      </c>
    </row>
    <row r="825" spans="1:16" x14ac:dyDescent="0.25">
      <c r="A825" s="21">
        <v>3000004129</v>
      </c>
      <c r="B825" s="22">
        <v>45860</v>
      </c>
      <c r="C825" s="20">
        <v>7012480.2999999998</v>
      </c>
      <c r="D825" s="21" t="s">
        <v>736</v>
      </c>
      <c r="E825" s="21">
        <v>1630</v>
      </c>
      <c r="F825" s="20">
        <v>7012480.2999999998</v>
      </c>
      <c r="G825" s="22">
        <v>45863</v>
      </c>
      <c r="H825" t="s">
        <v>32</v>
      </c>
      <c r="I825" s="40" t="str">
        <f>IFERROR(IF(VLOOKUP(E825,extracto!C:C,1,FALSE)=E825,"pagado","no pagado"),"no pagado")</f>
        <v>pagado</v>
      </c>
      <c r="J825" s="41" t="str">
        <f t="shared" si="432"/>
        <v>pagado</v>
      </c>
      <c r="K825" s="40" t="str">
        <f t="shared" ca="1" si="433"/>
        <v>excluir</v>
      </c>
      <c r="L825" s="40" t="str">
        <f t="shared" ca="1" si="434"/>
        <v>no semana</v>
      </c>
      <c r="M825" s="40" t="str">
        <f>IFERROR(VLOOKUP(E825,'cheques a conf'!A:D,4,FALSE),"no clearing")</f>
        <v>no clearing</v>
      </c>
      <c r="N825" s="40">
        <f t="shared" si="435"/>
        <v>30</v>
      </c>
      <c r="O825" s="42">
        <f t="shared" si="436"/>
        <v>7</v>
      </c>
      <c r="P825" s="42">
        <f t="shared" si="437"/>
        <v>2025</v>
      </c>
    </row>
    <row r="826" spans="1:16" x14ac:dyDescent="0.25">
      <c r="A826" s="21">
        <v>3000004130</v>
      </c>
      <c r="B826" s="22">
        <v>45860</v>
      </c>
      <c r="C826" s="20">
        <v>11858051.880000001</v>
      </c>
      <c r="D826" s="21" t="s">
        <v>708</v>
      </c>
      <c r="E826" s="21">
        <v>1631</v>
      </c>
      <c r="F826" s="20">
        <v>11858051.880000001</v>
      </c>
      <c r="G826" s="22">
        <v>45863</v>
      </c>
      <c r="H826" t="s">
        <v>32</v>
      </c>
      <c r="I826" s="40" t="str">
        <f>IFERROR(IF(VLOOKUP(E826,extracto!C:C,1,FALSE)=E826,"pagado","no pagado"),"no pagado")</f>
        <v>pagado</v>
      </c>
      <c r="J826" s="41" t="str">
        <f t="shared" si="432"/>
        <v>pagado</v>
      </c>
      <c r="K826" s="40" t="str">
        <f t="shared" ca="1" si="433"/>
        <v>excluir</v>
      </c>
      <c r="L826" s="40" t="str">
        <f t="shared" ca="1" si="434"/>
        <v>no semana</v>
      </c>
      <c r="M826" s="40" t="str">
        <f>IFERROR(VLOOKUP(E826,'cheques a conf'!A:D,4,FALSE),"no clearing")</f>
        <v>no clearing</v>
      </c>
      <c r="N826" s="40">
        <f t="shared" si="435"/>
        <v>30</v>
      </c>
      <c r="O826" s="42">
        <f t="shared" si="436"/>
        <v>7</v>
      </c>
      <c r="P826" s="42">
        <f t="shared" si="437"/>
        <v>2025</v>
      </c>
    </row>
    <row r="827" spans="1:16" x14ac:dyDescent="0.25">
      <c r="A827" s="21">
        <v>3000004131</v>
      </c>
      <c r="B827" s="22">
        <v>45860</v>
      </c>
      <c r="C827" s="20">
        <v>13101023.1</v>
      </c>
      <c r="D827" s="21" t="s">
        <v>644</v>
      </c>
      <c r="E827" s="21">
        <v>1632</v>
      </c>
      <c r="F827" s="20">
        <v>13101023.1</v>
      </c>
      <c r="G827" s="22">
        <v>45863</v>
      </c>
      <c r="H827" t="s">
        <v>32</v>
      </c>
      <c r="I827" s="40" t="str">
        <f>IFERROR(IF(VLOOKUP(E827,extracto!C:C,1,FALSE)=E827,"pagado","no pagado"),"no pagado")</f>
        <v>pagado</v>
      </c>
      <c r="J827" s="41" t="str">
        <f t="shared" si="432"/>
        <v>pagado</v>
      </c>
      <c r="K827" s="40" t="str">
        <f t="shared" ca="1" si="433"/>
        <v>excluir</v>
      </c>
      <c r="L827" s="40" t="str">
        <f t="shared" ca="1" si="434"/>
        <v>no semana</v>
      </c>
      <c r="M827" s="40" t="str">
        <f>IFERROR(VLOOKUP(E827,'cheques a conf'!A:D,4,FALSE),"no clearing")</f>
        <v>no clearing</v>
      </c>
      <c r="N827" s="40">
        <f t="shared" si="435"/>
        <v>30</v>
      </c>
      <c r="O827" s="42">
        <f t="shared" si="436"/>
        <v>7</v>
      </c>
      <c r="P827" s="42">
        <f t="shared" si="437"/>
        <v>2025</v>
      </c>
    </row>
    <row r="828" spans="1:16" x14ac:dyDescent="0.25">
      <c r="A828" s="21">
        <v>3000004132</v>
      </c>
      <c r="B828" s="22">
        <v>45860</v>
      </c>
      <c r="C828" s="20">
        <v>6259914.4400000004</v>
      </c>
      <c r="D828" s="21" t="s">
        <v>737</v>
      </c>
      <c r="E828" s="21">
        <v>1633</v>
      </c>
      <c r="F828" s="20">
        <v>6259914.4400000004</v>
      </c>
      <c r="G828" s="22">
        <v>45863</v>
      </c>
      <c r="H828" t="s">
        <v>32</v>
      </c>
      <c r="I828" s="40" t="str">
        <f>IFERROR(IF(VLOOKUP(E828,extracto!C:C,1,FALSE)=E828,"pagado","no pagado"),"no pagado")</f>
        <v>pagado</v>
      </c>
      <c r="J828" s="41" t="str">
        <f t="shared" si="432"/>
        <v>pagado</v>
      </c>
      <c r="K828" s="40" t="str">
        <f t="shared" ca="1" si="433"/>
        <v>excluir</v>
      </c>
      <c r="L828" s="40" t="str">
        <f t="shared" ca="1" si="434"/>
        <v>no semana</v>
      </c>
      <c r="M828" s="40" t="str">
        <f>IFERROR(VLOOKUP(E828,'cheques a conf'!A:D,4,FALSE),"no clearing")</f>
        <v>no clearing</v>
      </c>
      <c r="N828" s="40">
        <f t="shared" si="435"/>
        <v>30</v>
      </c>
      <c r="O828" s="42">
        <f t="shared" si="436"/>
        <v>7</v>
      </c>
      <c r="P828" s="42">
        <f t="shared" si="437"/>
        <v>2025</v>
      </c>
    </row>
    <row r="829" spans="1:16" x14ac:dyDescent="0.25">
      <c r="A829" s="21">
        <v>3000004133</v>
      </c>
      <c r="B829" s="22">
        <v>45860</v>
      </c>
      <c r="C829" s="20">
        <v>5690038.3399999999</v>
      </c>
      <c r="D829" s="21" t="s">
        <v>702</v>
      </c>
      <c r="E829" s="21">
        <v>1634</v>
      </c>
      <c r="F829" s="20">
        <v>5690038.3399999999</v>
      </c>
      <c r="G829" s="22">
        <v>45863</v>
      </c>
      <c r="H829" t="s">
        <v>32</v>
      </c>
      <c r="I829" s="40" t="str">
        <f>IFERROR(IF(VLOOKUP(E829,extracto!C:C,1,FALSE)=E829,"pagado","no pagado"),"no pagado")</f>
        <v>pagado</v>
      </c>
      <c r="J829" s="41" t="str">
        <f t="shared" si="432"/>
        <v>pagado</v>
      </c>
      <c r="K829" s="40" t="str">
        <f t="shared" ca="1" si="433"/>
        <v>excluir</v>
      </c>
      <c r="L829" s="40" t="str">
        <f t="shared" ca="1" si="434"/>
        <v>no semana</v>
      </c>
      <c r="M829" s="40" t="str">
        <f>IFERROR(VLOOKUP(E829,'cheques a conf'!A:D,4,FALSE),"no clearing")</f>
        <v>no clearing</v>
      </c>
      <c r="N829" s="40">
        <f t="shared" si="435"/>
        <v>30</v>
      </c>
      <c r="O829" s="42">
        <f t="shared" si="436"/>
        <v>7</v>
      </c>
      <c r="P829" s="42">
        <f t="shared" si="437"/>
        <v>2025</v>
      </c>
    </row>
    <row r="830" spans="1:16" x14ac:dyDescent="0.25">
      <c r="A830" s="21">
        <v>3000004134</v>
      </c>
      <c r="B830" s="22">
        <v>45860</v>
      </c>
      <c r="C830" s="20">
        <v>5814069.0499999998</v>
      </c>
      <c r="D830" s="21" t="s">
        <v>676</v>
      </c>
      <c r="E830" s="21">
        <v>1635</v>
      </c>
      <c r="F830" s="20">
        <v>5814069.0499999998</v>
      </c>
      <c r="G830" s="22">
        <v>45863</v>
      </c>
      <c r="H830" t="s">
        <v>32</v>
      </c>
      <c r="I830" s="40" t="str">
        <f>IFERROR(IF(VLOOKUP(E830,extracto!C:C,1,FALSE)=E830,"pagado","no pagado"),"no pagado")</f>
        <v>pagado</v>
      </c>
      <c r="J830" s="41" t="str">
        <f t="shared" si="432"/>
        <v>pagado</v>
      </c>
      <c r="K830" s="40" t="str">
        <f t="shared" ca="1" si="433"/>
        <v>excluir</v>
      </c>
      <c r="L830" s="40" t="str">
        <f t="shared" ca="1" si="434"/>
        <v>no semana</v>
      </c>
      <c r="M830" s="40" t="str">
        <f>IFERROR(VLOOKUP(E830,'cheques a conf'!A:D,4,FALSE),"no clearing")</f>
        <v>no clearing</v>
      </c>
      <c r="N830" s="40">
        <f t="shared" si="435"/>
        <v>30</v>
      </c>
      <c r="O830" s="42">
        <f t="shared" si="436"/>
        <v>7</v>
      </c>
      <c r="P830" s="42">
        <f t="shared" si="437"/>
        <v>2025</v>
      </c>
    </row>
    <row r="831" spans="1:16" x14ac:dyDescent="0.25">
      <c r="A831" s="21">
        <v>3000004135</v>
      </c>
      <c r="B831" s="22">
        <v>45860</v>
      </c>
      <c r="C831" s="20">
        <v>9394026.8300000001</v>
      </c>
      <c r="D831" s="21" t="s">
        <v>657</v>
      </c>
      <c r="E831" s="21">
        <v>1636</v>
      </c>
      <c r="F831" s="20">
        <v>9394026.8300000001</v>
      </c>
      <c r="G831" s="22">
        <v>45863</v>
      </c>
      <c r="H831" t="s">
        <v>32</v>
      </c>
      <c r="I831" s="40" t="str">
        <f>IFERROR(IF(VLOOKUP(E831,extracto!C:C,1,FALSE)=E831,"pagado","no pagado"),"no pagado")</f>
        <v>pagado</v>
      </c>
      <c r="J831" s="41" t="str">
        <f t="shared" si="432"/>
        <v>pagado</v>
      </c>
      <c r="K831" s="40" t="str">
        <f t="shared" ca="1" si="433"/>
        <v>excluir</v>
      </c>
      <c r="L831" s="40" t="str">
        <f t="shared" ca="1" si="434"/>
        <v>no semana</v>
      </c>
      <c r="M831" s="40" t="str">
        <f>IFERROR(VLOOKUP(E831,'cheques a conf'!A:D,4,FALSE),"no clearing")</f>
        <v>no clearing</v>
      </c>
      <c r="N831" s="40">
        <f t="shared" si="435"/>
        <v>30</v>
      </c>
      <c r="O831" s="42">
        <f t="shared" si="436"/>
        <v>7</v>
      </c>
      <c r="P831" s="42">
        <f t="shared" si="437"/>
        <v>2025</v>
      </c>
    </row>
    <row r="832" spans="1:16" x14ac:dyDescent="0.25">
      <c r="A832" s="21">
        <v>3000004136</v>
      </c>
      <c r="B832" s="22">
        <v>45860</v>
      </c>
      <c r="C832" s="20">
        <v>7618149.7800000003</v>
      </c>
      <c r="D832" s="21" t="s">
        <v>662</v>
      </c>
      <c r="E832" s="21">
        <v>1637</v>
      </c>
      <c r="F832" s="20">
        <v>7618149.7800000003</v>
      </c>
      <c r="G832" s="22">
        <v>45863</v>
      </c>
      <c r="H832" t="s">
        <v>32</v>
      </c>
      <c r="I832" s="40" t="str">
        <f>IFERROR(IF(VLOOKUP(E832,extracto!C:C,1,FALSE)=E832,"pagado","no pagado"),"no pagado")</f>
        <v>pagado</v>
      </c>
      <c r="J832" s="41" t="str">
        <f t="shared" si="432"/>
        <v>pagado</v>
      </c>
      <c r="K832" s="40" t="str">
        <f t="shared" ca="1" si="433"/>
        <v>excluir</v>
      </c>
      <c r="L832" s="40" t="str">
        <f t="shared" ca="1" si="434"/>
        <v>no semana</v>
      </c>
      <c r="M832" s="40" t="str">
        <f>IFERROR(VLOOKUP(E832,'cheques a conf'!A:D,4,FALSE),"no clearing")</f>
        <v>no clearing</v>
      </c>
      <c r="N832" s="40">
        <f t="shared" si="435"/>
        <v>30</v>
      </c>
      <c r="O832" s="42">
        <f t="shared" si="436"/>
        <v>7</v>
      </c>
      <c r="P832" s="42">
        <f t="shared" si="437"/>
        <v>2025</v>
      </c>
    </row>
    <row r="833" spans="1:16" x14ac:dyDescent="0.25">
      <c r="A833" s="21">
        <v>3000004137</v>
      </c>
      <c r="B833" s="22">
        <v>45860</v>
      </c>
      <c r="C833" s="20">
        <v>6489570</v>
      </c>
      <c r="D833" s="21" t="s">
        <v>624</v>
      </c>
      <c r="E833" s="21">
        <v>1638</v>
      </c>
      <c r="F833" s="20">
        <v>6489570</v>
      </c>
      <c r="G833" s="22">
        <v>45863</v>
      </c>
      <c r="H833" t="s">
        <v>32</v>
      </c>
      <c r="I833" s="40" t="str">
        <f>IFERROR(IF(VLOOKUP(E833,extracto!C:C,1,FALSE)=E833,"pagado","no pagado"),"no pagado")</f>
        <v>pagado</v>
      </c>
      <c r="J833" s="41" t="str">
        <f t="shared" si="432"/>
        <v>pagado</v>
      </c>
      <c r="K833" s="40" t="str">
        <f t="shared" ca="1" si="433"/>
        <v>excluir</v>
      </c>
      <c r="L833" s="40" t="str">
        <f t="shared" ca="1" si="434"/>
        <v>no semana</v>
      </c>
      <c r="M833" s="40" t="str">
        <f>IFERROR(VLOOKUP(E833,'cheques a conf'!A:D,4,FALSE),"no clearing")</f>
        <v>no clearing</v>
      </c>
      <c r="N833" s="40">
        <f t="shared" si="435"/>
        <v>30</v>
      </c>
      <c r="O833" s="42">
        <f t="shared" si="436"/>
        <v>7</v>
      </c>
      <c r="P833" s="42">
        <f t="shared" si="437"/>
        <v>2025</v>
      </c>
    </row>
    <row r="834" spans="1:16" x14ac:dyDescent="0.25">
      <c r="A834" s="21">
        <v>3000004138</v>
      </c>
      <c r="B834" s="22">
        <v>45860</v>
      </c>
      <c r="C834" s="20">
        <v>10581942.369999999</v>
      </c>
      <c r="D834" s="21" t="s">
        <v>616</v>
      </c>
      <c r="E834" s="21">
        <v>1639</v>
      </c>
      <c r="F834" s="20">
        <v>10581942.369999999</v>
      </c>
      <c r="G834" s="22">
        <v>45863</v>
      </c>
      <c r="H834" t="s">
        <v>32</v>
      </c>
      <c r="I834" s="40" t="str">
        <f>IFERROR(IF(VLOOKUP(E834,extracto!C:C,1,FALSE)=E834,"pagado","no pagado"),"no pagado")</f>
        <v>pagado</v>
      </c>
      <c r="J834" s="41" t="str">
        <f t="shared" si="432"/>
        <v>pagado</v>
      </c>
      <c r="K834" s="40" t="str">
        <f t="shared" ca="1" si="433"/>
        <v>excluir</v>
      </c>
      <c r="L834" s="40" t="str">
        <f t="shared" ca="1" si="434"/>
        <v>no semana</v>
      </c>
      <c r="M834" s="40" t="str">
        <f>IFERROR(VLOOKUP(E834,'cheques a conf'!A:D,4,FALSE),"no clearing")</f>
        <v>no clearing</v>
      </c>
      <c r="N834" s="40">
        <f t="shared" si="435"/>
        <v>30</v>
      </c>
      <c r="O834" s="42">
        <f t="shared" si="436"/>
        <v>7</v>
      </c>
      <c r="P834" s="42">
        <f t="shared" si="437"/>
        <v>2025</v>
      </c>
    </row>
    <row r="835" spans="1:16" x14ac:dyDescent="0.25">
      <c r="A835" s="21">
        <v>3000004139</v>
      </c>
      <c r="B835" s="22">
        <v>45860</v>
      </c>
      <c r="C835" s="20">
        <v>7439002.6100000003</v>
      </c>
      <c r="D835" s="21" t="s">
        <v>618</v>
      </c>
      <c r="E835" s="21">
        <v>1640</v>
      </c>
      <c r="F835" s="20">
        <v>7439002.6100000003</v>
      </c>
      <c r="G835" s="22">
        <v>45863</v>
      </c>
      <c r="H835" t="s">
        <v>32</v>
      </c>
      <c r="I835" s="40" t="str">
        <f>IFERROR(IF(VLOOKUP(E835,extracto!C:C,1,FALSE)=E835,"pagado","no pagado"),"no pagado")</f>
        <v>pagado</v>
      </c>
      <c r="J835" s="41" t="str">
        <f t="shared" si="432"/>
        <v>pagado</v>
      </c>
      <c r="K835" s="40" t="str">
        <f t="shared" ca="1" si="433"/>
        <v>excluir</v>
      </c>
      <c r="L835" s="40" t="str">
        <f t="shared" ca="1" si="434"/>
        <v>no semana</v>
      </c>
      <c r="M835" s="40" t="str">
        <f>IFERROR(VLOOKUP(E835,'cheques a conf'!A:D,4,FALSE),"no clearing")</f>
        <v>no clearing</v>
      </c>
      <c r="N835" s="40">
        <f t="shared" si="435"/>
        <v>30</v>
      </c>
      <c r="O835" s="42">
        <f t="shared" si="436"/>
        <v>7</v>
      </c>
      <c r="P835" s="42">
        <f t="shared" si="437"/>
        <v>2025</v>
      </c>
    </row>
    <row r="836" spans="1:16" x14ac:dyDescent="0.25">
      <c r="A836" s="21">
        <v>3000004140</v>
      </c>
      <c r="B836" s="22">
        <v>45860</v>
      </c>
      <c r="C836" s="20">
        <v>16760640.93</v>
      </c>
      <c r="D836" s="21" t="s">
        <v>619</v>
      </c>
      <c r="E836" s="21">
        <v>1641</v>
      </c>
      <c r="F836" s="20">
        <v>16760640.93</v>
      </c>
      <c r="G836" s="22">
        <v>45863</v>
      </c>
      <c r="H836" t="s">
        <v>32</v>
      </c>
      <c r="I836" s="40" t="str">
        <f>IFERROR(IF(VLOOKUP(E836,extracto!C:C,1,FALSE)=E836,"pagado","no pagado"),"no pagado")</f>
        <v>pagado</v>
      </c>
      <c r="J836" s="41" t="str">
        <f t="shared" si="432"/>
        <v>pagado</v>
      </c>
      <c r="K836" s="40" t="str">
        <f t="shared" ca="1" si="433"/>
        <v>excluir</v>
      </c>
      <c r="L836" s="40" t="str">
        <f t="shared" ca="1" si="434"/>
        <v>no semana</v>
      </c>
      <c r="M836" s="40" t="str">
        <f>IFERROR(VLOOKUP(E836,'cheques a conf'!A:D,4,FALSE),"no clearing")</f>
        <v>no clearing</v>
      </c>
      <c r="N836" s="40">
        <f t="shared" si="435"/>
        <v>30</v>
      </c>
      <c r="O836" s="42">
        <f t="shared" si="436"/>
        <v>7</v>
      </c>
      <c r="P836" s="42">
        <f t="shared" si="437"/>
        <v>2025</v>
      </c>
    </row>
    <row r="837" spans="1:16" x14ac:dyDescent="0.25">
      <c r="A837" s="21">
        <v>3000004141</v>
      </c>
      <c r="B837" s="22">
        <v>45860</v>
      </c>
      <c r="C837" s="20">
        <v>20883015.079999998</v>
      </c>
      <c r="D837" s="21" t="s">
        <v>642</v>
      </c>
      <c r="E837" s="21">
        <v>1642</v>
      </c>
      <c r="F837" s="20">
        <v>20883015.079999998</v>
      </c>
      <c r="G837" s="22">
        <v>45863</v>
      </c>
      <c r="H837" t="s">
        <v>32</v>
      </c>
      <c r="I837" s="40" t="str">
        <f>IFERROR(IF(VLOOKUP(E837,extracto!C:C,1,FALSE)=E837,"pagado","no pagado"),"no pagado")</f>
        <v>pagado</v>
      </c>
      <c r="J837" s="41" t="str">
        <f t="shared" si="432"/>
        <v>pagado</v>
      </c>
      <c r="K837" s="40" t="str">
        <f t="shared" ca="1" si="433"/>
        <v>excluir</v>
      </c>
      <c r="L837" s="40" t="str">
        <f t="shared" ca="1" si="434"/>
        <v>no semana</v>
      </c>
      <c r="M837" s="40" t="str">
        <f>IFERROR(VLOOKUP(E837,'cheques a conf'!A:D,4,FALSE),"no clearing")</f>
        <v>no clearing</v>
      </c>
      <c r="N837" s="40">
        <f t="shared" si="435"/>
        <v>30</v>
      </c>
      <c r="O837" s="42">
        <f t="shared" si="436"/>
        <v>7</v>
      </c>
      <c r="P837" s="42">
        <f t="shared" si="437"/>
        <v>2025</v>
      </c>
    </row>
    <row r="838" spans="1:16" x14ac:dyDescent="0.25">
      <c r="A838" s="21">
        <v>3000004142</v>
      </c>
      <c r="B838" s="22">
        <v>45860</v>
      </c>
      <c r="C838" s="20">
        <v>25000000</v>
      </c>
      <c r="D838" s="21" t="s">
        <v>613</v>
      </c>
      <c r="E838" s="21">
        <v>1643</v>
      </c>
      <c r="F838" s="20">
        <v>25000000</v>
      </c>
      <c r="G838" s="22">
        <v>45863</v>
      </c>
      <c r="H838" t="s">
        <v>32</v>
      </c>
      <c r="I838" s="40" t="str">
        <f>IFERROR(IF(VLOOKUP(E838,extracto!C:C,1,FALSE)=E838,"pagado","no pagado"),"no pagado")</f>
        <v>pagado</v>
      </c>
      <c r="J838" s="41" t="str">
        <f t="shared" si="432"/>
        <v>pagado</v>
      </c>
      <c r="K838" s="40" t="str">
        <f t="shared" ca="1" si="433"/>
        <v>excluir</v>
      </c>
      <c r="L838" s="40" t="str">
        <f t="shared" ca="1" si="434"/>
        <v>no semana</v>
      </c>
      <c r="M838" s="40" t="str">
        <f>IFERROR(VLOOKUP(E838,'cheques a conf'!A:D,4,FALSE),"no clearing")</f>
        <v>no clearing</v>
      </c>
      <c r="N838" s="40">
        <f t="shared" si="435"/>
        <v>30</v>
      </c>
      <c r="O838" s="42">
        <f t="shared" si="436"/>
        <v>7</v>
      </c>
      <c r="P838" s="42">
        <f t="shared" si="437"/>
        <v>2025</v>
      </c>
    </row>
    <row r="839" spans="1:16" x14ac:dyDescent="0.25">
      <c r="A839" s="21">
        <v>3000004142</v>
      </c>
      <c r="B839" s="22">
        <v>45860</v>
      </c>
      <c r="C839" s="20">
        <v>24729825.289999999</v>
      </c>
      <c r="D839" s="21" t="s">
        <v>613</v>
      </c>
      <c r="E839" s="21">
        <v>1644</v>
      </c>
      <c r="F839" s="20">
        <v>24729825.289999999</v>
      </c>
      <c r="G839" s="22">
        <v>45866</v>
      </c>
      <c r="H839" t="s">
        <v>32</v>
      </c>
      <c r="I839" s="40" t="str">
        <f>IFERROR(IF(VLOOKUP(E839,extracto!C:C,1,FALSE)=E839,"pagado","no pagado"),"no pagado")</f>
        <v>pagado</v>
      </c>
      <c r="J839" s="41" t="str">
        <f t="shared" si="432"/>
        <v>pagado</v>
      </c>
      <c r="K839" s="40" t="str">
        <f t="shared" ca="1" si="433"/>
        <v>excluir</v>
      </c>
      <c r="L839" s="40" t="str">
        <f t="shared" ca="1" si="434"/>
        <v>no semana</v>
      </c>
      <c r="M839" s="40" t="str">
        <f>IFERROR(VLOOKUP(E839,'cheques a conf'!A:D,4,FALSE),"no clearing")</f>
        <v>no clearing</v>
      </c>
      <c r="N839" s="40">
        <f t="shared" si="435"/>
        <v>31</v>
      </c>
      <c r="O839" s="42">
        <f t="shared" si="436"/>
        <v>7</v>
      </c>
      <c r="P839" s="42">
        <f t="shared" si="437"/>
        <v>2025</v>
      </c>
    </row>
    <row r="840" spans="1:16" x14ac:dyDescent="0.25">
      <c r="A840" s="21">
        <v>3000004143</v>
      </c>
      <c r="B840" s="22">
        <v>45860</v>
      </c>
      <c r="C840" s="20">
        <v>9099778.7200000007</v>
      </c>
      <c r="D840" s="21" t="s">
        <v>593</v>
      </c>
      <c r="E840" s="21">
        <v>1645</v>
      </c>
      <c r="F840" s="20">
        <v>9099778.7200000007</v>
      </c>
      <c r="G840" s="22">
        <v>45863</v>
      </c>
      <c r="H840" t="s">
        <v>32</v>
      </c>
      <c r="I840" s="40" t="str">
        <f>IFERROR(IF(VLOOKUP(E840,extracto!C:C,1,FALSE)=E840,"pagado","no pagado"),"no pagado")</f>
        <v>pagado</v>
      </c>
      <c r="J840" s="41" t="str">
        <f t="shared" si="432"/>
        <v>pagado</v>
      </c>
      <c r="K840" s="40" t="str">
        <f t="shared" ca="1" si="433"/>
        <v>excluir</v>
      </c>
      <c r="L840" s="40" t="str">
        <f t="shared" ca="1" si="434"/>
        <v>no semana</v>
      </c>
      <c r="M840" s="40" t="str">
        <f>IFERROR(VLOOKUP(E840,'cheques a conf'!A:D,4,FALSE),"no clearing")</f>
        <v>no clearing</v>
      </c>
      <c r="N840" s="40">
        <f t="shared" si="435"/>
        <v>30</v>
      </c>
      <c r="O840" s="42">
        <f t="shared" si="436"/>
        <v>7</v>
      </c>
      <c r="P840" s="42">
        <f t="shared" si="437"/>
        <v>2025</v>
      </c>
    </row>
    <row r="841" spans="1:16" x14ac:dyDescent="0.25">
      <c r="A841" s="21">
        <v>3000004144</v>
      </c>
      <c r="B841" s="22">
        <v>45860</v>
      </c>
      <c r="C841" s="20">
        <v>16015964.869999999</v>
      </c>
      <c r="D841" s="21" t="s">
        <v>33</v>
      </c>
      <c r="E841" s="21">
        <v>1646</v>
      </c>
      <c r="F841" s="20">
        <v>16015964.869999999</v>
      </c>
      <c r="G841" s="22">
        <v>45863</v>
      </c>
      <c r="H841" t="s">
        <v>32</v>
      </c>
      <c r="I841" s="40" t="str">
        <f>IFERROR(IF(VLOOKUP(E841,extracto!C:C,1,FALSE)=E841,"pagado","no pagado"),"no pagado")</f>
        <v>pagado</v>
      </c>
      <c r="J841" s="41" t="str">
        <f t="shared" si="432"/>
        <v>pagado</v>
      </c>
      <c r="K841" s="40" t="str">
        <f t="shared" ca="1" si="433"/>
        <v>excluir</v>
      </c>
      <c r="L841" s="40" t="str">
        <f t="shared" ca="1" si="434"/>
        <v>no semana</v>
      </c>
      <c r="M841" s="40" t="str">
        <f>IFERROR(VLOOKUP(E841,'cheques a conf'!A:D,4,FALSE),"no clearing")</f>
        <v>no clearing</v>
      </c>
      <c r="N841" s="40">
        <f t="shared" si="435"/>
        <v>30</v>
      </c>
      <c r="O841" s="42">
        <f t="shared" si="436"/>
        <v>7</v>
      </c>
      <c r="P841" s="42">
        <f t="shared" si="437"/>
        <v>2025</v>
      </c>
    </row>
    <row r="842" spans="1:16" x14ac:dyDescent="0.25">
      <c r="A842">
        <v>3000004185</v>
      </c>
      <c r="B842" s="3">
        <v>45862</v>
      </c>
      <c r="C842" s="4">
        <v>50000000</v>
      </c>
      <c r="D842" t="s">
        <v>595</v>
      </c>
      <c r="E842">
        <v>1651</v>
      </c>
      <c r="F842" s="4">
        <v>50000000</v>
      </c>
      <c r="G842" s="3">
        <v>45866</v>
      </c>
      <c r="H842" t="s">
        <v>32</v>
      </c>
      <c r="I842" s="40" t="str">
        <f>IFERROR(IF(VLOOKUP(E842,extracto!C:C,1,FALSE)=E842,"pagado","no pagado"),"no pagado")</f>
        <v>pagado</v>
      </c>
      <c r="J842" s="41" t="str">
        <f t="shared" si="432"/>
        <v>pagado</v>
      </c>
      <c r="K842" s="40" t="str">
        <f t="shared" ca="1" si="433"/>
        <v>excluir</v>
      </c>
      <c r="L842" s="40" t="str">
        <f t="shared" ca="1" si="434"/>
        <v>no semana</v>
      </c>
      <c r="M842" s="40" t="str">
        <f>IFERROR(VLOOKUP(E842,'cheques a conf'!A:D,4,FALSE),"no clearing")</f>
        <v>no clearing</v>
      </c>
      <c r="N842" s="40">
        <f t="shared" si="435"/>
        <v>31</v>
      </c>
      <c r="O842" s="42">
        <f t="shared" si="436"/>
        <v>7</v>
      </c>
      <c r="P842" s="42">
        <f t="shared" si="437"/>
        <v>2025</v>
      </c>
    </row>
    <row r="843" spans="1:16" x14ac:dyDescent="0.25">
      <c r="A843">
        <v>3000004185</v>
      </c>
      <c r="B843" s="3">
        <v>45862</v>
      </c>
      <c r="C843" s="4">
        <v>12000000</v>
      </c>
      <c r="D843" t="s">
        <v>595</v>
      </c>
      <c r="E843">
        <v>1652</v>
      </c>
      <c r="F843" s="4">
        <v>12000000</v>
      </c>
      <c r="G843" s="3">
        <v>45867</v>
      </c>
      <c r="H843" t="s">
        <v>32</v>
      </c>
      <c r="I843" s="40" t="str">
        <f>IFERROR(IF(VLOOKUP(E843,extracto!C:C,1,FALSE)=E843,"pagado","no pagado"),"no pagado")</f>
        <v>pagado</v>
      </c>
      <c r="J843" s="41" t="str">
        <f t="shared" si="432"/>
        <v>pagado</v>
      </c>
      <c r="K843" s="40" t="str">
        <f t="shared" ca="1" si="433"/>
        <v>excluir</v>
      </c>
      <c r="L843" s="40" t="str">
        <f t="shared" ca="1" si="434"/>
        <v>no semana</v>
      </c>
      <c r="M843" s="40" t="str">
        <f>IFERROR(VLOOKUP(E843,'cheques a conf'!A:D,4,FALSE),"no clearing")</f>
        <v>no clearing</v>
      </c>
      <c r="N843" s="40">
        <f t="shared" si="435"/>
        <v>31</v>
      </c>
      <c r="O843" s="42">
        <f t="shared" si="436"/>
        <v>7</v>
      </c>
      <c r="P843" s="42">
        <f t="shared" si="437"/>
        <v>2025</v>
      </c>
    </row>
    <row r="844" spans="1:16" x14ac:dyDescent="0.25">
      <c r="A844">
        <v>3000004185</v>
      </c>
      <c r="B844" s="3">
        <v>45862</v>
      </c>
      <c r="C844" s="4">
        <v>4000000</v>
      </c>
      <c r="D844" t="s">
        <v>595</v>
      </c>
      <c r="E844">
        <v>1653</v>
      </c>
      <c r="F844" s="4">
        <v>4000000</v>
      </c>
      <c r="G844" s="3">
        <v>45867</v>
      </c>
      <c r="H844" t="s">
        <v>32</v>
      </c>
      <c r="I844" s="40" t="str">
        <f>IFERROR(IF(VLOOKUP(E844,extracto!C:C,1,FALSE)=E844,"pagado","no pagado"),"no pagado")</f>
        <v>pagado</v>
      </c>
      <c r="J844" s="41" t="str">
        <f t="shared" si="432"/>
        <v>pagado</v>
      </c>
      <c r="K844" s="40" t="str">
        <f t="shared" ca="1" si="433"/>
        <v>excluir</v>
      </c>
      <c r="L844" s="40" t="str">
        <f t="shared" ca="1" si="434"/>
        <v>no semana</v>
      </c>
      <c r="M844" s="40" t="str">
        <f>IFERROR(VLOOKUP(E844,'cheques a conf'!A:D,4,FALSE),"no clearing")</f>
        <v>no clearing</v>
      </c>
      <c r="N844" s="40">
        <f t="shared" si="435"/>
        <v>31</v>
      </c>
      <c r="O844" s="42">
        <f t="shared" si="436"/>
        <v>7</v>
      </c>
      <c r="P844" s="42">
        <f t="shared" si="437"/>
        <v>2025</v>
      </c>
    </row>
    <row r="845" spans="1:16" x14ac:dyDescent="0.25">
      <c r="A845">
        <v>3000004185</v>
      </c>
      <c r="B845" s="3">
        <v>45862</v>
      </c>
      <c r="C845" s="4">
        <v>20324226.940000001</v>
      </c>
      <c r="D845" t="s">
        <v>595</v>
      </c>
      <c r="E845">
        <v>1654</v>
      </c>
      <c r="F845" s="4">
        <v>20324226.940000001</v>
      </c>
      <c r="G845" s="3">
        <v>45867</v>
      </c>
      <c r="H845" t="s">
        <v>32</v>
      </c>
      <c r="I845" s="40" t="str">
        <f>IFERROR(IF(VLOOKUP(E845,extracto!C:C,1,FALSE)=E845,"pagado","no pagado"),"no pagado")</f>
        <v>pagado</v>
      </c>
      <c r="J845" s="41" t="str">
        <f t="shared" si="432"/>
        <v>pagado</v>
      </c>
      <c r="K845" s="40" t="str">
        <f t="shared" ca="1" si="433"/>
        <v>excluir</v>
      </c>
      <c r="L845" s="40" t="str">
        <f t="shared" ca="1" si="434"/>
        <v>no semana</v>
      </c>
      <c r="M845" s="40" t="str">
        <f>IFERROR(VLOOKUP(E845,'cheques a conf'!A:D,4,FALSE),"no clearing")</f>
        <v>no clearing</v>
      </c>
      <c r="N845" s="40">
        <f t="shared" si="435"/>
        <v>31</v>
      </c>
      <c r="O845" s="42">
        <f t="shared" si="436"/>
        <v>7</v>
      </c>
      <c r="P845" s="42">
        <f t="shared" si="437"/>
        <v>2025</v>
      </c>
    </row>
    <row r="846" spans="1:16" x14ac:dyDescent="0.25">
      <c r="A846">
        <v>3000004183</v>
      </c>
      <c r="B846" s="3">
        <v>45862</v>
      </c>
      <c r="C846" s="4">
        <v>11000000</v>
      </c>
      <c r="D846" t="s">
        <v>640</v>
      </c>
      <c r="E846">
        <v>1647</v>
      </c>
      <c r="F846" s="4">
        <v>11000000</v>
      </c>
      <c r="G846" s="3">
        <v>45866</v>
      </c>
      <c r="H846" t="s">
        <v>32</v>
      </c>
      <c r="I846" s="40" t="str">
        <f>IFERROR(IF(VLOOKUP(E846,extracto!C:C,1,FALSE)=E846,"pagado","no pagado"),"no pagado")</f>
        <v>pagado</v>
      </c>
      <c r="J846" s="41" t="str">
        <f t="shared" si="432"/>
        <v>pagado</v>
      </c>
      <c r="K846" s="40" t="str">
        <f t="shared" ca="1" si="433"/>
        <v>excluir</v>
      </c>
      <c r="L846" s="40" t="str">
        <f t="shared" ca="1" si="434"/>
        <v>no semana</v>
      </c>
      <c r="M846" s="40" t="str">
        <f>IFERROR(VLOOKUP(E846,'cheques a conf'!A:D,4,FALSE),"no clearing")</f>
        <v>no clearing</v>
      </c>
      <c r="N846" s="40">
        <f t="shared" si="435"/>
        <v>31</v>
      </c>
      <c r="O846" s="42">
        <f t="shared" si="436"/>
        <v>7</v>
      </c>
      <c r="P846" s="42">
        <f t="shared" si="437"/>
        <v>2025</v>
      </c>
    </row>
    <row r="847" spans="1:16" x14ac:dyDescent="0.25">
      <c r="A847">
        <v>3000004183</v>
      </c>
      <c r="B847" s="3">
        <v>45862</v>
      </c>
      <c r="C847" s="4">
        <v>10561784.689999999</v>
      </c>
      <c r="D847" t="s">
        <v>640</v>
      </c>
      <c r="E847">
        <v>1648</v>
      </c>
      <c r="F847" s="4">
        <v>10561784.689999999</v>
      </c>
      <c r="G847" s="3">
        <v>45867</v>
      </c>
      <c r="H847" t="s">
        <v>32</v>
      </c>
      <c r="I847" s="40" t="str">
        <f>IFERROR(IF(VLOOKUP(E847,extracto!C:C,1,FALSE)=E847,"pagado","no pagado"),"no pagado")</f>
        <v>pagado</v>
      </c>
      <c r="J847" s="41" t="str">
        <f t="shared" si="432"/>
        <v>pagado</v>
      </c>
      <c r="K847" s="40" t="str">
        <f t="shared" ca="1" si="433"/>
        <v>excluir</v>
      </c>
      <c r="L847" s="40" t="str">
        <f t="shared" ca="1" si="434"/>
        <v>no semana</v>
      </c>
      <c r="M847" s="40" t="str">
        <f>IFERROR(VLOOKUP(E847,'cheques a conf'!A:D,4,FALSE),"no clearing")</f>
        <v>no clearing</v>
      </c>
      <c r="N847" s="40">
        <f t="shared" si="435"/>
        <v>31</v>
      </c>
      <c r="O847" s="42">
        <f t="shared" si="436"/>
        <v>7</v>
      </c>
      <c r="P847" s="42">
        <f t="shared" si="437"/>
        <v>2025</v>
      </c>
    </row>
    <row r="848" spans="1:16" x14ac:dyDescent="0.25">
      <c r="A848">
        <v>3000004184</v>
      </c>
      <c r="B848" s="3">
        <v>45862</v>
      </c>
      <c r="C848" s="4">
        <v>20000000</v>
      </c>
      <c r="D848" t="s">
        <v>626</v>
      </c>
      <c r="E848">
        <v>1649</v>
      </c>
      <c r="F848" s="4">
        <v>20000000</v>
      </c>
      <c r="G848" s="3">
        <v>45866</v>
      </c>
      <c r="H848" t="s">
        <v>32</v>
      </c>
      <c r="I848" s="40" t="str">
        <f>IFERROR(IF(VLOOKUP(E848,extracto!C:C,1,FALSE)=E848,"pagado","no pagado"),"no pagado")</f>
        <v>pagado</v>
      </c>
      <c r="J848" s="41" t="str">
        <f t="shared" si="432"/>
        <v>pagado</v>
      </c>
      <c r="K848" s="40" t="str">
        <f t="shared" ca="1" si="433"/>
        <v>excluir</v>
      </c>
      <c r="L848" s="40" t="str">
        <f t="shared" ca="1" si="434"/>
        <v>no semana</v>
      </c>
      <c r="M848" s="40" t="str">
        <f>IFERROR(VLOOKUP(E848,'cheques a conf'!A:D,4,FALSE),"no clearing")</f>
        <v>no clearing</v>
      </c>
      <c r="N848" s="40">
        <f t="shared" si="435"/>
        <v>31</v>
      </c>
      <c r="O848" s="42">
        <f t="shared" si="436"/>
        <v>7</v>
      </c>
      <c r="P848" s="42">
        <f t="shared" si="437"/>
        <v>2025</v>
      </c>
    </row>
    <row r="849" spans="1:16" x14ac:dyDescent="0.25">
      <c r="A849">
        <v>3000004184</v>
      </c>
      <c r="B849" s="3">
        <v>45862</v>
      </c>
      <c r="C849" s="4">
        <v>18589587.239999998</v>
      </c>
      <c r="D849" t="s">
        <v>626</v>
      </c>
      <c r="E849">
        <v>1650</v>
      </c>
      <c r="F849" s="4">
        <v>18589587.239999998</v>
      </c>
      <c r="G849" s="3">
        <v>45867</v>
      </c>
      <c r="H849" t="s">
        <v>32</v>
      </c>
      <c r="I849" s="40" t="str">
        <f>IFERROR(IF(VLOOKUP(E849,extracto!C:C,1,FALSE)=E849,"pagado","no pagado"),"no pagado")</f>
        <v>pagado</v>
      </c>
      <c r="J849" s="41" t="str">
        <f t="shared" si="432"/>
        <v>pagado</v>
      </c>
      <c r="K849" s="40" t="str">
        <f t="shared" ca="1" si="433"/>
        <v>excluir</v>
      </c>
      <c r="L849" s="40" t="str">
        <f t="shared" ca="1" si="434"/>
        <v>no semana</v>
      </c>
      <c r="M849" s="40" t="str">
        <f>IFERROR(VLOOKUP(E849,'cheques a conf'!A:D,4,FALSE),"no clearing")</f>
        <v>no clearing</v>
      </c>
      <c r="N849" s="40">
        <f t="shared" si="435"/>
        <v>31</v>
      </c>
      <c r="O849" s="42">
        <f t="shared" si="436"/>
        <v>7</v>
      </c>
      <c r="P849" s="42">
        <f t="shared" si="437"/>
        <v>2025</v>
      </c>
    </row>
    <row r="850" spans="1:16" x14ac:dyDescent="0.25">
      <c r="A850" s="21">
        <v>3000004247</v>
      </c>
      <c r="B850" s="22">
        <v>45866</v>
      </c>
      <c r="C850" s="20">
        <v>15035698.949999999</v>
      </c>
      <c r="D850" s="21" t="s">
        <v>163</v>
      </c>
      <c r="E850" s="21">
        <v>1655</v>
      </c>
      <c r="F850" s="20">
        <v>15035698.949999999</v>
      </c>
      <c r="G850" s="22">
        <v>45868</v>
      </c>
      <c r="H850" t="s">
        <v>32</v>
      </c>
      <c r="I850" s="40" t="str">
        <f>IFERROR(IF(VLOOKUP(E850,extracto!C:C,1,FALSE)=E850,"pagado","no pagado"),"no pagado")</f>
        <v>pagado</v>
      </c>
      <c r="J850" s="41" t="str">
        <f t="shared" ref="J850:J885" si="438">IF(I850="pagado","pagado",IF(G850&lt;$V$1-30,"fuera de fecha","en periodo de pago"))</f>
        <v>pagado</v>
      </c>
      <c r="K850" s="40" t="str">
        <f t="shared" ref="K850:K885" ca="1" si="439">+IF(B850&gt;$V$1,"excluir",IF(J850="en periodo de pago",IF($V$1&gt;G850,"a pagar","proximo a vencer"),"excluir"))</f>
        <v>excluir</v>
      </c>
      <c r="L850" s="40" t="str">
        <f t="shared" ref="L850:L885" ca="1" si="440">+IF(K850="proximo a vencer",IF($V$1+5&gt;G850,"para la semana","no semana"),"no semana")</f>
        <v>no semana</v>
      </c>
      <c r="M850" s="40" t="str">
        <f>IFERROR(VLOOKUP(E850,'cheques a conf'!A:D,4,FALSE),"no clearing")</f>
        <v>no clearing</v>
      </c>
      <c r="N850" s="40">
        <f t="shared" ref="N850:N885" si="441">+WEEKNUM(G850,2)</f>
        <v>31</v>
      </c>
      <c r="O850" s="42">
        <f t="shared" ref="O850:O885" si="442">+MONTH(G850)</f>
        <v>7</v>
      </c>
      <c r="P850" s="42">
        <f t="shared" ref="P850:P885" si="443">+YEAR(G850)</f>
        <v>2025</v>
      </c>
    </row>
    <row r="851" spans="1:16" x14ac:dyDescent="0.25">
      <c r="A851" s="21">
        <v>3000004248</v>
      </c>
      <c r="B851" s="22">
        <v>45866</v>
      </c>
      <c r="C851" s="20">
        <v>5293576.8</v>
      </c>
      <c r="D851" s="21" t="s">
        <v>738</v>
      </c>
      <c r="E851" s="21">
        <v>1656</v>
      </c>
      <c r="F851" s="20">
        <v>5293576.8</v>
      </c>
      <c r="G851" s="22">
        <v>45868</v>
      </c>
      <c r="H851" t="s">
        <v>32</v>
      </c>
      <c r="I851" s="40" t="str">
        <f>IFERROR(IF(VLOOKUP(E851,extracto!C:C,1,FALSE)=E851,"pagado","no pagado"),"no pagado")</f>
        <v>pagado</v>
      </c>
      <c r="J851" s="41" t="str">
        <f t="shared" si="438"/>
        <v>pagado</v>
      </c>
      <c r="K851" s="40" t="str">
        <f t="shared" ca="1" si="439"/>
        <v>excluir</v>
      </c>
      <c r="L851" s="40" t="str">
        <f t="shared" ca="1" si="440"/>
        <v>no semana</v>
      </c>
      <c r="M851" s="40" t="str">
        <f>IFERROR(VLOOKUP(E851,'cheques a conf'!A:D,4,FALSE),"no clearing")</f>
        <v>no clearing</v>
      </c>
      <c r="N851" s="40">
        <f t="shared" si="441"/>
        <v>31</v>
      </c>
      <c r="O851" s="42">
        <f t="shared" si="442"/>
        <v>7</v>
      </c>
      <c r="P851" s="42">
        <f t="shared" si="443"/>
        <v>2025</v>
      </c>
    </row>
    <row r="852" spans="1:16" x14ac:dyDescent="0.25">
      <c r="A852" s="21">
        <v>3000004249</v>
      </c>
      <c r="B852" s="22">
        <v>45866</v>
      </c>
      <c r="C852" s="20">
        <v>6965375.6699999999</v>
      </c>
      <c r="D852" s="21" t="s">
        <v>739</v>
      </c>
      <c r="E852" s="21">
        <v>1657</v>
      </c>
      <c r="F852" s="20">
        <v>6965375.6699999999</v>
      </c>
      <c r="G852" s="22">
        <v>45868</v>
      </c>
      <c r="H852" t="s">
        <v>32</v>
      </c>
      <c r="I852" s="40" t="str">
        <f>IFERROR(IF(VLOOKUP(E852,extracto!C:C,1,FALSE)=E852,"pagado","no pagado"),"no pagado")</f>
        <v>pagado</v>
      </c>
      <c r="J852" s="41" t="str">
        <f t="shared" si="438"/>
        <v>pagado</v>
      </c>
      <c r="K852" s="40" t="str">
        <f t="shared" ca="1" si="439"/>
        <v>excluir</v>
      </c>
      <c r="L852" s="40" t="str">
        <f t="shared" ca="1" si="440"/>
        <v>no semana</v>
      </c>
      <c r="M852" s="40" t="str">
        <f>IFERROR(VLOOKUP(E852,'cheques a conf'!A:D,4,FALSE),"no clearing")</f>
        <v>no clearing</v>
      </c>
      <c r="N852" s="40">
        <f t="shared" si="441"/>
        <v>31</v>
      </c>
      <c r="O852" s="42">
        <f t="shared" si="442"/>
        <v>7</v>
      </c>
      <c r="P852" s="42">
        <f t="shared" si="443"/>
        <v>2025</v>
      </c>
    </row>
    <row r="853" spans="1:16" x14ac:dyDescent="0.25">
      <c r="A853" s="21">
        <v>3000004250</v>
      </c>
      <c r="B853" s="22">
        <v>45866</v>
      </c>
      <c r="C853" s="20">
        <v>27924624</v>
      </c>
      <c r="D853" s="21" t="s">
        <v>683</v>
      </c>
      <c r="E853" s="21">
        <v>1658</v>
      </c>
      <c r="F853" s="20">
        <v>27924624</v>
      </c>
      <c r="G853" s="22">
        <v>45869</v>
      </c>
      <c r="H853" t="s">
        <v>32</v>
      </c>
      <c r="I853" s="40" t="str">
        <f>IFERROR(IF(VLOOKUP(E853,extracto!C:C,1,FALSE)=E853,"pagado","no pagado"),"no pagado")</f>
        <v>pagado</v>
      </c>
      <c r="J853" s="41" t="str">
        <f t="shared" si="438"/>
        <v>pagado</v>
      </c>
      <c r="K853" s="40" t="str">
        <f t="shared" ca="1" si="439"/>
        <v>excluir</v>
      </c>
      <c r="L853" s="40" t="str">
        <f t="shared" ca="1" si="440"/>
        <v>no semana</v>
      </c>
      <c r="M853" s="40" t="str">
        <f>IFERROR(VLOOKUP(E853,'cheques a conf'!A:D,4,FALSE),"no clearing")</f>
        <v>no clearing</v>
      </c>
      <c r="N853" s="40">
        <f t="shared" si="441"/>
        <v>31</v>
      </c>
      <c r="O853" s="42">
        <f t="shared" si="442"/>
        <v>7</v>
      </c>
      <c r="P853" s="42">
        <f t="shared" si="443"/>
        <v>2025</v>
      </c>
    </row>
    <row r="854" spans="1:16" x14ac:dyDescent="0.25">
      <c r="A854" s="21">
        <v>3000004251</v>
      </c>
      <c r="B854" s="22">
        <v>45866</v>
      </c>
      <c r="C854" s="20">
        <v>25346948.370000001</v>
      </c>
      <c r="D854" s="21" t="s">
        <v>740</v>
      </c>
      <c r="E854" s="21">
        <v>1659</v>
      </c>
      <c r="F854" s="20">
        <v>25346948.370000001</v>
      </c>
      <c r="G854" s="22">
        <v>45869</v>
      </c>
      <c r="H854" t="s">
        <v>32</v>
      </c>
      <c r="I854" s="40" t="str">
        <f>IFERROR(IF(VLOOKUP(E854,extracto!C:C,1,FALSE)=E854,"pagado","no pagado"),"no pagado")</f>
        <v>pagado</v>
      </c>
      <c r="J854" s="41" t="str">
        <f t="shared" si="438"/>
        <v>pagado</v>
      </c>
      <c r="K854" s="40" t="str">
        <f t="shared" ca="1" si="439"/>
        <v>excluir</v>
      </c>
      <c r="L854" s="40" t="str">
        <f t="shared" ca="1" si="440"/>
        <v>no semana</v>
      </c>
      <c r="M854" s="40" t="str">
        <f>IFERROR(VLOOKUP(E854,'cheques a conf'!A:D,4,FALSE),"no clearing")</f>
        <v>no clearing</v>
      </c>
      <c r="N854" s="40">
        <f t="shared" si="441"/>
        <v>31</v>
      </c>
      <c r="O854" s="42">
        <f t="shared" si="442"/>
        <v>7</v>
      </c>
      <c r="P854" s="42">
        <f t="shared" si="443"/>
        <v>2025</v>
      </c>
    </row>
    <row r="855" spans="1:16" x14ac:dyDescent="0.25">
      <c r="A855" s="21">
        <v>3000004252</v>
      </c>
      <c r="B855" s="22">
        <v>45866</v>
      </c>
      <c r="C855" s="20">
        <v>7719986.5199999996</v>
      </c>
      <c r="D855" s="21" t="s">
        <v>667</v>
      </c>
      <c r="E855" s="21">
        <v>1660</v>
      </c>
      <c r="F855" s="20">
        <v>7719986.5199999996</v>
      </c>
      <c r="G855" s="22">
        <v>45869</v>
      </c>
      <c r="H855" t="s">
        <v>32</v>
      </c>
      <c r="I855" s="40" t="str">
        <f>IFERROR(IF(VLOOKUP(E855,extracto!C:C,1,FALSE)=E855,"pagado","no pagado"),"no pagado")</f>
        <v>pagado</v>
      </c>
      <c r="J855" s="41" t="str">
        <f t="shared" si="438"/>
        <v>pagado</v>
      </c>
      <c r="K855" s="40" t="str">
        <f t="shared" ca="1" si="439"/>
        <v>excluir</v>
      </c>
      <c r="L855" s="40" t="str">
        <f t="shared" ca="1" si="440"/>
        <v>no semana</v>
      </c>
      <c r="M855" s="40" t="str">
        <f>IFERROR(VLOOKUP(E855,'cheques a conf'!A:D,4,FALSE),"no clearing")</f>
        <v>no clearing</v>
      </c>
      <c r="N855" s="40">
        <f t="shared" si="441"/>
        <v>31</v>
      </c>
      <c r="O855" s="42">
        <f t="shared" si="442"/>
        <v>7</v>
      </c>
      <c r="P855" s="42">
        <f t="shared" si="443"/>
        <v>2025</v>
      </c>
    </row>
    <row r="856" spans="1:16" x14ac:dyDescent="0.25">
      <c r="A856" s="21">
        <v>3000004253</v>
      </c>
      <c r="B856" s="22">
        <v>45866</v>
      </c>
      <c r="C856" s="20">
        <v>5717634.7599999998</v>
      </c>
      <c r="D856" s="21" t="s">
        <v>717</v>
      </c>
      <c r="E856" s="21">
        <v>1661</v>
      </c>
      <c r="F856" s="20">
        <v>5717634.7599999998</v>
      </c>
      <c r="G856" s="22">
        <v>45869</v>
      </c>
      <c r="H856" t="s">
        <v>32</v>
      </c>
      <c r="I856" s="40" t="str">
        <f>IFERROR(IF(VLOOKUP(E856,extracto!C:C,1,FALSE)=E856,"pagado","no pagado"),"no pagado")</f>
        <v>pagado</v>
      </c>
      <c r="J856" s="41" t="str">
        <f t="shared" si="438"/>
        <v>pagado</v>
      </c>
      <c r="K856" s="40" t="str">
        <f t="shared" ca="1" si="439"/>
        <v>excluir</v>
      </c>
      <c r="L856" s="40" t="str">
        <f t="shared" ca="1" si="440"/>
        <v>no semana</v>
      </c>
      <c r="M856" s="40" t="str">
        <f>IFERROR(VLOOKUP(E856,'cheques a conf'!A:D,4,FALSE),"no clearing")</f>
        <v>no clearing</v>
      </c>
      <c r="N856" s="40">
        <f t="shared" si="441"/>
        <v>31</v>
      </c>
      <c r="O856" s="42">
        <f t="shared" si="442"/>
        <v>7</v>
      </c>
      <c r="P856" s="42">
        <f t="shared" si="443"/>
        <v>2025</v>
      </c>
    </row>
    <row r="857" spans="1:16" x14ac:dyDescent="0.25">
      <c r="A857" s="21">
        <v>3000004254</v>
      </c>
      <c r="B857" s="22">
        <v>45866</v>
      </c>
      <c r="C857" s="20">
        <v>6121182.0199999996</v>
      </c>
      <c r="D857" s="21" t="s">
        <v>663</v>
      </c>
      <c r="E857" s="21">
        <v>1662</v>
      </c>
      <c r="F857" s="20">
        <v>6121182.0199999996</v>
      </c>
      <c r="G857" s="22">
        <v>45869</v>
      </c>
      <c r="H857" t="s">
        <v>32</v>
      </c>
      <c r="I857" s="40" t="str">
        <f>IFERROR(IF(VLOOKUP(E857,extracto!C:C,1,FALSE)=E857,"pagado","no pagado"),"no pagado")</f>
        <v>pagado</v>
      </c>
      <c r="J857" s="41" t="str">
        <f t="shared" si="438"/>
        <v>pagado</v>
      </c>
      <c r="K857" s="40" t="str">
        <f t="shared" ca="1" si="439"/>
        <v>excluir</v>
      </c>
      <c r="L857" s="40" t="str">
        <f t="shared" ca="1" si="440"/>
        <v>no semana</v>
      </c>
      <c r="M857" s="40" t="str">
        <f>IFERROR(VLOOKUP(E857,'cheques a conf'!A:D,4,FALSE),"no clearing")</f>
        <v>no clearing</v>
      </c>
      <c r="N857" s="40">
        <f t="shared" si="441"/>
        <v>31</v>
      </c>
      <c r="O857" s="42">
        <f t="shared" si="442"/>
        <v>7</v>
      </c>
      <c r="P857" s="42">
        <f t="shared" si="443"/>
        <v>2025</v>
      </c>
    </row>
    <row r="858" spans="1:16" x14ac:dyDescent="0.25">
      <c r="A858" s="21">
        <v>3000004255</v>
      </c>
      <c r="B858" s="22">
        <v>45866</v>
      </c>
      <c r="C858" s="20">
        <v>8687860.3599999994</v>
      </c>
      <c r="D858" s="21" t="s">
        <v>689</v>
      </c>
      <c r="E858" s="21">
        <v>1663</v>
      </c>
      <c r="F858" s="20">
        <v>8687860.3599999994</v>
      </c>
      <c r="G858" s="22">
        <v>45869</v>
      </c>
      <c r="H858" t="s">
        <v>32</v>
      </c>
      <c r="I858" s="40" t="str">
        <f>IFERROR(IF(VLOOKUP(E858,extracto!C:C,1,FALSE)=E858,"pagado","no pagado"),"no pagado")</f>
        <v>pagado</v>
      </c>
      <c r="J858" s="41" t="str">
        <f t="shared" si="438"/>
        <v>pagado</v>
      </c>
      <c r="K858" s="40" t="str">
        <f t="shared" ca="1" si="439"/>
        <v>excluir</v>
      </c>
      <c r="L858" s="40" t="str">
        <f t="shared" ca="1" si="440"/>
        <v>no semana</v>
      </c>
      <c r="M858" s="40" t="str">
        <f>IFERROR(VLOOKUP(E858,'cheques a conf'!A:D,4,FALSE),"no clearing")</f>
        <v>no clearing</v>
      </c>
      <c r="N858" s="40">
        <f t="shared" si="441"/>
        <v>31</v>
      </c>
      <c r="O858" s="42">
        <f t="shared" si="442"/>
        <v>7</v>
      </c>
      <c r="P858" s="42">
        <f t="shared" si="443"/>
        <v>2025</v>
      </c>
    </row>
    <row r="859" spans="1:16" x14ac:dyDescent="0.25">
      <c r="A859" s="21">
        <v>3000004256</v>
      </c>
      <c r="B859" s="22">
        <v>45866</v>
      </c>
      <c r="C859" s="20">
        <v>4404313.99</v>
      </c>
      <c r="D859" s="21" t="s">
        <v>666</v>
      </c>
      <c r="E859" s="21">
        <v>1664</v>
      </c>
      <c r="F859" s="20">
        <v>4404313.99</v>
      </c>
      <c r="G859" s="22">
        <v>45869</v>
      </c>
      <c r="H859" t="s">
        <v>32</v>
      </c>
      <c r="I859" s="40" t="str">
        <f>IFERROR(IF(VLOOKUP(E859,extracto!C:C,1,FALSE)=E859,"pagado","no pagado"),"no pagado")</f>
        <v>pagado</v>
      </c>
      <c r="J859" s="41" t="str">
        <f t="shared" si="438"/>
        <v>pagado</v>
      </c>
      <c r="K859" s="40" t="str">
        <f t="shared" ca="1" si="439"/>
        <v>excluir</v>
      </c>
      <c r="L859" s="40" t="str">
        <f t="shared" ca="1" si="440"/>
        <v>no semana</v>
      </c>
      <c r="M859" s="40" t="str">
        <f>IFERROR(VLOOKUP(E859,'cheques a conf'!A:D,4,FALSE),"no clearing")</f>
        <v>no clearing</v>
      </c>
      <c r="N859" s="40">
        <f t="shared" si="441"/>
        <v>31</v>
      </c>
      <c r="O859" s="42">
        <f t="shared" si="442"/>
        <v>7</v>
      </c>
      <c r="P859" s="42">
        <f t="shared" si="443"/>
        <v>2025</v>
      </c>
    </row>
    <row r="860" spans="1:16" x14ac:dyDescent="0.25">
      <c r="A860" s="21">
        <v>3000004257</v>
      </c>
      <c r="B860" s="22">
        <v>45866</v>
      </c>
      <c r="C860" s="20">
        <v>13201996.35</v>
      </c>
      <c r="D860" s="21" t="s">
        <v>654</v>
      </c>
      <c r="E860" s="21">
        <v>1665</v>
      </c>
      <c r="F860" s="20">
        <v>13201996.35</v>
      </c>
      <c r="G860" s="22">
        <v>45869</v>
      </c>
      <c r="H860" t="s">
        <v>32</v>
      </c>
      <c r="I860" s="40" t="str">
        <f>IFERROR(IF(VLOOKUP(E860,extracto!C:C,1,FALSE)=E860,"pagado","no pagado"),"no pagado")</f>
        <v>pagado</v>
      </c>
      <c r="J860" s="41" t="str">
        <f t="shared" si="438"/>
        <v>pagado</v>
      </c>
      <c r="K860" s="40" t="str">
        <f t="shared" ca="1" si="439"/>
        <v>excluir</v>
      </c>
      <c r="L860" s="40" t="str">
        <f t="shared" ca="1" si="440"/>
        <v>no semana</v>
      </c>
      <c r="M860" s="40" t="str">
        <f>IFERROR(VLOOKUP(E860,'cheques a conf'!A:D,4,FALSE),"no clearing")</f>
        <v>no clearing</v>
      </c>
      <c r="N860" s="40">
        <f t="shared" si="441"/>
        <v>31</v>
      </c>
      <c r="O860" s="42">
        <f t="shared" si="442"/>
        <v>7</v>
      </c>
      <c r="P860" s="42">
        <f t="shared" si="443"/>
        <v>2025</v>
      </c>
    </row>
    <row r="861" spans="1:16" x14ac:dyDescent="0.25">
      <c r="A861" s="21">
        <v>3000004258</v>
      </c>
      <c r="B861" s="22">
        <v>45866</v>
      </c>
      <c r="C861" s="20">
        <v>4566260</v>
      </c>
      <c r="D861" s="21" t="s">
        <v>586</v>
      </c>
      <c r="E861" s="21">
        <v>1666</v>
      </c>
      <c r="F861" s="20">
        <v>4566260</v>
      </c>
      <c r="G861" s="22">
        <v>45869</v>
      </c>
      <c r="H861" t="s">
        <v>32</v>
      </c>
      <c r="I861" s="40" t="str">
        <f>IFERROR(IF(VLOOKUP(E861,extracto!C:C,1,FALSE)=E861,"pagado","no pagado"),"no pagado")</f>
        <v>pagado</v>
      </c>
      <c r="J861" s="41" t="str">
        <f t="shared" si="438"/>
        <v>pagado</v>
      </c>
      <c r="K861" s="40" t="str">
        <f t="shared" ca="1" si="439"/>
        <v>excluir</v>
      </c>
      <c r="L861" s="40" t="str">
        <f t="shared" ca="1" si="440"/>
        <v>no semana</v>
      </c>
      <c r="M861" s="40" t="str">
        <f>IFERROR(VLOOKUP(E861,'cheques a conf'!A:D,4,FALSE),"no clearing")</f>
        <v>no clearing</v>
      </c>
      <c r="N861" s="40">
        <f t="shared" si="441"/>
        <v>31</v>
      </c>
      <c r="O861" s="42">
        <f t="shared" si="442"/>
        <v>7</v>
      </c>
      <c r="P861" s="42">
        <f t="shared" si="443"/>
        <v>2025</v>
      </c>
    </row>
    <row r="862" spans="1:16" x14ac:dyDescent="0.25">
      <c r="A862" s="21">
        <v>3000004259</v>
      </c>
      <c r="B862" s="22">
        <v>45866</v>
      </c>
      <c r="C862" s="20">
        <v>20046117.960000001</v>
      </c>
      <c r="D862" s="21" t="s">
        <v>671</v>
      </c>
      <c r="E862" s="21">
        <v>1667</v>
      </c>
      <c r="F862" s="20">
        <v>20046117.960000001</v>
      </c>
      <c r="G862" s="22">
        <v>45870</v>
      </c>
      <c r="H862" t="s">
        <v>32</v>
      </c>
      <c r="I862" s="40" t="str">
        <f>IFERROR(IF(VLOOKUP(E862,extracto!C:C,1,FALSE)=E862,"pagado","no pagado"),"no pagado")</f>
        <v>pagado</v>
      </c>
      <c r="J862" s="41" t="str">
        <f t="shared" si="438"/>
        <v>pagado</v>
      </c>
      <c r="K862" s="40" t="str">
        <f t="shared" ca="1" si="439"/>
        <v>excluir</v>
      </c>
      <c r="L862" s="40" t="str">
        <f t="shared" ca="1" si="440"/>
        <v>no semana</v>
      </c>
      <c r="M862" s="40" t="str">
        <f>IFERROR(VLOOKUP(E862,'cheques a conf'!A:D,4,FALSE),"no clearing")</f>
        <v>no clearing</v>
      </c>
      <c r="N862" s="40">
        <f t="shared" si="441"/>
        <v>31</v>
      </c>
      <c r="O862" s="42">
        <f t="shared" si="442"/>
        <v>8</v>
      </c>
      <c r="P862" s="42">
        <f t="shared" si="443"/>
        <v>2025</v>
      </c>
    </row>
    <row r="863" spans="1:16" x14ac:dyDescent="0.25">
      <c r="A863" s="21">
        <v>3000004260</v>
      </c>
      <c r="B863" s="22">
        <v>45866</v>
      </c>
      <c r="C863" s="20">
        <v>14250175.550000001</v>
      </c>
      <c r="D863" s="21" t="s">
        <v>649</v>
      </c>
      <c r="E863" s="21">
        <v>1668</v>
      </c>
      <c r="F863" s="20">
        <v>14250175.550000001</v>
      </c>
      <c r="G863" s="22">
        <v>45870</v>
      </c>
      <c r="H863" t="s">
        <v>32</v>
      </c>
      <c r="I863" s="40" t="str">
        <f>IFERROR(IF(VLOOKUP(E863,extracto!C:C,1,FALSE)=E863,"pagado","no pagado"),"no pagado")</f>
        <v>pagado</v>
      </c>
      <c r="J863" s="41" t="str">
        <f t="shared" si="438"/>
        <v>pagado</v>
      </c>
      <c r="K863" s="40" t="str">
        <f t="shared" ca="1" si="439"/>
        <v>excluir</v>
      </c>
      <c r="L863" s="40" t="str">
        <f t="shared" ca="1" si="440"/>
        <v>no semana</v>
      </c>
      <c r="M863" s="40" t="str">
        <f>IFERROR(VLOOKUP(E863,'cheques a conf'!A:D,4,FALSE),"no clearing")</f>
        <v>no clearing</v>
      </c>
      <c r="N863" s="40">
        <f t="shared" si="441"/>
        <v>31</v>
      </c>
      <c r="O863" s="42">
        <f t="shared" si="442"/>
        <v>8</v>
      </c>
      <c r="P863" s="42">
        <f t="shared" si="443"/>
        <v>2025</v>
      </c>
    </row>
    <row r="864" spans="1:16" x14ac:dyDescent="0.25">
      <c r="A864" s="21">
        <v>3000004288</v>
      </c>
      <c r="B864" s="22">
        <v>45867</v>
      </c>
      <c r="C864" s="20">
        <v>7737056.5999999996</v>
      </c>
      <c r="D864" s="21" t="s">
        <v>673</v>
      </c>
      <c r="E864" s="21">
        <v>1669</v>
      </c>
      <c r="F864" s="20">
        <v>7737056.5999999996</v>
      </c>
      <c r="G864" s="22">
        <v>45870</v>
      </c>
      <c r="H864" t="s">
        <v>32</v>
      </c>
      <c r="I864" s="40" t="str">
        <f>IFERROR(IF(VLOOKUP(E864,extracto!C:C,1,FALSE)=E864,"pagado","no pagado"),"no pagado")</f>
        <v>pagado</v>
      </c>
      <c r="J864" s="41" t="str">
        <f t="shared" si="438"/>
        <v>pagado</v>
      </c>
      <c r="K864" s="40" t="str">
        <f t="shared" ca="1" si="439"/>
        <v>excluir</v>
      </c>
      <c r="L864" s="40" t="str">
        <f t="shared" ca="1" si="440"/>
        <v>no semana</v>
      </c>
      <c r="M864" s="40" t="str">
        <f>IFERROR(VLOOKUP(E864,'cheques a conf'!A:D,4,FALSE),"no clearing")</f>
        <v>no clearing</v>
      </c>
      <c r="N864" s="40">
        <f t="shared" si="441"/>
        <v>31</v>
      </c>
      <c r="O864" s="42">
        <f t="shared" si="442"/>
        <v>8</v>
      </c>
      <c r="P864" s="42">
        <f t="shared" si="443"/>
        <v>2025</v>
      </c>
    </row>
    <row r="865" spans="1:16" x14ac:dyDescent="0.25">
      <c r="A865" s="21">
        <v>3000004289</v>
      </c>
      <c r="B865" s="22">
        <v>45867</v>
      </c>
      <c r="C865" s="20">
        <v>3829588.61</v>
      </c>
      <c r="D865" s="21" t="s">
        <v>676</v>
      </c>
      <c r="E865" s="21">
        <v>1670</v>
      </c>
      <c r="F865" s="20">
        <v>3829588.61</v>
      </c>
      <c r="G865" s="22">
        <v>45870</v>
      </c>
      <c r="H865" t="s">
        <v>32</v>
      </c>
      <c r="I865" s="40" t="str">
        <f>IFERROR(IF(VLOOKUP(E865,extracto!C:C,1,FALSE)=E865,"pagado","no pagado"),"no pagado")</f>
        <v>pagado</v>
      </c>
      <c r="J865" s="41" t="str">
        <f t="shared" si="438"/>
        <v>pagado</v>
      </c>
      <c r="K865" s="40" t="str">
        <f t="shared" ca="1" si="439"/>
        <v>excluir</v>
      </c>
      <c r="L865" s="40" t="str">
        <f t="shared" ca="1" si="440"/>
        <v>no semana</v>
      </c>
      <c r="M865" s="40" t="str">
        <f>IFERROR(VLOOKUP(E865,'cheques a conf'!A:D,4,FALSE),"no clearing")</f>
        <v>no clearing</v>
      </c>
      <c r="N865" s="40">
        <f t="shared" si="441"/>
        <v>31</v>
      </c>
      <c r="O865" s="42">
        <f t="shared" si="442"/>
        <v>8</v>
      </c>
      <c r="P865" s="42">
        <f t="shared" si="443"/>
        <v>2025</v>
      </c>
    </row>
    <row r="866" spans="1:16" x14ac:dyDescent="0.25">
      <c r="A866" s="21">
        <v>3000004290</v>
      </c>
      <c r="B866" s="22">
        <v>45867</v>
      </c>
      <c r="C866" s="20">
        <v>4027360.32</v>
      </c>
      <c r="D866" s="21" t="s">
        <v>693</v>
      </c>
      <c r="E866" s="21">
        <v>1671</v>
      </c>
      <c r="F866" s="20">
        <v>4027360.32</v>
      </c>
      <c r="G866" s="22">
        <v>45870</v>
      </c>
      <c r="H866" t="s">
        <v>32</v>
      </c>
      <c r="I866" s="40" t="str">
        <f>IFERROR(IF(VLOOKUP(E866,extracto!C:C,1,FALSE)=E866,"pagado","no pagado"),"no pagado")</f>
        <v>pagado</v>
      </c>
      <c r="J866" s="41" t="str">
        <f t="shared" si="438"/>
        <v>pagado</v>
      </c>
      <c r="K866" s="40" t="str">
        <f t="shared" ca="1" si="439"/>
        <v>excluir</v>
      </c>
      <c r="L866" s="40" t="str">
        <f t="shared" ca="1" si="440"/>
        <v>no semana</v>
      </c>
      <c r="M866" s="40" t="str">
        <f>IFERROR(VLOOKUP(E866,'cheques a conf'!A:D,4,FALSE),"no clearing")</f>
        <v>no clearing</v>
      </c>
      <c r="N866" s="40">
        <f t="shared" si="441"/>
        <v>31</v>
      </c>
      <c r="O866" s="42">
        <f t="shared" si="442"/>
        <v>8</v>
      </c>
      <c r="P866" s="42">
        <f t="shared" si="443"/>
        <v>2025</v>
      </c>
    </row>
    <row r="867" spans="1:16" x14ac:dyDescent="0.25">
      <c r="A867" s="21">
        <v>3000004291</v>
      </c>
      <c r="B867" s="22">
        <v>45867</v>
      </c>
      <c r="C867" s="20">
        <v>10522290.970000001</v>
      </c>
      <c r="D867" s="21" t="s">
        <v>31</v>
      </c>
      <c r="E867" s="21">
        <v>1672</v>
      </c>
      <c r="F867" s="20">
        <v>10522290.970000001</v>
      </c>
      <c r="G867" s="22">
        <v>45870</v>
      </c>
      <c r="H867" t="s">
        <v>32</v>
      </c>
      <c r="I867" s="40" t="str">
        <f>IFERROR(IF(VLOOKUP(E867,extracto!C:C,1,FALSE)=E867,"pagado","no pagado"),"no pagado")</f>
        <v>pagado</v>
      </c>
      <c r="J867" s="41" t="str">
        <f t="shared" si="438"/>
        <v>pagado</v>
      </c>
      <c r="K867" s="40" t="str">
        <f t="shared" ca="1" si="439"/>
        <v>excluir</v>
      </c>
      <c r="L867" s="40" t="str">
        <f t="shared" ca="1" si="440"/>
        <v>no semana</v>
      </c>
      <c r="M867" s="40" t="str">
        <f>IFERROR(VLOOKUP(E867,'cheques a conf'!A:D,4,FALSE),"no clearing")</f>
        <v>no clearing</v>
      </c>
      <c r="N867" s="40">
        <f t="shared" si="441"/>
        <v>31</v>
      </c>
      <c r="O867" s="42">
        <f t="shared" si="442"/>
        <v>8</v>
      </c>
      <c r="P867" s="42">
        <f t="shared" si="443"/>
        <v>2025</v>
      </c>
    </row>
    <row r="868" spans="1:16" x14ac:dyDescent="0.25">
      <c r="A868" s="21">
        <v>3000004292</v>
      </c>
      <c r="B868" s="22">
        <v>45867</v>
      </c>
      <c r="C868" s="20">
        <v>6055353.7800000003</v>
      </c>
      <c r="D868" s="21" t="s">
        <v>663</v>
      </c>
      <c r="E868" s="21">
        <v>1673</v>
      </c>
      <c r="F868" s="20">
        <v>6055353.7800000003</v>
      </c>
      <c r="G868" s="22">
        <v>45870</v>
      </c>
      <c r="H868" t="s">
        <v>32</v>
      </c>
      <c r="I868" s="40" t="str">
        <f>IFERROR(IF(VLOOKUP(E868,extracto!C:C,1,FALSE)=E868,"pagado","no pagado"),"no pagado")</f>
        <v>pagado</v>
      </c>
      <c r="J868" s="41" t="str">
        <f t="shared" si="438"/>
        <v>pagado</v>
      </c>
      <c r="K868" s="40" t="str">
        <f t="shared" ca="1" si="439"/>
        <v>excluir</v>
      </c>
      <c r="L868" s="40" t="str">
        <f t="shared" ca="1" si="440"/>
        <v>no semana</v>
      </c>
      <c r="M868" s="40" t="str">
        <f>IFERROR(VLOOKUP(E868,'cheques a conf'!A:D,4,FALSE),"no clearing")</f>
        <v>no clearing</v>
      </c>
      <c r="N868" s="40">
        <f t="shared" si="441"/>
        <v>31</v>
      </c>
      <c r="O868" s="42">
        <f t="shared" si="442"/>
        <v>8</v>
      </c>
      <c r="P868" s="42">
        <f t="shared" si="443"/>
        <v>2025</v>
      </c>
    </row>
    <row r="869" spans="1:16" x14ac:dyDescent="0.25">
      <c r="A869" s="21">
        <v>3000004293</v>
      </c>
      <c r="B869" s="22">
        <v>45867</v>
      </c>
      <c r="C869" s="20">
        <v>5302077.43</v>
      </c>
      <c r="D869" s="21" t="s">
        <v>680</v>
      </c>
      <c r="E869" s="21">
        <v>1674</v>
      </c>
      <c r="F869" s="20">
        <v>5302077.43</v>
      </c>
      <c r="G869" s="22">
        <v>45870</v>
      </c>
      <c r="H869" t="s">
        <v>32</v>
      </c>
      <c r="I869" s="40" t="str">
        <f>IFERROR(IF(VLOOKUP(E869,extracto!C:C,1,FALSE)=E869,"pagado","no pagado"),"no pagado")</f>
        <v>pagado</v>
      </c>
      <c r="J869" s="41" t="str">
        <f t="shared" si="438"/>
        <v>pagado</v>
      </c>
      <c r="K869" s="40" t="str">
        <f t="shared" ca="1" si="439"/>
        <v>excluir</v>
      </c>
      <c r="L869" s="40" t="str">
        <f t="shared" ca="1" si="440"/>
        <v>no semana</v>
      </c>
      <c r="M869" s="40" t="str">
        <f>IFERROR(VLOOKUP(E869,'cheques a conf'!A:D,4,FALSE),"no clearing")</f>
        <v>no clearing</v>
      </c>
      <c r="N869" s="40">
        <f t="shared" si="441"/>
        <v>31</v>
      </c>
      <c r="O869" s="42">
        <f t="shared" si="442"/>
        <v>8</v>
      </c>
      <c r="P869" s="42">
        <f t="shared" si="443"/>
        <v>2025</v>
      </c>
    </row>
    <row r="870" spans="1:16" x14ac:dyDescent="0.25">
      <c r="A870" s="21">
        <v>3000004294</v>
      </c>
      <c r="B870" s="22">
        <v>45867</v>
      </c>
      <c r="C870" s="20">
        <v>5468317.8399999999</v>
      </c>
      <c r="D870" s="21" t="s">
        <v>702</v>
      </c>
      <c r="E870" s="21">
        <v>1675</v>
      </c>
      <c r="F870" s="20">
        <v>5468317.8399999999</v>
      </c>
      <c r="G870" s="22">
        <v>45870</v>
      </c>
      <c r="H870" t="s">
        <v>32</v>
      </c>
      <c r="I870" s="40" t="str">
        <f>IFERROR(IF(VLOOKUP(E870,extracto!C:C,1,FALSE)=E870,"pagado","no pagado"),"no pagado")</f>
        <v>pagado</v>
      </c>
      <c r="J870" s="41" t="str">
        <f t="shared" si="438"/>
        <v>pagado</v>
      </c>
      <c r="K870" s="40" t="str">
        <f t="shared" ca="1" si="439"/>
        <v>excluir</v>
      </c>
      <c r="L870" s="40" t="str">
        <f t="shared" ca="1" si="440"/>
        <v>no semana</v>
      </c>
      <c r="M870" s="40" t="str">
        <f>IFERROR(VLOOKUP(E870,'cheques a conf'!A:D,4,FALSE),"no clearing")</f>
        <v>no clearing</v>
      </c>
      <c r="N870" s="40">
        <f t="shared" si="441"/>
        <v>31</v>
      </c>
      <c r="O870" s="42">
        <f t="shared" si="442"/>
        <v>8</v>
      </c>
      <c r="P870" s="42">
        <f t="shared" si="443"/>
        <v>2025</v>
      </c>
    </row>
    <row r="871" spans="1:16" x14ac:dyDescent="0.25">
      <c r="A871" s="21">
        <v>3000004295</v>
      </c>
      <c r="B871" s="22">
        <v>45867</v>
      </c>
      <c r="C871" s="20">
        <v>3075986.31</v>
      </c>
      <c r="D871" s="21" t="s">
        <v>741</v>
      </c>
      <c r="E871" s="21">
        <v>1676</v>
      </c>
      <c r="F871" s="20">
        <v>3075986.31</v>
      </c>
      <c r="G871" s="22">
        <v>45870</v>
      </c>
      <c r="H871" t="s">
        <v>32</v>
      </c>
      <c r="I871" s="40" t="str">
        <f>IFERROR(IF(VLOOKUP(E871,extracto!C:C,1,FALSE)=E871,"pagado","no pagado"),"no pagado")</f>
        <v>pagado</v>
      </c>
      <c r="J871" s="41" t="str">
        <f t="shared" si="438"/>
        <v>pagado</v>
      </c>
      <c r="K871" s="40" t="str">
        <f t="shared" ca="1" si="439"/>
        <v>excluir</v>
      </c>
      <c r="L871" s="40" t="str">
        <f t="shared" ca="1" si="440"/>
        <v>no semana</v>
      </c>
      <c r="M871" s="40" t="str">
        <f>IFERROR(VLOOKUP(E871,'cheques a conf'!A:D,4,FALSE),"no clearing")</f>
        <v>no clearing</v>
      </c>
      <c r="N871" s="40">
        <f t="shared" si="441"/>
        <v>31</v>
      </c>
      <c r="O871" s="42">
        <f t="shared" si="442"/>
        <v>8</v>
      </c>
      <c r="P871" s="42">
        <f t="shared" si="443"/>
        <v>2025</v>
      </c>
    </row>
    <row r="872" spans="1:16" x14ac:dyDescent="0.25">
      <c r="A872" s="21">
        <v>3000004296</v>
      </c>
      <c r="B872" s="22">
        <v>45867</v>
      </c>
      <c r="C872" s="20">
        <v>5269400.38</v>
      </c>
      <c r="D872" s="21" t="s">
        <v>736</v>
      </c>
      <c r="E872" s="21">
        <v>1677</v>
      </c>
      <c r="F872" s="20">
        <v>5269400.38</v>
      </c>
      <c r="G872" s="22">
        <v>45870</v>
      </c>
      <c r="H872" t="s">
        <v>32</v>
      </c>
      <c r="I872" s="40" t="str">
        <f>IFERROR(IF(VLOOKUP(E872,extracto!C:C,1,FALSE)=E872,"pagado","no pagado"),"no pagado")</f>
        <v>pagado</v>
      </c>
      <c r="J872" s="41" t="str">
        <f t="shared" si="438"/>
        <v>pagado</v>
      </c>
      <c r="K872" s="40" t="str">
        <f t="shared" ca="1" si="439"/>
        <v>excluir</v>
      </c>
      <c r="L872" s="40" t="str">
        <f t="shared" ca="1" si="440"/>
        <v>no semana</v>
      </c>
      <c r="M872" s="40" t="str">
        <f>IFERROR(VLOOKUP(E872,'cheques a conf'!A:D,4,FALSE),"no clearing")</f>
        <v>no clearing</v>
      </c>
      <c r="N872" s="40">
        <f t="shared" si="441"/>
        <v>31</v>
      </c>
      <c r="O872" s="42">
        <f t="shared" si="442"/>
        <v>8</v>
      </c>
      <c r="P872" s="42">
        <f t="shared" si="443"/>
        <v>2025</v>
      </c>
    </row>
    <row r="873" spans="1:16" x14ac:dyDescent="0.25">
      <c r="A873" s="21">
        <v>3000004297</v>
      </c>
      <c r="B873" s="22">
        <v>45867</v>
      </c>
      <c r="C873" s="20">
        <v>8928263.0500000007</v>
      </c>
      <c r="D873" s="21" t="s">
        <v>653</v>
      </c>
      <c r="E873" s="21">
        <v>1678</v>
      </c>
      <c r="F873" s="20">
        <v>8928263.0500000007</v>
      </c>
      <c r="G873" s="22">
        <v>45870</v>
      </c>
      <c r="H873" t="s">
        <v>32</v>
      </c>
      <c r="I873" s="40" t="str">
        <f>IFERROR(IF(VLOOKUP(E873,extracto!C:C,1,FALSE)=E873,"pagado","no pagado"),"no pagado")</f>
        <v>pagado</v>
      </c>
      <c r="J873" s="41" t="str">
        <f t="shared" si="438"/>
        <v>pagado</v>
      </c>
      <c r="K873" s="40" t="str">
        <f t="shared" ca="1" si="439"/>
        <v>excluir</v>
      </c>
      <c r="L873" s="40" t="str">
        <f t="shared" ca="1" si="440"/>
        <v>no semana</v>
      </c>
      <c r="M873" s="40" t="str">
        <f>IFERROR(VLOOKUP(E873,'cheques a conf'!A:D,4,FALSE),"no clearing")</f>
        <v>no clearing</v>
      </c>
      <c r="N873" s="40">
        <f t="shared" si="441"/>
        <v>31</v>
      </c>
      <c r="O873" s="42">
        <f t="shared" si="442"/>
        <v>8</v>
      </c>
      <c r="P873" s="42">
        <f t="shared" si="443"/>
        <v>2025</v>
      </c>
    </row>
    <row r="874" spans="1:16" x14ac:dyDescent="0.25">
      <c r="A874" s="21">
        <v>3000004298</v>
      </c>
      <c r="B874" s="22">
        <v>45867</v>
      </c>
      <c r="C874" s="20">
        <v>9064926.8800000008</v>
      </c>
      <c r="D874" s="21" t="s">
        <v>679</v>
      </c>
      <c r="E874" s="21">
        <v>1679</v>
      </c>
      <c r="F874" s="20">
        <v>9064926.8800000008</v>
      </c>
      <c r="G874" s="22">
        <v>45870</v>
      </c>
      <c r="H874" t="s">
        <v>32</v>
      </c>
      <c r="I874" s="40" t="str">
        <f>IFERROR(IF(VLOOKUP(E874,extracto!C:C,1,FALSE)=E874,"pagado","no pagado"),"no pagado")</f>
        <v>pagado</v>
      </c>
      <c r="J874" s="41" t="str">
        <f t="shared" si="438"/>
        <v>pagado</v>
      </c>
      <c r="K874" s="40" t="str">
        <f t="shared" ca="1" si="439"/>
        <v>excluir</v>
      </c>
      <c r="L874" s="40" t="str">
        <f t="shared" ca="1" si="440"/>
        <v>no semana</v>
      </c>
      <c r="M874" s="40" t="str">
        <f>IFERROR(VLOOKUP(E874,'cheques a conf'!A:D,4,FALSE),"no clearing")</f>
        <v>no clearing</v>
      </c>
      <c r="N874" s="40">
        <f t="shared" si="441"/>
        <v>31</v>
      </c>
      <c r="O874" s="42">
        <f t="shared" si="442"/>
        <v>8</v>
      </c>
      <c r="P874" s="42">
        <f t="shared" si="443"/>
        <v>2025</v>
      </c>
    </row>
    <row r="875" spans="1:16" x14ac:dyDescent="0.25">
      <c r="A875" s="21">
        <v>3000004299</v>
      </c>
      <c r="B875" s="22">
        <v>45867</v>
      </c>
      <c r="C875" s="20">
        <v>3113090.53</v>
      </c>
      <c r="D875" s="21" t="s">
        <v>678</v>
      </c>
      <c r="E875" s="21">
        <v>1680</v>
      </c>
      <c r="F875" s="20">
        <v>3113090.53</v>
      </c>
      <c r="G875" s="22">
        <v>45870</v>
      </c>
      <c r="H875" t="s">
        <v>32</v>
      </c>
      <c r="I875" s="40" t="str">
        <f>IFERROR(IF(VLOOKUP(E875,extracto!C:C,1,FALSE)=E875,"pagado","no pagado"),"no pagado")</f>
        <v>pagado</v>
      </c>
      <c r="J875" s="41" t="str">
        <f t="shared" si="438"/>
        <v>pagado</v>
      </c>
      <c r="K875" s="40" t="str">
        <f t="shared" ca="1" si="439"/>
        <v>excluir</v>
      </c>
      <c r="L875" s="40" t="str">
        <f t="shared" ca="1" si="440"/>
        <v>no semana</v>
      </c>
      <c r="M875" s="40" t="str">
        <f>IFERROR(VLOOKUP(E875,'cheques a conf'!A:D,4,FALSE),"no clearing")</f>
        <v>no clearing</v>
      </c>
      <c r="N875" s="40">
        <f t="shared" si="441"/>
        <v>31</v>
      </c>
      <c r="O875" s="42">
        <f t="shared" si="442"/>
        <v>8</v>
      </c>
      <c r="P875" s="42">
        <f t="shared" si="443"/>
        <v>2025</v>
      </c>
    </row>
    <row r="876" spans="1:16" x14ac:dyDescent="0.25">
      <c r="A876" s="21">
        <v>3000004300</v>
      </c>
      <c r="B876" s="22">
        <v>45867</v>
      </c>
      <c r="C876" s="20">
        <v>25000000</v>
      </c>
      <c r="D876" s="21" t="s">
        <v>613</v>
      </c>
      <c r="E876" s="21">
        <v>1681</v>
      </c>
      <c r="F876" s="20">
        <v>25000000</v>
      </c>
      <c r="G876" s="22">
        <v>45870</v>
      </c>
      <c r="H876" t="s">
        <v>32</v>
      </c>
      <c r="I876" s="40" t="str">
        <f>IFERROR(IF(VLOOKUP(E876,extracto!C:C,1,FALSE)=E876,"pagado","no pagado"),"no pagado")</f>
        <v>pagado</v>
      </c>
      <c r="J876" s="41" t="str">
        <f t="shared" si="438"/>
        <v>pagado</v>
      </c>
      <c r="K876" s="40" t="str">
        <f t="shared" ca="1" si="439"/>
        <v>excluir</v>
      </c>
      <c r="L876" s="40" t="str">
        <f t="shared" ca="1" si="440"/>
        <v>no semana</v>
      </c>
      <c r="M876" s="40" t="str">
        <f>IFERROR(VLOOKUP(E876,'cheques a conf'!A:D,4,FALSE),"no clearing")</f>
        <v>no clearing</v>
      </c>
      <c r="N876" s="40">
        <f t="shared" si="441"/>
        <v>31</v>
      </c>
      <c r="O876" s="42">
        <f t="shared" si="442"/>
        <v>8</v>
      </c>
      <c r="P876" s="42">
        <f t="shared" si="443"/>
        <v>2025</v>
      </c>
    </row>
    <row r="877" spans="1:16" x14ac:dyDescent="0.25">
      <c r="A877" s="21">
        <v>3000004300</v>
      </c>
      <c r="B877" s="22">
        <v>45867</v>
      </c>
      <c r="C877" s="20">
        <v>22086717.969999999</v>
      </c>
      <c r="D877" s="21" t="s">
        <v>613</v>
      </c>
      <c r="E877" s="21">
        <v>1682</v>
      </c>
      <c r="F877" s="20">
        <v>22086717.969999999</v>
      </c>
      <c r="G877" s="22">
        <v>45873</v>
      </c>
      <c r="H877" t="s">
        <v>32</v>
      </c>
      <c r="I877" s="40" t="str">
        <f>IFERROR(IF(VLOOKUP(E877,extracto!C:C,1,FALSE)=E877,"pagado","no pagado"),"no pagado")</f>
        <v>pagado</v>
      </c>
      <c r="J877" s="41" t="str">
        <f t="shared" si="438"/>
        <v>pagado</v>
      </c>
      <c r="K877" s="40" t="str">
        <f t="shared" ca="1" si="439"/>
        <v>excluir</v>
      </c>
      <c r="L877" s="40" t="str">
        <f t="shared" ca="1" si="440"/>
        <v>no semana</v>
      </c>
      <c r="M877" s="40" t="str">
        <f>IFERROR(VLOOKUP(E877,'cheques a conf'!A:D,4,FALSE),"no clearing")</f>
        <v>no clearing</v>
      </c>
      <c r="N877" s="40">
        <f t="shared" si="441"/>
        <v>32</v>
      </c>
      <c r="O877" s="42">
        <f t="shared" si="442"/>
        <v>8</v>
      </c>
      <c r="P877" s="42">
        <f t="shared" si="443"/>
        <v>2025</v>
      </c>
    </row>
    <row r="878" spans="1:16" x14ac:dyDescent="0.25">
      <c r="A878" s="21">
        <v>3000004301</v>
      </c>
      <c r="B878" s="22">
        <v>45867</v>
      </c>
      <c r="C878" s="20">
        <v>8496549.0700000003</v>
      </c>
      <c r="D878" s="21" t="s">
        <v>642</v>
      </c>
      <c r="E878" s="21">
        <v>1683</v>
      </c>
      <c r="F878" s="20">
        <v>8496549.0700000003</v>
      </c>
      <c r="G878" s="22">
        <v>45870</v>
      </c>
      <c r="H878" t="s">
        <v>32</v>
      </c>
      <c r="I878" s="40" t="str">
        <f>IFERROR(IF(VLOOKUP(E878,extracto!C:C,1,FALSE)=E878,"pagado","no pagado"),"no pagado")</f>
        <v>pagado</v>
      </c>
      <c r="J878" s="41" t="str">
        <f t="shared" si="438"/>
        <v>pagado</v>
      </c>
      <c r="K878" s="40" t="str">
        <f t="shared" ca="1" si="439"/>
        <v>excluir</v>
      </c>
      <c r="L878" s="40" t="str">
        <f t="shared" ca="1" si="440"/>
        <v>no semana</v>
      </c>
      <c r="M878" s="40" t="str">
        <f>IFERROR(VLOOKUP(E878,'cheques a conf'!A:D,4,FALSE),"no clearing")</f>
        <v>no clearing</v>
      </c>
      <c r="N878" s="40">
        <f t="shared" si="441"/>
        <v>31</v>
      </c>
      <c r="O878" s="42">
        <f t="shared" si="442"/>
        <v>8</v>
      </c>
      <c r="P878" s="42">
        <f t="shared" si="443"/>
        <v>2025</v>
      </c>
    </row>
    <row r="879" spans="1:16" x14ac:dyDescent="0.25">
      <c r="A879" s="21">
        <v>3000004302</v>
      </c>
      <c r="B879" s="22">
        <v>45867</v>
      </c>
      <c r="C879" s="20">
        <v>8466031.1500000004</v>
      </c>
      <c r="D879" s="21" t="s">
        <v>619</v>
      </c>
      <c r="E879" s="21">
        <v>1684</v>
      </c>
      <c r="F879" s="20">
        <v>8466031.1500000004</v>
      </c>
      <c r="G879" s="22">
        <v>45870</v>
      </c>
      <c r="H879" t="s">
        <v>32</v>
      </c>
      <c r="I879" s="40" t="str">
        <f>IFERROR(IF(VLOOKUP(E879,extracto!C:C,1,FALSE)=E879,"pagado","no pagado"),"no pagado")</f>
        <v>pagado</v>
      </c>
      <c r="J879" s="41" t="str">
        <f t="shared" si="438"/>
        <v>pagado</v>
      </c>
      <c r="K879" s="40" t="str">
        <f t="shared" ca="1" si="439"/>
        <v>excluir</v>
      </c>
      <c r="L879" s="40" t="str">
        <f t="shared" ca="1" si="440"/>
        <v>no semana</v>
      </c>
      <c r="M879" s="40" t="str">
        <f>IFERROR(VLOOKUP(E879,'cheques a conf'!A:D,4,FALSE),"no clearing")</f>
        <v>no clearing</v>
      </c>
      <c r="N879" s="40">
        <f t="shared" si="441"/>
        <v>31</v>
      </c>
      <c r="O879" s="42">
        <f t="shared" si="442"/>
        <v>8</v>
      </c>
      <c r="P879" s="42">
        <f t="shared" si="443"/>
        <v>2025</v>
      </c>
    </row>
    <row r="880" spans="1:16" x14ac:dyDescent="0.25">
      <c r="A880" s="21">
        <v>3000004303</v>
      </c>
      <c r="B880" s="22">
        <v>45867</v>
      </c>
      <c r="C880" s="20">
        <v>4259943.16</v>
      </c>
      <c r="D880" s="21" t="s">
        <v>612</v>
      </c>
      <c r="E880" s="21">
        <v>1685</v>
      </c>
      <c r="F880" s="20">
        <v>4259943.16</v>
      </c>
      <c r="G880" s="22">
        <v>45870</v>
      </c>
      <c r="H880" t="s">
        <v>32</v>
      </c>
      <c r="I880" s="40" t="str">
        <f>IFERROR(IF(VLOOKUP(E880,extracto!C:C,1,FALSE)=E880,"pagado","no pagado"),"no pagado")</f>
        <v>pagado</v>
      </c>
      <c r="J880" s="41" t="str">
        <f t="shared" si="438"/>
        <v>pagado</v>
      </c>
      <c r="K880" s="40" t="str">
        <f t="shared" ca="1" si="439"/>
        <v>excluir</v>
      </c>
      <c r="L880" s="40" t="str">
        <f t="shared" ca="1" si="440"/>
        <v>no semana</v>
      </c>
      <c r="M880" s="40" t="str">
        <f>IFERROR(VLOOKUP(E880,'cheques a conf'!A:D,4,FALSE),"no clearing")</f>
        <v>no clearing</v>
      </c>
      <c r="N880" s="40">
        <f t="shared" si="441"/>
        <v>31</v>
      </c>
      <c r="O880" s="42">
        <f t="shared" si="442"/>
        <v>8</v>
      </c>
      <c r="P880" s="42">
        <f t="shared" si="443"/>
        <v>2025</v>
      </c>
    </row>
    <row r="881" spans="1:16" x14ac:dyDescent="0.25">
      <c r="A881" s="21">
        <v>3000004304</v>
      </c>
      <c r="B881" s="22">
        <v>45867</v>
      </c>
      <c r="C881" s="20">
        <v>6349523.3700000001</v>
      </c>
      <c r="D881" s="21" t="s">
        <v>617</v>
      </c>
      <c r="E881" s="21">
        <v>1686</v>
      </c>
      <c r="F881" s="20">
        <v>6349523.3700000001</v>
      </c>
      <c r="G881" s="22">
        <v>45870</v>
      </c>
      <c r="H881" t="s">
        <v>32</v>
      </c>
      <c r="I881" s="40" t="str">
        <f>IFERROR(IF(VLOOKUP(E881,extracto!C:C,1,FALSE)=E881,"pagado","no pagado"),"no pagado")</f>
        <v>pagado</v>
      </c>
      <c r="J881" s="41" t="str">
        <f t="shared" si="438"/>
        <v>pagado</v>
      </c>
      <c r="K881" s="40" t="str">
        <f t="shared" ca="1" si="439"/>
        <v>excluir</v>
      </c>
      <c r="L881" s="40" t="str">
        <f t="shared" ca="1" si="440"/>
        <v>no semana</v>
      </c>
      <c r="M881" s="40" t="str">
        <f>IFERROR(VLOOKUP(E881,'cheques a conf'!A:D,4,FALSE),"no clearing")</f>
        <v>no clearing</v>
      </c>
      <c r="N881" s="40">
        <f t="shared" si="441"/>
        <v>31</v>
      </c>
      <c r="O881" s="42">
        <f t="shared" si="442"/>
        <v>8</v>
      </c>
      <c r="P881" s="42">
        <f t="shared" si="443"/>
        <v>2025</v>
      </c>
    </row>
    <row r="882" spans="1:16" x14ac:dyDescent="0.25">
      <c r="A882" s="21">
        <v>3000004305</v>
      </c>
      <c r="B882" s="22">
        <v>45867</v>
      </c>
      <c r="C882" s="20">
        <v>14878005.23</v>
      </c>
      <c r="D882" s="21" t="s">
        <v>618</v>
      </c>
      <c r="E882" s="21">
        <v>1687</v>
      </c>
      <c r="F882" s="20">
        <v>14878005.23</v>
      </c>
      <c r="G882" s="22">
        <v>45870</v>
      </c>
      <c r="H882" t="s">
        <v>32</v>
      </c>
      <c r="I882" s="40" t="str">
        <f>IFERROR(IF(VLOOKUP(E882,extracto!C:C,1,FALSE)=E882,"pagado","no pagado"),"no pagado")</f>
        <v>pagado</v>
      </c>
      <c r="J882" s="41" t="str">
        <f t="shared" si="438"/>
        <v>pagado</v>
      </c>
      <c r="K882" s="40" t="str">
        <f t="shared" ca="1" si="439"/>
        <v>excluir</v>
      </c>
      <c r="L882" s="40" t="str">
        <f t="shared" ca="1" si="440"/>
        <v>no semana</v>
      </c>
      <c r="M882" s="40" t="str">
        <f>IFERROR(VLOOKUP(E882,'cheques a conf'!A:D,4,FALSE),"no clearing")</f>
        <v>no clearing</v>
      </c>
      <c r="N882" s="40">
        <f t="shared" si="441"/>
        <v>31</v>
      </c>
      <c r="O882" s="42">
        <f t="shared" si="442"/>
        <v>8</v>
      </c>
      <c r="P882" s="42">
        <f t="shared" si="443"/>
        <v>2025</v>
      </c>
    </row>
    <row r="883" spans="1:16" x14ac:dyDescent="0.25">
      <c r="A883" s="21">
        <v>3000004306</v>
      </c>
      <c r="B883" s="22">
        <v>45867</v>
      </c>
      <c r="C883" s="20">
        <v>24204600</v>
      </c>
      <c r="D883" s="21" t="s">
        <v>621</v>
      </c>
      <c r="E883" s="21">
        <v>1688</v>
      </c>
      <c r="F883" s="20">
        <v>24204600</v>
      </c>
      <c r="G883" s="22">
        <v>45870</v>
      </c>
      <c r="H883" t="s">
        <v>32</v>
      </c>
      <c r="I883" s="40" t="str">
        <f>IFERROR(IF(VLOOKUP(E883,extracto!C:C,1,FALSE)=E883,"pagado","no pagado"),"no pagado")</f>
        <v>pagado</v>
      </c>
      <c r="J883" s="41" t="str">
        <f t="shared" si="438"/>
        <v>pagado</v>
      </c>
      <c r="K883" s="40" t="str">
        <f t="shared" ca="1" si="439"/>
        <v>excluir</v>
      </c>
      <c r="L883" s="40" t="str">
        <f t="shared" ca="1" si="440"/>
        <v>no semana</v>
      </c>
      <c r="M883" s="40" t="str">
        <f>IFERROR(VLOOKUP(E883,'cheques a conf'!A:D,4,FALSE),"no clearing")</f>
        <v>no clearing</v>
      </c>
      <c r="N883" s="40">
        <f t="shared" si="441"/>
        <v>31</v>
      </c>
      <c r="O883" s="42">
        <f t="shared" si="442"/>
        <v>8</v>
      </c>
      <c r="P883" s="42">
        <f t="shared" si="443"/>
        <v>2025</v>
      </c>
    </row>
    <row r="884" spans="1:16" x14ac:dyDescent="0.25">
      <c r="A884" s="21">
        <v>3000004307</v>
      </c>
      <c r="B884" s="22">
        <v>45867</v>
      </c>
      <c r="C884" s="20">
        <v>28589441.109999999</v>
      </c>
      <c r="D884" s="21" t="s">
        <v>672</v>
      </c>
      <c r="E884" s="21">
        <v>1689</v>
      </c>
      <c r="F884" s="20">
        <v>28589441.109999999</v>
      </c>
      <c r="G884" s="22">
        <v>45870</v>
      </c>
      <c r="H884" t="s">
        <v>32</v>
      </c>
      <c r="I884" s="40" t="str">
        <f>IFERROR(IF(VLOOKUP(E884,extracto!C:C,1,FALSE)=E884,"pagado","no pagado"),"no pagado")</f>
        <v>pagado</v>
      </c>
      <c r="J884" s="41" t="str">
        <f t="shared" si="438"/>
        <v>pagado</v>
      </c>
      <c r="K884" s="40" t="str">
        <f t="shared" ca="1" si="439"/>
        <v>excluir</v>
      </c>
      <c r="L884" s="40" t="str">
        <f t="shared" ca="1" si="440"/>
        <v>no semana</v>
      </c>
      <c r="M884" s="40" t="str">
        <f>IFERROR(VLOOKUP(E884,'cheques a conf'!A:D,4,FALSE),"no clearing")</f>
        <v>no clearing</v>
      </c>
      <c r="N884" s="40">
        <f t="shared" si="441"/>
        <v>31</v>
      </c>
      <c r="O884" s="42">
        <f t="shared" si="442"/>
        <v>8</v>
      </c>
      <c r="P884" s="42">
        <f t="shared" si="443"/>
        <v>2025</v>
      </c>
    </row>
    <row r="885" spans="1:16" x14ac:dyDescent="0.25">
      <c r="A885" s="21">
        <v>3000004308</v>
      </c>
      <c r="B885" s="22">
        <v>45867</v>
      </c>
      <c r="C885" s="20">
        <v>10637000</v>
      </c>
      <c r="D885" s="21" t="s">
        <v>606</v>
      </c>
      <c r="E885" s="21">
        <v>1690</v>
      </c>
      <c r="F885" s="20">
        <v>10637000</v>
      </c>
      <c r="G885" s="22">
        <v>45870</v>
      </c>
      <c r="H885" t="s">
        <v>32</v>
      </c>
      <c r="I885" s="40" t="str">
        <f>IFERROR(IF(VLOOKUP(E885,extracto!C:C,1,FALSE)=E885,"pagado","no pagado"),"no pagado")</f>
        <v>pagado</v>
      </c>
      <c r="J885" s="41" t="str">
        <f t="shared" si="438"/>
        <v>pagado</v>
      </c>
      <c r="K885" s="40" t="str">
        <f t="shared" ca="1" si="439"/>
        <v>excluir</v>
      </c>
      <c r="L885" s="40" t="str">
        <f t="shared" ca="1" si="440"/>
        <v>no semana</v>
      </c>
      <c r="M885" s="40" t="str">
        <f>IFERROR(VLOOKUP(E885,'cheques a conf'!A:D,4,FALSE),"no clearing")</f>
        <v>no clearing</v>
      </c>
      <c r="N885" s="40">
        <f t="shared" si="441"/>
        <v>31</v>
      </c>
      <c r="O885" s="42">
        <f t="shared" si="442"/>
        <v>8</v>
      </c>
      <c r="P885" s="42">
        <f t="shared" si="443"/>
        <v>2025</v>
      </c>
    </row>
    <row r="886" spans="1:16" x14ac:dyDescent="0.25">
      <c r="A886" s="21">
        <v>3000004416</v>
      </c>
      <c r="B886" s="22">
        <v>45873</v>
      </c>
      <c r="C886" s="20">
        <v>2000000</v>
      </c>
      <c r="D886" s="21" t="s">
        <v>742</v>
      </c>
      <c r="E886" s="21">
        <v>1691</v>
      </c>
      <c r="F886" s="20">
        <v>2000000</v>
      </c>
      <c r="G886" s="22">
        <v>45875</v>
      </c>
      <c r="H886" t="s">
        <v>32</v>
      </c>
      <c r="I886" s="40" t="str">
        <f>IFERROR(IF(VLOOKUP(E886,extracto!C:C,1,FALSE)=E886,"pagado","no pagado"),"no pagado")</f>
        <v>pagado</v>
      </c>
      <c r="J886" s="41" t="str">
        <f t="shared" ref="J886:J912" si="444">IF(I886="pagado","pagado",IF(G886&lt;$V$1-30,"fuera de fecha","en periodo de pago"))</f>
        <v>pagado</v>
      </c>
      <c r="K886" s="40" t="str">
        <f t="shared" ref="K886:K912" ca="1" si="445">+IF(B886&gt;$V$1,"excluir",IF(J886="en periodo de pago",IF($V$1&gt;G886,"a pagar","proximo a vencer"),"excluir"))</f>
        <v>excluir</v>
      </c>
      <c r="L886" s="40" t="str">
        <f t="shared" ref="L886:L912" ca="1" si="446">+IF(K886="proximo a vencer",IF($V$1+5&gt;G886,"para la semana","no semana"),"no semana")</f>
        <v>no semana</v>
      </c>
      <c r="M886" s="40" t="str">
        <f>IFERROR(VLOOKUP(E886,'cheques a conf'!A:D,4,FALSE),"no clearing")</f>
        <v>no clearing</v>
      </c>
      <c r="N886" s="40">
        <f t="shared" ref="N886:N912" si="447">+WEEKNUM(G886,2)</f>
        <v>32</v>
      </c>
      <c r="O886" s="42">
        <f t="shared" ref="O886:O912" si="448">+MONTH(G886)</f>
        <v>8</v>
      </c>
      <c r="P886" s="42">
        <f t="shared" ref="P886:P912" si="449">+YEAR(G886)</f>
        <v>2025</v>
      </c>
    </row>
    <row r="887" spans="1:16" x14ac:dyDescent="0.25">
      <c r="A887" s="21">
        <v>3000004416</v>
      </c>
      <c r="B887" s="22">
        <v>45873</v>
      </c>
      <c r="C887" s="20">
        <v>1500000</v>
      </c>
      <c r="D887" s="21" t="s">
        <v>742</v>
      </c>
      <c r="E887" s="21">
        <v>1692</v>
      </c>
      <c r="F887" s="20">
        <v>1500000</v>
      </c>
      <c r="G887" s="22">
        <v>45887</v>
      </c>
      <c r="H887" t="s">
        <v>32</v>
      </c>
      <c r="I887" s="40" t="str">
        <f>IFERROR(IF(VLOOKUP(E887,extracto!C:C,1,FALSE)=E887,"pagado","no pagado"),"no pagado")</f>
        <v>pagado</v>
      </c>
      <c r="J887" s="41" t="str">
        <f t="shared" si="444"/>
        <v>pagado</v>
      </c>
      <c r="K887" s="40" t="str">
        <f t="shared" ca="1" si="445"/>
        <v>excluir</v>
      </c>
      <c r="L887" s="40" t="str">
        <f t="shared" ca="1" si="446"/>
        <v>no semana</v>
      </c>
      <c r="M887" s="40" t="str">
        <f>IFERROR(VLOOKUP(E887,'cheques a conf'!A:D,4,FALSE),"no clearing")</f>
        <v>no clearing</v>
      </c>
      <c r="N887" s="40">
        <f t="shared" si="447"/>
        <v>34</v>
      </c>
      <c r="O887" s="42">
        <f t="shared" si="448"/>
        <v>8</v>
      </c>
      <c r="P887" s="42">
        <f t="shared" si="449"/>
        <v>2025</v>
      </c>
    </row>
    <row r="888" spans="1:16" x14ac:dyDescent="0.25">
      <c r="A888" s="21">
        <v>3000004416</v>
      </c>
      <c r="B888" s="22">
        <v>45873</v>
      </c>
      <c r="C888" s="20">
        <v>1633105</v>
      </c>
      <c r="D888" s="21" t="s">
        <v>742</v>
      </c>
      <c r="E888" s="21">
        <v>1693</v>
      </c>
      <c r="F888" s="20">
        <v>1633105</v>
      </c>
      <c r="G888" s="22">
        <v>45915</v>
      </c>
      <c r="H888" t="s">
        <v>32</v>
      </c>
      <c r="I888" s="40" t="str">
        <f>IFERROR(IF(VLOOKUP(E888,extracto!C:C,1,FALSE)=E888,"pagado","no pagado"),"no pagado")</f>
        <v>pagado</v>
      </c>
      <c r="J888" s="41" t="str">
        <f t="shared" si="444"/>
        <v>pagado</v>
      </c>
      <c r="K888" s="40" t="str">
        <f t="shared" ca="1" si="445"/>
        <v>excluir</v>
      </c>
      <c r="L888" s="40" t="str">
        <f t="shared" ca="1" si="446"/>
        <v>no semana</v>
      </c>
      <c r="M888" s="40" t="str">
        <f>IFERROR(VLOOKUP(E888,'cheques a conf'!A:D,4,FALSE),"no clearing")</f>
        <v>no clearing</v>
      </c>
      <c r="N888" s="40">
        <f t="shared" si="447"/>
        <v>38</v>
      </c>
      <c r="O888" s="42">
        <f t="shared" si="448"/>
        <v>9</v>
      </c>
      <c r="P888" s="42">
        <f t="shared" si="449"/>
        <v>2025</v>
      </c>
    </row>
    <row r="889" spans="1:16" x14ac:dyDescent="0.25">
      <c r="A889" s="21">
        <v>3000004417</v>
      </c>
      <c r="B889" s="22">
        <v>45873</v>
      </c>
      <c r="C889" s="20">
        <v>11024516.85</v>
      </c>
      <c r="D889" s="21" t="s">
        <v>743</v>
      </c>
      <c r="E889" s="21">
        <v>1694</v>
      </c>
      <c r="F889" s="20">
        <v>11024516.85</v>
      </c>
      <c r="G889" s="22">
        <v>45875</v>
      </c>
      <c r="H889" t="s">
        <v>32</v>
      </c>
      <c r="I889" s="40" t="str">
        <f>IFERROR(IF(VLOOKUP(E889,extracto!C:C,1,FALSE)=E889,"pagado","no pagado"),"no pagado")</f>
        <v>pagado</v>
      </c>
      <c r="J889" s="41" t="str">
        <f t="shared" si="444"/>
        <v>pagado</v>
      </c>
      <c r="K889" s="40" t="str">
        <f t="shared" ca="1" si="445"/>
        <v>excluir</v>
      </c>
      <c r="L889" s="40" t="str">
        <f t="shared" ca="1" si="446"/>
        <v>no semana</v>
      </c>
      <c r="M889" s="40" t="str">
        <f>IFERROR(VLOOKUP(E889,'cheques a conf'!A:D,4,FALSE),"no clearing")</f>
        <v>no clearing</v>
      </c>
      <c r="N889" s="40">
        <f t="shared" si="447"/>
        <v>32</v>
      </c>
      <c r="O889" s="42">
        <f t="shared" si="448"/>
        <v>8</v>
      </c>
      <c r="P889" s="42">
        <f t="shared" si="449"/>
        <v>2025</v>
      </c>
    </row>
    <row r="890" spans="1:16" x14ac:dyDescent="0.25">
      <c r="A890" s="21">
        <v>3000004418</v>
      </c>
      <c r="B890" s="22">
        <v>45873</v>
      </c>
      <c r="C890" s="20">
        <v>3940857.2</v>
      </c>
      <c r="D890" s="21" t="s">
        <v>744</v>
      </c>
      <c r="E890" s="21">
        <v>1695</v>
      </c>
      <c r="F890" s="20">
        <v>3940857.2</v>
      </c>
      <c r="G890" s="22">
        <v>45875</v>
      </c>
      <c r="H890" t="s">
        <v>32</v>
      </c>
      <c r="I890" s="40" t="str">
        <f>IFERROR(IF(VLOOKUP(E890,extracto!C:C,1,FALSE)=E890,"pagado","no pagado"),"no pagado")</f>
        <v>pagado</v>
      </c>
      <c r="J890" s="41" t="str">
        <f t="shared" si="444"/>
        <v>pagado</v>
      </c>
      <c r="K890" s="40" t="str">
        <f t="shared" ca="1" si="445"/>
        <v>excluir</v>
      </c>
      <c r="L890" s="40" t="str">
        <f t="shared" ca="1" si="446"/>
        <v>no semana</v>
      </c>
      <c r="M890" s="40" t="str">
        <f>IFERROR(VLOOKUP(E890,'cheques a conf'!A:D,4,FALSE),"no clearing")</f>
        <v>no clearing</v>
      </c>
      <c r="N890" s="40">
        <f t="shared" si="447"/>
        <v>32</v>
      </c>
      <c r="O890" s="42">
        <f t="shared" si="448"/>
        <v>8</v>
      </c>
      <c r="P890" s="42">
        <f t="shared" si="449"/>
        <v>2025</v>
      </c>
    </row>
    <row r="891" spans="1:16" x14ac:dyDescent="0.25">
      <c r="A891" s="21">
        <v>3000004419</v>
      </c>
      <c r="B891" s="22">
        <v>45873</v>
      </c>
      <c r="C891" s="20">
        <v>5743027.8600000003</v>
      </c>
      <c r="D891" s="21" t="s">
        <v>628</v>
      </c>
      <c r="E891" s="21">
        <v>1696</v>
      </c>
      <c r="F891" s="20">
        <v>5743027.8600000003</v>
      </c>
      <c r="G891" s="22">
        <v>45875</v>
      </c>
      <c r="H891" t="s">
        <v>32</v>
      </c>
      <c r="I891" s="40" t="str">
        <f>IFERROR(IF(VLOOKUP(E891,extracto!C:C,1,FALSE)=E891,"pagado","no pagado"),"no pagado")</f>
        <v>pagado</v>
      </c>
      <c r="J891" s="41" t="str">
        <f t="shared" si="444"/>
        <v>pagado</v>
      </c>
      <c r="K891" s="40" t="str">
        <f t="shared" ca="1" si="445"/>
        <v>excluir</v>
      </c>
      <c r="L891" s="40" t="str">
        <f t="shared" ca="1" si="446"/>
        <v>no semana</v>
      </c>
      <c r="M891" s="40" t="str">
        <f>IFERROR(VLOOKUP(E891,'cheques a conf'!A:D,4,FALSE),"no clearing")</f>
        <v>no clearing</v>
      </c>
      <c r="N891" s="40">
        <f t="shared" si="447"/>
        <v>32</v>
      </c>
      <c r="O891" s="42">
        <f t="shared" si="448"/>
        <v>8</v>
      </c>
      <c r="P891" s="42">
        <f t="shared" si="449"/>
        <v>2025</v>
      </c>
    </row>
    <row r="892" spans="1:16" x14ac:dyDescent="0.25">
      <c r="A892" s="21">
        <v>3000004420</v>
      </c>
      <c r="B892" s="22">
        <v>45873</v>
      </c>
      <c r="C892" s="20">
        <v>4713247.1900000004</v>
      </c>
      <c r="D892" s="21" t="s">
        <v>745</v>
      </c>
      <c r="E892" s="21">
        <v>1697</v>
      </c>
      <c r="F892" s="20">
        <v>4713247.1900000004</v>
      </c>
      <c r="G892" s="22">
        <v>45876</v>
      </c>
      <c r="H892" t="s">
        <v>32</v>
      </c>
      <c r="I892" s="40" t="str">
        <f>IFERROR(IF(VLOOKUP(E892,extracto!C:C,1,FALSE)=E892,"pagado","no pagado"),"no pagado")</f>
        <v>pagado</v>
      </c>
      <c r="J892" s="41" t="str">
        <f t="shared" si="444"/>
        <v>pagado</v>
      </c>
      <c r="K892" s="40" t="str">
        <f t="shared" ca="1" si="445"/>
        <v>excluir</v>
      </c>
      <c r="L892" s="40" t="str">
        <f t="shared" ca="1" si="446"/>
        <v>no semana</v>
      </c>
      <c r="M892" s="40" t="str">
        <f>IFERROR(VLOOKUP(E892,'cheques a conf'!A:D,4,FALSE),"no clearing")</f>
        <v>no clearing</v>
      </c>
      <c r="N892" s="40">
        <f t="shared" si="447"/>
        <v>32</v>
      </c>
      <c r="O892" s="42">
        <f t="shared" si="448"/>
        <v>8</v>
      </c>
      <c r="P892" s="42">
        <f t="shared" si="449"/>
        <v>2025</v>
      </c>
    </row>
    <row r="893" spans="1:16" x14ac:dyDescent="0.25">
      <c r="A893" s="21">
        <v>3000004421</v>
      </c>
      <c r="B893" s="22">
        <v>45873</v>
      </c>
      <c r="C893" s="20">
        <v>14084891.720000001</v>
      </c>
      <c r="D893" s="21" t="s">
        <v>649</v>
      </c>
      <c r="E893" s="21">
        <v>1698</v>
      </c>
      <c r="F893" s="20">
        <v>14084891.720000001</v>
      </c>
      <c r="G893" s="22">
        <v>45876</v>
      </c>
      <c r="H893" t="s">
        <v>32</v>
      </c>
      <c r="I893" s="40" t="str">
        <f>IFERROR(IF(VLOOKUP(E893,extracto!C:C,1,FALSE)=E893,"pagado","no pagado"),"no pagado")</f>
        <v>pagado</v>
      </c>
      <c r="J893" s="41" t="str">
        <f t="shared" si="444"/>
        <v>pagado</v>
      </c>
      <c r="K893" s="40" t="str">
        <f t="shared" ca="1" si="445"/>
        <v>excluir</v>
      </c>
      <c r="L893" s="40" t="str">
        <f t="shared" ca="1" si="446"/>
        <v>no semana</v>
      </c>
      <c r="M893" s="40" t="str">
        <f>IFERROR(VLOOKUP(E893,'cheques a conf'!A:D,4,FALSE),"no clearing")</f>
        <v>no clearing</v>
      </c>
      <c r="N893" s="40">
        <f t="shared" si="447"/>
        <v>32</v>
      </c>
      <c r="O893" s="42">
        <f t="shared" si="448"/>
        <v>8</v>
      </c>
      <c r="P893" s="42">
        <f t="shared" si="449"/>
        <v>2025</v>
      </c>
    </row>
    <row r="894" spans="1:16" x14ac:dyDescent="0.25">
      <c r="A894" s="21">
        <v>3000004422</v>
      </c>
      <c r="B894" s="22">
        <v>45873</v>
      </c>
      <c r="C894" s="20">
        <v>16044280</v>
      </c>
      <c r="D894" s="21" t="s">
        <v>746</v>
      </c>
      <c r="E894" s="21">
        <v>1699</v>
      </c>
      <c r="F894" s="20">
        <v>16044280</v>
      </c>
      <c r="G894" s="22">
        <v>45877</v>
      </c>
      <c r="H894" t="s">
        <v>32</v>
      </c>
      <c r="I894" s="40" t="str">
        <f>IFERROR(IF(VLOOKUP(E894,extracto!C:C,1,FALSE)=E894,"pagado","no pagado"),"no pagado")</f>
        <v>pagado</v>
      </c>
      <c r="J894" s="41" t="str">
        <f t="shared" si="444"/>
        <v>pagado</v>
      </c>
      <c r="K894" s="40" t="str">
        <f t="shared" ca="1" si="445"/>
        <v>excluir</v>
      </c>
      <c r="L894" s="40" t="str">
        <f t="shared" ca="1" si="446"/>
        <v>no semana</v>
      </c>
      <c r="M894" s="40" t="str">
        <f>IFERROR(VLOOKUP(E894,'cheques a conf'!A:D,4,FALSE),"no clearing")</f>
        <v>no clearing</v>
      </c>
      <c r="N894" s="40">
        <f t="shared" si="447"/>
        <v>32</v>
      </c>
      <c r="O894" s="42">
        <f t="shared" si="448"/>
        <v>8</v>
      </c>
      <c r="P894" s="42">
        <f t="shared" si="449"/>
        <v>2025</v>
      </c>
    </row>
    <row r="895" spans="1:16" x14ac:dyDescent="0.25">
      <c r="A895" s="21">
        <v>3000004423</v>
      </c>
      <c r="B895" s="22">
        <v>45873</v>
      </c>
      <c r="C895" s="20">
        <v>8035282.5</v>
      </c>
      <c r="D895" s="21" t="s">
        <v>658</v>
      </c>
      <c r="E895" s="21">
        <v>1700</v>
      </c>
      <c r="F895" s="20">
        <v>8035282.5</v>
      </c>
      <c r="G895" s="22">
        <v>45877</v>
      </c>
      <c r="H895" t="s">
        <v>32</v>
      </c>
      <c r="I895" s="40" t="str">
        <f>IFERROR(IF(VLOOKUP(E895,extracto!C:C,1,FALSE)=E895,"pagado","no pagado"),"no pagado")</f>
        <v>pagado</v>
      </c>
      <c r="J895" s="41" t="str">
        <f t="shared" si="444"/>
        <v>pagado</v>
      </c>
      <c r="K895" s="40" t="str">
        <f t="shared" ca="1" si="445"/>
        <v>excluir</v>
      </c>
      <c r="L895" s="40" t="str">
        <f t="shared" ca="1" si="446"/>
        <v>no semana</v>
      </c>
      <c r="M895" s="40" t="str">
        <f>IFERROR(VLOOKUP(E895,'cheques a conf'!A:D,4,FALSE),"no clearing")</f>
        <v>no clearing</v>
      </c>
      <c r="N895" s="40">
        <f t="shared" si="447"/>
        <v>32</v>
      </c>
      <c r="O895" s="42">
        <f t="shared" si="448"/>
        <v>8</v>
      </c>
      <c r="P895" s="42">
        <f t="shared" si="449"/>
        <v>2025</v>
      </c>
    </row>
    <row r="896" spans="1:16" x14ac:dyDescent="0.25">
      <c r="A896" s="21">
        <v>3000004461</v>
      </c>
      <c r="B896" s="22">
        <v>45874</v>
      </c>
      <c r="C896" s="20">
        <v>16993152.620000001</v>
      </c>
      <c r="D896" s="21" t="s">
        <v>642</v>
      </c>
      <c r="E896" s="21">
        <v>1718</v>
      </c>
      <c r="F896" s="20">
        <v>16993152.620000001</v>
      </c>
      <c r="G896" s="22">
        <v>45877</v>
      </c>
      <c r="H896" t="s">
        <v>32</v>
      </c>
      <c r="I896" s="40" t="str">
        <f>IFERROR(IF(VLOOKUP(E896,extracto!C:C,1,FALSE)=E896,"pagado","no pagado"),"no pagado")</f>
        <v>pagado</v>
      </c>
      <c r="J896" s="41" t="str">
        <f t="shared" si="444"/>
        <v>pagado</v>
      </c>
      <c r="K896" s="40" t="str">
        <f t="shared" ca="1" si="445"/>
        <v>excluir</v>
      </c>
      <c r="L896" s="40" t="str">
        <f t="shared" ca="1" si="446"/>
        <v>no semana</v>
      </c>
      <c r="M896" s="40" t="str">
        <f>IFERROR(VLOOKUP(E896,'cheques a conf'!A:D,4,FALSE),"no clearing")</f>
        <v>no clearing</v>
      </c>
      <c r="N896" s="40">
        <f t="shared" si="447"/>
        <v>32</v>
      </c>
      <c r="O896" s="42">
        <f t="shared" si="448"/>
        <v>8</v>
      </c>
      <c r="P896" s="42">
        <f t="shared" si="449"/>
        <v>2025</v>
      </c>
    </row>
    <row r="897" spans="1:16" x14ac:dyDescent="0.25">
      <c r="A897" s="21">
        <v>3000004462</v>
      </c>
      <c r="B897" s="22">
        <v>45874</v>
      </c>
      <c r="C897" s="20">
        <v>20000000</v>
      </c>
      <c r="D897" s="21" t="s">
        <v>613</v>
      </c>
      <c r="E897" s="21">
        <v>1719</v>
      </c>
      <c r="F897" s="20">
        <v>20000000</v>
      </c>
      <c r="G897" s="22">
        <v>45877</v>
      </c>
      <c r="H897" t="s">
        <v>32</v>
      </c>
      <c r="I897" s="40" t="str">
        <f>IFERROR(IF(VLOOKUP(E897,extracto!C:C,1,FALSE)=E897,"pagado","no pagado"),"no pagado")</f>
        <v>pagado</v>
      </c>
      <c r="J897" s="41" t="str">
        <f t="shared" si="444"/>
        <v>pagado</v>
      </c>
      <c r="K897" s="40" t="str">
        <f t="shared" ca="1" si="445"/>
        <v>excluir</v>
      </c>
      <c r="L897" s="40" t="str">
        <f t="shared" ca="1" si="446"/>
        <v>no semana</v>
      </c>
      <c r="M897" s="40" t="str">
        <f>IFERROR(VLOOKUP(E897,'cheques a conf'!A:D,4,FALSE),"no clearing")</f>
        <v>no clearing</v>
      </c>
      <c r="N897" s="40">
        <f t="shared" si="447"/>
        <v>32</v>
      </c>
      <c r="O897" s="42">
        <f t="shared" si="448"/>
        <v>8</v>
      </c>
      <c r="P897" s="42">
        <f t="shared" si="449"/>
        <v>2025</v>
      </c>
    </row>
    <row r="898" spans="1:16" x14ac:dyDescent="0.25">
      <c r="A898" s="21">
        <v>3000004462</v>
      </c>
      <c r="B898" s="22">
        <v>45874</v>
      </c>
      <c r="C898" s="20">
        <v>19009118.850000001</v>
      </c>
      <c r="D898" s="21" t="s">
        <v>613</v>
      </c>
      <c r="E898" s="21">
        <v>1720</v>
      </c>
      <c r="F898" s="20">
        <v>19009118.850000001</v>
      </c>
      <c r="G898" s="22">
        <v>45880</v>
      </c>
      <c r="H898" t="s">
        <v>32</v>
      </c>
      <c r="I898" s="40" t="str">
        <f>IFERROR(IF(VLOOKUP(E898,extracto!C:C,1,FALSE)=E898,"pagado","no pagado"),"no pagado")</f>
        <v>pagado</v>
      </c>
      <c r="J898" s="41" t="str">
        <f t="shared" si="444"/>
        <v>pagado</v>
      </c>
      <c r="K898" s="40" t="str">
        <f t="shared" ca="1" si="445"/>
        <v>excluir</v>
      </c>
      <c r="L898" s="40" t="str">
        <f t="shared" ca="1" si="446"/>
        <v>no semana</v>
      </c>
      <c r="M898" s="40" t="str">
        <f>IFERROR(VLOOKUP(E898,'cheques a conf'!A:D,4,FALSE),"no clearing")</f>
        <v>no clearing</v>
      </c>
      <c r="N898" s="40">
        <f t="shared" si="447"/>
        <v>33</v>
      </c>
      <c r="O898" s="42">
        <f t="shared" si="448"/>
        <v>8</v>
      </c>
      <c r="P898" s="42">
        <f t="shared" si="449"/>
        <v>2025</v>
      </c>
    </row>
    <row r="899" spans="1:16" x14ac:dyDescent="0.25">
      <c r="A899" s="21">
        <v>3000004463</v>
      </c>
      <c r="B899" s="22">
        <v>45874</v>
      </c>
      <c r="C899" s="20">
        <v>4359541.6399999997</v>
      </c>
      <c r="D899" s="21" t="s">
        <v>623</v>
      </c>
      <c r="E899" s="21">
        <v>1721</v>
      </c>
      <c r="F899" s="20">
        <v>4359541.6399999997</v>
      </c>
      <c r="G899" s="22">
        <v>45877</v>
      </c>
      <c r="H899" t="s">
        <v>32</v>
      </c>
      <c r="I899" s="40" t="str">
        <f>IFERROR(IF(VLOOKUP(E899,extracto!C:C,1,FALSE)=E899,"pagado","no pagado"),"no pagado")</f>
        <v>pagado</v>
      </c>
      <c r="J899" s="41" t="str">
        <f t="shared" si="444"/>
        <v>pagado</v>
      </c>
      <c r="K899" s="40" t="str">
        <f t="shared" ca="1" si="445"/>
        <v>excluir</v>
      </c>
      <c r="L899" s="40" t="str">
        <f t="shared" ca="1" si="446"/>
        <v>no semana</v>
      </c>
      <c r="M899" s="40" t="str">
        <f>IFERROR(VLOOKUP(E899,'cheques a conf'!A:D,4,FALSE),"no clearing")</f>
        <v>no clearing</v>
      </c>
      <c r="N899" s="40">
        <f t="shared" si="447"/>
        <v>32</v>
      </c>
      <c r="O899" s="42">
        <f t="shared" si="448"/>
        <v>8</v>
      </c>
      <c r="P899" s="42">
        <f t="shared" si="449"/>
        <v>2025</v>
      </c>
    </row>
    <row r="900" spans="1:16" x14ac:dyDescent="0.25">
      <c r="A900" s="21">
        <v>3000004464</v>
      </c>
      <c r="B900" s="22">
        <v>45874</v>
      </c>
      <c r="C900" s="20">
        <v>4269086.9400000004</v>
      </c>
      <c r="D900" s="21" t="s">
        <v>747</v>
      </c>
      <c r="E900" s="21">
        <v>1722</v>
      </c>
      <c r="F900" s="20">
        <v>4269086.9400000004</v>
      </c>
      <c r="G900" s="22">
        <v>45877</v>
      </c>
      <c r="H900" t="s">
        <v>32</v>
      </c>
      <c r="I900" s="40" t="str">
        <f>IFERROR(IF(VLOOKUP(E900,extracto!C:C,1,FALSE)=E900,"pagado","no pagado"),"no pagado")</f>
        <v>pagado</v>
      </c>
      <c r="J900" s="41" t="str">
        <f t="shared" si="444"/>
        <v>pagado</v>
      </c>
      <c r="K900" s="40" t="str">
        <f t="shared" ca="1" si="445"/>
        <v>excluir</v>
      </c>
      <c r="L900" s="40" t="str">
        <f t="shared" ca="1" si="446"/>
        <v>no semana</v>
      </c>
      <c r="M900" s="40" t="str">
        <f>IFERROR(VLOOKUP(E900,'cheques a conf'!A:D,4,FALSE),"no clearing")</f>
        <v>no clearing</v>
      </c>
      <c r="N900" s="40">
        <f t="shared" si="447"/>
        <v>32</v>
      </c>
      <c r="O900" s="42">
        <f t="shared" si="448"/>
        <v>8</v>
      </c>
      <c r="P900" s="42">
        <f t="shared" si="449"/>
        <v>2025</v>
      </c>
    </row>
    <row r="901" spans="1:16" x14ac:dyDescent="0.25">
      <c r="A901" s="21">
        <v>3000004465</v>
      </c>
      <c r="B901" s="22">
        <v>45874</v>
      </c>
      <c r="C901" s="20">
        <v>14878173.140000001</v>
      </c>
      <c r="D901" s="21" t="s">
        <v>618</v>
      </c>
      <c r="E901" s="21">
        <v>1723</v>
      </c>
      <c r="F901" s="20">
        <v>14878173.140000001</v>
      </c>
      <c r="G901" s="22">
        <v>45877</v>
      </c>
      <c r="H901" t="s">
        <v>32</v>
      </c>
      <c r="I901" s="40" t="str">
        <f>IFERROR(IF(VLOOKUP(E901,extracto!C:C,1,FALSE)=E901,"pagado","no pagado"),"no pagado")</f>
        <v>pagado</v>
      </c>
      <c r="J901" s="41" t="str">
        <f t="shared" si="444"/>
        <v>pagado</v>
      </c>
      <c r="K901" s="40" t="str">
        <f t="shared" ca="1" si="445"/>
        <v>excluir</v>
      </c>
      <c r="L901" s="40" t="str">
        <f t="shared" ca="1" si="446"/>
        <v>no semana</v>
      </c>
      <c r="M901" s="40" t="str">
        <f>IFERROR(VLOOKUP(E901,'cheques a conf'!A:D,4,FALSE),"no clearing")</f>
        <v>no clearing</v>
      </c>
      <c r="N901" s="40">
        <f t="shared" si="447"/>
        <v>32</v>
      </c>
      <c r="O901" s="42">
        <f t="shared" si="448"/>
        <v>8</v>
      </c>
      <c r="P901" s="42">
        <f t="shared" si="449"/>
        <v>2025</v>
      </c>
    </row>
    <row r="902" spans="1:16" x14ac:dyDescent="0.25">
      <c r="A902" s="21">
        <v>3000004466</v>
      </c>
      <c r="B902" s="22">
        <v>45874</v>
      </c>
      <c r="C902" s="20">
        <v>6390082.6600000001</v>
      </c>
      <c r="D902" s="21" t="s">
        <v>612</v>
      </c>
      <c r="E902" s="21">
        <v>1724</v>
      </c>
      <c r="F902" s="20">
        <v>6390082.6600000001</v>
      </c>
      <c r="G902" s="22">
        <v>45877</v>
      </c>
      <c r="H902" t="s">
        <v>32</v>
      </c>
      <c r="I902" s="40" t="str">
        <f>IFERROR(IF(VLOOKUP(E902,extracto!C:C,1,FALSE)=E902,"pagado","no pagado"),"no pagado")</f>
        <v>pagado</v>
      </c>
      <c r="J902" s="41" t="str">
        <f t="shared" si="444"/>
        <v>pagado</v>
      </c>
      <c r="K902" s="40" t="str">
        <f t="shared" ca="1" si="445"/>
        <v>excluir</v>
      </c>
      <c r="L902" s="40" t="str">
        <f t="shared" ca="1" si="446"/>
        <v>no semana</v>
      </c>
      <c r="M902" s="40" t="str">
        <f>IFERROR(VLOOKUP(E902,'cheques a conf'!A:D,4,FALSE),"no clearing")</f>
        <v>no clearing</v>
      </c>
      <c r="N902" s="40">
        <f t="shared" si="447"/>
        <v>32</v>
      </c>
      <c r="O902" s="42">
        <f t="shared" si="448"/>
        <v>8</v>
      </c>
      <c r="P902" s="42">
        <f t="shared" si="449"/>
        <v>2025</v>
      </c>
    </row>
    <row r="903" spans="1:16" x14ac:dyDescent="0.25">
      <c r="A903" s="21">
        <v>3000004467</v>
      </c>
      <c r="B903" s="22">
        <v>45874</v>
      </c>
      <c r="C903" s="20">
        <v>14163345.369999999</v>
      </c>
      <c r="D903" s="21" t="s">
        <v>689</v>
      </c>
      <c r="E903" s="21">
        <v>1725</v>
      </c>
      <c r="F903" s="20">
        <v>14163345.369999999</v>
      </c>
      <c r="G903" s="22">
        <v>45877</v>
      </c>
      <c r="H903" t="s">
        <v>32</v>
      </c>
      <c r="I903" s="40" t="str">
        <f>IFERROR(IF(VLOOKUP(E903,extracto!C:C,1,FALSE)=E903,"pagado","no pagado"),"no pagado")</f>
        <v>pagado</v>
      </c>
      <c r="J903" s="41" t="str">
        <f t="shared" si="444"/>
        <v>pagado</v>
      </c>
      <c r="K903" s="40" t="str">
        <f t="shared" ca="1" si="445"/>
        <v>excluir</v>
      </c>
      <c r="L903" s="40" t="str">
        <f t="shared" ca="1" si="446"/>
        <v>no semana</v>
      </c>
      <c r="M903" s="40" t="str">
        <f>IFERROR(VLOOKUP(E903,'cheques a conf'!A:D,4,FALSE),"no clearing")</f>
        <v>no clearing</v>
      </c>
      <c r="N903" s="40">
        <f t="shared" si="447"/>
        <v>32</v>
      </c>
      <c r="O903" s="42">
        <f t="shared" si="448"/>
        <v>8</v>
      </c>
      <c r="P903" s="42">
        <f t="shared" si="449"/>
        <v>2025</v>
      </c>
    </row>
    <row r="904" spans="1:16" x14ac:dyDescent="0.25">
      <c r="A904" s="21">
        <v>3000004468</v>
      </c>
      <c r="B904" s="22">
        <v>45874</v>
      </c>
      <c r="C904" s="20">
        <v>15161549.550000001</v>
      </c>
      <c r="D904" s="21" t="s">
        <v>652</v>
      </c>
      <c r="E904" s="21">
        <v>1726</v>
      </c>
      <c r="F904" s="20">
        <v>15161549.550000001</v>
      </c>
      <c r="G904" s="22">
        <v>45877</v>
      </c>
      <c r="H904" t="s">
        <v>32</v>
      </c>
      <c r="I904" s="40" t="str">
        <f>IFERROR(IF(VLOOKUP(E904,extracto!C:C,1,FALSE)=E904,"pagado","no pagado"),"no pagado")</f>
        <v>pagado</v>
      </c>
      <c r="J904" s="41" t="str">
        <f t="shared" si="444"/>
        <v>pagado</v>
      </c>
      <c r="K904" s="40" t="str">
        <f t="shared" ca="1" si="445"/>
        <v>excluir</v>
      </c>
      <c r="L904" s="40" t="str">
        <f t="shared" ca="1" si="446"/>
        <v>no semana</v>
      </c>
      <c r="M904" s="40" t="str">
        <f>IFERROR(VLOOKUP(E904,'cheques a conf'!A:D,4,FALSE),"no clearing")</f>
        <v>no clearing</v>
      </c>
      <c r="N904" s="40">
        <f t="shared" si="447"/>
        <v>32</v>
      </c>
      <c r="O904" s="42">
        <f t="shared" si="448"/>
        <v>8</v>
      </c>
      <c r="P904" s="42">
        <f t="shared" si="449"/>
        <v>2025</v>
      </c>
    </row>
    <row r="905" spans="1:16" x14ac:dyDescent="0.25">
      <c r="A905" s="21">
        <v>3000004469</v>
      </c>
      <c r="B905" s="22">
        <v>45874</v>
      </c>
      <c r="C905" s="20">
        <v>4416003.25</v>
      </c>
      <c r="D905" s="21" t="s">
        <v>691</v>
      </c>
      <c r="E905" s="21">
        <v>1727</v>
      </c>
      <c r="F905" s="20">
        <v>4416003.25</v>
      </c>
      <c r="G905" s="22">
        <v>45877</v>
      </c>
      <c r="H905" t="s">
        <v>32</v>
      </c>
      <c r="I905" s="40" t="str">
        <f>IFERROR(IF(VLOOKUP(E905,extracto!C:C,1,FALSE)=E905,"pagado","no pagado"),"no pagado")</f>
        <v>pagado</v>
      </c>
      <c r="J905" s="41" t="str">
        <f t="shared" si="444"/>
        <v>pagado</v>
      </c>
      <c r="K905" s="40" t="str">
        <f t="shared" ca="1" si="445"/>
        <v>excluir</v>
      </c>
      <c r="L905" s="40" t="str">
        <f t="shared" ca="1" si="446"/>
        <v>no semana</v>
      </c>
      <c r="M905" s="40" t="str">
        <f>IFERROR(VLOOKUP(E905,'cheques a conf'!A:D,4,FALSE),"no clearing")</f>
        <v>no clearing</v>
      </c>
      <c r="N905" s="40">
        <f t="shared" si="447"/>
        <v>32</v>
      </c>
      <c r="O905" s="42">
        <f t="shared" si="448"/>
        <v>8</v>
      </c>
      <c r="P905" s="42">
        <f t="shared" si="449"/>
        <v>2025</v>
      </c>
    </row>
    <row r="906" spans="1:16" x14ac:dyDescent="0.25">
      <c r="A906" s="21">
        <v>3000004470</v>
      </c>
      <c r="B906" s="22">
        <v>45874</v>
      </c>
      <c r="C906" s="20">
        <v>9357744.5800000001</v>
      </c>
      <c r="D906" s="21" t="s">
        <v>675</v>
      </c>
      <c r="E906" s="21">
        <v>1728</v>
      </c>
      <c r="F906" s="20">
        <v>9357744.5800000001</v>
      </c>
      <c r="G906" s="22">
        <v>45877</v>
      </c>
      <c r="H906" t="s">
        <v>32</v>
      </c>
      <c r="I906" s="40" t="str">
        <f>IFERROR(IF(VLOOKUP(E906,extracto!C:C,1,FALSE)=E906,"pagado","no pagado"),"no pagado")</f>
        <v>pagado</v>
      </c>
      <c r="J906" s="41" t="str">
        <f t="shared" si="444"/>
        <v>pagado</v>
      </c>
      <c r="K906" s="40" t="str">
        <f t="shared" ca="1" si="445"/>
        <v>excluir</v>
      </c>
      <c r="L906" s="40" t="str">
        <f t="shared" ca="1" si="446"/>
        <v>no semana</v>
      </c>
      <c r="M906" s="40" t="str">
        <f>IFERROR(VLOOKUP(E906,'cheques a conf'!A:D,4,FALSE),"no clearing")</f>
        <v>no clearing</v>
      </c>
      <c r="N906" s="40">
        <f t="shared" si="447"/>
        <v>32</v>
      </c>
      <c r="O906" s="42">
        <f t="shared" si="448"/>
        <v>8</v>
      </c>
      <c r="P906" s="42">
        <f t="shared" si="449"/>
        <v>2025</v>
      </c>
    </row>
    <row r="907" spans="1:16" x14ac:dyDescent="0.25">
      <c r="A907" s="21">
        <v>3000004471</v>
      </c>
      <c r="B907" s="22">
        <v>45874</v>
      </c>
      <c r="C907" s="20">
        <v>17000000</v>
      </c>
      <c r="D907" s="21" t="s">
        <v>654</v>
      </c>
      <c r="E907" s="21">
        <v>1729</v>
      </c>
      <c r="F907" s="20">
        <v>17000000</v>
      </c>
      <c r="G907" s="22">
        <v>45877</v>
      </c>
      <c r="H907" t="s">
        <v>32</v>
      </c>
      <c r="I907" s="40" t="str">
        <f>IFERROR(IF(VLOOKUP(E907,extracto!C:C,1,FALSE)=E907,"pagado","no pagado"),"no pagado")</f>
        <v>pagado</v>
      </c>
      <c r="J907" s="41" t="str">
        <f t="shared" si="444"/>
        <v>pagado</v>
      </c>
      <c r="K907" s="40" t="str">
        <f t="shared" ca="1" si="445"/>
        <v>excluir</v>
      </c>
      <c r="L907" s="40" t="str">
        <f t="shared" ca="1" si="446"/>
        <v>no semana</v>
      </c>
      <c r="M907" s="40" t="str">
        <f>IFERROR(VLOOKUP(E907,'cheques a conf'!A:D,4,FALSE),"no clearing")</f>
        <v>no clearing</v>
      </c>
      <c r="N907" s="40">
        <f t="shared" si="447"/>
        <v>32</v>
      </c>
      <c r="O907" s="42">
        <f t="shared" si="448"/>
        <v>8</v>
      </c>
      <c r="P907" s="42">
        <f t="shared" si="449"/>
        <v>2025</v>
      </c>
    </row>
    <row r="908" spans="1:16" x14ac:dyDescent="0.25">
      <c r="A908" s="21">
        <v>3000004471</v>
      </c>
      <c r="B908" s="22">
        <v>45874</v>
      </c>
      <c r="C908" s="20">
        <v>16714517.289999999</v>
      </c>
      <c r="D908" s="21" t="s">
        <v>654</v>
      </c>
      <c r="E908" s="21">
        <v>1730</v>
      </c>
      <c r="F908" s="20">
        <v>16714517.289999999</v>
      </c>
      <c r="G908" s="22">
        <v>45880</v>
      </c>
      <c r="H908" t="s">
        <v>32</v>
      </c>
      <c r="I908" s="40" t="str">
        <f>IFERROR(IF(VLOOKUP(E908,extracto!C:C,1,FALSE)=E908,"pagado","no pagado"),"no pagado")</f>
        <v>pagado</v>
      </c>
      <c r="J908" s="41" t="str">
        <f t="shared" si="444"/>
        <v>pagado</v>
      </c>
      <c r="K908" s="40" t="str">
        <f t="shared" ca="1" si="445"/>
        <v>excluir</v>
      </c>
      <c r="L908" s="40" t="str">
        <f t="shared" ca="1" si="446"/>
        <v>no semana</v>
      </c>
      <c r="M908" s="40" t="str">
        <f>IFERROR(VLOOKUP(E908,'cheques a conf'!A:D,4,FALSE),"no clearing")</f>
        <v>no clearing</v>
      </c>
      <c r="N908" s="40">
        <f t="shared" si="447"/>
        <v>33</v>
      </c>
      <c r="O908" s="42">
        <f t="shared" si="448"/>
        <v>8</v>
      </c>
      <c r="P908" s="42">
        <f t="shared" si="449"/>
        <v>2025</v>
      </c>
    </row>
    <row r="909" spans="1:16" x14ac:dyDescent="0.25">
      <c r="A909" s="21">
        <v>3000004472</v>
      </c>
      <c r="B909" s="22">
        <v>45874</v>
      </c>
      <c r="C909" s="20">
        <v>11721110.939999999</v>
      </c>
      <c r="D909" s="21" t="s">
        <v>695</v>
      </c>
      <c r="E909" s="21">
        <v>1731</v>
      </c>
      <c r="F909" s="20">
        <v>11721110.939999999</v>
      </c>
      <c r="G909" s="22">
        <v>45877</v>
      </c>
      <c r="H909" t="s">
        <v>32</v>
      </c>
      <c r="I909" s="40" t="str">
        <f>IFERROR(IF(VLOOKUP(E909,extracto!C:C,1,FALSE)=E909,"pagado","no pagado"),"no pagado")</f>
        <v>pagado</v>
      </c>
      <c r="J909" s="41" t="str">
        <f t="shared" si="444"/>
        <v>pagado</v>
      </c>
      <c r="K909" s="40" t="str">
        <f t="shared" ca="1" si="445"/>
        <v>excluir</v>
      </c>
      <c r="L909" s="40" t="str">
        <f t="shared" ca="1" si="446"/>
        <v>no semana</v>
      </c>
      <c r="M909" s="40" t="str">
        <f>IFERROR(VLOOKUP(E909,'cheques a conf'!A:D,4,FALSE),"no clearing")</f>
        <v>no clearing</v>
      </c>
      <c r="N909" s="40">
        <f t="shared" si="447"/>
        <v>32</v>
      </c>
      <c r="O909" s="42">
        <f t="shared" si="448"/>
        <v>8</v>
      </c>
      <c r="P909" s="42">
        <f t="shared" si="449"/>
        <v>2025</v>
      </c>
    </row>
    <row r="910" spans="1:16" x14ac:dyDescent="0.25">
      <c r="A910" s="21">
        <v>3000004473</v>
      </c>
      <c r="B910" s="22">
        <v>45874</v>
      </c>
      <c r="C910" s="20">
        <v>5802448.8200000003</v>
      </c>
      <c r="D910" s="21" t="s">
        <v>704</v>
      </c>
      <c r="E910" s="21">
        <v>1732</v>
      </c>
      <c r="F910" s="20">
        <v>5802448.8200000003</v>
      </c>
      <c r="G910" s="22">
        <v>45877</v>
      </c>
      <c r="H910" t="s">
        <v>32</v>
      </c>
      <c r="I910" s="40" t="str">
        <f>IFERROR(IF(VLOOKUP(E910,extracto!C:C,1,FALSE)=E910,"pagado","no pagado"),"no pagado")</f>
        <v>pagado</v>
      </c>
      <c r="J910" s="41" t="str">
        <f t="shared" si="444"/>
        <v>pagado</v>
      </c>
      <c r="K910" s="40" t="str">
        <f t="shared" ca="1" si="445"/>
        <v>excluir</v>
      </c>
      <c r="L910" s="40" t="str">
        <f t="shared" ca="1" si="446"/>
        <v>no semana</v>
      </c>
      <c r="M910" s="40" t="str">
        <f>IFERROR(VLOOKUP(E910,'cheques a conf'!A:D,4,FALSE),"no clearing")</f>
        <v>no clearing</v>
      </c>
      <c r="N910" s="40">
        <f t="shared" si="447"/>
        <v>32</v>
      </c>
      <c r="O910" s="42">
        <f t="shared" si="448"/>
        <v>8</v>
      </c>
      <c r="P910" s="42">
        <f t="shared" si="449"/>
        <v>2025</v>
      </c>
    </row>
    <row r="911" spans="1:16" x14ac:dyDescent="0.25">
      <c r="A911" s="21">
        <v>3000004474</v>
      </c>
      <c r="B911" s="22">
        <v>45874</v>
      </c>
      <c r="C911" s="20">
        <v>18834275.710000001</v>
      </c>
      <c r="D911" s="21" t="s">
        <v>580</v>
      </c>
      <c r="E911" s="21">
        <v>1733</v>
      </c>
      <c r="F911" s="20">
        <v>18834275.710000001</v>
      </c>
      <c r="G911" s="22">
        <v>45877</v>
      </c>
      <c r="H911" t="s">
        <v>32</v>
      </c>
      <c r="I911" s="40" t="str">
        <f>IFERROR(IF(VLOOKUP(E911,extracto!C:C,1,FALSE)=E911,"pagado","no pagado"),"no pagado")</f>
        <v>pagado</v>
      </c>
      <c r="J911" s="41" t="str">
        <f t="shared" si="444"/>
        <v>pagado</v>
      </c>
      <c r="K911" s="40" t="str">
        <f t="shared" ca="1" si="445"/>
        <v>excluir</v>
      </c>
      <c r="L911" s="40" t="str">
        <f t="shared" ca="1" si="446"/>
        <v>no semana</v>
      </c>
      <c r="M911" s="40" t="str">
        <f>IFERROR(VLOOKUP(E911,'cheques a conf'!A:D,4,FALSE),"no clearing")</f>
        <v>no clearing</v>
      </c>
      <c r="N911" s="40">
        <f t="shared" si="447"/>
        <v>32</v>
      </c>
      <c r="O911" s="42">
        <f t="shared" si="448"/>
        <v>8</v>
      </c>
      <c r="P911" s="42">
        <f t="shared" si="449"/>
        <v>2025</v>
      </c>
    </row>
    <row r="912" spans="1:16" x14ac:dyDescent="0.25">
      <c r="A912" s="21">
        <v>3000004475</v>
      </c>
      <c r="B912" s="22">
        <v>45874</v>
      </c>
      <c r="C912" s="20">
        <v>494932.56</v>
      </c>
      <c r="D912" s="21" t="s">
        <v>77</v>
      </c>
      <c r="E912" s="21">
        <v>1734</v>
      </c>
      <c r="F912" s="20">
        <v>494932.56</v>
      </c>
      <c r="G912" s="22">
        <v>45877</v>
      </c>
      <c r="H912" t="s">
        <v>32</v>
      </c>
      <c r="I912" s="40" t="str">
        <f>IFERROR(IF(VLOOKUP(E912,extracto!C:C,1,FALSE)=E912,"pagado","no pagado"),"no pagado")</f>
        <v>pagado</v>
      </c>
      <c r="J912" s="41" t="str">
        <f t="shared" si="444"/>
        <v>pagado</v>
      </c>
      <c r="K912" s="40" t="str">
        <f t="shared" ca="1" si="445"/>
        <v>excluir</v>
      </c>
      <c r="L912" s="40" t="str">
        <f t="shared" ca="1" si="446"/>
        <v>no semana</v>
      </c>
      <c r="M912" s="40" t="str">
        <f>IFERROR(VLOOKUP(E912,'cheques a conf'!A:D,4,FALSE),"no clearing")</f>
        <v>no clearing</v>
      </c>
      <c r="N912" s="40">
        <f t="shared" si="447"/>
        <v>32</v>
      </c>
      <c r="O912" s="42">
        <f t="shared" si="448"/>
        <v>8</v>
      </c>
      <c r="P912" s="42">
        <f t="shared" si="449"/>
        <v>2025</v>
      </c>
    </row>
    <row r="913" spans="1:16" x14ac:dyDescent="0.25">
      <c r="A913">
        <v>3000004621</v>
      </c>
      <c r="B913" s="3">
        <v>45881</v>
      </c>
      <c r="C913" s="4">
        <v>25000000</v>
      </c>
      <c r="D913" t="s">
        <v>626</v>
      </c>
      <c r="E913">
        <v>1736</v>
      </c>
      <c r="F913" s="4">
        <v>25000000</v>
      </c>
      <c r="G913" s="3">
        <v>45883</v>
      </c>
      <c r="H913" t="s">
        <v>32</v>
      </c>
      <c r="I913" s="40" t="str">
        <f>IFERROR(IF(VLOOKUP(E913,extracto!C:C,1,FALSE)=E913,"pagado","no pagado"),"no pagado")</f>
        <v>pagado</v>
      </c>
      <c r="J913" s="41" t="str">
        <f t="shared" ref="J913:J935" si="450">IF(I913="pagado","pagado",IF(G913&lt;$V$1-30,"fuera de fecha","en periodo de pago"))</f>
        <v>pagado</v>
      </c>
      <c r="K913" s="40" t="str">
        <f t="shared" ref="K913:K935" ca="1" si="451">+IF(B913&gt;$V$1,"excluir",IF(J913="en periodo de pago",IF($V$1&gt;G913,"a pagar","proximo a vencer"),"excluir"))</f>
        <v>excluir</v>
      </c>
      <c r="L913" s="40" t="str">
        <f t="shared" ref="L913:L935" ca="1" si="452">+IF(K913="proximo a vencer",IF($V$1+5&gt;G913,"para la semana","no semana"),"no semana")</f>
        <v>no semana</v>
      </c>
      <c r="M913" s="40" t="str">
        <f>IFERROR(VLOOKUP(E913,'cheques a conf'!A:D,4,FALSE),"no clearing")</f>
        <v>no clearing</v>
      </c>
      <c r="N913" s="40">
        <f t="shared" ref="N913:N935" si="453">+WEEKNUM(G913,2)</f>
        <v>33</v>
      </c>
      <c r="O913" s="42">
        <f t="shared" ref="O913:O935" si="454">+MONTH(G913)</f>
        <v>8</v>
      </c>
      <c r="P913" s="42">
        <f t="shared" ref="P913:P935" si="455">+YEAR(G913)</f>
        <v>2025</v>
      </c>
    </row>
    <row r="914" spans="1:16" x14ac:dyDescent="0.25">
      <c r="A914">
        <v>3000004621</v>
      </c>
      <c r="B914" s="3">
        <v>45881</v>
      </c>
      <c r="C914" s="4">
        <v>23343278.77</v>
      </c>
      <c r="D914" t="s">
        <v>626</v>
      </c>
      <c r="E914">
        <v>1737</v>
      </c>
      <c r="F914" s="4">
        <v>23343278.77</v>
      </c>
      <c r="G914" s="3">
        <v>45887</v>
      </c>
      <c r="H914" t="s">
        <v>32</v>
      </c>
      <c r="I914" s="40" t="str">
        <f>IFERROR(IF(VLOOKUP(E914,extracto!C:C,1,FALSE)=E914,"pagado","no pagado"),"no pagado")</f>
        <v>pagado</v>
      </c>
      <c r="J914" s="41" t="str">
        <f t="shared" si="450"/>
        <v>pagado</v>
      </c>
      <c r="K914" s="40" t="str">
        <f t="shared" ca="1" si="451"/>
        <v>excluir</v>
      </c>
      <c r="L914" s="40" t="str">
        <f t="shared" ca="1" si="452"/>
        <v>no semana</v>
      </c>
      <c r="M914" s="40" t="str">
        <f>IFERROR(VLOOKUP(E914,'cheques a conf'!A:D,4,FALSE),"no clearing")</f>
        <v>no clearing</v>
      </c>
      <c r="N914" s="40">
        <f t="shared" si="453"/>
        <v>34</v>
      </c>
      <c r="O914" s="42">
        <f t="shared" si="454"/>
        <v>8</v>
      </c>
      <c r="P914" s="42">
        <f t="shared" si="455"/>
        <v>2025</v>
      </c>
    </row>
    <row r="915" spans="1:16" x14ac:dyDescent="0.25">
      <c r="A915">
        <v>3000004622</v>
      </c>
      <c r="B915" s="3">
        <v>45881</v>
      </c>
      <c r="C915" s="4">
        <v>11000000</v>
      </c>
      <c r="D915" t="s">
        <v>630</v>
      </c>
      <c r="E915">
        <v>1738</v>
      </c>
      <c r="F915" s="4">
        <v>11000000</v>
      </c>
      <c r="G915" s="3">
        <v>45883</v>
      </c>
      <c r="H915" t="s">
        <v>32</v>
      </c>
      <c r="I915" s="40" t="str">
        <f>IFERROR(IF(VLOOKUP(E915,extracto!C:C,1,FALSE)=E915,"pagado","no pagado"),"no pagado")</f>
        <v>pagado</v>
      </c>
      <c r="J915" s="41" t="str">
        <f t="shared" si="450"/>
        <v>pagado</v>
      </c>
      <c r="K915" s="40" t="str">
        <f t="shared" ca="1" si="451"/>
        <v>excluir</v>
      </c>
      <c r="L915" s="40" t="str">
        <f t="shared" ca="1" si="452"/>
        <v>no semana</v>
      </c>
      <c r="M915" s="40" t="str">
        <f>IFERROR(VLOOKUP(E915,'cheques a conf'!A:D,4,FALSE),"no clearing")</f>
        <v>no clearing</v>
      </c>
      <c r="N915" s="40">
        <f t="shared" si="453"/>
        <v>33</v>
      </c>
      <c r="O915" s="42">
        <f t="shared" si="454"/>
        <v>8</v>
      </c>
      <c r="P915" s="42">
        <f t="shared" si="455"/>
        <v>2025</v>
      </c>
    </row>
    <row r="916" spans="1:16" x14ac:dyDescent="0.25">
      <c r="A916">
        <v>3000004622</v>
      </c>
      <c r="B916" s="3">
        <v>45881</v>
      </c>
      <c r="C916" s="4">
        <v>10034812.949999999</v>
      </c>
      <c r="D916" t="s">
        <v>630</v>
      </c>
      <c r="E916">
        <v>1739</v>
      </c>
      <c r="F916" s="4">
        <v>10034812.949999999</v>
      </c>
      <c r="G916" s="3">
        <v>45887</v>
      </c>
      <c r="H916" t="s">
        <v>32</v>
      </c>
      <c r="I916" s="40" t="str">
        <f>IFERROR(IF(VLOOKUP(E916,extracto!C:C,1,FALSE)=E916,"pagado","no pagado"),"no pagado")</f>
        <v>pagado</v>
      </c>
      <c r="J916" s="41" t="str">
        <f t="shared" si="450"/>
        <v>pagado</v>
      </c>
      <c r="K916" s="40" t="str">
        <f t="shared" ca="1" si="451"/>
        <v>excluir</v>
      </c>
      <c r="L916" s="40" t="str">
        <f t="shared" ca="1" si="452"/>
        <v>no semana</v>
      </c>
      <c r="M916" s="40" t="str">
        <f>IFERROR(VLOOKUP(E916,'cheques a conf'!A:D,4,FALSE),"no clearing")</f>
        <v>no clearing</v>
      </c>
      <c r="N916" s="40">
        <f t="shared" si="453"/>
        <v>34</v>
      </c>
      <c r="O916" s="42">
        <f t="shared" si="454"/>
        <v>8</v>
      </c>
      <c r="P916" s="42">
        <f t="shared" si="455"/>
        <v>2025</v>
      </c>
    </row>
    <row r="917" spans="1:16" x14ac:dyDescent="0.25">
      <c r="A917">
        <v>3000004623</v>
      </c>
      <c r="B917" s="3">
        <v>45881</v>
      </c>
      <c r="C917" s="4">
        <v>20000000</v>
      </c>
      <c r="D917" t="s">
        <v>740</v>
      </c>
      <c r="E917">
        <v>1740</v>
      </c>
      <c r="F917" s="4">
        <v>20000000</v>
      </c>
      <c r="G917" s="3">
        <v>45883</v>
      </c>
      <c r="H917" t="s">
        <v>32</v>
      </c>
      <c r="I917" s="40" t="str">
        <f>IFERROR(IF(VLOOKUP(E917,extracto!C:C,1,FALSE)=E917,"pagado","no pagado"),"no pagado")</f>
        <v>pagado</v>
      </c>
      <c r="J917" s="41" t="str">
        <f t="shared" si="450"/>
        <v>pagado</v>
      </c>
      <c r="K917" s="40" t="str">
        <f t="shared" ca="1" si="451"/>
        <v>excluir</v>
      </c>
      <c r="L917" s="40" t="str">
        <f t="shared" ca="1" si="452"/>
        <v>no semana</v>
      </c>
      <c r="M917" s="40" t="str">
        <f>IFERROR(VLOOKUP(E917,'cheques a conf'!A:D,4,FALSE),"no clearing")</f>
        <v>no clearing</v>
      </c>
      <c r="N917" s="40">
        <f t="shared" si="453"/>
        <v>33</v>
      </c>
      <c r="O917" s="42">
        <f t="shared" si="454"/>
        <v>8</v>
      </c>
      <c r="P917" s="42">
        <f t="shared" si="455"/>
        <v>2025</v>
      </c>
    </row>
    <row r="918" spans="1:16" x14ac:dyDescent="0.25">
      <c r="A918">
        <v>3000004623</v>
      </c>
      <c r="B918" s="3">
        <v>45881</v>
      </c>
      <c r="C918" s="4">
        <v>17423293.870000001</v>
      </c>
      <c r="D918" t="s">
        <v>740</v>
      </c>
      <c r="E918">
        <v>1741</v>
      </c>
      <c r="F918" s="4">
        <v>17423293.870000001</v>
      </c>
      <c r="G918" s="3">
        <v>45887</v>
      </c>
      <c r="H918" t="s">
        <v>32</v>
      </c>
      <c r="I918" s="40" t="str">
        <f>IFERROR(IF(VLOOKUP(E918,extracto!C:C,1,FALSE)=E918,"pagado","no pagado"),"no pagado")</f>
        <v>pagado</v>
      </c>
      <c r="J918" s="41" t="str">
        <f t="shared" si="450"/>
        <v>pagado</v>
      </c>
      <c r="K918" s="40" t="str">
        <f t="shared" ca="1" si="451"/>
        <v>excluir</v>
      </c>
      <c r="L918" s="40" t="str">
        <f t="shared" ca="1" si="452"/>
        <v>no semana</v>
      </c>
      <c r="M918" s="40" t="str">
        <f>IFERROR(VLOOKUP(E918,'cheques a conf'!A:D,4,FALSE),"no clearing")</f>
        <v>no clearing</v>
      </c>
      <c r="N918" s="40">
        <f t="shared" si="453"/>
        <v>34</v>
      </c>
      <c r="O918" s="42">
        <f t="shared" si="454"/>
        <v>8</v>
      </c>
      <c r="P918" s="42">
        <f t="shared" si="455"/>
        <v>2025</v>
      </c>
    </row>
    <row r="919" spans="1:16" x14ac:dyDescent="0.25">
      <c r="A919">
        <v>3000004624</v>
      </c>
      <c r="B919" s="3">
        <v>45881</v>
      </c>
      <c r="C919" s="4">
        <v>10000000</v>
      </c>
      <c r="D919" t="s">
        <v>74</v>
      </c>
      <c r="E919">
        <v>1742</v>
      </c>
      <c r="F919" s="4">
        <v>10000000</v>
      </c>
      <c r="G919" s="3">
        <v>45883</v>
      </c>
      <c r="H919" t="s">
        <v>32</v>
      </c>
      <c r="I919" s="40" t="str">
        <f>IFERROR(IF(VLOOKUP(E919,extracto!C:C,1,FALSE)=E919,"pagado","no pagado"),"no pagado")</f>
        <v>pagado</v>
      </c>
      <c r="J919" s="41" t="str">
        <f t="shared" si="450"/>
        <v>pagado</v>
      </c>
      <c r="K919" s="40" t="str">
        <f t="shared" ca="1" si="451"/>
        <v>excluir</v>
      </c>
      <c r="L919" s="40" t="str">
        <f t="shared" ca="1" si="452"/>
        <v>no semana</v>
      </c>
      <c r="M919" s="40" t="str">
        <f>IFERROR(VLOOKUP(E919,'cheques a conf'!A:D,4,FALSE),"no clearing")</f>
        <v>no clearing</v>
      </c>
      <c r="N919" s="40">
        <f t="shared" si="453"/>
        <v>33</v>
      </c>
      <c r="O919" s="42">
        <f t="shared" si="454"/>
        <v>8</v>
      </c>
      <c r="P919" s="42">
        <f t="shared" si="455"/>
        <v>2025</v>
      </c>
    </row>
    <row r="920" spans="1:16" x14ac:dyDescent="0.25">
      <c r="A920">
        <v>3000004624</v>
      </c>
      <c r="B920" s="3">
        <v>45881</v>
      </c>
      <c r="C920" s="4">
        <v>7123598.3499999996</v>
      </c>
      <c r="D920" t="s">
        <v>74</v>
      </c>
      <c r="E920">
        <v>1743</v>
      </c>
      <c r="F920" s="4">
        <v>7123598.3499999996</v>
      </c>
      <c r="G920" s="3">
        <v>45887</v>
      </c>
      <c r="H920" t="s">
        <v>32</v>
      </c>
      <c r="I920" s="40" t="str">
        <f>IFERROR(IF(VLOOKUP(E920,extracto!C:C,1,FALSE)=E920,"pagado","no pagado"),"no pagado")</f>
        <v>pagado</v>
      </c>
      <c r="J920" s="41" t="str">
        <f t="shared" si="450"/>
        <v>pagado</v>
      </c>
      <c r="K920" s="40" t="str">
        <f t="shared" ca="1" si="451"/>
        <v>excluir</v>
      </c>
      <c r="L920" s="40" t="str">
        <f t="shared" ca="1" si="452"/>
        <v>no semana</v>
      </c>
      <c r="M920" s="40" t="str">
        <f>IFERROR(VLOOKUP(E920,'cheques a conf'!A:D,4,FALSE),"no clearing")</f>
        <v>no clearing</v>
      </c>
      <c r="N920" s="40">
        <f t="shared" si="453"/>
        <v>34</v>
      </c>
      <c r="O920" s="42">
        <f t="shared" si="454"/>
        <v>8</v>
      </c>
      <c r="P920" s="42">
        <f t="shared" si="455"/>
        <v>2025</v>
      </c>
    </row>
    <row r="921" spans="1:16" x14ac:dyDescent="0.25">
      <c r="A921">
        <v>3000004625</v>
      </c>
      <c r="B921" s="3">
        <v>45881</v>
      </c>
      <c r="C921" s="4">
        <v>10000000</v>
      </c>
      <c r="D921" t="s">
        <v>631</v>
      </c>
      <c r="E921">
        <v>1744</v>
      </c>
      <c r="F921" s="4">
        <v>10000000</v>
      </c>
      <c r="G921" s="3">
        <v>45883</v>
      </c>
      <c r="H921" t="s">
        <v>32</v>
      </c>
      <c r="I921" s="40" t="str">
        <f>IFERROR(IF(VLOOKUP(E921,extracto!C:C,1,FALSE)=E921,"pagado","no pagado"),"no pagado")</f>
        <v>pagado</v>
      </c>
      <c r="J921" s="41" t="str">
        <f t="shared" si="450"/>
        <v>pagado</v>
      </c>
      <c r="K921" s="40" t="str">
        <f t="shared" ca="1" si="451"/>
        <v>excluir</v>
      </c>
      <c r="L921" s="40" t="str">
        <f t="shared" ca="1" si="452"/>
        <v>no semana</v>
      </c>
      <c r="M921" s="40" t="str">
        <f>IFERROR(VLOOKUP(E921,'cheques a conf'!A:D,4,FALSE),"no clearing")</f>
        <v>no clearing</v>
      </c>
      <c r="N921" s="40">
        <f t="shared" si="453"/>
        <v>33</v>
      </c>
      <c r="O921" s="42">
        <f t="shared" si="454"/>
        <v>8</v>
      </c>
      <c r="P921" s="42">
        <f t="shared" si="455"/>
        <v>2025</v>
      </c>
    </row>
    <row r="922" spans="1:16" x14ac:dyDescent="0.25">
      <c r="A922">
        <v>3000004625</v>
      </c>
      <c r="B922" s="3">
        <v>45881</v>
      </c>
      <c r="C922" s="4">
        <v>11482137.98</v>
      </c>
      <c r="D922" t="s">
        <v>631</v>
      </c>
      <c r="E922">
        <v>1745</v>
      </c>
      <c r="F922" s="4">
        <v>11482137.98</v>
      </c>
      <c r="G922" s="3">
        <v>45887</v>
      </c>
      <c r="H922" t="s">
        <v>32</v>
      </c>
      <c r="I922" s="40" t="str">
        <f>IFERROR(IF(VLOOKUP(E922,extracto!C:C,1,FALSE)=E922,"pagado","no pagado"),"no pagado")</f>
        <v>pagado</v>
      </c>
      <c r="J922" s="41" t="str">
        <f t="shared" si="450"/>
        <v>pagado</v>
      </c>
      <c r="K922" s="40" t="str">
        <f t="shared" ca="1" si="451"/>
        <v>excluir</v>
      </c>
      <c r="L922" s="40" t="str">
        <f t="shared" ca="1" si="452"/>
        <v>no semana</v>
      </c>
      <c r="M922" s="40" t="str">
        <f>IFERROR(VLOOKUP(E922,'cheques a conf'!A:D,4,FALSE),"no clearing")</f>
        <v>no clearing</v>
      </c>
      <c r="N922" s="40">
        <f t="shared" si="453"/>
        <v>34</v>
      </c>
      <c r="O922" s="42">
        <f t="shared" si="454"/>
        <v>8</v>
      </c>
      <c r="P922" s="42">
        <f t="shared" si="455"/>
        <v>2025</v>
      </c>
    </row>
    <row r="923" spans="1:16" x14ac:dyDescent="0.25">
      <c r="A923">
        <v>3000004633</v>
      </c>
      <c r="B923" s="3">
        <v>45881</v>
      </c>
      <c r="C923" s="4">
        <v>5000000</v>
      </c>
      <c r="D923" t="s">
        <v>595</v>
      </c>
      <c r="E923">
        <v>1753</v>
      </c>
      <c r="F923" s="4">
        <v>5000000</v>
      </c>
      <c r="G923" s="3">
        <v>45883</v>
      </c>
      <c r="H923" t="s">
        <v>32</v>
      </c>
      <c r="I923" s="40" t="str">
        <f>IFERROR(IF(VLOOKUP(E923,extracto!C:C,1,FALSE)=E923,"pagado","no pagado"),"no pagado")</f>
        <v>pagado</v>
      </c>
      <c r="J923" s="41" t="str">
        <f t="shared" si="450"/>
        <v>pagado</v>
      </c>
      <c r="K923" s="40" t="str">
        <f t="shared" ca="1" si="451"/>
        <v>excluir</v>
      </c>
      <c r="L923" s="40" t="str">
        <f t="shared" ca="1" si="452"/>
        <v>no semana</v>
      </c>
      <c r="M923" s="40" t="str">
        <f>IFERROR(VLOOKUP(E923,'cheques a conf'!A:D,4,FALSE),"no clearing")</f>
        <v>no clearing</v>
      </c>
      <c r="N923" s="40">
        <f t="shared" si="453"/>
        <v>33</v>
      </c>
      <c r="O923" s="42">
        <f t="shared" si="454"/>
        <v>8</v>
      </c>
      <c r="P923" s="42">
        <f t="shared" si="455"/>
        <v>2025</v>
      </c>
    </row>
    <row r="924" spans="1:16" x14ac:dyDescent="0.25">
      <c r="A924">
        <v>3000004633</v>
      </c>
      <c r="B924" s="3">
        <v>45881</v>
      </c>
      <c r="C924" s="4">
        <v>3000000</v>
      </c>
      <c r="D924" t="s">
        <v>595</v>
      </c>
      <c r="E924">
        <v>1754</v>
      </c>
      <c r="F924" s="4">
        <v>3000000</v>
      </c>
      <c r="G924" s="3">
        <v>45883</v>
      </c>
      <c r="H924" t="s">
        <v>32</v>
      </c>
      <c r="I924" s="40" t="str">
        <f>IFERROR(IF(VLOOKUP(E924,extracto!C:C,1,FALSE)=E924,"pagado","no pagado"),"no pagado")</f>
        <v>pagado</v>
      </c>
      <c r="J924" s="41" t="str">
        <f t="shared" si="450"/>
        <v>pagado</v>
      </c>
      <c r="K924" s="40" t="str">
        <f t="shared" ca="1" si="451"/>
        <v>excluir</v>
      </c>
      <c r="L924" s="40" t="str">
        <f t="shared" ca="1" si="452"/>
        <v>no semana</v>
      </c>
      <c r="M924" s="40" t="str">
        <f>IFERROR(VLOOKUP(E924,'cheques a conf'!A:D,4,FALSE),"no clearing")</f>
        <v>no clearing</v>
      </c>
      <c r="N924" s="40">
        <f t="shared" si="453"/>
        <v>33</v>
      </c>
      <c r="O924" s="42">
        <f t="shared" si="454"/>
        <v>8</v>
      </c>
      <c r="P924" s="42">
        <f t="shared" si="455"/>
        <v>2025</v>
      </c>
    </row>
    <row r="925" spans="1:16" x14ac:dyDescent="0.25">
      <c r="A925">
        <v>3000004633</v>
      </c>
      <c r="B925" s="3">
        <v>45881</v>
      </c>
      <c r="C925" s="4">
        <v>40000000</v>
      </c>
      <c r="D925" t="s">
        <v>595</v>
      </c>
      <c r="E925">
        <v>1755</v>
      </c>
      <c r="F925" s="4">
        <v>40000000</v>
      </c>
      <c r="G925" s="3">
        <v>45887</v>
      </c>
      <c r="H925" t="s">
        <v>32</v>
      </c>
      <c r="I925" s="40" t="str">
        <f>IFERROR(IF(VLOOKUP(E925,extracto!C:C,1,FALSE)=E925,"pagado","no pagado"),"no pagado")</f>
        <v>pagado</v>
      </c>
      <c r="J925" s="41" t="str">
        <f t="shared" si="450"/>
        <v>pagado</v>
      </c>
      <c r="K925" s="40" t="str">
        <f t="shared" ca="1" si="451"/>
        <v>excluir</v>
      </c>
      <c r="L925" s="40" t="str">
        <f t="shared" ca="1" si="452"/>
        <v>no semana</v>
      </c>
      <c r="M925" s="40" t="str">
        <f>IFERROR(VLOOKUP(E925,'cheques a conf'!A:D,4,FALSE),"no clearing")</f>
        <v>no clearing</v>
      </c>
      <c r="N925" s="40">
        <f t="shared" si="453"/>
        <v>34</v>
      </c>
      <c r="O925" s="42">
        <f t="shared" si="454"/>
        <v>8</v>
      </c>
      <c r="P925" s="42">
        <f t="shared" si="455"/>
        <v>2025</v>
      </c>
    </row>
    <row r="926" spans="1:16" x14ac:dyDescent="0.25">
      <c r="A926">
        <v>3000004633</v>
      </c>
      <c r="B926" s="3">
        <v>45881</v>
      </c>
      <c r="C926" s="4">
        <v>38130377.240000002</v>
      </c>
      <c r="D926" t="s">
        <v>595</v>
      </c>
      <c r="E926">
        <v>1756</v>
      </c>
      <c r="F926" s="4">
        <v>38130377.240000002</v>
      </c>
      <c r="G926" s="3">
        <v>45888</v>
      </c>
      <c r="H926" t="s">
        <v>32</v>
      </c>
      <c r="I926" s="40" t="str">
        <f>IFERROR(IF(VLOOKUP(E926,extracto!C:C,1,FALSE)=E926,"pagado","no pagado"),"no pagado")</f>
        <v>pagado</v>
      </c>
      <c r="J926" s="41" t="str">
        <f t="shared" si="450"/>
        <v>pagado</v>
      </c>
      <c r="K926" s="40" t="str">
        <f t="shared" ca="1" si="451"/>
        <v>excluir</v>
      </c>
      <c r="L926" s="40" t="str">
        <f t="shared" ca="1" si="452"/>
        <v>no semana</v>
      </c>
      <c r="M926" s="40" t="str">
        <f>IFERROR(VLOOKUP(E926,'cheques a conf'!A:D,4,FALSE),"no clearing")</f>
        <v>no clearing</v>
      </c>
      <c r="N926" s="40">
        <f t="shared" si="453"/>
        <v>34</v>
      </c>
      <c r="O926" s="42">
        <f t="shared" si="454"/>
        <v>8</v>
      </c>
      <c r="P926" s="42">
        <f t="shared" si="455"/>
        <v>2025</v>
      </c>
    </row>
    <row r="927" spans="1:16" x14ac:dyDescent="0.25">
      <c r="A927">
        <v>3000004635</v>
      </c>
      <c r="B927" s="3">
        <v>45881</v>
      </c>
      <c r="C927" s="4">
        <v>10000000</v>
      </c>
      <c r="D927" t="s">
        <v>626</v>
      </c>
      <c r="E927">
        <v>1758</v>
      </c>
      <c r="F927" s="4">
        <v>10000000</v>
      </c>
      <c r="G927" s="3">
        <v>45883</v>
      </c>
      <c r="H927" t="s">
        <v>32</v>
      </c>
      <c r="I927" s="40" t="str">
        <f>IFERROR(IF(VLOOKUP(E927,extracto!C:C,1,FALSE)=E927,"pagado","no pagado"),"no pagado")</f>
        <v>pagado</v>
      </c>
      <c r="J927" s="41" t="str">
        <f t="shared" si="450"/>
        <v>pagado</v>
      </c>
      <c r="K927" s="40" t="str">
        <f t="shared" ca="1" si="451"/>
        <v>excluir</v>
      </c>
      <c r="L927" s="40" t="str">
        <f t="shared" ca="1" si="452"/>
        <v>no semana</v>
      </c>
      <c r="M927" s="40" t="str">
        <f>IFERROR(VLOOKUP(E927,'cheques a conf'!A:D,4,FALSE),"no clearing")</f>
        <v>no clearing</v>
      </c>
      <c r="N927" s="40">
        <f t="shared" si="453"/>
        <v>33</v>
      </c>
      <c r="O927" s="42">
        <f t="shared" si="454"/>
        <v>8</v>
      </c>
      <c r="P927" s="42">
        <f t="shared" si="455"/>
        <v>2025</v>
      </c>
    </row>
    <row r="928" spans="1:16" x14ac:dyDescent="0.25">
      <c r="A928">
        <v>3000004635</v>
      </c>
      <c r="B928" s="3">
        <v>45881</v>
      </c>
      <c r="C928" s="4">
        <v>9804474.1300000008</v>
      </c>
      <c r="D928" t="s">
        <v>626</v>
      </c>
      <c r="E928">
        <v>1759</v>
      </c>
      <c r="F928" s="4">
        <v>9804474.1300000008</v>
      </c>
      <c r="G928" s="3">
        <v>45887</v>
      </c>
      <c r="H928" t="s">
        <v>32</v>
      </c>
      <c r="I928" s="40" t="str">
        <f>IFERROR(IF(VLOOKUP(E928,extracto!C:C,1,FALSE)=E928,"pagado","no pagado"),"no pagado")</f>
        <v>pagado</v>
      </c>
      <c r="J928" s="41" t="str">
        <f t="shared" si="450"/>
        <v>pagado</v>
      </c>
      <c r="K928" s="40" t="str">
        <f t="shared" ca="1" si="451"/>
        <v>excluir</v>
      </c>
      <c r="L928" s="40" t="str">
        <f t="shared" ca="1" si="452"/>
        <v>no semana</v>
      </c>
      <c r="M928" s="40" t="str">
        <f>IFERROR(VLOOKUP(E928,'cheques a conf'!A:D,4,FALSE),"no clearing")</f>
        <v>no clearing</v>
      </c>
      <c r="N928" s="40">
        <f t="shared" si="453"/>
        <v>34</v>
      </c>
      <c r="O928" s="42">
        <f t="shared" si="454"/>
        <v>8</v>
      </c>
      <c r="P928" s="42">
        <f t="shared" si="455"/>
        <v>2025</v>
      </c>
    </row>
    <row r="929" spans="1:16" x14ac:dyDescent="0.25">
      <c r="A929">
        <v>3000004640</v>
      </c>
      <c r="B929" s="3">
        <v>45881</v>
      </c>
      <c r="C929" s="4">
        <v>17000000</v>
      </c>
      <c r="D929" t="s">
        <v>595</v>
      </c>
      <c r="E929">
        <v>1764</v>
      </c>
      <c r="F929" s="4">
        <v>17000000</v>
      </c>
      <c r="G929" s="3">
        <v>45883</v>
      </c>
      <c r="H929" t="s">
        <v>32</v>
      </c>
      <c r="I929" s="40" t="str">
        <f>IFERROR(IF(VLOOKUP(E929,extracto!C:C,1,FALSE)=E929,"pagado","no pagado"),"no pagado")</f>
        <v>pagado</v>
      </c>
      <c r="J929" s="41" t="str">
        <f t="shared" si="450"/>
        <v>pagado</v>
      </c>
      <c r="K929" s="40" t="str">
        <f t="shared" ca="1" si="451"/>
        <v>excluir</v>
      </c>
      <c r="L929" s="40" t="str">
        <f t="shared" ca="1" si="452"/>
        <v>no semana</v>
      </c>
      <c r="M929" s="40" t="str">
        <f>IFERROR(VLOOKUP(E929,'cheques a conf'!A:D,4,FALSE),"no clearing")</f>
        <v>no clearing</v>
      </c>
      <c r="N929" s="40">
        <f t="shared" si="453"/>
        <v>33</v>
      </c>
      <c r="O929" s="42">
        <f t="shared" si="454"/>
        <v>8</v>
      </c>
      <c r="P929" s="42">
        <f t="shared" si="455"/>
        <v>2025</v>
      </c>
    </row>
    <row r="930" spans="1:16" x14ac:dyDescent="0.25">
      <c r="A930">
        <v>3000004640</v>
      </c>
      <c r="B930" s="3">
        <v>45881</v>
      </c>
      <c r="C930" s="4">
        <v>12000000</v>
      </c>
      <c r="D930" t="s">
        <v>595</v>
      </c>
      <c r="E930">
        <v>1765</v>
      </c>
      <c r="F930" s="4">
        <v>12000000</v>
      </c>
      <c r="G930" s="3">
        <v>45887</v>
      </c>
      <c r="H930" t="s">
        <v>32</v>
      </c>
      <c r="I930" s="40" t="str">
        <f>IFERROR(IF(VLOOKUP(E930,extracto!C:C,1,FALSE)=E930,"pagado","no pagado"),"no pagado")</f>
        <v>pagado</v>
      </c>
      <c r="J930" s="41" t="str">
        <f t="shared" si="450"/>
        <v>pagado</v>
      </c>
      <c r="K930" s="40" t="str">
        <f t="shared" ca="1" si="451"/>
        <v>excluir</v>
      </c>
      <c r="L930" s="40" t="str">
        <f t="shared" ca="1" si="452"/>
        <v>no semana</v>
      </c>
      <c r="M930" s="40" t="str">
        <f>IFERROR(VLOOKUP(E930,'cheques a conf'!A:D,4,FALSE),"no clearing")</f>
        <v>no clearing</v>
      </c>
      <c r="N930" s="40">
        <f t="shared" si="453"/>
        <v>34</v>
      </c>
      <c r="O930" s="42">
        <f t="shared" si="454"/>
        <v>8</v>
      </c>
      <c r="P930" s="42">
        <f t="shared" si="455"/>
        <v>2025</v>
      </c>
    </row>
    <row r="931" spans="1:16" x14ac:dyDescent="0.25">
      <c r="A931">
        <v>3000004640</v>
      </c>
      <c r="B931" s="3">
        <v>45881</v>
      </c>
      <c r="C931" s="4">
        <v>40000000</v>
      </c>
      <c r="D931" t="s">
        <v>595</v>
      </c>
      <c r="E931">
        <v>1766</v>
      </c>
      <c r="F931" s="4">
        <v>40000000</v>
      </c>
      <c r="G931" s="3">
        <v>45888</v>
      </c>
      <c r="H931" t="s">
        <v>32</v>
      </c>
      <c r="I931" s="40" t="str">
        <f>IFERROR(IF(VLOOKUP(E931,extracto!C:C,1,FALSE)=E931,"pagado","no pagado"),"no pagado")</f>
        <v>pagado</v>
      </c>
      <c r="J931" s="41" t="str">
        <f t="shared" si="450"/>
        <v>pagado</v>
      </c>
      <c r="K931" s="40" t="str">
        <f t="shared" ca="1" si="451"/>
        <v>excluir</v>
      </c>
      <c r="L931" s="40" t="str">
        <f t="shared" ca="1" si="452"/>
        <v>no semana</v>
      </c>
      <c r="M931" s="40" t="str">
        <f>IFERROR(VLOOKUP(E931,'cheques a conf'!A:D,4,FALSE),"no clearing")</f>
        <v>no clearing</v>
      </c>
      <c r="N931" s="40">
        <f t="shared" si="453"/>
        <v>34</v>
      </c>
      <c r="O931" s="42">
        <f t="shared" si="454"/>
        <v>8</v>
      </c>
      <c r="P931" s="42">
        <f t="shared" si="455"/>
        <v>2025</v>
      </c>
    </row>
    <row r="932" spans="1:16" x14ac:dyDescent="0.25">
      <c r="A932">
        <v>3000004640</v>
      </c>
      <c r="B932" s="3">
        <v>45881</v>
      </c>
      <c r="C932" s="4">
        <v>32950998.350000001</v>
      </c>
      <c r="D932" t="s">
        <v>595</v>
      </c>
      <c r="E932">
        <v>1767</v>
      </c>
      <c r="F932" s="4">
        <v>32950998.350000001</v>
      </c>
      <c r="G932" s="3">
        <v>45889</v>
      </c>
      <c r="H932" t="s">
        <v>32</v>
      </c>
      <c r="I932" s="40" t="str">
        <f>IFERROR(IF(VLOOKUP(E932,extracto!C:C,1,FALSE)=E932,"pagado","no pagado"),"no pagado")</f>
        <v>pagado</v>
      </c>
      <c r="J932" s="41" t="str">
        <f t="shared" si="450"/>
        <v>pagado</v>
      </c>
      <c r="K932" s="40" t="str">
        <f t="shared" ca="1" si="451"/>
        <v>excluir</v>
      </c>
      <c r="L932" s="40" t="str">
        <f t="shared" ca="1" si="452"/>
        <v>no semana</v>
      </c>
      <c r="M932" s="40" t="str">
        <f>IFERROR(VLOOKUP(E932,'cheques a conf'!A:D,4,FALSE),"no clearing")</f>
        <v>no clearing</v>
      </c>
      <c r="N932" s="40">
        <f t="shared" si="453"/>
        <v>34</v>
      </c>
      <c r="O932" s="42">
        <f t="shared" si="454"/>
        <v>8</v>
      </c>
      <c r="P932" s="42">
        <f t="shared" si="455"/>
        <v>2025</v>
      </c>
    </row>
    <row r="933" spans="1:16" x14ac:dyDescent="0.25">
      <c r="A933">
        <v>3000004620</v>
      </c>
      <c r="B933" s="3">
        <v>45881</v>
      </c>
      <c r="C933" s="4">
        <v>56179595.159999996</v>
      </c>
      <c r="D933" t="s">
        <v>748</v>
      </c>
      <c r="E933">
        <v>1735</v>
      </c>
      <c r="F933" s="4">
        <v>56179595.159999996</v>
      </c>
      <c r="G933" s="3">
        <v>45883</v>
      </c>
      <c r="H933" t="s">
        <v>32</v>
      </c>
      <c r="I933" s="40" t="str">
        <f>IFERROR(IF(VLOOKUP(E933,extracto!C:C,1,FALSE)=E933,"pagado","no pagado"),"no pagado")</f>
        <v>pagado</v>
      </c>
      <c r="J933" s="41" t="str">
        <f t="shared" si="450"/>
        <v>pagado</v>
      </c>
      <c r="K933" s="40" t="str">
        <f t="shared" ca="1" si="451"/>
        <v>excluir</v>
      </c>
      <c r="L933" s="40" t="str">
        <f t="shared" ca="1" si="452"/>
        <v>no semana</v>
      </c>
      <c r="M933" s="40" t="str">
        <f>IFERROR(VLOOKUP(E933,'cheques a conf'!A:D,4,FALSE),"no clearing")</f>
        <v>no clearing</v>
      </c>
      <c r="N933" s="40">
        <f t="shared" si="453"/>
        <v>33</v>
      </c>
      <c r="O933" s="42">
        <f t="shared" si="454"/>
        <v>8</v>
      </c>
      <c r="P933" s="42">
        <f t="shared" si="455"/>
        <v>2025</v>
      </c>
    </row>
    <row r="934" spans="1:16" x14ac:dyDescent="0.25">
      <c r="A934">
        <v>3000004626</v>
      </c>
      <c r="B934" s="3">
        <v>45881</v>
      </c>
      <c r="C934" s="4">
        <v>8203044.7800000003</v>
      </c>
      <c r="D934" t="s">
        <v>749</v>
      </c>
      <c r="E934">
        <v>1746</v>
      </c>
      <c r="F934" s="4">
        <v>8203044.7800000003</v>
      </c>
      <c r="G934" s="3">
        <v>45883</v>
      </c>
      <c r="H934" t="s">
        <v>32</v>
      </c>
      <c r="I934" s="40" t="str">
        <f>IFERROR(IF(VLOOKUP(E934,extracto!C:C,1,FALSE)=E934,"pagado","no pagado"),"no pagado")</f>
        <v>pagado</v>
      </c>
      <c r="J934" s="41" t="str">
        <f t="shared" si="450"/>
        <v>pagado</v>
      </c>
      <c r="K934" s="40" t="str">
        <f t="shared" ca="1" si="451"/>
        <v>excluir</v>
      </c>
      <c r="L934" s="40" t="str">
        <f t="shared" ca="1" si="452"/>
        <v>no semana</v>
      </c>
      <c r="M934" s="40" t="str">
        <f>IFERROR(VLOOKUP(E934,'cheques a conf'!A:D,4,FALSE),"no clearing")</f>
        <v>no clearing</v>
      </c>
      <c r="N934" s="40">
        <f t="shared" si="453"/>
        <v>33</v>
      </c>
      <c r="O934" s="42">
        <f t="shared" si="454"/>
        <v>8</v>
      </c>
      <c r="P934" s="42">
        <f t="shared" si="455"/>
        <v>2025</v>
      </c>
    </row>
    <row r="935" spans="1:16" x14ac:dyDescent="0.25">
      <c r="A935">
        <v>3000004627</v>
      </c>
      <c r="B935" s="3">
        <v>45881</v>
      </c>
      <c r="C935" s="4">
        <v>7764115.8499999996</v>
      </c>
      <c r="D935" t="s">
        <v>591</v>
      </c>
      <c r="E935">
        <v>1747</v>
      </c>
      <c r="F935" s="4">
        <v>7764115.8499999996</v>
      </c>
      <c r="G935" s="3">
        <v>45883</v>
      </c>
      <c r="H935" t="s">
        <v>32</v>
      </c>
      <c r="I935" s="40" t="str">
        <f>IFERROR(IF(VLOOKUP(E935,extracto!C:C,1,FALSE)=E935,"pagado","no pagado"),"no pagado")</f>
        <v>pagado</v>
      </c>
      <c r="J935" s="41" t="str">
        <f t="shared" si="450"/>
        <v>pagado</v>
      </c>
      <c r="K935" s="40" t="str">
        <f t="shared" ca="1" si="451"/>
        <v>excluir</v>
      </c>
      <c r="L935" s="40" t="str">
        <f t="shared" ca="1" si="452"/>
        <v>no semana</v>
      </c>
      <c r="M935" s="40" t="str">
        <f>IFERROR(VLOOKUP(E935,'cheques a conf'!A:D,4,FALSE),"no clearing")</f>
        <v>no clearing</v>
      </c>
      <c r="N935" s="40">
        <f t="shared" si="453"/>
        <v>33</v>
      </c>
      <c r="O935" s="42">
        <f t="shared" si="454"/>
        <v>8</v>
      </c>
      <c r="P935" s="42">
        <f t="shared" si="455"/>
        <v>2025</v>
      </c>
    </row>
    <row r="936" spans="1:16" x14ac:dyDescent="0.25">
      <c r="A936">
        <v>3000004628</v>
      </c>
      <c r="B936" s="3">
        <v>45881</v>
      </c>
      <c r="C936" s="4">
        <v>12494485.41</v>
      </c>
      <c r="D936" t="s">
        <v>70</v>
      </c>
      <c r="E936">
        <v>1748</v>
      </c>
      <c r="F936" s="4">
        <v>12494485.41</v>
      </c>
      <c r="G936" s="3">
        <v>45883</v>
      </c>
      <c r="H936" t="s">
        <v>32</v>
      </c>
      <c r="I936" s="40" t="str">
        <f>IFERROR(IF(VLOOKUP(E936,extracto!C:C,1,FALSE)=E936,"pagado","no pagado"),"no pagado")</f>
        <v>pagado</v>
      </c>
      <c r="J936" s="41" t="str">
        <f t="shared" ref="J936:J948" si="456">IF(I936="pagado","pagado",IF(G936&lt;$V$1-30,"fuera de fecha","en periodo de pago"))</f>
        <v>pagado</v>
      </c>
      <c r="K936" s="40" t="str">
        <f t="shared" ref="K936:K948" ca="1" si="457">+IF(B936&gt;$V$1,"excluir",IF(J936="en periodo de pago",IF($V$1&gt;G936,"a pagar","proximo a vencer"),"excluir"))</f>
        <v>excluir</v>
      </c>
      <c r="L936" s="40" t="str">
        <f t="shared" ref="L936:L948" ca="1" si="458">+IF(K936="proximo a vencer",IF($V$1+5&gt;G936,"para la semana","no semana"),"no semana")</f>
        <v>no semana</v>
      </c>
      <c r="M936" s="40" t="str">
        <f>IFERROR(VLOOKUP(E936,'cheques a conf'!A:D,4,FALSE),"no clearing")</f>
        <v>no clearing</v>
      </c>
      <c r="N936" s="40">
        <f t="shared" ref="N936:N948" si="459">+WEEKNUM(G936,2)</f>
        <v>33</v>
      </c>
      <c r="O936" s="42">
        <f t="shared" ref="O936:O948" si="460">+MONTH(G936)</f>
        <v>8</v>
      </c>
      <c r="P936" s="42">
        <f t="shared" ref="P936:P948" si="461">+YEAR(G936)</f>
        <v>2025</v>
      </c>
    </row>
    <row r="937" spans="1:16" x14ac:dyDescent="0.25">
      <c r="A937">
        <v>3000004629</v>
      </c>
      <c r="B937" s="3">
        <v>45881</v>
      </c>
      <c r="C937" s="4">
        <v>9873360.3100000005</v>
      </c>
      <c r="D937" t="s">
        <v>607</v>
      </c>
      <c r="E937">
        <v>1749</v>
      </c>
      <c r="F937" s="4">
        <v>9873360.3100000005</v>
      </c>
      <c r="G937" s="3">
        <v>45883</v>
      </c>
      <c r="H937" t="s">
        <v>32</v>
      </c>
      <c r="I937" s="40" t="str">
        <f>IFERROR(IF(VLOOKUP(E937,extracto!C:C,1,FALSE)=E937,"pagado","no pagado"),"no pagado")</f>
        <v>pagado</v>
      </c>
      <c r="J937" s="41" t="str">
        <f t="shared" si="456"/>
        <v>pagado</v>
      </c>
      <c r="K937" s="40" t="str">
        <f t="shared" ca="1" si="457"/>
        <v>excluir</v>
      </c>
      <c r="L937" s="40" t="str">
        <f t="shared" ca="1" si="458"/>
        <v>no semana</v>
      </c>
      <c r="M937" s="40" t="str">
        <f>IFERROR(VLOOKUP(E937,'cheques a conf'!A:D,4,FALSE),"no clearing")</f>
        <v>no clearing</v>
      </c>
      <c r="N937" s="40">
        <f t="shared" si="459"/>
        <v>33</v>
      </c>
      <c r="O937" s="42">
        <f t="shared" si="460"/>
        <v>8</v>
      </c>
      <c r="P937" s="42">
        <f t="shared" si="461"/>
        <v>2025</v>
      </c>
    </row>
    <row r="938" spans="1:16" x14ac:dyDescent="0.25">
      <c r="A938">
        <v>3000004630</v>
      </c>
      <c r="B938" s="3">
        <v>45881</v>
      </c>
      <c r="C938" s="4">
        <v>7049695.46</v>
      </c>
      <c r="D938" t="s">
        <v>90</v>
      </c>
      <c r="E938">
        <v>1750</v>
      </c>
      <c r="F938" s="4">
        <v>7049695.46</v>
      </c>
      <c r="G938" s="3">
        <v>45883</v>
      </c>
      <c r="H938" t="s">
        <v>32</v>
      </c>
      <c r="I938" s="40" t="str">
        <f>IFERROR(IF(VLOOKUP(E938,extracto!C:C,1,FALSE)=E938,"pagado","no pagado"),"no pagado")</f>
        <v>pagado</v>
      </c>
      <c r="J938" s="41" t="str">
        <f t="shared" si="456"/>
        <v>pagado</v>
      </c>
      <c r="K938" s="40" t="str">
        <f t="shared" ca="1" si="457"/>
        <v>excluir</v>
      </c>
      <c r="L938" s="40" t="str">
        <f t="shared" ca="1" si="458"/>
        <v>no semana</v>
      </c>
      <c r="M938" s="40" t="str">
        <f>IFERROR(VLOOKUP(E938,'cheques a conf'!A:D,4,FALSE),"no clearing")</f>
        <v>no clearing</v>
      </c>
      <c r="N938" s="40">
        <f t="shared" si="459"/>
        <v>33</v>
      </c>
      <c r="O938" s="42">
        <f t="shared" si="460"/>
        <v>8</v>
      </c>
      <c r="P938" s="42">
        <f t="shared" si="461"/>
        <v>2025</v>
      </c>
    </row>
    <row r="939" spans="1:16" x14ac:dyDescent="0.25">
      <c r="A939">
        <v>3000004631</v>
      </c>
      <c r="B939" s="3">
        <v>45881</v>
      </c>
      <c r="C939" s="4">
        <v>3946929</v>
      </c>
      <c r="D939" t="s">
        <v>750</v>
      </c>
      <c r="E939">
        <v>1751</v>
      </c>
      <c r="F939" s="4">
        <v>3946929</v>
      </c>
      <c r="G939" s="3">
        <v>45883</v>
      </c>
      <c r="H939" t="s">
        <v>32</v>
      </c>
      <c r="I939" s="40" t="str">
        <f>IFERROR(IF(VLOOKUP(E939,extracto!C:C,1,FALSE)=E939,"pagado","no pagado"),"no pagado")</f>
        <v>pagado</v>
      </c>
      <c r="J939" s="41" t="str">
        <f t="shared" si="456"/>
        <v>pagado</v>
      </c>
      <c r="K939" s="40" t="str">
        <f t="shared" ca="1" si="457"/>
        <v>excluir</v>
      </c>
      <c r="L939" s="40" t="str">
        <f t="shared" ca="1" si="458"/>
        <v>no semana</v>
      </c>
      <c r="M939" s="40" t="str">
        <f>IFERROR(VLOOKUP(E939,'cheques a conf'!A:D,4,FALSE),"no clearing")</f>
        <v>no clearing</v>
      </c>
      <c r="N939" s="40">
        <f t="shared" si="459"/>
        <v>33</v>
      </c>
      <c r="O939" s="42">
        <f t="shared" si="460"/>
        <v>8</v>
      </c>
      <c r="P939" s="42">
        <f t="shared" si="461"/>
        <v>2025</v>
      </c>
    </row>
    <row r="940" spans="1:16" x14ac:dyDescent="0.25">
      <c r="A940">
        <v>3000004632</v>
      </c>
      <c r="B940" s="3">
        <v>45881</v>
      </c>
      <c r="C940" s="4">
        <v>4104639.91</v>
      </c>
      <c r="D940" t="s">
        <v>751</v>
      </c>
      <c r="E940">
        <v>1752</v>
      </c>
      <c r="F940" s="4">
        <v>4104639.91</v>
      </c>
      <c r="G940" s="3">
        <v>45883</v>
      </c>
      <c r="H940" t="s">
        <v>32</v>
      </c>
      <c r="I940" s="40" t="str">
        <f>IFERROR(IF(VLOOKUP(E940,extracto!C:C,1,FALSE)=E940,"pagado","no pagado"),"no pagado")</f>
        <v>pagado</v>
      </c>
      <c r="J940" s="41" t="str">
        <f t="shared" si="456"/>
        <v>pagado</v>
      </c>
      <c r="K940" s="40" t="str">
        <f t="shared" ca="1" si="457"/>
        <v>excluir</v>
      </c>
      <c r="L940" s="40" t="str">
        <f t="shared" ca="1" si="458"/>
        <v>no semana</v>
      </c>
      <c r="M940" s="40" t="str">
        <f>IFERROR(VLOOKUP(E940,'cheques a conf'!A:D,4,FALSE),"no clearing")</f>
        <v>no clearing</v>
      </c>
      <c r="N940" s="40">
        <f t="shared" si="459"/>
        <v>33</v>
      </c>
      <c r="O940" s="42">
        <f t="shared" si="460"/>
        <v>8</v>
      </c>
      <c r="P940" s="42">
        <f t="shared" si="461"/>
        <v>2025</v>
      </c>
    </row>
    <row r="941" spans="1:16" x14ac:dyDescent="0.25">
      <c r="A941">
        <v>3000004634</v>
      </c>
      <c r="B941" s="3">
        <v>45881</v>
      </c>
      <c r="C941" s="4">
        <v>6624227</v>
      </c>
      <c r="D941" t="s">
        <v>71</v>
      </c>
      <c r="E941">
        <v>1757</v>
      </c>
      <c r="F941" s="4">
        <v>6624227</v>
      </c>
      <c r="G941" s="3">
        <v>45883</v>
      </c>
      <c r="H941" t="s">
        <v>32</v>
      </c>
      <c r="I941" s="40" t="str">
        <f>IFERROR(IF(VLOOKUP(E941,extracto!C:C,1,FALSE)=E941,"pagado","no pagado"),"no pagado")</f>
        <v>pagado</v>
      </c>
      <c r="J941" s="41" t="str">
        <f t="shared" si="456"/>
        <v>pagado</v>
      </c>
      <c r="K941" s="40" t="str">
        <f t="shared" ca="1" si="457"/>
        <v>excluir</v>
      </c>
      <c r="L941" s="40" t="str">
        <f t="shared" ca="1" si="458"/>
        <v>no semana</v>
      </c>
      <c r="M941" s="40" t="str">
        <f>IFERROR(VLOOKUP(E941,'cheques a conf'!A:D,4,FALSE),"no clearing")</f>
        <v>no clearing</v>
      </c>
      <c r="N941" s="40">
        <f t="shared" si="459"/>
        <v>33</v>
      </c>
      <c r="O941" s="42">
        <f t="shared" si="460"/>
        <v>8</v>
      </c>
      <c r="P941" s="42">
        <f t="shared" si="461"/>
        <v>2025</v>
      </c>
    </row>
    <row r="942" spans="1:16" x14ac:dyDescent="0.25">
      <c r="A942">
        <v>3000004636</v>
      </c>
      <c r="B942" s="3">
        <v>45881</v>
      </c>
      <c r="C942" s="4">
        <v>14426000.24</v>
      </c>
      <c r="D942" t="s">
        <v>640</v>
      </c>
      <c r="E942">
        <v>1760</v>
      </c>
      <c r="F942" s="4">
        <v>14426000.24</v>
      </c>
      <c r="G942" s="3">
        <v>45883</v>
      </c>
      <c r="H942" t="s">
        <v>32</v>
      </c>
      <c r="I942" s="40" t="str">
        <f>IFERROR(IF(VLOOKUP(E942,extracto!C:C,1,FALSE)=E942,"pagado","no pagado"),"no pagado")</f>
        <v>pagado</v>
      </c>
      <c r="J942" s="41" t="str">
        <f t="shared" si="456"/>
        <v>pagado</v>
      </c>
      <c r="K942" s="40" t="str">
        <f t="shared" ca="1" si="457"/>
        <v>excluir</v>
      </c>
      <c r="L942" s="40" t="str">
        <f t="shared" ca="1" si="458"/>
        <v>no semana</v>
      </c>
      <c r="M942" s="40" t="str">
        <f>IFERROR(VLOOKUP(E942,'cheques a conf'!A:D,4,FALSE),"no clearing")</f>
        <v>no clearing</v>
      </c>
      <c r="N942" s="40">
        <f t="shared" si="459"/>
        <v>33</v>
      </c>
      <c r="O942" s="42">
        <f t="shared" si="460"/>
        <v>8</v>
      </c>
      <c r="P942" s="42">
        <f t="shared" si="461"/>
        <v>2025</v>
      </c>
    </row>
    <row r="943" spans="1:16" x14ac:dyDescent="0.25">
      <c r="A943">
        <v>3000004637</v>
      </c>
      <c r="B943" s="3">
        <v>45881</v>
      </c>
      <c r="C943" s="4">
        <v>5662656.8099999996</v>
      </c>
      <c r="D943" t="s">
        <v>691</v>
      </c>
      <c r="E943">
        <v>1761</v>
      </c>
      <c r="F943" s="4">
        <v>5662656.8099999996</v>
      </c>
      <c r="G943" s="3">
        <v>45883</v>
      </c>
      <c r="H943" t="s">
        <v>32</v>
      </c>
      <c r="I943" s="40" t="str">
        <f>IFERROR(IF(VLOOKUP(E943,extracto!C:C,1,FALSE)=E943,"pagado","no pagado"),"no pagado")</f>
        <v>pagado</v>
      </c>
      <c r="J943" s="41" t="str">
        <f t="shared" si="456"/>
        <v>pagado</v>
      </c>
      <c r="K943" s="40" t="str">
        <f t="shared" ca="1" si="457"/>
        <v>excluir</v>
      </c>
      <c r="L943" s="40" t="str">
        <f t="shared" ca="1" si="458"/>
        <v>no semana</v>
      </c>
      <c r="M943" s="40" t="str">
        <f>IFERROR(VLOOKUP(E943,'cheques a conf'!A:D,4,FALSE),"no clearing")</f>
        <v>no clearing</v>
      </c>
      <c r="N943" s="40">
        <f t="shared" si="459"/>
        <v>33</v>
      </c>
      <c r="O943" s="42">
        <f t="shared" si="460"/>
        <v>8</v>
      </c>
      <c r="P943" s="42">
        <f t="shared" si="461"/>
        <v>2025</v>
      </c>
    </row>
    <row r="944" spans="1:16" x14ac:dyDescent="0.25">
      <c r="A944">
        <v>3000004638</v>
      </c>
      <c r="B944" s="3">
        <v>45881</v>
      </c>
      <c r="C944" s="4">
        <v>8426925.8499999996</v>
      </c>
      <c r="D944" t="s">
        <v>31</v>
      </c>
      <c r="E944">
        <v>1762</v>
      </c>
      <c r="F944" s="4">
        <v>8426925.8499999996</v>
      </c>
      <c r="G944" s="3">
        <v>45883</v>
      </c>
      <c r="H944" t="s">
        <v>32</v>
      </c>
      <c r="I944" s="40" t="str">
        <f>IFERROR(IF(VLOOKUP(E944,extracto!C:C,1,FALSE)=E944,"pagado","no pagado"),"no pagado")</f>
        <v>pagado</v>
      </c>
      <c r="J944" s="41" t="str">
        <f t="shared" si="456"/>
        <v>pagado</v>
      </c>
      <c r="K944" s="40" t="str">
        <f t="shared" ca="1" si="457"/>
        <v>excluir</v>
      </c>
      <c r="L944" s="40" t="str">
        <f t="shared" ca="1" si="458"/>
        <v>no semana</v>
      </c>
      <c r="M944" s="40" t="str">
        <f>IFERROR(VLOOKUP(E944,'cheques a conf'!A:D,4,FALSE),"no clearing")</f>
        <v>no clearing</v>
      </c>
      <c r="N944" s="40">
        <f t="shared" si="459"/>
        <v>33</v>
      </c>
      <c r="O944" s="42">
        <f t="shared" si="460"/>
        <v>8</v>
      </c>
      <c r="P944" s="42">
        <f t="shared" si="461"/>
        <v>2025</v>
      </c>
    </row>
    <row r="945" spans="1:16" x14ac:dyDescent="0.25">
      <c r="A945">
        <v>3000004639</v>
      </c>
      <c r="B945" s="3">
        <v>45881</v>
      </c>
      <c r="C945" s="4">
        <v>5062829.5</v>
      </c>
      <c r="D945" t="s">
        <v>669</v>
      </c>
      <c r="E945">
        <v>1763</v>
      </c>
      <c r="F945" s="4">
        <v>5062829.5</v>
      </c>
      <c r="G945" s="3">
        <v>45883</v>
      </c>
      <c r="H945" t="s">
        <v>32</v>
      </c>
      <c r="I945" s="40" t="str">
        <f>IFERROR(IF(VLOOKUP(E945,extracto!C:C,1,FALSE)=E945,"pagado","no pagado"),"no pagado")</f>
        <v>pagado</v>
      </c>
      <c r="J945" s="41" t="str">
        <f t="shared" si="456"/>
        <v>pagado</v>
      </c>
      <c r="K945" s="40" t="str">
        <f t="shared" ca="1" si="457"/>
        <v>excluir</v>
      </c>
      <c r="L945" s="40" t="str">
        <f t="shared" ca="1" si="458"/>
        <v>no semana</v>
      </c>
      <c r="M945" s="40" t="str">
        <f>IFERROR(VLOOKUP(E945,'cheques a conf'!A:D,4,FALSE),"no clearing")</f>
        <v>no clearing</v>
      </c>
      <c r="N945" s="40">
        <f t="shared" si="459"/>
        <v>33</v>
      </c>
      <c r="O945" s="42">
        <f t="shared" si="460"/>
        <v>8</v>
      </c>
      <c r="P945" s="42">
        <f t="shared" si="461"/>
        <v>2025</v>
      </c>
    </row>
    <row r="946" spans="1:16" x14ac:dyDescent="0.25">
      <c r="A946" s="21">
        <v>3000004701</v>
      </c>
      <c r="B946" s="22">
        <v>45882</v>
      </c>
      <c r="C946" s="20">
        <v>46240760</v>
      </c>
      <c r="D946" s="21" t="s">
        <v>25</v>
      </c>
      <c r="E946" s="21">
        <v>40272970</v>
      </c>
      <c r="F946" s="20">
        <v>46240760</v>
      </c>
      <c r="G946" s="22">
        <v>45887</v>
      </c>
      <c r="H946" t="s">
        <v>79</v>
      </c>
      <c r="I946" s="40" t="str">
        <f>IFERROR(IF(VLOOKUP(E946,extracto!C:C,1,FALSE)=E946,"pagado","no pagado"),"no pagado")</f>
        <v>pagado</v>
      </c>
      <c r="J946" s="41" t="str">
        <f t="shared" si="456"/>
        <v>pagado</v>
      </c>
      <c r="K946" s="40" t="str">
        <f t="shared" ca="1" si="457"/>
        <v>excluir</v>
      </c>
      <c r="L946" s="40" t="str">
        <f t="shared" ca="1" si="458"/>
        <v>no semana</v>
      </c>
      <c r="M946" s="40" t="str">
        <f>IFERROR(VLOOKUP(E946,'cheques a conf'!A:D,4,FALSE),"no clearing")</f>
        <v>no clearing</v>
      </c>
      <c r="N946" s="40">
        <f t="shared" si="459"/>
        <v>34</v>
      </c>
      <c r="O946" s="42">
        <f t="shared" si="460"/>
        <v>8</v>
      </c>
      <c r="P946" s="42">
        <f t="shared" si="461"/>
        <v>2025</v>
      </c>
    </row>
    <row r="947" spans="1:16" x14ac:dyDescent="0.25">
      <c r="A947" s="21">
        <v>3000004702</v>
      </c>
      <c r="B947" s="22">
        <v>45882</v>
      </c>
      <c r="C947" s="20">
        <v>8344187.6699999999</v>
      </c>
      <c r="D947" s="21" t="s">
        <v>724</v>
      </c>
      <c r="E947" s="21">
        <v>91002438</v>
      </c>
      <c r="F947" s="20">
        <v>8344187.6699999999</v>
      </c>
      <c r="G947" s="22">
        <v>45888</v>
      </c>
      <c r="H947" t="s">
        <v>79</v>
      </c>
      <c r="I947" s="40" t="str">
        <f>IFERROR(IF(VLOOKUP(E947,extracto!C:C,1,FALSE)=E947,"pagado","no pagado"),"no pagado")</f>
        <v>pagado</v>
      </c>
      <c r="J947" s="41" t="str">
        <f t="shared" si="456"/>
        <v>pagado</v>
      </c>
      <c r="K947" s="40" t="str">
        <f t="shared" ca="1" si="457"/>
        <v>excluir</v>
      </c>
      <c r="L947" s="40" t="str">
        <f t="shared" ca="1" si="458"/>
        <v>no semana</v>
      </c>
      <c r="M947" s="40" t="str">
        <f>IFERROR(VLOOKUP(E947,'cheques a conf'!A:D,4,FALSE),"no clearing")</f>
        <v>no clearing</v>
      </c>
      <c r="N947" s="40">
        <f t="shared" si="459"/>
        <v>34</v>
      </c>
      <c r="O947" s="42">
        <f t="shared" si="460"/>
        <v>8</v>
      </c>
      <c r="P947" s="42">
        <f t="shared" si="461"/>
        <v>2025</v>
      </c>
    </row>
    <row r="948" spans="1:16" x14ac:dyDescent="0.25">
      <c r="A948" s="21">
        <v>3000004703</v>
      </c>
      <c r="B948" s="22">
        <v>45882</v>
      </c>
      <c r="C948" s="20">
        <v>3573850.16</v>
      </c>
      <c r="D948" s="21" t="s">
        <v>730</v>
      </c>
      <c r="E948" s="21">
        <v>91002439</v>
      </c>
      <c r="F948" s="20">
        <v>3573850.16</v>
      </c>
      <c r="G948" s="22">
        <v>45888</v>
      </c>
      <c r="H948" t="s">
        <v>79</v>
      </c>
      <c r="I948" s="40" t="str">
        <f>IFERROR(IF(VLOOKUP(E948,extracto!C:C,1,FALSE)=E948,"pagado","no pagado"),"no pagado")</f>
        <v>pagado</v>
      </c>
      <c r="J948" s="41" t="str">
        <f t="shared" si="456"/>
        <v>pagado</v>
      </c>
      <c r="K948" s="40" t="str">
        <f t="shared" ca="1" si="457"/>
        <v>excluir</v>
      </c>
      <c r="L948" s="40" t="str">
        <f t="shared" ca="1" si="458"/>
        <v>no semana</v>
      </c>
      <c r="M948" s="40" t="str">
        <f>IFERROR(VLOOKUP(E948,'cheques a conf'!A:D,4,FALSE),"no clearing")</f>
        <v>no clearing</v>
      </c>
      <c r="N948" s="40">
        <f t="shared" si="459"/>
        <v>34</v>
      </c>
      <c r="O948" s="42">
        <f t="shared" si="460"/>
        <v>8</v>
      </c>
      <c r="P948" s="42">
        <f t="shared" si="461"/>
        <v>2025</v>
      </c>
    </row>
    <row r="949" spans="1:16" x14ac:dyDescent="0.25">
      <c r="A949" s="21">
        <v>3000004704</v>
      </c>
      <c r="B949" s="22">
        <v>45882</v>
      </c>
      <c r="C949" s="20">
        <v>11077878.75</v>
      </c>
      <c r="D949" s="21" t="s">
        <v>593</v>
      </c>
      <c r="E949" s="21">
        <v>91002440</v>
      </c>
      <c r="F949" s="20">
        <v>11077878.75</v>
      </c>
      <c r="G949" s="22">
        <v>45888</v>
      </c>
      <c r="H949" t="s">
        <v>79</v>
      </c>
      <c r="I949" s="40" t="str">
        <f>IFERROR(IF(VLOOKUP(E949,extracto!C:C,1,FALSE)=E949,"pagado","no pagado"),"no pagado")</f>
        <v>pagado</v>
      </c>
      <c r="J949" s="41" t="str">
        <f t="shared" ref="J949:J1012" si="462">IF(I949="pagado","pagado",IF(G949&lt;$V$1-30,"fuera de fecha","en periodo de pago"))</f>
        <v>pagado</v>
      </c>
      <c r="K949" s="40" t="str">
        <f t="shared" ref="K949:K1012" ca="1" si="463">+IF(B949&gt;$V$1,"excluir",IF(J949="en periodo de pago",IF($V$1&gt;G949,"a pagar","proximo a vencer"),"excluir"))</f>
        <v>excluir</v>
      </c>
      <c r="L949" s="40" t="str">
        <f t="shared" ref="L949:L1012" ca="1" si="464">+IF(K949="proximo a vencer",IF($V$1+5&gt;G949,"para la semana","no semana"),"no semana")</f>
        <v>no semana</v>
      </c>
      <c r="M949" s="40" t="str">
        <f>IFERROR(VLOOKUP(E949,'cheques a conf'!A:D,4,FALSE),"no clearing")</f>
        <v>no clearing</v>
      </c>
      <c r="N949" s="40">
        <f t="shared" ref="N949:N1012" si="465">+WEEKNUM(G949,2)</f>
        <v>34</v>
      </c>
      <c r="O949" s="42">
        <f t="shared" ref="O949:O1012" si="466">+MONTH(G949)</f>
        <v>8</v>
      </c>
      <c r="P949" s="42">
        <f t="shared" ref="P949:P1012" si="467">+YEAR(G949)</f>
        <v>2025</v>
      </c>
    </row>
    <row r="950" spans="1:16" x14ac:dyDescent="0.25">
      <c r="A950" s="21">
        <v>3000004705</v>
      </c>
      <c r="B950" s="22">
        <v>45882</v>
      </c>
      <c r="C950" s="20">
        <v>6389914.7400000002</v>
      </c>
      <c r="D950" s="21" t="s">
        <v>612</v>
      </c>
      <c r="E950" s="21">
        <v>91002441</v>
      </c>
      <c r="F950" s="20">
        <v>6389914.7400000002</v>
      </c>
      <c r="G950" s="22">
        <v>45888</v>
      </c>
      <c r="H950" t="s">
        <v>79</v>
      </c>
      <c r="I950" s="40" t="str">
        <f>IFERROR(IF(VLOOKUP(E950,extracto!C:C,1,FALSE)=E950,"pagado","no pagado"),"no pagado")</f>
        <v>pagado</v>
      </c>
      <c r="J950" s="41" t="str">
        <f t="shared" si="462"/>
        <v>pagado</v>
      </c>
      <c r="K950" s="40" t="str">
        <f t="shared" ca="1" si="463"/>
        <v>excluir</v>
      </c>
      <c r="L950" s="40" t="str">
        <f t="shared" ca="1" si="464"/>
        <v>no semana</v>
      </c>
      <c r="M950" s="40" t="str">
        <f>IFERROR(VLOOKUP(E950,'cheques a conf'!A:D,4,FALSE),"no clearing")</f>
        <v>no clearing</v>
      </c>
      <c r="N950" s="40">
        <f t="shared" si="465"/>
        <v>34</v>
      </c>
      <c r="O950" s="42">
        <f t="shared" si="466"/>
        <v>8</v>
      </c>
      <c r="P950" s="42">
        <f t="shared" si="467"/>
        <v>2025</v>
      </c>
    </row>
    <row r="951" spans="1:16" x14ac:dyDescent="0.25">
      <c r="A951" s="21">
        <v>3000004706</v>
      </c>
      <c r="B951" s="22">
        <v>45882</v>
      </c>
      <c r="C951" s="20">
        <v>14863126.57</v>
      </c>
      <c r="D951" s="21" t="s">
        <v>642</v>
      </c>
      <c r="E951" s="21">
        <v>91002442</v>
      </c>
      <c r="F951" s="20">
        <v>14863126.57</v>
      </c>
      <c r="G951" s="22">
        <v>45888</v>
      </c>
      <c r="H951" t="s">
        <v>79</v>
      </c>
      <c r="I951" s="40" t="str">
        <f>IFERROR(IF(VLOOKUP(E951,extracto!C:C,1,FALSE)=E951,"pagado","no pagado"),"no pagado")</f>
        <v>pagado</v>
      </c>
      <c r="J951" s="41" t="str">
        <f t="shared" si="462"/>
        <v>pagado</v>
      </c>
      <c r="K951" s="40" t="str">
        <f t="shared" ca="1" si="463"/>
        <v>excluir</v>
      </c>
      <c r="L951" s="40" t="str">
        <f t="shared" ca="1" si="464"/>
        <v>no semana</v>
      </c>
      <c r="M951" s="40" t="str">
        <f>IFERROR(VLOOKUP(E951,'cheques a conf'!A:D,4,FALSE),"no clearing")</f>
        <v>no clearing</v>
      </c>
      <c r="N951" s="40">
        <f t="shared" si="465"/>
        <v>34</v>
      </c>
      <c r="O951" s="42">
        <f t="shared" si="466"/>
        <v>8</v>
      </c>
      <c r="P951" s="42">
        <f t="shared" si="467"/>
        <v>2025</v>
      </c>
    </row>
    <row r="952" spans="1:16" x14ac:dyDescent="0.25">
      <c r="A952" s="21">
        <v>3000004707</v>
      </c>
      <c r="B952" s="22">
        <v>45882</v>
      </c>
      <c r="C952" s="20">
        <v>14783241.43</v>
      </c>
      <c r="D952" s="21" t="s">
        <v>619</v>
      </c>
      <c r="E952" s="21">
        <v>91002443</v>
      </c>
      <c r="F952" s="20">
        <v>14783241.43</v>
      </c>
      <c r="G952" s="22">
        <v>45888</v>
      </c>
      <c r="H952" t="s">
        <v>79</v>
      </c>
      <c r="I952" s="40" t="str">
        <f>IFERROR(IF(VLOOKUP(E952,extracto!C:C,1,FALSE)=E952,"pagado","no pagado"),"no pagado")</f>
        <v>pagado</v>
      </c>
      <c r="J952" s="41" t="str">
        <f t="shared" si="462"/>
        <v>pagado</v>
      </c>
      <c r="K952" s="40" t="str">
        <f t="shared" ca="1" si="463"/>
        <v>excluir</v>
      </c>
      <c r="L952" s="40" t="str">
        <f t="shared" ca="1" si="464"/>
        <v>no semana</v>
      </c>
      <c r="M952" s="40" t="str">
        <f>IFERROR(VLOOKUP(E952,'cheques a conf'!A:D,4,FALSE),"no clearing")</f>
        <v>no clearing</v>
      </c>
      <c r="N952" s="40">
        <f t="shared" si="465"/>
        <v>34</v>
      </c>
      <c r="O952" s="42">
        <f t="shared" si="466"/>
        <v>8</v>
      </c>
      <c r="P952" s="42">
        <f t="shared" si="467"/>
        <v>2025</v>
      </c>
    </row>
    <row r="953" spans="1:16" x14ac:dyDescent="0.25">
      <c r="A953" s="21">
        <v>3000004708</v>
      </c>
      <c r="B953" s="22">
        <v>45882</v>
      </c>
      <c r="C953" s="20">
        <v>24000000</v>
      </c>
      <c r="D953" s="21" t="s">
        <v>613</v>
      </c>
      <c r="E953" s="21">
        <v>91002444</v>
      </c>
      <c r="F953" s="20">
        <v>24000000</v>
      </c>
      <c r="G953" s="22">
        <v>45888</v>
      </c>
      <c r="H953" t="s">
        <v>79</v>
      </c>
      <c r="I953" s="40" t="str">
        <f>IFERROR(IF(VLOOKUP(E953,extracto!C:C,1,FALSE)=E953,"pagado","no pagado"),"no pagado")</f>
        <v>pagado</v>
      </c>
      <c r="J953" s="41" t="str">
        <f t="shared" si="462"/>
        <v>pagado</v>
      </c>
      <c r="K953" s="40" t="str">
        <f t="shared" ca="1" si="463"/>
        <v>excluir</v>
      </c>
      <c r="L953" s="40" t="str">
        <f t="shared" ca="1" si="464"/>
        <v>no semana</v>
      </c>
      <c r="M953" s="40" t="str">
        <f>IFERROR(VLOOKUP(E953,'cheques a conf'!A:D,4,FALSE),"no clearing")</f>
        <v>no clearing</v>
      </c>
      <c r="N953" s="40">
        <f t="shared" si="465"/>
        <v>34</v>
      </c>
      <c r="O953" s="42">
        <f t="shared" si="466"/>
        <v>8</v>
      </c>
      <c r="P953" s="42">
        <f t="shared" si="467"/>
        <v>2025</v>
      </c>
    </row>
    <row r="954" spans="1:16" x14ac:dyDescent="0.25">
      <c r="A954" s="21">
        <v>3000004708</v>
      </c>
      <c r="B954" s="22">
        <v>45882</v>
      </c>
      <c r="C954" s="20">
        <v>20791336.559999999</v>
      </c>
      <c r="D954" s="21" t="s">
        <v>613</v>
      </c>
      <c r="E954" s="21">
        <v>91002445</v>
      </c>
      <c r="F954" s="20">
        <v>20791336.559999999</v>
      </c>
      <c r="G954" s="22">
        <v>45889</v>
      </c>
      <c r="H954" t="s">
        <v>79</v>
      </c>
      <c r="I954" s="40" t="str">
        <f>IFERROR(IF(VLOOKUP(E954,extracto!C:C,1,FALSE)=E954,"pagado","no pagado"),"no pagado")</f>
        <v>pagado</v>
      </c>
      <c r="J954" s="41" t="str">
        <f t="shared" si="462"/>
        <v>pagado</v>
      </c>
      <c r="K954" s="40" t="str">
        <f t="shared" ca="1" si="463"/>
        <v>excluir</v>
      </c>
      <c r="L954" s="40" t="str">
        <f t="shared" ca="1" si="464"/>
        <v>no semana</v>
      </c>
      <c r="M954" s="40" t="str">
        <f>IFERROR(VLOOKUP(E954,'cheques a conf'!A:D,4,FALSE),"no clearing")</f>
        <v>no clearing</v>
      </c>
      <c r="N954" s="40">
        <f t="shared" si="465"/>
        <v>34</v>
      </c>
      <c r="O954" s="42">
        <f t="shared" si="466"/>
        <v>8</v>
      </c>
      <c r="P954" s="42">
        <f t="shared" si="467"/>
        <v>2025</v>
      </c>
    </row>
    <row r="955" spans="1:16" x14ac:dyDescent="0.25">
      <c r="A955" s="21">
        <v>3000004709</v>
      </c>
      <c r="B955" s="22">
        <v>45882</v>
      </c>
      <c r="C955" s="20">
        <v>6716918.2800000003</v>
      </c>
      <c r="D955" s="21" t="s">
        <v>667</v>
      </c>
      <c r="E955" s="21">
        <v>91002446</v>
      </c>
      <c r="F955" s="20">
        <v>6716918.2800000003</v>
      </c>
      <c r="G955" s="22">
        <v>45888</v>
      </c>
      <c r="H955" t="s">
        <v>79</v>
      </c>
      <c r="I955" s="40" t="str">
        <f>IFERROR(IF(VLOOKUP(E955,extracto!C:C,1,FALSE)=E955,"pagado","no pagado"),"no pagado")</f>
        <v>pagado</v>
      </c>
      <c r="J955" s="41" t="str">
        <f t="shared" si="462"/>
        <v>pagado</v>
      </c>
      <c r="K955" s="40" t="str">
        <f t="shared" ca="1" si="463"/>
        <v>excluir</v>
      </c>
      <c r="L955" s="40" t="str">
        <f t="shared" ca="1" si="464"/>
        <v>no semana</v>
      </c>
      <c r="M955" s="40" t="str">
        <f>IFERROR(VLOOKUP(E955,'cheques a conf'!A:D,4,FALSE),"no clearing")</f>
        <v>no clearing</v>
      </c>
      <c r="N955" s="40">
        <f t="shared" si="465"/>
        <v>34</v>
      </c>
      <c r="O955" s="42">
        <f t="shared" si="466"/>
        <v>8</v>
      </c>
      <c r="P955" s="42">
        <f t="shared" si="467"/>
        <v>2025</v>
      </c>
    </row>
    <row r="956" spans="1:16" x14ac:dyDescent="0.25">
      <c r="A956" s="21">
        <v>3000004710</v>
      </c>
      <c r="B956" s="22">
        <v>45882</v>
      </c>
      <c r="C956" s="20">
        <v>13791313.82</v>
      </c>
      <c r="D956" s="21" t="s">
        <v>652</v>
      </c>
      <c r="E956" s="21">
        <v>91002447</v>
      </c>
      <c r="F956" s="20">
        <v>13791313.82</v>
      </c>
      <c r="G956" s="22">
        <v>45888</v>
      </c>
      <c r="H956" t="s">
        <v>79</v>
      </c>
      <c r="I956" s="40" t="str">
        <f>IFERROR(IF(VLOOKUP(E956,extracto!C:C,1,FALSE)=E956,"pagado","no pagado"),"no pagado")</f>
        <v>pagado</v>
      </c>
      <c r="J956" s="41" t="str">
        <f t="shared" si="462"/>
        <v>pagado</v>
      </c>
      <c r="K956" s="40" t="str">
        <f t="shared" ca="1" si="463"/>
        <v>excluir</v>
      </c>
      <c r="L956" s="40" t="str">
        <f t="shared" ca="1" si="464"/>
        <v>no semana</v>
      </c>
      <c r="M956" s="40" t="str">
        <f>IFERROR(VLOOKUP(E956,'cheques a conf'!A:D,4,FALSE),"no clearing")</f>
        <v>no clearing</v>
      </c>
      <c r="N956" s="40">
        <f t="shared" si="465"/>
        <v>34</v>
      </c>
      <c r="O956" s="42">
        <f t="shared" si="466"/>
        <v>8</v>
      </c>
      <c r="P956" s="42">
        <f t="shared" si="467"/>
        <v>2025</v>
      </c>
    </row>
    <row r="957" spans="1:16" x14ac:dyDescent="0.25">
      <c r="A957" s="21">
        <v>3000004711</v>
      </c>
      <c r="B957" s="22">
        <v>45882</v>
      </c>
      <c r="C957" s="20">
        <v>6672488.6699999999</v>
      </c>
      <c r="D957" s="21" t="s">
        <v>717</v>
      </c>
      <c r="E957" s="21">
        <v>91002448</v>
      </c>
      <c r="F957" s="20">
        <v>6672488.6699999999</v>
      </c>
      <c r="G957" s="22">
        <v>45888</v>
      </c>
      <c r="H957" t="s">
        <v>79</v>
      </c>
      <c r="I957" s="40" t="str">
        <f>IFERROR(IF(VLOOKUP(E957,extracto!C:C,1,FALSE)=E957,"pagado","no pagado"),"no pagado")</f>
        <v>pagado</v>
      </c>
      <c r="J957" s="41" t="str">
        <f t="shared" si="462"/>
        <v>pagado</v>
      </c>
      <c r="K957" s="40" t="str">
        <f t="shared" ca="1" si="463"/>
        <v>excluir</v>
      </c>
      <c r="L957" s="40" t="str">
        <f t="shared" ca="1" si="464"/>
        <v>no semana</v>
      </c>
      <c r="M957" s="40" t="str">
        <f>IFERROR(VLOOKUP(E957,'cheques a conf'!A:D,4,FALSE),"no clearing")</f>
        <v>no clearing</v>
      </c>
      <c r="N957" s="40">
        <f t="shared" si="465"/>
        <v>34</v>
      </c>
      <c r="O957" s="42">
        <f t="shared" si="466"/>
        <v>8</v>
      </c>
      <c r="P957" s="42">
        <f t="shared" si="467"/>
        <v>2025</v>
      </c>
    </row>
    <row r="958" spans="1:16" x14ac:dyDescent="0.25">
      <c r="A958" s="21">
        <v>3000004712</v>
      </c>
      <c r="B958" s="22">
        <v>45882</v>
      </c>
      <c r="C958" s="20">
        <v>6805702.7400000002</v>
      </c>
      <c r="D958" s="21" t="s">
        <v>662</v>
      </c>
      <c r="E958" s="21">
        <v>91002449</v>
      </c>
      <c r="F958" s="20">
        <v>6805702.7400000002</v>
      </c>
      <c r="G958" s="22">
        <v>45888</v>
      </c>
      <c r="H958" t="s">
        <v>79</v>
      </c>
      <c r="I958" s="40" t="str">
        <f>IFERROR(IF(VLOOKUP(E958,extracto!C:C,1,FALSE)=E958,"pagado","no pagado"),"no pagado")</f>
        <v>pagado</v>
      </c>
      <c r="J958" s="41" t="str">
        <f t="shared" si="462"/>
        <v>pagado</v>
      </c>
      <c r="K958" s="40" t="str">
        <f t="shared" ca="1" si="463"/>
        <v>excluir</v>
      </c>
      <c r="L958" s="40" t="str">
        <f t="shared" ca="1" si="464"/>
        <v>no semana</v>
      </c>
      <c r="M958" s="40" t="str">
        <f>IFERROR(VLOOKUP(E958,'cheques a conf'!A:D,4,FALSE),"no clearing")</f>
        <v>no clearing</v>
      </c>
      <c r="N958" s="40">
        <f t="shared" si="465"/>
        <v>34</v>
      </c>
      <c r="O958" s="42">
        <f t="shared" si="466"/>
        <v>8</v>
      </c>
      <c r="P958" s="42">
        <f t="shared" si="467"/>
        <v>2025</v>
      </c>
    </row>
    <row r="959" spans="1:16" x14ac:dyDescent="0.25">
      <c r="A959" s="21">
        <v>3000004835</v>
      </c>
      <c r="B959" s="22">
        <v>45889</v>
      </c>
      <c r="C959" s="20">
        <v>0</v>
      </c>
      <c r="D959" s="21" t="s">
        <v>162</v>
      </c>
      <c r="E959" s="21">
        <v>1769</v>
      </c>
      <c r="F959" s="20">
        <v>0</v>
      </c>
      <c r="G959" s="22">
        <v>45859</v>
      </c>
      <c r="H959" t="s">
        <v>32</v>
      </c>
      <c r="I959" s="40" t="str">
        <f>IFERROR(IF(VLOOKUP(E959,extracto!C:C,1,FALSE)=E959,"pagado","no pagado"),"no pagado")</f>
        <v>no pagado</v>
      </c>
      <c r="J959" s="41" t="str">
        <f t="shared" ca="1" si="462"/>
        <v>fuera de fecha</v>
      </c>
      <c r="K959" s="40" t="str">
        <f t="shared" ca="1" si="463"/>
        <v>excluir</v>
      </c>
      <c r="L959" s="40" t="str">
        <f t="shared" ca="1" si="464"/>
        <v>no semana</v>
      </c>
      <c r="M959" s="40" t="str">
        <f>IFERROR(VLOOKUP(E959,'cheques a conf'!A:D,4,FALSE),"no clearing")</f>
        <v>no clearing</v>
      </c>
      <c r="N959" s="40">
        <f t="shared" si="465"/>
        <v>30</v>
      </c>
      <c r="O959" s="42">
        <f t="shared" si="466"/>
        <v>7</v>
      </c>
      <c r="P959" s="42">
        <f t="shared" si="467"/>
        <v>2025</v>
      </c>
    </row>
    <row r="960" spans="1:16" x14ac:dyDescent="0.25">
      <c r="A960" s="21">
        <v>3000004834</v>
      </c>
      <c r="B960" s="22">
        <v>45889</v>
      </c>
      <c r="C960" s="20">
        <v>0</v>
      </c>
      <c r="D960" s="21" t="s">
        <v>162</v>
      </c>
      <c r="E960" s="21">
        <v>1768</v>
      </c>
      <c r="F960" s="20">
        <v>0</v>
      </c>
      <c r="G960" s="22">
        <v>45859</v>
      </c>
      <c r="H960" t="s">
        <v>32</v>
      </c>
      <c r="I960" s="40" t="str">
        <f>IFERROR(IF(VLOOKUP(E960,extracto!C:C,1,FALSE)=E960,"pagado","no pagado"),"no pagado")</f>
        <v>no pagado</v>
      </c>
      <c r="J960" s="41" t="str">
        <f t="shared" ca="1" si="462"/>
        <v>fuera de fecha</v>
      </c>
      <c r="K960" s="40" t="str">
        <f t="shared" ca="1" si="463"/>
        <v>excluir</v>
      </c>
      <c r="L960" s="40" t="str">
        <f t="shared" ca="1" si="464"/>
        <v>no semana</v>
      </c>
      <c r="M960" s="40" t="str">
        <f>IFERROR(VLOOKUP(E960,'cheques a conf'!A:D,4,FALSE),"no clearing")</f>
        <v>no clearing</v>
      </c>
      <c r="N960" s="40">
        <f t="shared" si="465"/>
        <v>30</v>
      </c>
      <c r="O960" s="42">
        <f t="shared" si="466"/>
        <v>7</v>
      </c>
      <c r="P960" s="42">
        <f t="shared" si="467"/>
        <v>2025</v>
      </c>
    </row>
    <row r="961" spans="1:16" x14ac:dyDescent="0.25">
      <c r="A961" s="21">
        <v>3000004836</v>
      </c>
      <c r="B961" s="22">
        <v>45889</v>
      </c>
      <c r="C961" s="20">
        <v>0</v>
      </c>
      <c r="D961" s="21" t="s">
        <v>162</v>
      </c>
      <c r="E961" s="21">
        <v>1770</v>
      </c>
      <c r="F961" s="20">
        <v>0</v>
      </c>
      <c r="G961" s="22">
        <v>45859</v>
      </c>
      <c r="H961" t="s">
        <v>32</v>
      </c>
      <c r="I961" s="40" t="str">
        <f>IFERROR(IF(VLOOKUP(E961,extracto!C:C,1,FALSE)=E961,"pagado","no pagado"),"no pagado")</f>
        <v>no pagado</v>
      </c>
      <c r="J961" s="41" t="str">
        <f t="shared" ca="1" si="462"/>
        <v>fuera de fecha</v>
      </c>
      <c r="K961" s="40" t="str">
        <f t="shared" ca="1" si="463"/>
        <v>excluir</v>
      </c>
      <c r="L961" s="40" t="str">
        <f t="shared" ca="1" si="464"/>
        <v>no semana</v>
      </c>
      <c r="M961" s="40" t="str">
        <f>IFERROR(VLOOKUP(E961,'cheques a conf'!A:D,4,FALSE),"no clearing")</f>
        <v>no clearing</v>
      </c>
      <c r="N961" s="40">
        <f t="shared" si="465"/>
        <v>30</v>
      </c>
      <c r="O961" s="42">
        <f t="shared" si="466"/>
        <v>7</v>
      </c>
      <c r="P961" s="42">
        <f t="shared" si="467"/>
        <v>2025</v>
      </c>
    </row>
    <row r="962" spans="1:16" x14ac:dyDescent="0.25">
      <c r="A962" s="21">
        <v>3000004837</v>
      </c>
      <c r="B962" s="22">
        <v>45889</v>
      </c>
      <c r="C962" s="20">
        <v>0</v>
      </c>
      <c r="D962" s="21" t="s">
        <v>162</v>
      </c>
      <c r="E962" s="21">
        <v>1771</v>
      </c>
      <c r="F962" s="20">
        <v>0</v>
      </c>
      <c r="G962" s="22">
        <v>45859</v>
      </c>
      <c r="H962" t="s">
        <v>32</v>
      </c>
      <c r="I962" s="40" t="str">
        <f>IFERROR(IF(VLOOKUP(E962,extracto!C:C,1,FALSE)=E962,"pagado","no pagado"),"no pagado")</f>
        <v>no pagado</v>
      </c>
      <c r="J962" s="41" t="str">
        <f t="shared" ca="1" si="462"/>
        <v>fuera de fecha</v>
      </c>
      <c r="K962" s="40" t="str">
        <f t="shared" ca="1" si="463"/>
        <v>excluir</v>
      </c>
      <c r="L962" s="40" t="str">
        <f t="shared" ca="1" si="464"/>
        <v>no semana</v>
      </c>
      <c r="M962" s="40" t="str">
        <f>IFERROR(VLOOKUP(E962,'cheques a conf'!A:D,4,FALSE),"no clearing")</f>
        <v>no clearing</v>
      </c>
      <c r="N962" s="40">
        <f t="shared" si="465"/>
        <v>30</v>
      </c>
      <c r="O962" s="42">
        <f t="shared" si="466"/>
        <v>7</v>
      </c>
      <c r="P962" s="42">
        <f t="shared" si="467"/>
        <v>2025</v>
      </c>
    </row>
    <row r="963" spans="1:16" x14ac:dyDescent="0.25">
      <c r="A963" s="21">
        <v>3000004838</v>
      </c>
      <c r="B963" s="22">
        <v>45889</v>
      </c>
      <c r="C963" s="20">
        <v>0</v>
      </c>
      <c r="D963" s="21" t="s">
        <v>162</v>
      </c>
      <c r="E963" s="21">
        <v>1772</v>
      </c>
      <c r="F963" s="20">
        <v>0</v>
      </c>
      <c r="G963" s="22">
        <v>45859</v>
      </c>
      <c r="H963" t="s">
        <v>32</v>
      </c>
      <c r="I963" s="40" t="str">
        <f>IFERROR(IF(VLOOKUP(E963,extracto!C:C,1,FALSE)=E963,"pagado","no pagado"),"no pagado")</f>
        <v>no pagado</v>
      </c>
      <c r="J963" s="41" t="str">
        <f t="shared" ca="1" si="462"/>
        <v>fuera de fecha</v>
      </c>
      <c r="K963" s="40" t="str">
        <f t="shared" ca="1" si="463"/>
        <v>excluir</v>
      </c>
      <c r="L963" s="40" t="str">
        <f t="shared" ca="1" si="464"/>
        <v>no semana</v>
      </c>
      <c r="M963" s="40" t="str">
        <f>IFERROR(VLOOKUP(E963,'cheques a conf'!A:D,4,FALSE),"no clearing")</f>
        <v>no clearing</v>
      </c>
      <c r="N963" s="40">
        <f t="shared" si="465"/>
        <v>30</v>
      </c>
      <c r="O963" s="42">
        <f t="shared" si="466"/>
        <v>7</v>
      </c>
      <c r="P963" s="42">
        <f t="shared" si="467"/>
        <v>2025</v>
      </c>
    </row>
    <row r="964" spans="1:16" x14ac:dyDescent="0.25">
      <c r="A964" s="21">
        <v>3000004839</v>
      </c>
      <c r="B964" s="22">
        <v>45889</v>
      </c>
      <c r="C964" s="20">
        <v>0</v>
      </c>
      <c r="D964" s="21" t="s">
        <v>162</v>
      </c>
      <c r="E964" s="21">
        <v>1773</v>
      </c>
      <c r="F964" s="20">
        <v>0</v>
      </c>
      <c r="G964" s="22">
        <v>45859</v>
      </c>
      <c r="H964" t="s">
        <v>32</v>
      </c>
      <c r="I964" s="40" t="str">
        <f>IFERROR(IF(VLOOKUP(E964,extracto!C:C,1,FALSE)=E964,"pagado","no pagado"),"no pagado")</f>
        <v>no pagado</v>
      </c>
      <c r="J964" s="41" t="str">
        <f t="shared" ca="1" si="462"/>
        <v>fuera de fecha</v>
      </c>
      <c r="K964" s="40" t="str">
        <f t="shared" ca="1" si="463"/>
        <v>excluir</v>
      </c>
      <c r="L964" s="40" t="str">
        <f t="shared" ca="1" si="464"/>
        <v>no semana</v>
      </c>
      <c r="M964" s="40" t="str">
        <f>IFERROR(VLOOKUP(E964,'cheques a conf'!A:D,4,FALSE),"no clearing")</f>
        <v>no clearing</v>
      </c>
      <c r="N964" s="40">
        <f t="shared" si="465"/>
        <v>30</v>
      </c>
      <c r="O964" s="42">
        <f t="shared" si="466"/>
        <v>7</v>
      </c>
      <c r="P964" s="42">
        <f t="shared" si="467"/>
        <v>2025</v>
      </c>
    </row>
    <row r="965" spans="1:16" x14ac:dyDescent="0.25">
      <c r="A965" s="21">
        <v>3000004840</v>
      </c>
      <c r="B965" s="22">
        <v>45889</v>
      </c>
      <c r="C965" s="20">
        <v>0</v>
      </c>
      <c r="D965" s="21" t="s">
        <v>162</v>
      </c>
      <c r="E965" s="21">
        <v>1774</v>
      </c>
      <c r="F965" s="20">
        <v>0</v>
      </c>
      <c r="G965" s="22">
        <v>45859</v>
      </c>
      <c r="H965" t="s">
        <v>32</v>
      </c>
      <c r="I965" s="40" t="str">
        <f>IFERROR(IF(VLOOKUP(E965,extracto!C:C,1,FALSE)=E965,"pagado","no pagado"),"no pagado")</f>
        <v>no pagado</v>
      </c>
      <c r="J965" s="41" t="str">
        <f t="shared" ca="1" si="462"/>
        <v>fuera de fecha</v>
      </c>
      <c r="K965" s="40" t="str">
        <f t="shared" ca="1" si="463"/>
        <v>excluir</v>
      </c>
      <c r="L965" s="40" t="str">
        <f t="shared" ca="1" si="464"/>
        <v>no semana</v>
      </c>
      <c r="M965" s="40" t="str">
        <f>IFERROR(VLOOKUP(E965,'cheques a conf'!A:D,4,FALSE),"no clearing")</f>
        <v>no clearing</v>
      </c>
      <c r="N965" s="40">
        <f t="shared" si="465"/>
        <v>30</v>
      </c>
      <c r="O965" s="42">
        <f t="shared" si="466"/>
        <v>7</v>
      </c>
      <c r="P965" s="42">
        <f t="shared" si="467"/>
        <v>2025</v>
      </c>
    </row>
    <row r="966" spans="1:16" x14ac:dyDescent="0.25">
      <c r="A966" s="21">
        <v>3000004840</v>
      </c>
      <c r="B966" s="22">
        <v>45889</v>
      </c>
      <c r="C966" s="20">
        <v>0</v>
      </c>
      <c r="D966" s="21" t="s">
        <v>162</v>
      </c>
      <c r="E966" s="21">
        <v>1775</v>
      </c>
      <c r="F966" s="20">
        <v>0</v>
      </c>
      <c r="G966" s="22">
        <v>45859</v>
      </c>
      <c r="H966" t="s">
        <v>32</v>
      </c>
      <c r="I966" s="40" t="str">
        <f>IFERROR(IF(VLOOKUP(E966,extracto!C:C,1,FALSE)=E966,"pagado","no pagado"),"no pagado")</f>
        <v>no pagado</v>
      </c>
      <c r="J966" s="41" t="str">
        <f t="shared" ca="1" si="462"/>
        <v>fuera de fecha</v>
      </c>
      <c r="K966" s="40" t="str">
        <f t="shared" ca="1" si="463"/>
        <v>excluir</v>
      </c>
      <c r="L966" s="40" t="str">
        <f t="shared" ca="1" si="464"/>
        <v>no semana</v>
      </c>
      <c r="M966" s="40" t="str">
        <f>IFERROR(VLOOKUP(E966,'cheques a conf'!A:D,4,FALSE),"no clearing")</f>
        <v>no clearing</v>
      </c>
      <c r="N966" s="40">
        <f t="shared" si="465"/>
        <v>30</v>
      </c>
      <c r="O966" s="42">
        <f t="shared" si="466"/>
        <v>7</v>
      </c>
      <c r="P966" s="42">
        <f t="shared" si="467"/>
        <v>2025</v>
      </c>
    </row>
    <row r="967" spans="1:16" x14ac:dyDescent="0.25">
      <c r="A967" s="21">
        <v>3000004841</v>
      </c>
      <c r="B967" s="22">
        <v>45889</v>
      </c>
      <c r="C967" s="20">
        <v>0</v>
      </c>
      <c r="D967" s="21" t="s">
        <v>162</v>
      </c>
      <c r="E967" s="21">
        <v>1776</v>
      </c>
      <c r="F967" s="20">
        <v>0</v>
      </c>
      <c r="G967" s="22">
        <v>45859</v>
      </c>
      <c r="H967" t="s">
        <v>32</v>
      </c>
      <c r="I967" s="40" t="str">
        <f>IFERROR(IF(VLOOKUP(E967,extracto!C:C,1,FALSE)=E967,"pagado","no pagado"),"no pagado")</f>
        <v>no pagado</v>
      </c>
      <c r="J967" s="41" t="str">
        <f t="shared" ca="1" si="462"/>
        <v>fuera de fecha</v>
      </c>
      <c r="K967" s="40" t="str">
        <f t="shared" ca="1" si="463"/>
        <v>excluir</v>
      </c>
      <c r="L967" s="40" t="str">
        <f t="shared" ca="1" si="464"/>
        <v>no semana</v>
      </c>
      <c r="M967" s="40" t="str">
        <f>IFERROR(VLOOKUP(E967,'cheques a conf'!A:D,4,FALSE),"no clearing")</f>
        <v>no clearing</v>
      </c>
      <c r="N967" s="40">
        <f t="shared" si="465"/>
        <v>30</v>
      </c>
      <c r="O967" s="42">
        <f t="shared" si="466"/>
        <v>7</v>
      </c>
      <c r="P967" s="42">
        <f t="shared" si="467"/>
        <v>2025</v>
      </c>
    </row>
    <row r="968" spans="1:16" x14ac:dyDescent="0.25">
      <c r="A968" s="21">
        <v>3000004842</v>
      </c>
      <c r="B968" s="22">
        <v>45889</v>
      </c>
      <c r="C968" s="20">
        <v>0</v>
      </c>
      <c r="D968" s="21" t="s">
        <v>162</v>
      </c>
      <c r="E968" s="21">
        <v>1777</v>
      </c>
      <c r="F968" s="20">
        <v>0</v>
      </c>
      <c r="G968" s="22">
        <v>45859</v>
      </c>
      <c r="H968" t="s">
        <v>32</v>
      </c>
      <c r="I968" s="40" t="str">
        <f>IFERROR(IF(VLOOKUP(E968,extracto!C:C,1,FALSE)=E968,"pagado","no pagado"),"no pagado")</f>
        <v>no pagado</v>
      </c>
      <c r="J968" s="41" t="str">
        <f t="shared" ca="1" si="462"/>
        <v>fuera de fecha</v>
      </c>
      <c r="K968" s="40" t="str">
        <f t="shared" ca="1" si="463"/>
        <v>excluir</v>
      </c>
      <c r="L968" s="40" t="str">
        <f t="shared" ca="1" si="464"/>
        <v>no semana</v>
      </c>
      <c r="M968" s="40" t="str">
        <f>IFERROR(VLOOKUP(E968,'cheques a conf'!A:D,4,FALSE),"no clearing")</f>
        <v>no clearing</v>
      </c>
      <c r="N968" s="40">
        <f t="shared" si="465"/>
        <v>30</v>
      </c>
      <c r="O968" s="42">
        <f t="shared" si="466"/>
        <v>7</v>
      </c>
      <c r="P968" s="42">
        <f t="shared" si="467"/>
        <v>2025</v>
      </c>
    </row>
    <row r="969" spans="1:16" x14ac:dyDescent="0.25">
      <c r="A969" s="21">
        <v>3000004843</v>
      </c>
      <c r="B969" s="22">
        <v>45889</v>
      </c>
      <c r="C969" s="20">
        <v>0</v>
      </c>
      <c r="D969" s="21" t="s">
        <v>162</v>
      </c>
      <c r="E969" s="21">
        <v>1778</v>
      </c>
      <c r="F969" s="20">
        <v>0</v>
      </c>
      <c r="G969" s="22">
        <v>45859</v>
      </c>
      <c r="H969" t="s">
        <v>32</v>
      </c>
      <c r="I969" s="40" t="str">
        <f>IFERROR(IF(VLOOKUP(E969,extracto!C:C,1,FALSE)=E969,"pagado","no pagado"),"no pagado")</f>
        <v>no pagado</v>
      </c>
      <c r="J969" s="41" t="str">
        <f t="shared" ca="1" si="462"/>
        <v>fuera de fecha</v>
      </c>
      <c r="K969" s="40" t="str">
        <f t="shared" ca="1" si="463"/>
        <v>excluir</v>
      </c>
      <c r="L969" s="40" t="str">
        <f t="shared" ca="1" si="464"/>
        <v>no semana</v>
      </c>
      <c r="M969" s="40" t="str">
        <f>IFERROR(VLOOKUP(E969,'cheques a conf'!A:D,4,FALSE),"no clearing")</f>
        <v>no clearing</v>
      </c>
      <c r="N969" s="40">
        <f t="shared" si="465"/>
        <v>30</v>
      </c>
      <c r="O969" s="42">
        <f t="shared" si="466"/>
        <v>7</v>
      </c>
      <c r="P969" s="42">
        <f t="shared" si="467"/>
        <v>2025</v>
      </c>
    </row>
    <row r="970" spans="1:16" x14ac:dyDescent="0.25">
      <c r="A970" s="21">
        <v>3000004843</v>
      </c>
      <c r="B970" s="22">
        <v>45889</v>
      </c>
      <c r="C970" s="20">
        <v>0</v>
      </c>
      <c r="D970" s="21" t="s">
        <v>162</v>
      </c>
      <c r="E970" s="21">
        <v>1779</v>
      </c>
      <c r="F970" s="20">
        <v>0</v>
      </c>
      <c r="G970" s="22">
        <v>45859</v>
      </c>
      <c r="H970" t="s">
        <v>32</v>
      </c>
      <c r="I970" s="40" t="str">
        <f>IFERROR(IF(VLOOKUP(E970,extracto!C:C,1,FALSE)=E970,"pagado","no pagado"),"no pagado")</f>
        <v>no pagado</v>
      </c>
      <c r="J970" s="41" t="str">
        <f t="shared" ca="1" si="462"/>
        <v>fuera de fecha</v>
      </c>
      <c r="K970" s="40" t="str">
        <f t="shared" ca="1" si="463"/>
        <v>excluir</v>
      </c>
      <c r="L970" s="40" t="str">
        <f t="shared" ca="1" si="464"/>
        <v>no semana</v>
      </c>
      <c r="M970" s="40" t="str">
        <f>IFERROR(VLOOKUP(E970,'cheques a conf'!A:D,4,FALSE),"no clearing")</f>
        <v>no clearing</v>
      </c>
      <c r="N970" s="40">
        <f t="shared" si="465"/>
        <v>30</v>
      </c>
      <c r="O970" s="42">
        <f t="shared" si="466"/>
        <v>7</v>
      </c>
      <c r="P970" s="42">
        <f t="shared" si="467"/>
        <v>2025</v>
      </c>
    </row>
    <row r="971" spans="1:16" x14ac:dyDescent="0.25">
      <c r="A971" s="21">
        <v>3000004844</v>
      </c>
      <c r="B971" s="22">
        <v>45889</v>
      </c>
      <c r="C971" s="20">
        <v>0</v>
      </c>
      <c r="D971" s="21" t="s">
        <v>162</v>
      </c>
      <c r="E971" s="21">
        <v>1780</v>
      </c>
      <c r="F971" s="20">
        <v>0</v>
      </c>
      <c r="G971" s="22">
        <v>45859</v>
      </c>
      <c r="H971" t="s">
        <v>32</v>
      </c>
      <c r="I971" s="40" t="str">
        <f>IFERROR(IF(VLOOKUP(E971,extracto!C:C,1,FALSE)=E971,"pagado","no pagado"),"no pagado")</f>
        <v>no pagado</v>
      </c>
      <c r="J971" s="41" t="str">
        <f t="shared" ca="1" si="462"/>
        <v>fuera de fecha</v>
      </c>
      <c r="K971" s="40" t="str">
        <f t="shared" ca="1" si="463"/>
        <v>excluir</v>
      </c>
      <c r="L971" s="40" t="str">
        <f t="shared" ca="1" si="464"/>
        <v>no semana</v>
      </c>
      <c r="M971" s="40" t="str">
        <f>IFERROR(VLOOKUP(E971,'cheques a conf'!A:D,4,FALSE),"no clearing")</f>
        <v>no clearing</v>
      </c>
      <c r="N971" s="40">
        <f t="shared" si="465"/>
        <v>30</v>
      </c>
      <c r="O971" s="42">
        <f t="shared" si="466"/>
        <v>7</v>
      </c>
      <c r="P971" s="42">
        <f t="shared" si="467"/>
        <v>2025</v>
      </c>
    </row>
    <row r="972" spans="1:16" x14ac:dyDescent="0.25">
      <c r="A972" s="21">
        <v>3000004845</v>
      </c>
      <c r="B972" s="22">
        <v>45889</v>
      </c>
      <c r="C972" s="20">
        <v>0</v>
      </c>
      <c r="D972" s="21" t="s">
        <v>162</v>
      </c>
      <c r="E972" s="21">
        <v>1781</v>
      </c>
      <c r="F972" s="20">
        <v>0</v>
      </c>
      <c r="G972" s="22">
        <v>45859</v>
      </c>
      <c r="H972" t="s">
        <v>32</v>
      </c>
      <c r="I972" s="40" t="str">
        <f>IFERROR(IF(VLOOKUP(E972,extracto!C:C,1,FALSE)=E972,"pagado","no pagado"),"no pagado")</f>
        <v>no pagado</v>
      </c>
      <c r="J972" s="41" t="str">
        <f t="shared" ca="1" si="462"/>
        <v>fuera de fecha</v>
      </c>
      <c r="K972" s="40" t="str">
        <f t="shared" ca="1" si="463"/>
        <v>excluir</v>
      </c>
      <c r="L972" s="40" t="str">
        <f t="shared" ca="1" si="464"/>
        <v>no semana</v>
      </c>
      <c r="M972" s="40" t="str">
        <f>IFERROR(VLOOKUP(E972,'cheques a conf'!A:D,4,FALSE),"no clearing")</f>
        <v>no clearing</v>
      </c>
      <c r="N972" s="40">
        <f t="shared" si="465"/>
        <v>30</v>
      </c>
      <c r="O972" s="42">
        <f t="shared" si="466"/>
        <v>7</v>
      </c>
      <c r="P972" s="42">
        <f t="shared" si="467"/>
        <v>2025</v>
      </c>
    </row>
    <row r="973" spans="1:16" x14ac:dyDescent="0.25">
      <c r="A973" s="21">
        <v>3000004846</v>
      </c>
      <c r="B973" s="22">
        <v>45889</v>
      </c>
      <c r="C973" s="20">
        <v>0</v>
      </c>
      <c r="D973" s="21" t="s">
        <v>162</v>
      </c>
      <c r="E973" s="21">
        <v>1782</v>
      </c>
      <c r="F973" s="20">
        <v>0</v>
      </c>
      <c r="G973" s="22">
        <v>45859</v>
      </c>
      <c r="H973" t="s">
        <v>32</v>
      </c>
      <c r="I973" s="40" t="str">
        <f>IFERROR(IF(VLOOKUP(E973,extracto!C:C,1,FALSE)=E973,"pagado","no pagado"),"no pagado")</f>
        <v>no pagado</v>
      </c>
      <c r="J973" s="41" t="str">
        <f t="shared" ca="1" si="462"/>
        <v>fuera de fecha</v>
      </c>
      <c r="K973" s="40" t="str">
        <f t="shared" ca="1" si="463"/>
        <v>excluir</v>
      </c>
      <c r="L973" s="40" t="str">
        <f t="shared" ca="1" si="464"/>
        <v>no semana</v>
      </c>
      <c r="M973" s="40" t="str">
        <f>IFERROR(VLOOKUP(E973,'cheques a conf'!A:D,4,FALSE),"no clearing")</f>
        <v>no clearing</v>
      </c>
      <c r="N973" s="40">
        <f t="shared" si="465"/>
        <v>30</v>
      </c>
      <c r="O973" s="42">
        <f t="shared" si="466"/>
        <v>7</v>
      </c>
      <c r="P973" s="42">
        <f t="shared" si="467"/>
        <v>2025</v>
      </c>
    </row>
    <row r="974" spans="1:16" x14ac:dyDescent="0.25">
      <c r="A974" s="21">
        <v>3000004847</v>
      </c>
      <c r="B974" s="22">
        <v>45889</v>
      </c>
      <c r="C974" s="20">
        <v>0</v>
      </c>
      <c r="D974" s="21" t="s">
        <v>162</v>
      </c>
      <c r="E974" s="21">
        <v>1783</v>
      </c>
      <c r="F974" s="20">
        <v>0</v>
      </c>
      <c r="G974" s="22">
        <v>45859</v>
      </c>
      <c r="H974" t="s">
        <v>32</v>
      </c>
      <c r="I974" s="40" t="str">
        <f>IFERROR(IF(VLOOKUP(E974,extracto!C:C,1,FALSE)=E974,"pagado","no pagado"),"no pagado")</f>
        <v>no pagado</v>
      </c>
      <c r="J974" s="41" t="str">
        <f t="shared" ca="1" si="462"/>
        <v>fuera de fecha</v>
      </c>
      <c r="K974" s="40" t="str">
        <f t="shared" ca="1" si="463"/>
        <v>excluir</v>
      </c>
      <c r="L974" s="40" t="str">
        <f t="shared" ca="1" si="464"/>
        <v>no semana</v>
      </c>
      <c r="M974" s="40" t="str">
        <f>IFERROR(VLOOKUP(E974,'cheques a conf'!A:D,4,FALSE),"no clearing")</f>
        <v>no clearing</v>
      </c>
      <c r="N974" s="40">
        <f t="shared" si="465"/>
        <v>30</v>
      </c>
      <c r="O974" s="42">
        <f t="shared" si="466"/>
        <v>7</v>
      </c>
      <c r="P974" s="42">
        <f t="shared" si="467"/>
        <v>2025</v>
      </c>
    </row>
    <row r="975" spans="1:16" x14ac:dyDescent="0.25">
      <c r="A975" s="21">
        <v>3000004848</v>
      </c>
      <c r="B975" s="22">
        <v>45889</v>
      </c>
      <c r="C975" s="20">
        <v>0</v>
      </c>
      <c r="D975" s="21" t="s">
        <v>162</v>
      </c>
      <c r="E975" s="21">
        <v>1784</v>
      </c>
      <c r="F975" s="20">
        <v>0</v>
      </c>
      <c r="G975" s="22">
        <v>45859</v>
      </c>
      <c r="H975" t="s">
        <v>32</v>
      </c>
      <c r="I975" s="40" t="str">
        <f>IFERROR(IF(VLOOKUP(E975,extracto!C:C,1,FALSE)=E975,"pagado","no pagado"),"no pagado")</f>
        <v>no pagado</v>
      </c>
      <c r="J975" s="41" t="str">
        <f t="shared" ca="1" si="462"/>
        <v>fuera de fecha</v>
      </c>
      <c r="K975" s="40" t="str">
        <f t="shared" ca="1" si="463"/>
        <v>excluir</v>
      </c>
      <c r="L975" s="40" t="str">
        <f t="shared" ca="1" si="464"/>
        <v>no semana</v>
      </c>
      <c r="M975" s="40" t="str">
        <f>IFERROR(VLOOKUP(E975,'cheques a conf'!A:D,4,FALSE),"no clearing")</f>
        <v>no clearing</v>
      </c>
      <c r="N975" s="40">
        <f t="shared" si="465"/>
        <v>30</v>
      </c>
      <c r="O975" s="42">
        <f t="shared" si="466"/>
        <v>7</v>
      </c>
      <c r="P975" s="42">
        <f t="shared" si="467"/>
        <v>2025</v>
      </c>
    </row>
    <row r="976" spans="1:16" x14ac:dyDescent="0.25">
      <c r="A976" s="21">
        <v>3000004849</v>
      </c>
      <c r="B976" s="22">
        <v>45889</v>
      </c>
      <c r="C976" s="20">
        <v>0</v>
      </c>
      <c r="D976" s="21" t="s">
        <v>162</v>
      </c>
      <c r="E976" s="21">
        <v>1785</v>
      </c>
      <c r="F976" s="20">
        <v>0</v>
      </c>
      <c r="G976" s="22">
        <v>45859</v>
      </c>
      <c r="H976" t="s">
        <v>32</v>
      </c>
      <c r="I976" s="40" t="str">
        <f>IFERROR(IF(VLOOKUP(E976,extracto!C:C,1,FALSE)=E976,"pagado","no pagado"),"no pagado")</f>
        <v>no pagado</v>
      </c>
      <c r="J976" s="41" t="str">
        <f t="shared" ca="1" si="462"/>
        <v>fuera de fecha</v>
      </c>
      <c r="K976" s="40" t="str">
        <f t="shared" ca="1" si="463"/>
        <v>excluir</v>
      </c>
      <c r="L976" s="40" t="str">
        <f t="shared" ca="1" si="464"/>
        <v>no semana</v>
      </c>
      <c r="M976" s="40" t="str">
        <f>IFERROR(VLOOKUP(E976,'cheques a conf'!A:D,4,FALSE),"no clearing")</f>
        <v>no clearing</v>
      </c>
      <c r="N976" s="40">
        <f t="shared" si="465"/>
        <v>30</v>
      </c>
      <c r="O976" s="42">
        <f t="shared" si="466"/>
        <v>7</v>
      </c>
      <c r="P976" s="42">
        <f t="shared" si="467"/>
        <v>2025</v>
      </c>
    </row>
    <row r="977" spans="1:16" x14ac:dyDescent="0.25">
      <c r="A977" s="21">
        <v>3000004850</v>
      </c>
      <c r="B977" s="22">
        <v>45889</v>
      </c>
      <c r="C977" s="20">
        <v>0</v>
      </c>
      <c r="D977" s="21" t="s">
        <v>162</v>
      </c>
      <c r="E977" s="21">
        <v>1786</v>
      </c>
      <c r="F977" s="20">
        <v>0</v>
      </c>
      <c r="G977" s="22">
        <v>45859</v>
      </c>
      <c r="H977" t="s">
        <v>32</v>
      </c>
      <c r="I977" s="40" t="str">
        <f>IFERROR(IF(VLOOKUP(E977,extracto!C:C,1,FALSE)=E977,"pagado","no pagado"),"no pagado")</f>
        <v>no pagado</v>
      </c>
      <c r="J977" s="41" t="str">
        <f t="shared" ca="1" si="462"/>
        <v>fuera de fecha</v>
      </c>
      <c r="K977" s="40" t="str">
        <f t="shared" ca="1" si="463"/>
        <v>excluir</v>
      </c>
      <c r="L977" s="40" t="str">
        <f t="shared" ca="1" si="464"/>
        <v>no semana</v>
      </c>
      <c r="M977" s="40" t="str">
        <f>IFERROR(VLOOKUP(E977,'cheques a conf'!A:D,4,FALSE),"no clearing")</f>
        <v>no clearing</v>
      </c>
      <c r="N977" s="40">
        <f t="shared" si="465"/>
        <v>30</v>
      </c>
      <c r="O977" s="42">
        <f t="shared" si="466"/>
        <v>7</v>
      </c>
      <c r="P977" s="42">
        <f t="shared" si="467"/>
        <v>2025</v>
      </c>
    </row>
    <row r="978" spans="1:16" x14ac:dyDescent="0.25">
      <c r="A978" s="21">
        <v>3000004851</v>
      </c>
      <c r="B978" s="22">
        <v>45889</v>
      </c>
      <c r="C978" s="20">
        <v>0</v>
      </c>
      <c r="D978" s="21" t="s">
        <v>162</v>
      </c>
      <c r="E978" s="21">
        <v>1787</v>
      </c>
      <c r="F978" s="20">
        <v>0</v>
      </c>
      <c r="G978" s="22">
        <v>45859</v>
      </c>
      <c r="H978" t="s">
        <v>32</v>
      </c>
      <c r="I978" s="40" t="str">
        <f>IFERROR(IF(VLOOKUP(E978,extracto!C:C,1,FALSE)=E978,"pagado","no pagado"),"no pagado")</f>
        <v>no pagado</v>
      </c>
      <c r="J978" s="41" t="str">
        <f t="shared" ca="1" si="462"/>
        <v>fuera de fecha</v>
      </c>
      <c r="K978" s="40" t="str">
        <f t="shared" ca="1" si="463"/>
        <v>excluir</v>
      </c>
      <c r="L978" s="40" t="str">
        <f t="shared" ca="1" si="464"/>
        <v>no semana</v>
      </c>
      <c r="M978" s="40" t="str">
        <f>IFERROR(VLOOKUP(E978,'cheques a conf'!A:D,4,FALSE),"no clearing")</f>
        <v>no clearing</v>
      </c>
      <c r="N978" s="40">
        <f t="shared" si="465"/>
        <v>30</v>
      </c>
      <c r="O978" s="42">
        <f t="shared" si="466"/>
        <v>7</v>
      </c>
      <c r="P978" s="42">
        <f t="shared" si="467"/>
        <v>2025</v>
      </c>
    </row>
    <row r="979" spans="1:16" x14ac:dyDescent="0.25">
      <c r="A979" s="21">
        <v>3000004852</v>
      </c>
      <c r="B979" s="22">
        <v>45889</v>
      </c>
      <c r="C979" s="20">
        <v>0</v>
      </c>
      <c r="D979" s="21" t="s">
        <v>162</v>
      </c>
      <c r="E979" s="21">
        <v>1788</v>
      </c>
      <c r="F979" s="20">
        <v>0</v>
      </c>
      <c r="G979" s="22">
        <v>45859</v>
      </c>
      <c r="H979" t="s">
        <v>32</v>
      </c>
      <c r="I979" s="40" t="str">
        <f>IFERROR(IF(VLOOKUP(E979,extracto!C:C,1,FALSE)=E979,"pagado","no pagado"),"no pagado")</f>
        <v>no pagado</v>
      </c>
      <c r="J979" s="41" t="str">
        <f t="shared" ca="1" si="462"/>
        <v>fuera de fecha</v>
      </c>
      <c r="K979" s="40" t="str">
        <f t="shared" ca="1" si="463"/>
        <v>excluir</v>
      </c>
      <c r="L979" s="40" t="str">
        <f t="shared" ca="1" si="464"/>
        <v>no semana</v>
      </c>
      <c r="M979" s="40" t="str">
        <f>IFERROR(VLOOKUP(E979,'cheques a conf'!A:D,4,FALSE),"no clearing")</f>
        <v>no clearing</v>
      </c>
      <c r="N979" s="40">
        <f t="shared" si="465"/>
        <v>30</v>
      </c>
      <c r="O979" s="42">
        <f t="shared" si="466"/>
        <v>7</v>
      </c>
      <c r="P979" s="42">
        <f t="shared" si="467"/>
        <v>2025</v>
      </c>
    </row>
    <row r="980" spans="1:16" x14ac:dyDescent="0.25">
      <c r="A980" s="21">
        <v>3000004853</v>
      </c>
      <c r="B980" s="22">
        <v>45889</v>
      </c>
      <c r="C980" s="20">
        <v>0</v>
      </c>
      <c r="D980" s="21" t="s">
        <v>162</v>
      </c>
      <c r="E980" s="21">
        <v>1789</v>
      </c>
      <c r="F980" s="20">
        <v>0</v>
      </c>
      <c r="G980" s="22">
        <v>45859</v>
      </c>
      <c r="H980" t="s">
        <v>32</v>
      </c>
      <c r="I980" s="40" t="str">
        <f>IFERROR(IF(VLOOKUP(E980,extracto!C:C,1,FALSE)=E980,"pagado","no pagado"),"no pagado")</f>
        <v>no pagado</v>
      </c>
      <c r="J980" s="41" t="str">
        <f t="shared" ca="1" si="462"/>
        <v>fuera de fecha</v>
      </c>
      <c r="K980" s="40" t="str">
        <f t="shared" ca="1" si="463"/>
        <v>excluir</v>
      </c>
      <c r="L980" s="40" t="str">
        <f t="shared" ca="1" si="464"/>
        <v>no semana</v>
      </c>
      <c r="M980" s="40" t="str">
        <f>IFERROR(VLOOKUP(E980,'cheques a conf'!A:D,4,FALSE),"no clearing")</f>
        <v>no clearing</v>
      </c>
      <c r="N980" s="40">
        <f t="shared" si="465"/>
        <v>30</v>
      </c>
      <c r="O980" s="42">
        <f t="shared" si="466"/>
        <v>7</v>
      </c>
      <c r="P980" s="42">
        <f t="shared" si="467"/>
        <v>2025</v>
      </c>
    </row>
    <row r="981" spans="1:16" x14ac:dyDescent="0.25">
      <c r="A981" s="21">
        <v>3000004854</v>
      </c>
      <c r="B981" s="22">
        <v>45889</v>
      </c>
      <c r="C981" s="20">
        <v>0</v>
      </c>
      <c r="D981" s="21" t="s">
        <v>162</v>
      </c>
      <c r="E981" s="21">
        <v>1790</v>
      </c>
      <c r="F981" s="20">
        <v>0</v>
      </c>
      <c r="G981" s="22">
        <v>45859</v>
      </c>
      <c r="H981" t="s">
        <v>32</v>
      </c>
      <c r="I981" s="40" t="str">
        <f>IFERROR(IF(VLOOKUP(E981,extracto!C:C,1,FALSE)=E981,"pagado","no pagado"),"no pagado")</f>
        <v>no pagado</v>
      </c>
      <c r="J981" s="41" t="str">
        <f t="shared" ca="1" si="462"/>
        <v>fuera de fecha</v>
      </c>
      <c r="K981" s="40" t="str">
        <f t="shared" ca="1" si="463"/>
        <v>excluir</v>
      </c>
      <c r="L981" s="40" t="str">
        <f t="shared" ca="1" si="464"/>
        <v>no semana</v>
      </c>
      <c r="M981" s="40" t="str">
        <f>IFERROR(VLOOKUP(E981,'cheques a conf'!A:D,4,FALSE),"no clearing")</f>
        <v>no clearing</v>
      </c>
      <c r="N981" s="40">
        <f t="shared" si="465"/>
        <v>30</v>
      </c>
      <c r="O981" s="42">
        <f t="shared" si="466"/>
        <v>7</v>
      </c>
      <c r="P981" s="42">
        <f t="shared" si="467"/>
        <v>2025</v>
      </c>
    </row>
    <row r="982" spans="1:16" x14ac:dyDescent="0.25">
      <c r="A982" s="21">
        <v>3000004855</v>
      </c>
      <c r="B982" s="22">
        <v>45889</v>
      </c>
      <c r="C982" s="20">
        <v>0</v>
      </c>
      <c r="D982" s="21" t="s">
        <v>162</v>
      </c>
      <c r="E982" s="21">
        <v>1791</v>
      </c>
      <c r="F982" s="20">
        <v>0</v>
      </c>
      <c r="G982" s="22">
        <v>45859</v>
      </c>
      <c r="H982" t="s">
        <v>32</v>
      </c>
      <c r="I982" s="40" t="str">
        <f>IFERROR(IF(VLOOKUP(E982,extracto!C:C,1,FALSE)=E982,"pagado","no pagado"),"no pagado")</f>
        <v>no pagado</v>
      </c>
      <c r="J982" s="41" t="str">
        <f t="shared" ca="1" si="462"/>
        <v>fuera de fecha</v>
      </c>
      <c r="K982" s="40" t="str">
        <f t="shared" ca="1" si="463"/>
        <v>excluir</v>
      </c>
      <c r="L982" s="40" t="str">
        <f t="shared" ca="1" si="464"/>
        <v>no semana</v>
      </c>
      <c r="M982" s="40" t="str">
        <f>IFERROR(VLOOKUP(E982,'cheques a conf'!A:D,4,FALSE),"no clearing")</f>
        <v>no clearing</v>
      </c>
      <c r="N982" s="40">
        <f t="shared" si="465"/>
        <v>30</v>
      </c>
      <c r="O982" s="42">
        <f t="shared" si="466"/>
        <v>7</v>
      </c>
      <c r="P982" s="42">
        <f t="shared" si="467"/>
        <v>2025</v>
      </c>
    </row>
    <row r="983" spans="1:16" x14ac:dyDescent="0.25">
      <c r="A983" s="21">
        <v>3000004856</v>
      </c>
      <c r="B983" s="22">
        <v>45889</v>
      </c>
      <c r="C983" s="20">
        <v>0</v>
      </c>
      <c r="D983" s="21" t="s">
        <v>162</v>
      </c>
      <c r="E983" s="21">
        <v>1792</v>
      </c>
      <c r="F983" s="20">
        <v>0</v>
      </c>
      <c r="G983" s="22">
        <v>45859</v>
      </c>
      <c r="H983" t="s">
        <v>32</v>
      </c>
      <c r="I983" s="40" t="str">
        <f>IFERROR(IF(VLOOKUP(E983,extracto!C:C,1,FALSE)=E983,"pagado","no pagado"),"no pagado")</f>
        <v>no pagado</v>
      </c>
      <c r="J983" s="41" t="str">
        <f t="shared" ca="1" si="462"/>
        <v>fuera de fecha</v>
      </c>
      <c r="K983" s="40" t="str">
        <f t="shared" ca="1" si="463"/>
        <v>excluir</v>
      </c>
      <c r="L983" s="40" t="str">
        <f t="shared" ca="1" si="464"/>
        <v>no semana</v>
      </c>
      <c r="M983" s="40" t="str">
        <f>IFERROR(VLOOKUP(E983,'cheques a conf'!A:D,4,FALSE),"no clearing")</f>
        <v>no clearing</v>
      </c>
      <c r="N983" s="40">
        <f t="shared" si="465"/>
        <v>30</v>
      </c>
      <c r="O983" s="42">
        <f t="shared" si="466"/>
        <v>7</v>
      </c>
      <c r="P983" s="42">
        <f t="shared" si="467"/>
        <v>2025</v>
      </c>
    </row>
    <row r="984" spans="1:16" x14ac:dyDescent="0.25">
      <c r="A984" s="21">
        <v>3000004857</v>
      </c>
      <c r="B984" s="22">
        <v>45889</v>
      </c>
      <c r="C984" s="20">
        <v>0</v>
      </c>
      <c r="D984" s="21" t="s">
        <v>162</v>
      </c>
      <c r="E984" s="21">
        <v>1793</v>
      </c>
      <c r="F984" s="20">
        <v>0</v>
      </c>
      <c r="G984" s="22">
        <v>45859</v>
      </c>
      <c r="H984" t="s">
        <v>32</v>
      </c>
      <c r="I984" s="40" t="str">
        <f>IFERROR(IF(VLOOKUP(E984,extracto!C:C,1,FALSE)=E984,"pagado","no pagado"),"no pagado")</f>
        <v>no pagado</v>
      </c>
      <c r="J984" s="41" t="str">
        <f t="shared" ca="1" si="462"/>
        <v>fuera de fecha</v>
      </c>
      <c r="K984" s="40" t="str">
        <f t="shared" ca="1" si="463"/>
        <v>excluir</v>
      </c>
      <c r="L984" s="40" t="str">
        <f t="shared" ca="1" si="464"/>
        <v>no semana</v>
      </c>
      <c r="M984" s="40" t="str">
        <f>IFERROR(VLOOKUP(E984,'cheques a conf'!A:D,4,FALSE),"no clearing")</f>
        <v>no clearing</v>
      </c>
      <c r="N984" s="40">
        <f t="shared" si="465"/>
        <v>30</v>
      </c>
      <c r="O984" s="42">
        <f t="shared" si="466"/>
        <v>7</v>
      </c>
      <c r="P984" s="42">
        <f t="shared" si="467"/>
        <v>2025</v>
      </c>
    </row>
    <row r="985" spans="1:16" x14ac:dyDescent="0.25">
      <c r="A985" s="21">
        <v>3000004858</v>
      </c>
      <c r="B985" s="22">
        <v>45889</v>
      </c>
      <c r="C985" s="20">
        <v>0</v>
      </c>
      <c r="D985" s="21" t="s">
        <v>162</v>
      </c>
      <c r="E985" s="21">
        <v>1794</v>
      </c>
      <c r="F985" s="20">
        <v>0</v>
      </c>
      <c r="G985" s="22">
        <v>45859</v>
      </c>
      <c r="H985" t="s">
        <v>32</v>
      </c>
      <c r="I985" s="40" t="str">
        <f>IFERROR(IF(VLOOKUP(E985,extracto!C:C,1,FALSE)=E985,"pagado","no pagado"),"no pagado")</f>
        <v>no pagado</v>
      </c>
      <c r="J985" s="41" t="str">
        <f t="shared" ca="1" si="462"/>
        <v>fuera de fecha</v>
      </c>
      <c r="K985" s="40" t="str">
        <f t="shared" ca="1" si="463"/>
        <v>excluir</v>
      </c>
      <c r="L985" s="40" t="str">
        <f t="shared" ca="1" si="464"/>
        <v>no semana</v>
      </c>
      <c r="M985" s="40" t="str">
        <f>IFERROR(VLOOKUP(E985,'cheques a conf'!A:D,4,FALSE),"no clearing")</f>
        <v>no clearing</v>
      </c>
      <c r="N985" s="40">
        <f t="shared" si="465"/>
        <v>30</v>
      </c>
      <c r="O985" s="42">
        <f t="shared" si="466"/>
        <v>7</v>
      </c>
      <c r="P985" s="42">
        <f t="shared" si="467"/>
        <v>2025</v>
      </c>
    </row>
    <row r="986" spans="1:16" x14ac:dyDescent="0.25">
      <c r="A986" s="21">
        <v>3000004859</v>
      </c>
      <c r="B986" s="22">
        <v>45889</v>
      </c>
      <c r="C986" s="20">
        <v>0</v>
      </c>
      <c r="D986" s="21" t="s">
        <v>162</v>
      </c>
      <c r="E986" s="21">
        <v>1795</v>
      </c>
      <c r="F986" s="20">
        <v>0</v>
      </c>
      <c r="G986" s="22">
        <v>45859</v>
      </c>
      <c r="H986" t="s">
        <v>32</v>
      </c>
      <c r="I986" s="40" t="str">
        <f>IFERROR(IF(VLOOKUP(E986,extracto!C:C,1,FALSE)=E986,"pagado","no pagado"),"no pagado")</f>
        <v>no pagado</v>
      </c>
      <c r="J986" s="41" t="str">
        <f t="shared" ca="1" si="462"/>
        <v>fuera de fecha</v>
      </c>
      <c r="K986" s="40" t="str">
        <f t="shared" ca="1" si="463"/>
        <v>excluir</v>
      </c>
      <c r="L986" s="40" t="str">
        <f t="shared" ca="1" si="464"/>
        <v>no semana</v>
      </c>
      <c r="M986" s="40" t="str">
        <f>IFERROR(VLOOKUP(E986,'cheques a conf'!A:D,4,FALSE),"no clearing")</f>
        <v>no clearing</v>
      </c>
      <c r="N986" s="40">
        <f t="shared" si="465"/>
        <v>30</v>
      </c>
      <c r="O986" s="42">
        <f t="shared" si="466"/>
        <v>7</v>
      </c>
      <c r="P986" s="42">
        <f t="shared" si="467"/>
        <v>2025</v>
      </c>
    </row>
    <row r="987" spans="1:16" x14ac:dyDescent="0.25">
      <c r="A987" s="21">
        <v>3000004860</v>
      </c>
      <c r="B987" s="22">
        <v>45889</v>
      </c>
      <c r="C987" s="20">
        <v>0</v>
      </c>
      <c r="D987" s="21" t="s">
        <v>162</v>
      </c>
      <c r="E987" s="21">
        <v>1796</v>
      </c>
      <c r="F987" s="20">
        <v>0</v>
      </c>
      <c r="G987" s="22">
        <v>45859</v>
      </c>
      <c r="H987" t="s">
        <v>32</v>
      </c>
      <c r="I987" s="40" t="str">
        <f>IFERROR(IF(VLOOKUP(E987,extracto!C:C,1,FALSE)=E987,"pagado","no pagado"),"no pagado")</f>
        <v>no pagado</v>
      </c>
      <c r="J987" s="41" t="str">
        <f t="shared" ca="1" si="462"/>
        <v>fuera de fecha</v>
      </c>
      <c r="K987" s="40" t="str">
        <f t="shared" ca="1" si="463"/>
        <v>excluir</v>
      </c>
      <c r="L987" s="40" t="str">
        <f t="shared" ca="1" si="464"/>
        <v>no semana</v>
      </c>
      <c r="M987" s="40" t="str">
        <f>IFERROR(VLOOKUP(E987,'cheques a conf'!A:D,4,FALSE),"no clearing")</f>
        <v>no clearing</v>
      </c>
      <c r="N987" s="40">
        <f t="shared" si="465"/>
        <v>30</v>
      </c>
      <c r="O987" s="42">
        <f t="shared" si="466"/>
        <v>7</v>
      </c>
      <c r="P987" s="42">
        <f t="shared" si="467"/>
        <v>2025</v>
      </c>
    </row>
    <row r="988" spans="1:16" x14ac:dyDescent="0.25">
      <c r="A988" s="21">
        <v>3000004861</v>
      </c>
      <c r="B988" s="22">
        <v>45889</v>
      </c>
      <c r="C988" s="20">
        <v>0</v>
      </c>
      <c r="D988" s="21" t="s">
        <v>162</v>
      </c>
      <c r="E988" s="21">
        <v>1797</v>
      </c>
      <c r="F988" s="20">
        <v>0</v>
      </c>
      <c r="G988" s="22">
        <v>45859</v>
      </c>
      <c r="H988" t="s">
        <v>32</v>
      </c>
      <c r="I988" s="40" t="str">
        <f>IFERROR(IF(VLOOKUP(E988,extracto!C:C,1,FALSE)=E988,"pagado","no pagado"),"no pagado")</f>
        <v>no pagado</v>
      </c>
      <c r="J988" s="41" t="str">
        <f t="shared" ca="1" si="462"/>
        <v>fuera de fecha</v>
      </c>
      <c r="K988" s="40" t="str">
        <f t="shared" ca="1" si="463"/>
        <v>excluir</v>
      </c>
      <c r="L988" s="40" t="str">
        <f t="shared" ca="1" si="464"/>
        <v>no semana</v>
      </c>
      <c r="M988" s="40" t="str">
        <f>IFERROR(VLOOKUP(E988,'cheques a conf'!A:D,4,FALSE),"no clearing")</f>
        <v>no clearing</v>
      </c>
      <c r="N988" s="40">
        <f t="shared" si="465"/>
        <v>30</v>
      </c>
      <c r="O988" s="42">
        <f t="shared" si="466"/>
        <v>7</v>
      </c>
      <c r="P988" s="42">
        <f t="shared" si="467"/>
        <v>2025</v>
      </c>
    </row>
    <row r="989" spans="1:16" x14ac:dyDescent="0.25">
      <c r="A989" s="21">
        <v>3000004862</v>
      </c>
      <c r="B989" s="22">
        <v>45889</v>
      </c>
      <c r="C989" s="20">
        <v>0</v>
      </c>
      <c r="D989" s="21" t="s">
        <v>162</v>
      </c>
      <c r="E989" s="21">
        <v>1798</v>
      </c>
      <c r="F989" s="20">
        <v>0</v>
      </c>
      <c r="G989" s="22">
        <v>45859</v>
      </c>
      <c r="H989" t="s">
        <v>32</v>
      </c>
      <c r="I989" s="40" t="str">
        <f>IFERROR(IF(VLOOKUP(E989,extracto!C:C,1,FALSE)=E989,"pagado","no pagado"),"no pagado")</f>
        <v>no pagado</v>
      </c>
      <c r="J989" s="41" t="str">
        <f t="shared" ca="1" si="462"/>
        <v>fuera de fecha</v>
      </c>
      <c r="K989" s="40" t="str">
        <f t="shared" ca="1" si="463"/>
        <v>excluir</v>
      </c>
      <c r="L989" s="40" t="str">
        <f t="shared" ca="1" si="464"/>
        <v>no semana</v>
      </c>
      <c r="M989" s="40" t="str">
        <f>IFERROR(VLOOKUP(E989,'cheques a conf'!A:D,4,FALSE),"no clearing")</f>
        <v>no clearing</v>
      </c>
      <c r="N989" s="40">
        <f t="shared" si="465"/>
        <v>30</v>
      </c>
      <c r="O989" s="42">
        <f t="shared" si="466"/>
        <v>7</v>
      </c>
      <c r="P989" s="42">
        <f t="shared" si="467"/>
        <v>2025</v>
      </c>
    </row>
    <row r="990" spans="1:16" x14ac:dyDescent="0.25">
      <c r="A990" s="21">
        <v>3000004834</v>
      </c>
      <c r="B990" s="22">
        <v>45890</v>
      </c>
      <c r="C990" s="20">
        <v>16325371.470000001</v>
      </c>
      <c r="D990" s="21" t="s">
        <v>752</v>
      </c>
      <c r="E990" s="21">
        <v>1799</v>
      </c>
      <c r="F990" s="20">
        <v>16325371.470000001</v>
      </c>
      <c r="G990" s="22">
        <v>45891</v>
      </c>
      <c r="H990" t="s">
        <v>32</v>
      </c>
      <c r="I990" s="40" t="str">
        <f>IFERROR(IF(VLOOKUP(E990,extracto!C:C,1,FALSE)=E990,"pagado","no pagado"),"no pagado")</f>
        <v>pagado</v>
      </c>
      <c r="J990" s="41" t="str">
        <f t="shared" si="462"/>
        <v>pagado</v>
      </c>
      <c r="K990" s="40" t="str">
        <f t="shared" ca="1" si="463"/>
        <v>excluir</v>
      </c>
      <c r="L990" s="40" t="str">
        <f t="shared" ca="1" si="464"/>
        <v>no semana</v>
      </c>
      <c r="M990" s="40" t="str">
        <f>IFERROR(VLOOKUP(E990,'cheques a conf'!A:D,4,FALSE),"no clearing")</f>
        <v>no clearing</v>
      </c>
      <c r="N990" s="40">
        <f t="shared" si="465"/>
        <v>34</v>
      </c>
      <c r="O990" s="42">
        <f t="shared" si="466"/>
        <v>8</v>
      </c>
      <c r="P990" s="42">
        <f t="shared" si="467"/>
        <v>2025</v>
      </c>
    </row>
    <row r="991" spans="1:16" x14ac:dyDescent="0.25">
      <c r="A991" s="21">
        <v>3000004836</v>
      </c>
      <c r="B991" s="22">
        <v>45890</v>
      </c>
      <c r="C991" s="20">
        <v>5716762.7199999997</v>
      </c>
      <c r="D991" s="21" t="s">
        <v>645</v>
      </c>
      <c r="E991" s="21">
        <v>1800</v>
      </c>
      <c r="F991" s="20">
        <v>5716762.7199999997</v>
      </c>
      <c r="G991" s="22">
        <v>45891</v>
      </c>
      <c r="H991" t="s">
        <v>32</v>
      </c>
      <c r="I991" s="40" t="str">
        <f>IFERROR(IF(VLOOKUP(E991,extracto!C:C,1,FALSE)=E991,"pagado","no pagado"),"no pagado")</f>
        <v>pagado</v>
      </c>
      <c r="J991" s="41" t="str">
        <f t="shared" si="462"/>
        <v>pagado</v>
      </c>
      <c r="K991" s="40" t="str">
        <f t="shared" ca="1" si="463"/>
        <v>excluir</v>
      </c>
      <c r="L991" s="40" t="str">
        <f t="shared" ca="1" si="464"/>
        <v>no semana</v>
      </c>
      <c r="M991" s="40" t="str">
        <f>IFERROR(VLOOKUP(E991,'cheques a conf'!A:D,4,FALSE),"no clearing")</f>
        <v>no clearing</v>
      </c>
      <c r="N991" s="40">
        <f t="shared" si="465"/>
        <v>34</v>
      </c>
      <c r="O991" s="42">
        <f t="shared" si="466"/>
        <v>8</v>
      </c>
      <c r="P991" s="42">
        <f t="shared" si="467"/>
        <v>2025</v>
      </c>
    </row>
    <row r="992" spans="1:16" x14ac:dyDescent="0.25">
      <c r="A992" s="21">
        <v>3000004837</v>
      </c>
      <c r="B992" s="22">
        <v>45890</v>
      </c>
      <c r="C992" s="20">
        <v>4991502.8499999996</v>
      </c>
      <c r="D992" s="21" t="s">
        <v>211</v>
      </c>
      <c r="E992" s="21">
        <v>1801</v>
      </c>
      <c r="F992" s="20">
        <v>4991502.8499999996</v>
      </c>
      <c r="G992" s="22">
        <v>45891</v>
      </c>
      <c r="H992" t="s">
        <v>32</v>
      </c>
      <c r="I992" s="40" t="str">
        <f>IFERROR(IF(VLOOKUP(E992,extracto!C:C,1,FALSE)=E992,"pagado","no pagado"),"no pagado")</f>
        <v>pagado</v>
      </c>
      <c r="J992" s="41" t="str">
        <f t="shared" si="462"/>
        <v>pagado</v>
      </c>
      <c r="K992" s="40" t="str">
        <f t="shared" ca="1" si="463"/>
        <v>excluir</v>
      </c>
      <c r="L992" s="40" t="str">
        <f t="shared" ca="1" si="464"/>
        <v>no semana</v>
      </c>
      <c r="M992" s="40" t="str">
        <f>IFERROR(VLOOKUP(E992,'cheques a conf'!A:D,4,FALSE),"no clearing")</f>
        <v>no clearing</v>
      </c>
      <c r="N992" s="40">
        <f t="shared" si="465"/>
        <v>34</v>
      </c>
      <c r="O992" s="42">
        <f t="shared" si="466"/>
        <v>8</v>
      </c>
      <c r="P992" s="42">
        <f t="shared" si="467"/>
        <v>2025</v>
      </c>
    </row>
    <row r="993" spans="1:16" x14ac:dyDescent="0.25">
      <c r="A993" s="21">
        <v>3000004838</v>
      </c>
      <c r="B993" s="22">
        <v>45890</v>
      </c>
      <c r="C993" s="20">
        <v>12029850</v>
      </c>
      <c r="D993" s="21" t="s">
        <v>746</v>
      </c>
      <c r="E993" s="21">
        <v>1802</v>
      </c>
      <c r="F993" s="20">
        <v>12029850</v>
      </c>
      <c r="G993" s="22">
        <v>45891</v>
      </c>
      <c r="H993" t="s">
        <v>32</v>
      </c>
      <c r="I993" s="40" t="str">
        <f>IFERROR(IF(VLOOKUP(E993,extracto!C:C,1,FALSE)=E993,"pagado","no pagado"),"no pagado")</f>
        <v>pagado</v>
      </c>
      <c r="J993" s="41" t="str">
        <f t="shared" si="462"/>
        <v>pagado</v>
      </c>
      <c r="K993" s="40" t="str">
        <f t="shared" ca="1" si="463"/>
        <v>excluir</v>
      </c>
      <c r="L993" s="40" t="str">
        <f t="shared" ca="1" si="464"/>
        <v>no semana</v>
      </c>
      <c r="M993" s="40" t="str">
        <f>IFERROR(VLOOKUP(E993,'cheques a conf'!A:D,4,FALSE),"no clearing")</f>
        <v>no clearing</v>
      </c>
      <c r="N993" s="40">
        <f t="shared" si="465"/>
        <v>34</v>
      </c>
      <c r="O993" s="42">
        <f t="shared" si="466"/>
        <v>8</v>
      </c>
      <c r="P993" s="42">
        <f t="shared" si="467"/>
        <v>2025</v>
      </c>
    </row>
    <row r="994" spans="1:16" x14ac:dyDescent="0.25">
      <c r="A994" s="21">
        <v>3000004839</v>
      </c>
      <c r="B994" s="22">
        <v>45890</v>
      </c>
      <c r="C994" s="20">
        <v>10803100</v>
      </c>
      <c r="D994" s="21" t="s">
        <v>658</v>
      </c>
      <c r="E994" s="21">
        <v>1803</v>
      </c>
      <c r="F994" s="20">
        <v>10803100</v>
      </c>
      <c r="G994" s="22">
        <v>45891</v>
      </c>
      <c r="H994" t="s">
        <v>32</v>
      </c>
      <c r="I994" s="40" t="str">
        <f>IFERROR(IF(VLOOKUP(E994,extracto!C:C,1,FALSE)=E994,"pagado","no pagado"),"no pagado")</f>
        <v>pagado</v>
      </c>
      <c r="J994" s="41" t="str">
        <f t="shared" si="462"/>
        <v>pagado</v>
      </c>
      <c r="K994" s="40" t="str">
        <f t="shared" ca="1" si="463"/>
        <v>excluir</v>
      </c>
      <c r="L994" s="40" t="str">
        <f t="shared" ca="1" si="464"/>
        <v>no semana</v>
      </c>
      <c r="M994" s="40" t="str">
        <f>IFERROR(VLOOKUP(E994,'cheques a conf'!A:D,4,FALSE),"no clearing")</f>
        <v>no clearing</v>
      </c>
      <c r="N994" s="40">
        <f t="shared" si="465"/>
        <v>34</v>
      </c>
      <c r="O994" s="42">
        <f t="shared" si="466"/>
        <v>8</v>
      </c>
      <c r="P994" s="42">
        <f t="shared" si="467"/>
        <v>2025</v>
      </c>
    </row>
    <row r="995" spans="1:16" x14ac:dyDescent="0.25">
      <c r="A995" s="21">
        <v>3000004840</v>
      </c>
      <c r="B995" s="22">
        <v>45890</v>
      </c>
      <c r="C995" s="20">
        <v>13000000</v>
      </c>
      <c r="D995" s="21" t="s">
        <v>600</v>
      </c>
      <c r="E995" s="21">
        <v>1804</v>
      </c>
      <c r="F995" s="20">
        <v>13000000</v>
      </c>
      <c r="G995" s="22">
        <v>45891</v>
      </c>
      <c r="H995" t="s">
        <v>32</v>
      </c>
      <c r="I995" s="40" t="str">
        <f>IFERROR(IF(VLOOKUP(E995,extracto!C:C,1,FALSE)=E995,"pagado","no pagado"),"no pagado")</f>
        <v>pagado</v>
      </c>
      <c r="J995" s="41" t="str">
        <f t="shared" si="462"/>
        <v>pagado</v>
      </c>
      <c r="K995" s="40" t="str">
        <f t="shared" ca="1" si="463"/>
        <v>excluir</v>
      </c>
      <c r="L995" s="40" t="str">
        <f t="shared" ca="1" si="464"/>
        <v>no semana</v>
      </c>
      <c r="M995" s="40" t="str">
        <f>IFERROR(VLOOKUP(E995,'cheques a conf'!A:D,4,FALSE),"no clearing")</f>
        <v>no clearing</v>
      </c>
      <c r="N995" s="40">
        <f t="shared" si="465"/>
        <v>34</v>
      </c>
      <c r="O995" s="42">
        <f t="shared" si="466"/>
        <v>8</v>
      </c>
      <c r="P995" s="42">
        <f t="shared" si="467"/>
        <v>2025</v>
      </c>
    </row>
    <row r="996" spans="1:16" x14ac:dyDescent="0.25">
      <c r="A996" s="21">
        <v>3000004840</v>
      </c>
      <c r="B996" s="22">
        <v>45890</v>
      </c>
      <c r="C996" s="20">
        <v>13497240.32</v>
      </c>
      <c r="D996" s="21" t="s">
        <v>600</v>
      </c>
      <c r="E996" s="21">
        <v>1805</v>
      </c>
      <c r="F996" s="20">
        <v>13497240.32</v>
      </c>
      <c r="G996" s="22">
        <v>45894</v>
      </c>
      <c r="H996" t="s">
        <v>32</v>
      </c>
      <c r="I996" s="40" t="str">
        <f>IFERROR(IF(VLOOKUP(E996,extracto!C:C,1,FALSE)=E996,"pagado","no pagado"),"no pagado")</f>
        <v>pagado</v>
      </c>
      <c r="J996" s="41" t="str">
        <f t="shared" si="462"/>
        <v>pagado</v>
      </c>
      <c r="K996" s="40" t="str">
        <f t="shared" ca="1" si="463"/>
        <v>excluir</v>
      </c>
      <c r="L996" s="40" t="str">
        <f t="shared" ca="1" si="464"/>
        <v>no semana</v>
      </c>
      <c r="M996" s="40" t="str">
        <f>IFERROR(VLOOKUP(E996,'cheques a conf'!A:D,4,FALSE),"no clearing")</f>
        <v>no clearing</v>
      </c>
      <c r="N996" s="40">
        <f t="shared" si="465"/>
        <v>35</v>
      </c>
      <c r="O996" s="42">
        <f t="shared" si="466"/>
        <v>8</v>
      </c>
      <c r="P996" s="42">
        <f t="shared" si="467"/>
        <v>2025</v>
      </c>
    </row>
    <row r="997" spans="1:16" x14ac:dyDescent="0.25">
      <c r="A997" s="21">
        <v>3000004841</v>
      </c>
      <c r="B997" s="22">
        <v>45890</v>
      </c>
      <c r="C997" s="20">
        <v>9867424</v>
      </c>
      <c r="D997" s="21" t="s">
        <v>683</v>
      </c>
      <c r="E997" s="21">
        <v>1806</v>
      </c>
      <c r="F997" s="20">
        <v>9867424</v>
      </c>
      <c r="G997" s="22">
        <v>45891</v>
      </c>
      <c r="H997" t="s">
        <v>32</v>
      </c>
      <c r="I997" s="40" t="str">
        <f>IFERROR(IF(VLOOKUP(E997,extracto!C:C,1,FALSE)=E997,"pagado","no pagado"),"no pagado")</f>
        <v>pagado</v>
      </c>
      <c r="J997" s="41" t="str">
        <f t="shared" si="462"/>
        <v>pagado</v>
      </c>
      <c r="K997" s="40" t="str">
        <f t="shared" ca="1" si="463"/>
        <v>excluir</v>
      </c>
      <c r="L997" s="40" t="str">
        <f t="shared" ca="1" si="464"/>
        <v>no semana</v>
      </c>
      <c r="M997" s="40" t="str">
        <f>IFERROR(VLOOKUP(E997,'cheques a conf'!A:D,4,FALSE),"no clearing")</f>
        <v>no clearing</v>
      </c>
      <c r="N997" s="40">
        <f t="shared" si="465"/>
        <v>34</v>
      </c>
      <c r="O997" s="42">
        <f t="shared" si="466"/>
        <v>8</v>
      </c>
      <c r="P997" s="42">
        <f t="shared" si="467"/>
        <v>2025</v>
      </c>
    </row>
    <row r="998" spans="1:16" x14ac:dyDescent="0.25">
      <c r="A998" s="21">
        <v>3000004842</v>
      </c>
      <c r="B998" s="22">
        <v>45890</v>
      </c>
      <c r="C998" s="20">
        <v>14280133.869999999</v>
      </c>
      <c r="D998" s="21" t="s">
        <v>649</v>
      </c>
      <c r="E998" s="21">
        <v>1807</v>
      </c>
      <c r="F998" s="20">
        <v>14280133.869999999</v>
      </c>
      <c r="G998" s="22">
        <v>45891</v>
      </c>
      <c r="H998" t="s">
        <v>32</v>
      </c>
      <c r="I998" s="40" t="str">
        <f>IFERROR(IF(VLOOKUP(E998,extracto!C:C,1,FALSE)=E998,"pagado","no pagado"),"no pagado")</f>
        <v>pagado</v>
      </c>
      <c r="J998" s="41" t="str">
        <f t="shared" si="462"/>
        <v>pagado</v>
      </c>
      <c r="K998" s="40" t="str">
        <f t="shared" ca="1" si="463"/>
        <v>excluir</v>
      </c>
      <c r="L998" s="40" t="str">
        <f t="shared" ca="1" si="464"/>
        <v>no semana</v>
      </c>
      <c r="M998" s="40" t="str">
        <f>IFERROR(VLOOKUP(E998,'cheques a conf'!A:D,4,FALSE),"no clearing")</f>
        <v>no clearing</v>
      </c>
      <c r="N998" s="40">
        <f t="shared" si="465"/>
        <v>34</v>
      </c>
      <c r="O998" s="42">
        <f t="shared" si="466"/>
        <v>8</v>
      </c>
      <c r="P998" s="42">
        <f t="shared" si="467"/>
        <v>2025</v>
      </c>
    </row>
    <row r="999" spans="1:16" x14ac:dyDescent="0.25">
      <c r="A999" s="21">
        <v>3000004843</v>
      </c>
      <c r="B999" s="22">
        <v>45890</v>
      </c>
      <c r="C999" s="20">
        <v>12000000</v>
      </c>
      <c r="D999" s="21" t="s">
        <v>607</v>
      </c>
      <c r="E999" s="21">
        <v>1808</v>
      </c>
      <c r="F999" s="20">
        <v>12000000</v>
      </c>
      <c r="G999" s="22">
        <v>45891</v>
      </c>
      <c r="H999" t="s">
        <v>32</v>
      </c>
      <c r="I999" s="40" t="str">
        <f>IFERROR(IF(VLOOKUP(E999,extracto!C:C,1,FALSE)=E999,"pagado","no pagado"),"no pagado")</f>
        <v>pagado</v>
      </c>
      <c r="J999" s="41" t="str">
        <f t="shared" si="462"/>
        <v>pagado</v>
      </c>
      <c r="K999" s="40" t="str">
        <f t="shared" ca="1" si="463"/>
        <v>excluir</v>
      </c>
      <c r="L999" s="40" t="str">
        <f t="shared" ca="1" si="464"/>
        <v>no semana</v>
      </c>
      <c r="M999" s="40" t="str">
        <f>IFERROR(VLOOKUP(E999,'cheques a conf'!A:D,4,FALSE),"no clearing")</f>
        <v>no clearing</v>
      </c>
      <c r="N999" s="40">
        <f t="shared" si="465"/>
        <v>34</v>
      </c>
      <c r="O999" s="42">
        <f t="shared" si="466"/>
        <v>8</v>
      </c>
      <c r="P999" s="42">
        <f t="shared" si="467"/>
        <v>2025</v>
      </c>
    </row>
    <row r="1000" spans="1:16" x14ac:dyDescent="0.25">
      <c r="A1000" s="21">
        <v>3000004843</v>
      </c>
      <c r="B1000" s="22">
        <v>45890</v>
      </c>
      <c r="C1000" s="20">
        <v>12475857.77</v>
      </c>
      <c r="D1000" s="21" t="s">
        <v>607</v>
      </c>
      <c r="E1000" s="21">
        <v>1809</v>
      </c>
      <c r="F1000" s="20">
        <v>12475857.77</v>
      </c>
      <c r="G1000" s="22">
        <v>45894</v>
      </c>
      <c r="H1000" t="s">
        <v>32</v>
      </c>
      <c r="I1000" s="40" t="str">
        <f>IFERROR(IF(VLOOKUP(E1000,extracto!C:C,1,FALSE)=E1000,"pagado","no pagado"),"no pagado")</f>
        <v>pagado</v>
      </c>
      <c r="J1000" s="41" t="str">
        <f t="shared" si="462"/>
        <v>pagado</v>
      </c>
      <c r="K1000" s="40" t="str">
        <f t="shared" ca="1" si="463"/>
        <v>excluir</v>
      </c>
      <c r="L1000" s="40" t="str">
        <f t="shared" ca="1" si="464"/>
        <v>no semana</v>
      </c>
      <c r="M1000" s="40" t="str">
        <f>IFERROR(VLOOKUP(E1000,'cheques a conf'!A:D,4,FALSE),"no clearing")</f>
        <v>no clearing</v>
      </c>
      <c r="N1000" s="40">
        <f t="shared" si="465"/>
        <v>35</v>
      </c>
      <c r="O1000" s="42">
        <f t="shared" si="466"/>
        <v>8</v>
      </c>
      <c r="P1000" s="42">
        <f t="shared" si="467"/>
        <v>2025</v>
      </c>
    </row>
    <row r="1001" spans="1:16" x14ac:dyDescent="0.25">
      <c r="A1001" s="21">
        <v>3000004844</v>
      </c>
      <c r="B1001" s="22">
        <v>45890</v>
      </c>
      <c r="C1001" s="20">
        <v>15694378.41</v>
      </c>
      <c r="D1001" s="21" t="s">
        <v>700</v>
      </c>
      <c r="E1001" s="21">
        <v>1810</v>
      </c>
      <c r="F1001" s="20">
        <v>15694378.41</v>
      </c>
      <c r="G1001" s="22">
        <v>45891</v>
      </c>
      <c r="H1001" t="s">
        <v>32</v>
      </c>
      <c r="I1001" s="40" t="str">
        <f>IFERROR(IF(VLOOKUP(E1001,extracto!C:C,1,FALSE)=E1001,"pagado","no pagado"),"no pagado")</f>
        <v>pagado</v>
      </c>
      <c r="J1001" s="41" t="str">
        <f t="shared" si="462"/>
        <v>pagado</v>
      </c>
      <c r="K1001" s="40" t="str">
        <f t="shared" ca="1" si="463"/>
        <v>excluir</v>
      </c>
      <c r="L1001" s="40" t="str">
        <f t="shared" ca="1" si="464"/>
        <v>no semana</v>
      </c>
      <c r="M1001" s="40" t="str">
        <f>IFERROR(VLOOKUP(E1001,'cheques a conf'!A:D,4,FALSE),"no clearing")</f>
        <v>no clearing</v>
      </c>
      <c r="N1001" s="40">
        <f t="shared" si="465"/>
        <v>34</v>
      </c>
      <c r="O1001" s="42">
        <f t="shared" si="466"/>
        <v>8</v>
      </c>
      <c r="P1001" s="42">
        <f t="shared" si="467"/>
        <v>2025</v>
      </c>
    </row>
    <row r="1002" spans="1:16" x14ac:dyDescent="0.25">
      <c r="A1002" s="21">
        <v>3000004845</v>
      </c>
      <c r="B1002" s="22">
        <v>45890</v>
      </c>
      <c r="C1002" s="20">
        <v>8305667.9199999999</v>
      </c>
      <c r="D1002" s="21" t="s">
        <v>621</v>
      </c>
      <c r="E1002" s="21">
        <v>1811</v>
      </c>
      <c r="F1002" s="20">
        <v>8305667.9199999999</v>
      </c>
      <c r="G1002" s="22">
        <v>45891</v>
      </c>
      <c r="H1002" t="s">
        <v>32</v>
      </c>
      <c r="I1002" s="40" t="str">
        <f>IFERROR(IF(VLOOKUP(E1002,extracto!C:C,1,FALSE)=E1002,"pagado","no pagado"),"no pagado")</f>
        <v>pagado</v>
      </c>
      <c r="J1002" s="41" t="str">
        <f t="shared" si="462"/>
        <v>pagado</v>
      </c>
      <c r="K1002" s="40" t="str">
        <f t="shared" ca="1" si="463"/>
        <v>excluir</v>
      </c>
      <c r="L1002" s="40" t="str">
        <f t="shared" ca="1" si="464"/>
        <v>no semana</v>
      </c>
      <c r="M1002" s="40" t="str">
        <f>IFERROR(VLOOKUP(E1002,'cheques a conf'!A:D,4,FALSE),"no clearing")</f>
        <v>no clearing</v>
      </c>
      <c r="N1002" s="40">
        <f t="shared" si="465"/>
        <v>34</v>
      </c>
      <c r="O1002" s="42">
        <f t="shared" si="466"/>
        <v>8</v>
      </c>
      <c r="P1002" s="42">
        <f t="shared" si="467"/>
        <v>2025</v>
      </c>
    </row>
    <row r="1003" spans="1:16" x14ac:dyDescent="0.25">
      <c r="A1003" s="21">
        <v>3000004846</v>
      </c>
      <c r="B1003" s="22">
        <v>45890</v>
      </c>
      <c r="C1003" s="20">
        <v>2139990.64</v>
      </c>
      <c r="D1003" s="21" t="s">
        <v>753</v>
      </c>
      <c r="E1003" s="21">
        <v>1812</v>
      </c>
      <c r="F1003" s="20">
        <v>2139990.64</v>
      </c>
      <c r="G1003" s="22">
        <v>45891</v>
      </c>
      <c r="H1003" t="s">
        <v>32</v>
      </c>
      <c r="I1003" s="40" t="str">
        <f>IFERROR(IF(VLOOKUP(E1003,extracto!C:C,1,FALSE)=E1003,"pagado","no pagado"),"no pagado")</f>
        <v>pagado</v>
      </c>
      <c r="J1003" s="41" t="str">
        <f t="shared" si="462"/>
        <v>pagado</v>
      </c>
      <c r="K1003" s="40" t="str">
        <f t="shared" ca="1" si="463"/>
        <v>excluir</v>
      </c>
      <c r="L1003" s="40" t="str">
        <f t="shared" ca="1" si="464"/>
        <v>no semana</v>
      </c>
      <c r="M1003" s="40" t="str">
        <f>IFERROR(VLOOKUP(E1003,'cheques a conf'!A:D,4,FALSE),"no clearing")</f>
        <v>no clearing</v>
      </c>
      <c r="N1003" s="40">
        <f t="shared" si="465"/>
        <v>34</v>
      </c>
      <c r="O1003" s="42">
        <f t="shared" si="466"/>
        <v>8</v>
      </c>
      <c r="P1003" s="42">
        <f t="shared" si="467"/>
        <v>2025</v>
      </c>
    </row>
    <row r="1004" spans="1:16" x14ac:dyDescent="0.25">
      <c r="A1004" s="21">
        <v>3000004847</v>
      </c>
      <c r="B1004" s="22">
        <v>45890</v>
      </c>
      <c r="C1004" s="20">
        <v>14941216.560000001</v>
      </c>
      <c r="D1004" s="21" t="s">
        <v>613</v>
      </c>
      <c r="E1004" s="21">
        <v>1813</v>
      </c>
      <c r="F1004" s="20">
        <v>14941216.560000001</v>
      </c>
      <c r="G1004" s="22">
        <v>45891</v>
      </c>
      <c r="H1004" t="s">
        <v>32</v>
      </c>
      <c r="I1004" s="40" t="str">
        <f>IFERROR(IF(VLOOKUP(E1004,extracto!C:C,1,FALSE)=E1004,"pagado","no pagado"),"no pagado")</f>
        <v>pagado</v>
      </c>
      <c r="J1004" s="41" t="str">
        <f t="shared" si="462"/>
        <v>pagado</v>
      </c>
      <c r="K1004" s="40" t="str">
        <f t="shared" ca="1" si="463"/>
        <v>excluir</v>
      </c>
      <c r="L1004" s="40" t="str">
        <f t="shared" ca="1" si="464"/>
        <v>no semana</v>
      </c>
      <c r="M1004" s="40" t="str">
        <f>IFERROR(VLOOKUP(E1004,'cheques a conf'!A:D,4,FALSE),"no clearing")</f>
        <v>no clearing</v>
      </c>
      <c r="N1004" s="40">
        <f t="shared" si="465"/>
        <v>34</v>
      </c>
      <c r="O1004" s="42">
        <f t="shared" si="466"/>
        <v>8</v>
      </c>
      <c r="P1004" s="42">
        <f t="shared" si="467"/>
        <v>2025</v>
      </c>
    </row>
    <row r="1005" spans="1:16" x14ac:dyDescent="0.25">
      <c r="A1005" s="21">
        <v>3000004848</v>
      </c>
      <c r="B1005" s="22">
        <v>45890</v>
      </c>
      <c r="C1005" s="20">
        <v>2129971.58</v>
      </c>
      <c r="D1005" s="21" t="s">
        <v>612</v>
      </c>
      <c r="E1005" s="21">
        <v>1814</v>
      </c>
      <c r="F1005" s="20">
        <v>2129971.58</v>
      </c>
      <c r="G1005" s="22">
        <v>45891</v>
      </c>
      <c r="H1005" t="s">
        <v>32</v>
      </c>
      <c r="I1005" s="40" t="str">
        <f>IFERROR(IF(VLOOKUP(E1005,extracto!C:C,1,FALSE)=E1005,"pagado","no pagado"),"no pagado")</f>
        <v>pagado</v>
      </c>
      <c r="J1005" s="41" t="str">
        <f t="shared" si="462"/>
        <v>pagado</v>
      </c>
      <c r="K1005" s="40" t="str">
        <f t="shared" ca="1" si="463"/>
        <v>excluir</v>
      </c>
      <c r="L1005" s="40" t="str">
        <f t="shared" ca="1" si="464"/>
        <v>no semana</v>
      </c>
      <c r="M1005" s="40" t="str">
        <f>IFERROR(VLOOKUP(E1005,'cheques a conf'!A:D,4,FALSE),"no clearing")</f>
        <v>no clearing</v>
      </c>
      <c r="N1005" s="40">
        <f t="shared" si="465"/>
        <v>34</v>
      </c>
      <c r="O1005" s="42">
        <f t="shared" si="466"/>
        <v>8</v>
      </c>
      <c r="P1005" s="42">
        <f t="shared" si="467"/>
        <v>2025</v>
      </c>
    </row>
    <row r="1006" spans="1:16" x14ac:dyDescent="0.25">
      <c r="A1006" s="21">
        <v>3000004849</v>
      </c>
      <c r="B1006" s="22">
        <v>45890</v>
      </c>
      <c r="C1006" s="20">
        <v>12699046.73</v>
      </c>
      <c r="D1006" s="21" t="s">
        <v>619</v>
      </c>
      <c r="E1006" s="21">
        <v>1815</v>
      </c>
      <c r="F1006" s="20">
        <v>12699046.73</v>
      </c>
      <c r="G1006" s="22">
        <v>45891</v>
      </c>
      <c r="H1006" t="s">
        <v>32</v>
      </c>
      <c r="I1006" s="40" t="str">
        <f>IFERROR(IF(VLOOKUP(E1006,extracto!C:C,1,FALSE)=E1006,"pagado","no pagado"),"no pagado")</f>
        <v>pagado</v>
      </c>
      <c r="J1006" s="41" t="str">
        <f t="shared" si="462"/>
        <v>pagado</v>
      </c>
      <c r="K1006" s="40" t="str">
        <f t="shared" ca="1" si="463"/>
        <v>excluir</v>
      </c>
      <c r="L1006" s="40" t="str">
        <f t="shared" ca="1" si="464"/>
        <v>no semana</v>
      </c>
      <c r="M1006" s="40" t="str">
        <f>IFERROR(VLOOKUP(E1006,'cheques a conf'!A:D,4,FALSE),"no clearing")</f>
        <v>no clearing</v>
      </c>
      <c r="N1006" s="40">
        <f t="shared" si="465"/>
        <v>34</v>
      </c>
      <c r="O1006" s="42">
        <f t="shared" si="466"/>
        <v>8</v>
      </c>
      <c r="P1006" s="42">
        <f t="shared" si="467"/>
        <v>2025</v>
      </c>
    </row>
    <row r="1007" spans="1:16" x14ac:dyDescent="0.25">
      <c r="A1007" s="21">
        <v>3000004850</v>
      </c>
      <c r="B1007" s="22">
        <v>45890</v>
      </c>
      <c r="C1007" s="20">
        <v>6389914.7400000002</v>
      </c>
      <c r="D1007" s="21" t="s">
        <v>642</v>
      </c>
      <c r="E1007" s="21">
        <v>1816</v>
      </c>
      <c r="F1007" s="20">
        <v>6389914.7400000002</v>
      </c>
      <c r="G1007" s="22">
        <v>45891</v>
      </c>
      <c r="H1007" t="s">
        <v>32</v>
      </c>
      <c r="I1007" s="40" t="str">
        <f>IFERROR(IF(VLOOKUP(E1007,extracto!C:C,1,FALSE)=E1007,"pagado","no pagado"),"no pagado")</f>
        <v>pagado</v>
      </c>
      <c r="J1007" s="41" t="str">
        <f t="shared" si="462"/>
        <v>pagado</v>
      </c>
      <c r="K1007" s="40" t="str">
        <f t="shared" ca="1" si="463"/>
        <v>excluir</v>
      </c>
      <c r="L1007" s="40" t="str">
        <f t="shared" ca="1" si="464"/>
        <v>no semana</v>
      </c>
      <c r="M1007" s="40" t="str">
        <f>IFERROR(VLOOKUP(E1007,'cheques a conf'!A:D,4,FALSE),"no clearing")</f>
        <v>no clearing</v>
      </c>
      <c r="N1007" s="40">
        <f t="shared" si="465"/>
        <v>34</v>
      </c>
      <c r="O1007" s="42">
        <f t="shared" si="466"/>
        <v>8</v>
      </c>
      <c r="P1007" s="42">
        <f t="shared" si="467"/>
        <v>2025</v>
      </c>
    </row>
    <row r="1008" spans="1:16" x14ac:dyDescent="0.25">
      <c r="A1008" s="21">
        <v>3000004851</v>
      </c>
      <c r="B1008" s="22">
        <v>45890</v>
      </c>
      <c r="C1008" s="20">
        <v>2161718.38</v>
      </c>
      <c r="D1008" s="21" t="s">
        <v>736</v>
      </c>
      <c r="E1008" s="21">
        <v>1817</v>
      </c>
      <c r="F1008" s="20">
        <v>2161718.38</v>
      </c>
      <c r="G1008" s="22">
        <v>45891</v>
      </c>
      <c r="H1008" t="s">
        <v>32</v>
      </c>
      <c r="I1008" s="40" t="str">
        <f>IFERROR(IF(VLOOKUP(E1008,extracto!C:C,1,FALSE)=E1008,"pagado","no pagado"),"no pagado")</f>
        <v>no pagado</v>
      </c>
      <c r="J1008" s="41" t="str">
        <f t="shared" ca="1" si="462"/>
        <v>fuera de fecha</v>
      </c>
      <c r="K1008" s="40" t="str">
        <f t="shared" ca="1" si="463"/>
        <v>excluir</v>
      </c>
      <c r="L1008" s="40" t="str">
        <f t="shared" ca="1" si="464"/>
        <v>no semana</v>
      </c>
      <c r="M1008" s="40" t="str">
        <f>IFERROR(VLOOKUP(E1008,'cheques a conf'!A:D,4,FALSE),"no clearing")</f>
        <v>no clearing</v>
      </c>
      <c r="N1008" s="40">
        <f t="shared" si="465"/>
        <v>34</v>
      </c>
      <c r="O1008" s="42">
        <f t="shared" si="466"/>
        <v>8</v>
      </c>
      <c r="P1008" s="42">
        <f t="shared" si="467"/>
        <v>2025</v>
      </c>
    </row>
    <row r="1009" spans="1:16" x14ac:dyDescent="0.25">
      <c r="A1009" s="21">
        <v>3000004852</v>
      </c>
      <c r="B1009" s="22">
        <v>45890</v>
      </c>
      <c r="C1009" s="20">
        <v>7155216.3899999997</v>
      </c>
      <c r="D1009" s="21" t="s">
        <v>663</v>
      </c>
      <c r="E1009" s="21">
        <v>1818</v>
      </c>
      <c r="F1009" s="20">
        <v>7155216.3899999997</v>
      </c>
      <c r="G1009" s="22">
        <v>45891</v>
      </c>
      <c r="H1009" t="s">
        <v>32</v>
      </c>
      <c r="I1009" s="40" t="str">
        <f>IFERROR(IF(VLOOKUP(E1009,extracto!C:C,1,FALSE)=E1009,"pagado","no pagado"),"no pagado")</f>
        <v>pagado</v>
      </c>
      <c r="J1009" s="41" t="str">
        <f t="shared" si="462"/>
        <v>pagado</v>
      </c>
      <c r="K1009" s="40" t="str">
        <f t="shared" ca="1" si="463"/>
        <v>excluir</v>
      </c>
      <c r="L1009" s="40" t="str">
        <f t="shared" ca="1" si="464"/>
        <v>no semana</v>
      </c>
      <c r="M1009" s="40" t="str">
        <f>IFERROR(VLOOKUP(E1009,'cheques a conf'!A:D,4,FALSE),"no clearing")</f>
        <v>no clearing</v>
      </c>
      <c r="N1009" s="40">
        <f t="shared" si="465"/>
        <v>34</v>
      </c>
      <c r="O1009" s="42">
        <f t="shared" si="466"/>
        <v>8</v>
      </c>
      <c r="P1009" s="42">
        <f t="shared" si="467"/>
        <v>2025</v>
      </c>
    </row>
    <row r="1010" spans="1:16" x14ac:dyDescent="0.25">
      <c r="A1010" s="21">
        <v>3000004853</v>
      </c>
      <c r="B1010" s="22">
        <v>45890</v>
      </c>
      <c r="C1010" s="20">
        <v>3981049.7</v>
      </c>
      <c r="D1010" s="21" t="s">
        <v>716</v>
      </c>
      <c r="E1010" s="21">
        <v>1819</v>
      </c>
      <c r="F1010" s="20">
        <v>3981049.7</v>
      </c>
      <c r="G1010" s="22">
        <v>45891</v>
      </c>
      <c r="H1010" t="s">
        <v>32</v>
      </c>
      <c r="I1010" s="40" t="str">
        <f>IFERROR(IF(VLOOKUP(E1010,extracto!C:C,1,FALSE)=E1010,"pagado","no pagado"),"no pagado")</f>
        <v>pagado</v>
      </c>
      <c r="J1010" s="41" t="str">
        <f t="shared" si="462"/>
        <v>pagado</v>
      </c>
      <c r="K1010" s="40" t="str">
        <f t="shared" ca="1" si="463"/>
        <v>excluir</v>
      </c>
      <c r="L1010" s="40" t="str">
        <f t="shared" ca="1" si="464"/>
        <v>no semana</v>
      </c>
      <c r="M1010" s="40" t="str">
        <f>IFERROR(VLOOKUP(E1010,'cheques a conf'!A:D,4,FALSE),"no clearing")</f>
        <v>no clearing</v>
      </c>
      <c r="N1010" s="40">
        <f t="shared" si="465"/>
        <v>34</v>
      </c>
      <c r="O1010" s="42">
        <f t="shared" si="466"/>
        <v>8</v>
      </c>
      <c r="P1010" s="42">
        <f t="shared" si="467"/>
        <v>2025</v>
      </c>
    </row>
    <row r="1011" spans="1:16" x14ac:dyDescent="0.25">
      <c r="A1011" s="21">
        <v>3000004854</v>
      </c>
      <c r="B1011" s="22">
        <v>45890</v>
      </c>
      <c r="C1011" s="20">
        <v>8848360.9199999999</v>
      </c>
      <c r="D1011" s="21" t="s">
        <v>675</v>
      </c>
      <c r="E1011" s="21">
        <v>1820</v>
      </c>
      <c r="F1011" s="20">
        <v>8848360.9199999999</v>
      </c>
      <c r="G1011" s="22">
        <v>45891</v>
      </c>
      <c r="H1011" t="s">
        <v>32</v>
      </c>
      <c r="I1011" s="40" t="str">
        <f>IFERROR(IF(VLOOKUP(E1011,extracto!C:C,1,FALSE)=E1011,"pagado","no pagado"),"no pagado")</f>
        <v>pagado</v>
      </c>
      <c r="J1011" s="41" t="str">
        <f t="shared" si="462"/>
        <v>pagado</v>
      </c>
      <c r="K1011" s="40" t="str">
        <f t="shared" ca="1" si="463"/>
        <v>excluir</v>
      </c>
      <c r="L1011" s="40" t="str">
        <f t="shared" ca="1" si="464"/>
        <v>no semana</v>
      </c>
      <c r="M1011" s="40" t="str">
        <f>IFERROR(VLOOKUP(E1011,'cheques a conf'!A:D,4,FALSE),"no clearing")</f>
        <v>no clearing</v>
      </c>
      <c r="N1011" s="40">
        <f t="shared" si="465"/>
        <v>34</v>
      </c>
      <c r="O1011" s="42">
        <f t="shared" si="466"/>
        <v>8</v>
      </c>
      <c r="P1011" s="42">
        <f t="shared" si="467"/>
        <v>2025</v>
      </c>
    </row>
    <row r="1012" spans="1:16" x14ac:dyDescent="0.25">
      <c r="A1012" s="21">
        <v>3000004855</v>
      </c>
      <c r="B1012" s="22">
        <v>45890</v>
      </c>
      <c r="C1012" s="20">
        <v>7216832.25</v>
      </c>
      <c r="D1012" s="21" t="s">
        <v>708</v>
      </c>
      <c r="E1012" s="21">
        <v>1821</v>
      </c>
      <c r="F1012" s="20">
        <v>7216832.25</v>
      </c>
      <c r="G1012" s="22">
        <v>45891</v>
      </c>
      <c r="H1012" t="s">
        <v>32</v>
      </c>
      <c r="I1012" s="40" t="str">
        <f>IFERROR(IF(VLOOKUP(E1012,extracto!C:C,1,FALSE)=E1012,"pagado","no pagado"),"no pagado")</f>
        <v>pagado</v>
      </c>
      <c r="J1012" s="41" t="str">
        <f t="shared" si="462"/>
        <v>pagado</v>
      </c>
      <c r="K1012" s="40" t="str">
        <f t="shared" ca="1" si="463"/>
        <v>excluir</v>
      </c>
      <c r="L1012" s="40" t="str">
        <f t="shared" ca="1" si="464"/>
        <v>no semana</v>
      </c>
      <c r="M1012" s="40" t="str">
        <f>IFERROR(VLOOKUP(E1012,'cheques a conf'!A:D,4,FALSE),"no clearing")</f>
        <v>no clearing</v>
      </c>
      <c r="N1012" s="40">
        <f t="shared" si="465"/>
        <v>34</v>
      </c>
      <c r="O1012" s="42">
        <f t="shared" si="466"/>
        <v>8</v>
      </c>
      <c r="P1012" s="42">
        <f t="shared" si="467"/>
        <v>2025</v>
      </c>
    </row>
    <row r="1013" spans="1:16" x14ac:dyDescent="0.25">
      <c r="A1013" s="21">
        <v>3000004856</v>
      </c>
      <c r="B1013" s="22">
        <v>45890</v>
      </c>
      <c r="C1013" s="20">
        <v>11157973.68</v>
      </c>
      <c r="D1013" s="21" t="s">
        <v>657</v>
      </c>
      <c r="E1013" s="21">
        <v>1822</v>
      </c>
      <c r="F1013" s="20">
        <v>11157973.68</v>
      </c>
      <c r="G1013" s="22">
        <v>45891</v>
      </c>
      <c r="H1013" t="s">
        <v>32</v>
      </c>
      <c r="I1013" s="40" t="str">
        <f>IFERROR(IF(VLOOKUP(E1013,extracto!C:C,1,FALSE)=E1013,"pagado","no pagado"),"no pagado")</f>
        <v>pagado</v>
      </c>
      <c r="J1013" s="41" t="str">
        <f t="shared" ref="J1013" si="468">IF(I1013="pagado","pagado",IF(G1013&lt;$V$1-30,"fuera de fecha","en periodo de pago"))</f>
        <v>pagado</v>
      </c>
      <c r="K1013" s="40" t="str">
        <f t="shared" ref="K1013" ca="1" si="469">+IF(B1013&gt;$V$1,"excluir",IF(J1013="en periodo de pago",IF($V$1&gt;G1013,"a pagar","proximo a vencer"),"excluir"))</f>
        <v>excluir</v>
      </c>
      <c r="L1013" s="40" t="str">
        <f t="shared" ref="L1013" ca="1" si="470">+IF(K1013="proximo a vencer",IF($V$1+5&gt;G1013,"para la semana","no semana"),"no semana")</f>
        <v>no semana</v>
      </c>
      <c r="M1013" s="40" t="str">
        <f>IFERROR(VLOOKUP(E1013,'cheques a conf'!A:D,4,FALSE),"no clearing")</f>
        <v>no clearing</v>
      </c>
      <c r="N1013" s="40">
        <f t="shared" ref="N1013" si="471">+WEEKNUM(G1013,2)</f>
        <v>34</v>
      </c>
      <c r="O1013" s="42">
        <f t="shared" ref="O1013" si="472">+MONTH(G1013)</f>
        <v>8</v>
      </c>
      <c r="P1013" s="42">
        <f t="shared" ref="P1013" si="473">+YEAR(G1013)</f>
        <v>2025</v>
      </c>
    </row>
    <row r="1014" spans="1:16" x14ac:dyDescent="0.25">
      <c r="A1014" s="21">
        <v>3000004857</v>
      </c>
      <c r="B1014" s="22">
        <v>45890</v>
      </c>
      <c r="C1014" s="20">
        <v>5170276.4800000004</v>
      </c>
      <c r="D1014" s="21" t="s">
        <v>676</v>
      </c>
      <c r="E1014" s="21">
        <v>1823</v>
      </c>
      <c r="F1014" s="20">
        <v>5170276.4800000004</v>
      </c>
      <c r="G1014" s="22">
        <v>45891</v>
      </c>
      <c r="H1014" t="s">
        <v>32</v>
      </c>
      <c r="I1014" s="40" t="str">
        <f>IFERROR(IF(VLOOKUP(E1014,extracto!C:C,1,FALSE)=E1014,"pagado","no pagado"),"no pagado")</f>
        <v>pagado</v>
      </c>
      <c r="J1014" s="41" t="str">
        <f t="shared" ref="J1014:J1015" si="474">IF(I1014="pagado","pagado",IF(G1014&lt;$V$1-30,"fuera de fecha","en periodo de pago"))</f>
        <v>pagado</v>
      </c>
      <c r="K1014" s="40" t="str">
        <f t="shared" ref="K1014:K1015" ca="1" si="475">+IF(B1014&gt;$V$1,"excluir",IF(J1014="en periodo de pago",IF($V$1&gt;G1014,"a pagar","proximo a vencer"),"excluir"))</f>
        <v>excluir</v>
      </c>
      <c r="L1014" s="40" t="str">
        <f t="shared" ref="L1014:L1015" ca="1" si="476">+IF(K1014="proximo a vencer",IF($V$1+5&gt;G1014,"para la semana","no semana"),"no semana")</f>
        <v>no semana</v>
      </c>
      <c r="M1014" s="40" t="str">
        <f>IFERROR(VLOOKUP(E1014,'cheques a conf'!A:D,4,FALSE),"no clearing")</f>
        <v>no clearing</v>
      </c>
      <c r="N1014" s="40">
        <f t="shared" ref="N1014:N1015" si="477">+WEEKNUM(G1014,2)</f>
        <v>34</v>
      </c>
      <c r="O1014" s="42">
        <f t="shared" ref="O1014:O1015" si="478">+MONTH(G1014)</f>
        <v>8</v>
      </c>
      <c r="P1014" s="42">
        <f t="shared" ref="P1014:P1015" si="479">+YEAR(G1014)</f>
        <v>2025</v>
      </c>
    </row>
    <row r="1015" spans="1:16" x14ac:dyDescent="0.25">
      <c r="A1015" s="21">
        <v>3000004858</v>
      </c>
      <c r="B1015" s="22">
        <v>45890</v>
      </c>
      <c r="C1015" s="20">
        <v>1968921.02</v>
      </c>
      <c r="D1015" s="21" t="s">
        <v>693</v>
      </c>
      <c r="E1015" s="21">
        <v>1824</v>
      </c>
      <c r="F1015" s="20">
        <v>1968921.02</v>
      </c>
      <c r="G1015" s="22">
        <v>45891</v>
      </c>
      <c r="H1015" t="s">
        <v>32</v>
      </c>
      <c r="I1015" s="40" t="str">
        <f>IFERROR(IF(VLOOKUP(E1015,extracto!C:C,1,FALSE)=E1015,"pagado","no pagado"),"no pagado")</f>
        <v>pagado</v>
      </c>
      <c r="J1015" s="41" t="str">
        <f t="shared" si="474"/>
        <v>pagado</v>
      </c>
      <c r="K1015" s="40" t="str">
        <f t="shared" ca="1" si="475"/>
        <v>excluir</v>
      </c>
      <c r="L1015" s="40" t="str">
        <f t="shared" ca="1" si="476"/>
        <v>no semana</v>
      </c>
      <c r="M1015" s="40" t="str">
        <f>IFERROR(VLOOKUP(E1015,'cheques a conf'!A:D,4,FALSE),"no clearing")</f>
        <v>no clearing</v>
      </c>
      <c r="N1015" s="40">
        <f t="shared" si="477"/>
        <v>34</v>
      </c>
      <c r="O1015" s="42">
        <f t="shared" si="478"/>
        <v>8</v>
      </c>
      <c r="P1015" s="42">
        <f t="shared" si="479"/>
        <v>2025</v>
      </c>
    </row>
    <row r="1016" spans="1:16" x14ac:dyDescent="0.25">
      <c r="A1016" s="21">
        <v>3000004859</v>
      </c>
      <c r="B1016" s="22">
        <v>45890</v>
      </c>
      <c r="C1016" s="20">
        <v>3767936.24</v>
      </c>
      <c r="D1016" s="21" t="s">
        <v>673</v>
      </c>
      <c r="E1016" s="21">
        <v>1825</v>
      </c>
      <c r="F1016" s="20">
        <v>3767936.24</v>
      </c>
      <c r="G1016" s="22">
        <v>45891</v>
      </c>
      <c r="H1016" t="s">
        <v>32</v>
      </c>
      <c r="I1016" s="40" t="str">
        <f>IFERROR(IF(VLOOKUP(E1016,extracto!C:C,1,FALSE)=E1016,"pagado","no pagado"),"no pagado")</f>
        <v>pagado</v>
      </c>
      <c r="J1016" s="41" t="str">
        <f t="shared" ref="J1016:J1071" si="480">IF(I1016="pagado","pagado",IF(G1016&lt;$V$1-30,"fuera de fecha","en periodo de pago"))</f>
        <v>pagado</v>
      </c>
      <c r="K1016" s="40" t="str">
        <f t="shared" ref="K1016:K1071" ca="1" si="481">+IF(B1016&gt;$V$1,"excluir",IF(J1016="en periodo de pago",IF($V$1&gt;G1016,"a pagar","proximo a vencer"),"excluir"))</f>
        <v>excluir</v>
      </c>
      <c r="L1016" s="40" t="str">
        <f t="shared" ref="L1016:L1071" ca="1" si="482">+IF(K1016="proximo a vencer",IF($V$1+5&gt;G1016,"para la semana","no semana"),"no semana")</f>
        <v>no semana</v>
      </c>
      <c r="M1016" s="40" t="str">
        <f>IFERROR(VLOOKUP(E1016,'cheques a conf'!A:D,4,FALSE),"no clearing")</f>
        <v>no clearing</v>
      </c>
      <c r="N1016" s="40">
        <f t="shared" ref="N1016:N1071" si="483">+WEEKNUM(G1016,2)</f>
        <v>34</v>
      </c>
      <c r="O1016" s="42">
        <f t="shared" ref="O1016:O1071" si="484">+MONTH(G1016)</f>
        <v>8</v>
      </c>
      <c r="P1016" s="42">
        <f t="shared" ref="P1016:P1071" si="485">+YEAR(G1016)</f>
        <v>2025</v>
      </c>
    </row>
    <row r="1017" spans="1:16" x14ac:dyDescent="0.25">
      <c r="A1017" s="21">
        <v>3000004860</v>
      </c>
      <c r="B1017" s="22">
        <v>45890</v>
      </c>
      <c r="C1017" s="20">
        <v>2400997.89</v>
      </c>
      <c r="D1017" s="21" t="s">
        <v>678</v>
      </c>
      <c r="E1017" s="21">
        <v>1826</v>
      </c>
      <c r="F1017" s="20">
        <v>2400997.89</v>
      </c>
      <c r="G1017" s="22">
        <v>45891</v>
      </c>
      <c r="H1017" t="s">
        <v>32</v>
      </c>
      <c r="I1017" s="40" t="str">
        <f>IFERROR(IF(VLOOKUP(E1017,extracto!C:C,1,FALSE)=E1017,"pagado","no pagado"),"no pagado")</f>
        <v>pagado</v>
      </c>
      <c r="J1017" s="41" t="str">
        <f t="shared" si="480"/>
        <v>pagado</v>
      </c>
      <c r="K1017" s="40" t="str">
        <f t="shared" ca="1" si="481"/>
        <v>excluir</v>
      </c>
      <c r="L1017" s="40" t="str">
        <f t="shared" ca="1" si="482"/>
        <v>no semana</v>
      </c>
      <c r="M1017" s="40" t="str">
        <f>IFERROR(VLOOKUP(E1017,'cheques a conf'!A:D,4,FALSE),"no clearing")</f>
        <v>no clearing</v>
      </c>
      <c r="N1017" s="40">
        <f t="shared" si="483"/>
        <v>34</v>
      </c>
      <c r="O1017" s="42">
        <f t="shared" si="484"/>
        <v>8</v>
      </c>
      <c r="P1017" s="42">
        <f t="shared" si="485"/>
        <v>2025</v>
      </c>
    </row>
    <row r="1018" spans="1:16" x14ac:dyDescent="0.25">
      <c r="A1018" s="21">
        <v>3000004861</v>
      </c>
      <c r="B1018" s="22">
        <v>45890</v>
      </c>
      <c r="C1018" s="20">
        <v>2776610.24</v>
      </c>
      <c r="D1018" s="21" t="s">
        <v>702</v>
      </c>
      <c r="E1018" s="21">
        <v>1827</v>
      </c>
      <c r="F1018" s="20">
        <v>2776610.24</v>
      </c>
      <c r="G1018" s="22">
        <v>45891</v>
      </c>
      <c r="H1018" t="s">
        <v>32</v>
      </c>
      <c r="I1018" s="40" t="str">
        <f>IFERROR(IF(VLOOKUP(E1018,extracto!C:C,1,FALSE)=E1018,"pagado","no pagado"),"no pagado")</f>
        <v>pagado</v>
      </c>
      <c r="J1018" s="41" t="str">
        <f t="shared" si="480"/>
        <v>pagado</v>
      </c>
      <c r="K1018" s="40" t="str">
        <f t="shared" ca="1" si="481"/>
        <v>excluir</v>
      </c>
      <c r="L1018" s="40" t="str">
        <f t="shared" ca="1" si="482"/>
        <v>no semana</v>
      </c>
      <c r="M1018" s="40" t="str">
        <f>IFERROR(VLOOKUP(E1018,'cheques a conf'!A:D,4,FALSE),"no clearing")</f>
        <v>no clearing</v>
      </c>
      <c r="N1018" s="40">
        <f t="shared" si="483"/>
        <v>34</v>
      </c>
      <c r="O1018" s="42">
        <f t="shared" si="484"/>
        <v>8</v>
      </c>
      <c r="P1018" s="42">
        <f t="shared" si="485"/>
        <v>2025</v>
      </c>
    </row>
    <row r="1019" spans="1:16" x14ac:dyDescent="0.25">
      <c r="A1019" s="21">
        <v>3000004862</v>
      </c>
      <c r="B1019" s="22">
        <v>45890</v>
      </c>
      <c r="C1019" s="20">
        <v>11721546.68</v>
      </c>
      <c r="D1019" s="21" t="s">
        <v>654</v>
      </c>
      <c r="E1019" s="21">
        <v>1828</v>
      </c>
      <c r="F1019" s="20">
        <v>11721546.68</v>
      </c>
      <c r="G1019" s="22">
        <v>45891</v>
      </c>
      <c r="H1019" t="s">
        <v>32</v>
      </c>
      <c r="I1019" s="40" t="str">
        <f>IFERROR(IF(VLOOKUP(E1019,extracto!C:C,1,FALSE)=E1019,"pagado","no pagado"),"no pagado")</f>
        <v>pagado</v>
      </c>
      <c r="J1019" s="41" t="str">
        <f t="shared" si="480"/>
        <v>pagado</v>
      </c>
      <c r="K1019" s="40" t="str">
        <f t="shared" ca="1" si="481"/>
        <v>excluir</v>
      </c>
      <c r="L1019" s="40" t="str">
        <f t="shared" ca="1" si="482"/>
        <v>no semana</v>
      </c>
      <c r="M1019" s="40" t="str">
        <f>IFERROR(VLOOKUP(E1019,'cheques a conf'!A:D,4,FALSE),"no clearing")</f>
        <v>no clearing</v>
      </c>
      <c r="N1019" s="40">
        <f t="shared" si="483"/>
        <v>34</v>
      </c>
      <c r="O1019" s="42">
        <f t="shared" si="484"/>
        <v>8</v>
      </c>
      <c r="P1019" s="42">
        <f t="shared" si="485"/>
        <v>2025</v>
      </c>
    </row>
    <row r="1020" spans="1:16" x14ac:dyDescent="0.25">
      <c r="A1020" s="21">
        <v>3000003969</v>
      </c>
      <c r="B1020" s="22">
        <v>45890</v>
      </c>
      <c r="C1020" s="20">
        <v>12774443.960000001</v>
      </c>
      <c r="D1020" s="21" t="s">
        <v>619</v>
      </c>
      <c r="E1020" s="21">
        <v>1829</v>
      </c>
      <c r="F1020" s="20">
        <v>12774443.960000001</v>
      </c>
      <c r="G1020" s="22">
        <v>45894</v>
      </c>
      <c r="H1020" t="s">
        <v>32</v>
      </c>
      <c r="I1020" s="40" t="str">
        <f>IFERROR(IF(VLOOKUP(E1020,extracto!C:C,1,FALSE)=E1020,"pagado","no pagado"),"no pagado")</f>
        <v>pagado</v>
      </c>
      <c r="J1020" s="41" t="str">
        <f t="shared" si="480"/>
        <v>pagado</v>
      </c>
      <c r="K1020" s="40" t="str">
        <f t="shared" ca="1" si="481"/>
        <v>excluir</v>
      </c>
      <c r="L1020" s="40" t="str">
        <f t="shared" ca="1" si="482"/>
        <v>no semana</v>
      </c>
      <c r="M1020" s="40" t="str">
        <f>IFERROR(VLOOKUP(E1020,'cheques a conf'!A:D,4,FALSE),"no clearing")</f>
        <v>no clearing</v>
      </c>
      <c r="N1020" s="40">
        <f t="shared" si="483"/>
        <v>35</v>
      </c>
      <c r="O1020" s="42">
        <f t="shared" si="484"/>
        <v>8</v>
      </c>
      <c r="P1020" s="42">
        <f t="shared" si="485"/>
        <v>2025</v>
      </c>
    </row>
    <row r="1021" spans="1:16" x14ac:dyDescent="0.25">
      <c r="A1021" s="21">
        <v>3000003819</v>
      </c>
      <c r="B1021" s="22">
        <v>45890</v>
      </c>
      <c r="C1021" s="20">
        <v>8343246.1399999997</v>
      </c>
      <c r="D1021" s="21" t="s">
        <v>623</v>
      </c>
      <c r="E1021" s="21">
        <v>1830</v>
      </c>
      <c r="F1021" s="20">
        <v>8343246.1399999997</v>
      </c>
      <c r="G1021" s="22">
        <v>45894</v>
      </c>
      <c r="H1021" t="s">
        <v>32</v>
      </c>
      <c r="I1021" s="40" t="str">
        <f>IFERROR(IF(VLOOKUP(E1021,extracto!C:C,1,FALSE)=E1021,"pagado","no pagado"),"no pagado")</f>
        <v>pagado</v>
      </c>
      <c r="J1021" s="41" t="str">
        <f t="shared" si="480"/>
        <v>pagado</v>
      </c>
      <c r="K1021" s="40" t="str">
        <f t="shared" ca="1" si="481"/>
        <v>excluir</v>
      </c>
      <c r="L1021" s="40" t="str">
        <f t="shared" ca="1" si="482"/>
        <v>no semana</v>
      </c>
      <c r="M1021" s="40" t="str">
        <f>IFERROR(VLOOKUP(E1021,'cheques a conf'!A:D,4,FALSE),"no clearing")</f>
        <v>no clearing</v>
      </c>
      <c r="N1021" s="40">
        <f t="shared" si="483"/>
        <v>35</v>
      </c>
      <c r="O1021" s="42">
        <f t="shared" si="484"/>
        <v>8</v>
      </c>
      <c r="P1021" s="42">
        <f t="shared" si="485"/>
        <v>2025</v>
      </c>
    </row>
    <row r="1022" spans="1:16" x14ac:dyDescent="0.25">
      <c r="A1022" s="21">
        <v>3000003816</v>
      </c>
      <c r="B1022" s="22">
        <v>45890</v>
      </c>
      <c r="C1022" s="20">
        <v>10000000</v>
      </c>
      <c r="D1022" s="21" t="s">
        <v>619</v>
      </c>
      <c r="E1022" s="21">
        <v>1831</v>
      </c>
      <c r="F1022" s="20">
        <v>10000000</v>
      </c>
      <c r="G1022" s="22">
        <v>45894</v>
      </c>
      <c r="H1022" t="s">
        <v>32</v>
      </c>
      <c r="I1022" s="40" t="str">
        <f>IFERROR(IF(VLOOKUP(E1022,extracto!C:C,1,FALSE)=E1022,"pagado","no pagado"),"no pagado")</f>
        <v>pagado</v>
      </c>
      <c r="J1022" s="41" t="str">
        <f t="shared" si="480"/>
        <v>pagado</v>
      </c>
      <c r="K1022" s="40" t="str">
        <f t="shared" ca="1" si="481"/>
        <v>excluir</v>
      </c>
      <c r="L1022" s="40" t="str">
        <f t="shared" ca="1" si="482"/>
        <v>no semana</v>
      </c>
      <c r="M1022" s="40" t="str">
        <f>IFERROR(VLOOKUP(E1022,'cheques a conf'!A:D,4,FALSE),"no clearing")</f>
        <v>no clearing</v>
      </c>
      <c r="N1022" s="40">
        <f t="shared" si="483"/>
        <v>35</v>
      </c>
      <c r="O1022" s="42">
        <f t="shared" si="484"/>
        <v>8</v>
      </c>
      <c r="P1022" s="42">
        <f t="shared" si="485"/>
        <v>2025</v>
      </c>
    </row>
    <row r="1023" spans="1:16" x14ac:dyDescent="0.25">
      <c r="A1023" s="21">
        <v>3000003309</v>
      </c>
      <c r="B1023" s="22">
        <v>45890</v>
      </c>
      <c r="C1023" s="20">
        <v>3895201.33</v>
      </c>
      <c r="D1023" s="21" t="s">
        <v>716</v>
      </c>
      <c r="E1023" s="21">
        <v>1832</v>
      </c>
      <c r="F1023" s="20">
        <v>3895201.33</v>
      </c>
      <c r="G1023" s="22">
        <v>45894</v>
      </c>
      <c r="H1023" t="s">
        <v>32</v>
      </c>
      <c r="I1023" s="40" t="str">
        <f>IFERROR(IF(VLOOKUP(E1023,extracto!C:C,1,FALSE)=E1023,"pagado","no pagado"),"no pagado")</f>
        <v>pagado</v>
      </c>
      <c r="J1023" s="41" t="str">
        <f t="shared" si="480"/>
        <v>pagado</v>
      </c>
      <c r="K1023" s="40" t="str">
        <f t="shared" ca="1" si="481"/>
        <v>excluir</v>
      </c>
      <c r="L1023" s="40" t="str">
        <f t="shared" ca="1" si="482"/>
        <v>no semana</v>
      </c>
      <c r="M1023" s="40" t="str">
        <f>IFERROR(VLOOKUP(E1023,'cheques a conf'!A:D,4,FALSE),"no clearing")</f>
        <v>no clearing</v>
      </c>
      <c r="N1023" s="40">
        <f t="shared" si="483"/>
        <v>35</v>
      </c>
      <c r="O1023" s="42">
        <f t="shared" si="484"/>
        <v>8</v>
      </c>
      <c r="P1023" s="42">
        <f t="shared" si="485"/>
        <v>2025</v>
      </c>
    </row>
    <row r="1024" spans="1:16" x14ac:dyDescent="0.25">
      <c r="A1024" s="21">
        <v>3000004896</v>
      </c>
      <c r="B1024" s="22">
        <v>45890</v>
      </c>
      <c r="C1024" s="20">
        <v>1362379.94</v>
      </c>
      <c r="D1024" s="21" t="s">
        <v>659</v>
      </c>
      <c r="E1024" s="21">
        <v>40272971</v>
      </c>
      <c r="F1024" s="20">
        <v>1362379.94</v>
      </c>
      <c r="G1024" s="22">
        <v>45894</v>
      </c>
      <c r="H1024" t="s">
        <v>79</v>
      </c>
      <c r="I1024" s="40" t="str">
        <f>IFERROR(IF(VLOOKUP(E1024,extracto!C:C,1,FALSE)=E1024,"pagado","no pagado"),"no pagado")</f>
        <v>pagado</v>
      </c>
      <c r="J1024" s="41" t="str">
        <f t="shared" si="480"/>
        <v>pagado</v>
      </c>
      <c r="K1024" s="40" t="str">
        <f t="shared" ca="1" si="481"/>
        <v>excluir</v>
      </c>
      <c r="L1024" s="40" t="str">
        <f t="shared" ca="1" si="482"/>
        <v>no semana</v>
      </c>
      <c r="M1024" s="40" t="str">
        <f>IFERROR(VLOOKUP(E1024,'cheques a conf'!A:D,4,FALSE),"no clearing")</f>
        <v>no clearing</v>
      </c>
      <c r="N1024" s="40">
        <f t="shared" si="483"/>
        <v>35</v>
      </c>
      <c r="O1024" s="42">
        <f t="shared" si="484"/>
        <v>8</v>
      </c>
      <c r="P1024" s="42">
        <f t="shared" si="485"/>
        <v>2025</v>
      </c>
    </row>
    <row r="1025" spans="1:16" x14ac:dyDescent="0.25">
      <c r="A1025" s="21">
        <v>3000004897</v>
      </c>
      <c r="B1025" s="22">
        <v>45891</v>
      </c>
      <c r="C1025" s="20">
        <v>15620310.99</v>
      </c>
      <c r="D1025" s="21" t="s">
        <v>754</v>
      </c>
      <c r="E1025" s="21">
        <v>40272972</v>
      </c>
      <c r="F1025" s="20">
        <v>15620310.99</v>
      </c>
      <c r="G1025" s="22">
        <v>45894</v>
      </c>
      <c r="H1025" t="s">
        <v>79</v>
      </c>
      <c r="I1025" s="40" t="str">
        <f>IFERROR(IF(VLOOKUP(E1025,extracto!C:C,1,FALSE)=E1025,"pagado","no pagado"),"no pagado")</f>
        <v>pagado</v>
      </c>
      <c r="J1025" s="41" t="str">
        <f t="shared" si="480"/>
        <v>pagado</v>
      </c>
      <c r="K1025" s="40" t="str">
        <f t="shared" ca="1" si="481"/>
        <v>excluir</v>
      </c>
      <c r="L1025" s="40" t="str">
        <f t="shared" ca="1" si="482"/>
        <v>no semana</v>
      </c>
      <c r="M1025" s="40" t="str">
        <f>IFERROR(VLOOKUP(E1025,'cheques a conf'!A:D,4,FALSE),"no clearing")</f>
        <v>no clearing</v>
      </c>
      <c r="N1025" s="40">
        <f t="shared" si="483"/>
        <v>35</v>
      </c>
      <c r="O1025" s="42">
        <f t="shared" si="484"/>
        <v>8</v>
      </c>
      <c r="P1025" s="42">
        <f t="shared" si="485"/>
        <v>2025</v>
      </c>
    </row>
    <row r="1026" spans="1:16" x14ac:dyDescent="0.25">
      <c r="A1026" s="21">
        <v>3000004946</v>
      </c>
      <c r="B1026" s="22">
        <v>45894</v>
      </c>
      <c r="C1026" s="20">
        <v>2500000</v>
      </c>
      <c r="D1026" s="21" t="s">
        <v>88</v>
      </c>
      <c r="E1026" s="21">
        <v>40272973</v>
      </c>
      <c r="F1026" s="20">
        <v>2500000</v>
      </c>
      <c r="G1026" s="22">
        <v>45898</v>
      </c>
      <c r="H1026" t="s">
        <v>79</v>
      </c>
      <c r="I1026" s="40" t="str">
        <f>IFERROR(IF(VLOOKUP(E1026,extracto!C:C,1,FALSE)=E1026,"pagado","no pagado"),"no pagado")</f>
        <v>pagado</v>
      </c>
      <c r="J1026" s="41" t="str">
        <f t="shared" si="480"/>
        <v>pagado</v>
      </c>
      <c r="K1026" s="40" t="str">
        <f t="shared" ca="1" si="481"/>
        <v>excluir</v>
      </c>
      <c r="L1026" s="40" t="str">
        <f t="shared" ca="1" si="482"/>
        <v>no semana</v>
      </c>
      <c r="M1026" s="40" t="str">
        <f>IFERROR(VLOOKUP(E1026,'cheques a conf'!A:D,4,FALSE),"no clearing")</f>
        <v>no clearing</v>
      </c>
      <c r="N1026" s="40">
        <f t="shared" si="483"/>
        <v>35</v>
      </c>
      <c r="O1026" s="42">
        <f t="shared" si="484"/>
        <v>8</v>
      </c>
      <c r="P1026" s="42">
        <f t="shared" si="485"/>
        <v>2025</v>
      </c>
    </row>
    <row r="1027" spans="1:16" x14ac:dyDescent="0.25">
      <c r="A1027" s="21">
        <v>3000004946</v>
      </c>
      <c r="B1027" s="22">
        <v>45894</v>
      </c>
      <c r="C1027" s="20">
        <v>2500000</v>
      </c>
      <c r="D1027" s="21" t="s">
        <v>88</v>
      </c>
      <c r="E1027" s="21">
        <v>40272974</v>
      </c>
      <c r="F1027" s="20">
        <v>2500000</v>
      </c>
      <c r="G1027" s="22">
        <v>45898</v>
      </c>
      <c r="H1027" t="s">
        <v>79</v>
      </c>
      <c r="I1027" s="40" t="str">
        <f>IFERROR(IF(VLOOKUP(E1027,extracto!C:C,1,FALSE)=E1027,"pagado","no pagado"),"no pagado")</f>
        <v>pagado</v>
      </c>
      <c r="J1027" s="41" t="str">
        <f t="shared" si="480"/>
        <v>pagado</v>
      </c>
      <c r="K1027" s="40" t="str">
        <f t="shared" ca="1" si="481"/>
        <v>excluir</v>
      </c>
      <c r="L1027" s="40" t="str">
        <f t="shared" ca="1" si="482"/>
        <v>no semana</v>
      </c>
      <c r="M1027" s="40" t="str">
        <f>IFERROR(VLOOKUP(E1027,'cheques a conf'!A:D,4,FALSE),"no clearing")</f>
        <v>no clearing</v>
      </c>
      <c r="N1027" s="40">
        <f t="shared" si="483"/>
        <v>35</v>
      </c>
      <c r="O1027" s="42">
        <f t="shared" si="484"/>
        <v>8</v>
      </c>
      <c r="P1027" s="42">
        <f t="shared" si="485"/>
        <v>2025</v>
      </c>
    </row>
    <row r="1028" spans="1:16" x14ac:dyDescent="0.25">
      <c r="A1028" s="21">
        <v>3000004946</v>
      </c>
      <c r="B1028" s="22">
        <v>45894</v>
      </c>
      <c r="C1028" s="20">
        <v>2500000</v>
      </c>
      <c r="D1028" s="21" t="s">
        <v>88</v>
      </c>
      <c r="E1028" s="21">
        <v>40272975</v>
      </c>
      <c r="F1028" s="20">
        <v>2500000</v>
      </c>
      <c r="G1028" s="22">
        <v>45898</v>
      </c>
      <c r="H1028" t="s">
        <v>79</v>
      </c>
      <c r="I1028" s="40" t="str">
        <f>IFERROR(IF(VLOOKUP(E1028,extracto!C:C,1,FALSE)=E1028,"pagado","no pagado"),"no pagado")</f>
        <v>pagado</v>
      </c>
      <c r="J1028" s="41" t="str">
        <f t="shared" si="480"/>
        <v>pagado</v>
      </c>
      <c r="K1028" s="40" t="str">
        <f t="shared" ca="1" si="481"/>
        <v>excluir</v>
      </c>
      <c r="L1028" s="40" t="str">
        <f t="shared" ca="1" si="482"/>
        <v>no semana</v>
      </c>
      <c r="M1028" s="40" t="str">
        <f>IFERROR(VLOOKUP(E1028,'cheques a conf'!A:D,4,FALSE),"no clearing")</f>
        <v>no clearing</v>
      </c>
      <c r="N1028" s="40">
        <f t="shared" si="483"/>
        <v>35</v>
      </c>
      <c r="O1028" s="42">
        <f t="shared" si="484"/>
        <v>8</v>
      </c>
      <c r="P1028" s="42">
        <f t="shared" si="485"/>
        <v>2025</v>
      </c>
    </row>
    <row r="1029" spans="1:16" x14ac:dyDescent="0.25">
      <c r="A1029" s="21">
        <v>3000004946</v>
      </c>
      <c r="B1029" s="22">
        <v>45894</v>
      </c>
      <c r="C1029" s="20">
        <v>2500000</v>
      </c>
      <c r="D1029" s="21" t="s">
        <v>88</v>
      </c>
      <c r="E1029" s="21">
        <v>40272976</v>
      </c>
      <c r="F1029" s="20">
        <v>2500000</v>
      </c>
      <c r="G1029" s="22">
        <v>45898</v>
      </c>
      <c r="H1029" t="s">
        <v>79</v>
      </c>
      <c r="I1029" s="40" t="str">
        <f>IFERROR(IF(VLOOKUP(E1029,extracto!C:C,1,FALSE)=E1029,"pagado","no pagado"),"no pagado")</f>
        <v>pagado</v>
      </c>
      <c r="J1029" s="41" t="str">
        <f t="shared" si="480"/>
        <v>pagado</v>
      </c>
      <c r="K1029" s="40" t="str">
        <f t="shared" ca="1" si="481"/>
        <v>excluir</v>
      </c>
      <c r="L1029" s="40" t="str">
        <f t="shared" ca="1" si="482"/>
        <v>no semana</v>
      </c>
      <c r="M1029" s="40" t="str">
        <f>IFERROR(VLOOKUP(E1029,'cheques a conf'!A:D,4,FALSE),"no clearing")</f>
        <v>no clearing</v>
      </c>
      <c r="N1029" s="40">
        <f t="shared" si="483"/>
        <v>35</v>
      </c>
      <c r="O1029" s="42">
        <f t="shared" si="484"/>
        <v>8</v>
      </c>
      <c r="P1029" s="42">
        <f t="shared" si="485"/>
        <v>2025</v>
      </c>
    </row>
    <row r="1030" spans="1:16" x14ac:dyDescent="0.25">
      <c r="A1030" s="21">
        <v>3000004946</v>
      </c>
      <c r="B1030" s="22">
        <v>45894</v>
      </c>
      <c r="C1030" s="20">
        <v>2500000</v>
      </c>
      <c r="D1030" s="21" t="s">
        <v>88</v>
      </c>
      <c r="E1030" s="21">
        <v>40272977</v>
      </c>
      <c r="F1030" s="20">
        <v>2500000</v>
      </c>
      <c r="G1030" s="22">
        <v>45905</v>
      </c>
      <c r="H1030" t="s">
        <v>79</v>
      </c>
      <c r="I1030" s="40" t="str">
        <f>IFERROR(IF(VLOOKUP(E1030,extracto!C:C,1,FALSE)=E1030,"pagado","no pagado"),"no pagado")</f>
        <v>pagado</v>
      </c>
      <c r="J1030" s="41" t="str">
        <f t="shared" si="480"/>
        <v>pagado</v>
      </c>
      <c r="K1030" s="40" t="str">
        <f t="shared" ca="1" si="481"/>
        <v>excluir</v>
      </c>
      <c r="L1030" s="40" t="str">
        <f t="shared" ca="1" si="482"/>
        <v>no semana</v>
      </c>
      <c r="M1030" s="40" t="str">
        <f>IFERROR(VLOOKUP(E1030,'cheques a conf'!A:D,4,FALSE),"no clearing")</f>
        <v>no clearing</v>
      </c>
      <c r="N1030" s="40">
        <f t="shared" si="483"/>
        <v>36</v>
      </c>
      <c r="O1030" s="42">
        <f t="shared" si="484"/>
        <v>9</v>
      </c>
      <c r="P1030" s="42">
        <f t="shared" si="485"/>
        <v>2025</v>
      </c>
    </row>
    <row r="1031" spans="1:16" x14ac:dyDescent="0.25">
      <c r="A1031" s="21">
        <v>3000004946</v>
      </c>
      <c r="B1031" s="22">
        <v>45894</v>
      </c>
      <c r="C1031" s="20">
        <v>2500000</v>
      </c>
      <c r="D1031" s="21" t="s">
        <v>88</v>
      </c>
      <c r="E1031" s="21">
        <v>40272978</v>
      </c>
      <c r="F1031" s="20">
        <v>2500000</v>
      </c>
      <c r="G1031" s="22">
        <v>45905</v>
      </c>
      <c r="H1031" t="s">
        <v>79</v>
      </c>
      <c r="I1031" s="40" t="str">
        <f>IFERROR(IF(VLOOKUP(E1031,extracto!C:C,1,FALSE)=E1031,"pagado","no pagado"),"no pagado")</f>
        <v>pagado</v>
      </c>
      <c r="J1031" s="41" t="str">
        <f t="shared" si="480"/>
        <v>pagado</v>
      </c>
      <c r="K1031" s="40" t="str">
        <f t="shared" ca="1" si="481"/>
        <v>excluir</v>
      </c>
      <c r="L1031" s="40" t="str">
        <f t="shared" ca="1" si="482"/>
        <v>no semana</v>
      </c>
      <c r="M1031" s="40" t="str">
        <f>IFERROR(VLOOKUP(E1031,'cheques a conf'!A:D,4,FALSE),"no clearing")</f>
        <v>no clearing</v>
      </c>
      <c r="N1031" s="40">
        <f t="shared" si="483"/>
        <v>36</v>
      </c>
      <c r="O1031" s="42">
        <f t="shared" si="484"/>
        <v>9</v>
      </c>
      <c r="P1031" s="42">
        <f t="shared" si="485"/>
        <v>2025</v>
      </c>
    </row>
    <row r="1032" spans="1:16" x14ac:dyDescent="0.25">
      <c r="A1032" s="21">
        <v>3000004946</v>
      </c>
      <c r="B1032" s="22">
        <v>45894</v>
      </c>
      <c r="C1032" s="20">
        <v>1500000</v>
      </c>
      <c r="D1032" s="21" t="s">
        <v>88</v>
      </c>
      <c r="E1032" s="21">
        <v>40272979</v>
      </c>
      <c r="F1032" s="20">
        <v>1500000</v>
      </c>
      <c r="G1032" s="22">
        <v>45905</v>
      </c>
      <c r="H1032" t="s">
        <v>79</v>
      </c>
      <c r="I1032" s="40" t="str">
        <f>IFERROR(IF(VLOOKUP(E1032,extracto!C:C,1,FALSE)=E1032,"pagado","no pagado"),"no pagado")</f>
        <v>pagado</v>
      </c>
      <c r="J1032" s="41" t="str">
        <f t="shared" si="480"/>
        <v>pagado</v>
      </c>
      <c r="K1032" s="40" t="str">
        <f t="shared" ca="1" si="481"/>
        <v>excluir</v>
      </c>
      <c r="L1032" s="40" t="str">
        <f t="shared" ca="1" si="482"/>
        <v>no semana</v>
      </c>
      <c r="M1032" s="40" t="str">
        <f>IFERROR(VLOOKUP(E1032,'cheques a conf'!A:D,4,FALSE),"no clearing")</f>
        <v>no clearing</v>
      </c>
      <c r="N1032" s="40">
        <f t="shared" si="483"/>
        <v>36</v>
      </c>
      <c r="O1032" s="42">
        <f t="shared" si="484"/>
        <v>9</v>
      </c>
      <c r="P1032" s="42">
        <f t="shared" si="485"/>
        <v>2025</v>
      </c>
    </row>
    <row r="1033" spans="1:16" x14ac:dyDescent="0.25">
      <c r="A1033" s="21">
        <v>3000004947</v>
      </c>
      <c r="B1033" s="22">
        <v>45894</v>
      </c>
      <c r="C1033" s="20">
        <v>10000000</v>
      </c>
      <c r="D1033" s="21" t="s">
        <v>755</v>
      </c>
      <c r="E1033" s="21">
        <v>91002450</v>
      </c>
      <c r="F1033" s="20">
        <v>10000000</v>
      </c>
      <c r="G1033" s="22">
        <v>45898</v>
      </c>
      <c r="H1033" t="s">
        <v>79</v>
      </c>
      <c r="I1033" s="40" t="str">
        <f>IFERROR(IF(VLOOKUP(E1033,extracto!C:C,1,FALSE)=E1033,"pagado","no pagado"),"no pagado")</f>
        <v>pagado</v>
      </c>
      <c r="J1033" s="41" t="str">
        <f t="shared" si="480"/>
        <v>pagado</v>
      </c>
      <c r="K1033" s="40" t="str">
        <f t="shared" ca="1" si="481"/>
        <v>excluir</v>
      </c>
      <c r="L1033" s="40" t="str">
        <f t="shared" ca="1" si="482"/>
        <v>no semana</v>
      </c>
      <c r="M1033" s="40" t="str">
        <f>IFERROR(VLOOKUP(E1033,'cheques a conf'!A:D,4,FALSE),"no clearing")</f>
        <v>no clearing</v>
      </c>
      <c r="N1033" s="40">
        <f t="shared" si="483"/>
        <v>35</v>
      </c>
      <c r="O1033" s="42">
        <f t="shared" si="484"/>
        <v>8</v>
      </c>
      <c r="P1033" s="42">
        <f t="shared" si="485"/>
        <v>2025</v>
      </c>
    </row>
    <row r="1034" spans="1:16" x14ac:dyDescent="0.25">
      <c r="A1034" s="21">
        <v>3000004947</v>
      </c>
      <c r="B1034" s="22">
        <v>45894</v>
      </c>
      <c r="C1034" s="20">
        <v>4000000</v>
      </c>
      <c r="D1034" s="21" t="s">
        <v>755</v>
      </c>
      <c r="E1034" s="21">
        <v>91002451</v>
      </c>
      <c r="F1034" s="20">
        <v>4000000</v>
      </c>
      <c r="G1034" s="22">
        <v>45918</v>
      </c>
      <c r="H1034" t="s">
        <v>79</v>
      </c>
      <c r="I1034" s="40" t="str">
        <f>IFERROR(IF(VLOOKUP(E1034,extracto!C:C,1,FALSE)=E1034,"pagado","no pagado"),"no pagado")</f>
        <v>pagado</v>
      </c>
      <c r="J1034" s="41" t="str">
        <f t="shared" si="480"/>
        <v>pagado</v>
      </c>
      <c r="K1034" s="40" t="str">
        <f t="shared" ca="1" si="481"/>
        <v>excluir</v>
      </c>
      <c r="L1034" s="40" t="str">
        <f t="shared" ca="1" si="482"/>
        <v>no semana</v>
      </c>
      <c r="M1034" s="40" t="str">
        <f>IFERROR(VLOOKUP(E1034,'cheques a conf'!A:D,4,FALSE),"no clearing")</f>
        <v>no clearing</v>
      </c>
      <c r="N1034" s="40">
        <f t="shared" si="483"/>
        <v>38</v>
      </c>
      <c r="O1034" s="42">
        <f t="shared" si="484"/>
        <v>9</v>
      </c>
      <c r="P1034" s="42">
        <f t="shared" si="485"/>
        <v>2025</v>
      </c>
    </row>
    <row r="1035" spans="1:16" x14ac:dyDescent="0.25">
      <c r="A1035" s="21">
        <v>3000004947</v>
      </c>
      <c r="B1035" s="22">
        <v>45894</v>
      </c>
      <c r="C1035" s="20">
        <v>3571963.49</v>
      </c>
      <c r="D1035" s="21" t="s">
        <v>755</v>
      </c>
      <c r="E1035" s="21">
        <v>91002452</v>
      </c>
      <c r="F1035" s="20">
        <v>3571963.49</v>
      </c>
      <c r="G1035" s="22">
        <v>45933</v>
      </c>
      <c r="H1035" t="s">
        <v>79</v>
      </c>
      <c r="I1035" s="40" t="str">
        <f>IFERROR(IF(VLOOKUP(E1035,extracto!C:C,1,FALSE)=E1035,"pagado","no pagado"),"no pagado")</f>
        <v>pagado</v>
      </c>
      <c r="J1035" s="41" t="str">
        <f t="shared" si="480"/>
        <v>pagado</v>
      </c>
      <c r="K1035" s="40" t="str">
        <f t="shared" ca="1" si="481"/>
        <v>excluir</v>
      </c>
      <c r="L1035" s="40" t="str">
        <f t="shared" ca="1" si="482"/>
        <v>no semana</v>
      </c>
      <c r="M1035" s="40" t="str">
        <f>IFERROR(VLOOKUP(E1035,'cheques a conf'!A:D,4,FALSE),"no clearing")</f>
        <v>no clearing</v>
      </c>
      <c r="N1035" s="40">
        <f t="shared" si="483"/>
        <v>40</v>
      </c>
      <c r="O1035" s="42">
        <f t="shared" si="484"/>
        <v>10</v>
      </c>
      <c r="P1035" s="42">
        <f t="shared" si="485"/>
        <v>2025</v>
      </c>
    </row>
    <row r="1036" spans="1:16" x14ac:dyDescent="0.25">
      <c r="A1036" s="21">
        <v>3000004949</v>
      </c>
      <c r="B1036" s="22">
        <v>45894</v>
      </c>
      <c r="C1036" s="20">
        <v>11000000</v>
      </c>
      <c r="D1036" s="21" t="s">
        <v>713</v>
      </c>
      <c r="E1036" s="21">
        <v>91002454</v>
      </c>
      <c r="F1036" s="20">
        <v>11000000</v>
      </c>
      <c r="G1036" s="22">
        <v>45898</v>
      </c>
      <c r="H1036" t="s">
        <v>79</v>
      </c>
      <c r="I1036" s="40" t="str">
        <f>IFERROR(IF(VLOOKUP(E1036,extracto!C:C,1,FALSE)=E1036,"pagado","no pagado"),"no pagado")</f>
        <v>pagado</v>
      </c>
      <c r="J1036" s="41" t="str">
        <f t="shared" si="480"/>
        <v>pagado</v>
      </c>
      <c r="K1036" s="40" t="str">
        <f t="shared" ca="1" si="481"/>
        <v>excluir</v>
      </c>
      <c r="L1036" s="40" t="str">
        <f t="shared" ca="1" si="482"/>
        <v>no semana</v>
      </c>
      <c r="M1036" s="40" t="str">
        <f>IFERROR(VLOOKUP(E1036,'cheques a conf'!A:D,4,FALSE),"no clearing")</f>
        <v>no clearing</v>
      </c>
      <c r="N1036" s="40">
        <f t="shared" si="483"/>
        <v>35</v>
      </c>
      <c r="O1036" s="42">
        <f t="shared" si="484"/>
        <v>8</v>
      </c>
      <c r="P1036" s="42">
        <f t="shared" si="485"/>
        <v>2025</v>
      </c>
    </row>
    <row r="1037" spans="1:16" x14ac:dyDescent="0.25">
      <c r="A1037" s="21">
        <v>3000004949</v>
      </c>
      <c r="B1037" s="22">
        <v>45894</v>
      </c>
      <c r="C1037" s="20">
        <v>10705170.15</v>
      </c>
      <c r="D1037" s="21" t="s">
        <v>713</v>
      </c>
      <c r="E1037" s="21">
        <v>91002455</v>
      </c>
      <c r="F1037" s="20">
        <v>10705170.15</v>
      </c>
      <c r="G1037" s="22">
        <v>45901</v>
      </c>
      <c r="H1037" t="s">
        <v>79</v>
      </c>
      <c r="I1037" s="40" t="str">
        <f>IFERROR(IF(VLOOKUP(E1037,extracto!C:C,1,FALSE)=E1037,"pagado","no pagado"),"no pagado")</f>
        <v>pagado</v>
      </c>
      <c r="J1037" s="41" t="str">
        <f t="shared" si="480"/>
        <v>pagado</v>
      </c>
      <c r="K1037" s="40" t="str">
        <f t="shared" ca="1" si="481"/>
        <v>excluir</v>
      </c>
      <c r="L1037" s="40" t="str">
        <f t="shared" ca="1" si="482"/>
        <v>no semana</v>
      </c>
      <c r="M1037" s="40" t="str">
        <f>IFERROR(VLOOKUP(E1037,'cheques a conf'!A:D,4,FALSE),"no clearing")</f>
        <v>no clearing</v>
      </c>
      <c r="N1037" s="40">
        <f t="shared" si="483"/>
        <v>36</v>
      </c>
      <c r="O1037" s="42">
        <f t="shared" si="484"/>
        <v>9</v>
      </c>
      <c r="P1037" s="42">
        <f t="shared" si="485"/>
        <v>2025</v>
      </c>
    </row>
    <row r="1038" spans="1:16" x14ac:dyDescent="0.25">
      <c r="A1038" s="21">
        <v>3000004950</v>
      </c>
      <c r="B1038" s="22">
        <v>45894</v>
      </c>
      <c r="C1038" s="20">
        <v>24000000</v>
      </c>
      <c r="D1038" s="21" t="s">
        <v>730</v>
      </c>
      <c r="E1038" s="21">
        <v>91002456</v>
      </c>
      <c r="F1038" s="20">
        <v>24000000</v>
      </c>
      <c r="G1038" s="22">
        <v>45898</v>
      </c>
      <c r="H1038" t="s">
        <v>79</v>
      </c>
      <c r="I1038" s="40" t="str">
        <f>IFERROR(IF(VLOOKUP(E1038,extracto!C:C,1,FALSE)=E1038,"pagado","no pagado"),"no pagado")</f>
        <v>pagado</v>
      </c>
      <c r="J1038" s="41" t="str">
        <f t="shared" si="480"/>
        <v>pagado</v>
      </c>
      <c r="K1038" s="40" t="str">
        <f t="shared" ca="1" si="481"/>
        <v>excluir</v>
      </c>
      <c r="L1038" s="40" t="str">
        <f t="shared" ca="1" si="482"/>
        <v>no semana</v>
      </c>
      <c r="M1038" s="40" t="str">
        <f>IFERROR(VLOOKUP(E1038,'cheques a conf'!A:D,4,FALSE),"no clearing")</f>
        <v>no clearing</v>
      </c>
      <c r="N1038" s="40">
        <f t="shared" si="483"/>
        <v>35</v>
      </c>
      <c r="O1038" s="42">
        <f t="shared" si="484"/>
        <v>8</v>
      </c>
      <c r="P1038" s="42">
        <f t="shared" si="485"/>
        <v>2025</v>
      </c>
    </row>
    <row r="1039" spans="1:16" x14ac:dyDescent="0.25">
      <c r="A1039" s="21">
        <v>3000004950</v>
      </c>
      <c r="B1039" s="22">
        <v>45894</v>
      </c>
      <c r="C1039" s="20">
        <v>23526178.670000002</v>
      </c>
      <c r="D1039" s="21" t="s">
        <v>730</v>
      </c>
      <c r="E1039" s="21">
        <v>91002457</v>
      </c>
      <c r="F1039" s="20">
        <v>23526178.670000002</v>
      </c>
      <c r="G1039" s="22">
        <v>45901</v>
      </c>
      <c r="H1039" t="s">
        <v>79</v>
      </c>
      <c r="I1039" s="40" t="str">
        <f>IFERROR(IF(VLOOKUP(E1039,extracto!C:C,1,FALSE)=E1039,"pagado","no pagado"),"no pagado")</f>
        <v>pagado</v>
      </c>
      <c r="J1039" s="41" t="str">
        <f t="shared" si="480"/>
        <v>pagado</v>
      </c>
      <c r="K1039" s="40" t="str">
        <f t="shared" ca="1" si="481"/>
        <v>excluir</v>
      </c>
      <c r="L1039" s="40" t="str">
        <f t="shared" ca="1" si="482"/>
        <v>no semana</v>
      </c>
      <c r="M1039" s="40" t="str">
        <f>IFERROR(VLOOKUP(E1039,'cheques a conf'!A:D,4,FALSE),"no clearing")</f>
        <v>no clearing</v>
      </c>
      <c r="N1039" s="40">
        <f t="shared" si="483"/>
        <v>36</v>
      </c>
      <c r="O1039" s="42">
        <f t="shared" si="484"/>
        <v>9</v>
      </c>
      <c r="P1039" s="42">
        <f t="shared" si="485"/>
        <v>2025</v>
      </c>
    </row>
    <row r="1040" spans="1:16" x14ac:dyDescent="0.25">
      <c r="A1040" s="21">
        <v>3000004951</v>
      </c>
      <c r="B1040" s="22">
        <v>45894</v>
      </c>
      <c r="C1040" s="20">
        <v>23000000</v>
      </c>
      <c r="D1040" s="21" t="s">
        <v>706</v>
      </c>
      <c r="E1040" s="21">
        <v>91002458</v>
      </c>
      <c r="F1040" s="20">
        <v>23000000</v>
      </c>
      <c r="G1040" s="22">
        <v>45898</v>
      </c>
      <c r="H1040" t="s">
        <v>79</v>
      </c>
      <c r="I1040" s="40" t="str">
        <f>IFERROR(IF(VLOOKUP(E1040,extracto!C:C,1,FALSE)=E1040,"pagado","no pagado"),"no pagado")</f>
        <v>pagado</v>
      </c>
      <c r="J1040" s="41" t="str">
        <f t="shared" si="480"/>
        <v>pagado</v>
      </c>
      <c r="K1040" s="40" t="str">
        <f t="shared" ca="1" si="481"/>
        <v>excluir</v>
      </c>
      <c r="L1040" s="40" t="str">
        <f t="shared" ca="1" si="482"/>
        <v>no semana</v>
      </c>
      <c r="M1040" s="40" t="str">
        <f>IFERROR(VLOOKUP(E1040,'cheques a conf'!A:D,4,FALSE),"no clearing")</f>
        <v>no clearing</v>
      </c>
      <c r="N1040" s="40">
        <f t="shared" si="483"/>
        <v>35</v>
      </c>
      <c r="O1040" s="42">
        <f t="shared" si="484"/>
        <v>8</v>
      </c>
      <c r="P1040" s="42">
        <f t="shared" si="485"/>
        <v>2025</v>
      </c>
    </row>
    <row r="1041" spans="1:16" x14ac:dyDescent="0.25">
      <c r="A1041" s="21">
        <v>3000004951</v>
      </c>
      <c r="B1041" s="22">
        <v>45894</v>
      </c>
      <c r="C1041" s="20">
        <v>23637958.870000001</v>
      </c>
      <c r="D1041" s="21" t="s">
        <v>706</v>
      </c>
      <c r="E1041" s="21">
        <v>91002459</v>
      </c>
      <c r="F1041" s="20">
        <v>23637958.870000001</v>
      </c>
      <c r="G1041" s="22">
        <v>45901</v>
      </c>
      <c r="H1041" t="s">
        <v>79</v>
      </c>
      <c r="I1041" s="40" t="str">
        <f>IFERROR(IF(VLOOKUP(E1041,extracto!C:C,1,FALSE)=E1041,"pagado","no pagado"),"no pagado")</f>
        <v>pagado</v>
      </c>
      <c r="J1041" s="41" t="str">
        <f t="shared" si="480"/>
        <v>pagado</v>
      </c>
      <c r="K1041" s="40" t="str">
        <f t="shared" ca="1" si="481"/>
        <v>excluir</v>
      </c>
      <c r="L1041" s="40" t="str">
        <f t="shared" ca="1" si="482"/>
        <v>no semana</v>
      </c>
      <c r="M1041" s="40" t="str">
        <f>IFERROR(VLOOKUP(E1041,'cheques a conf'!A:D,4,FALSE),"no clearing")</f>
        <v>no clearing</v>
      </c>
      <c r="N1041" s="40">
        <f t="shared" si="483"/>
        <v>36</v>
      </c>
      <c r="O1041" s="42">
        <f t="shared" si="484"/>
        <v>9</v>
      </c>
      <c r="P1041" s="42">
        <f t="shared" si="485"/>
        <v>2025</v>
      </c>
    </row>
    <row r="1042" spans="1:16" x14ac:dyDescent="0.25">
      <c r="A1042" s="21">
        <v>3000004960</v>
      </c>
      <c r="B1042" s="22">
        <v>45894</v>
      </c>
      <c r="C1042" s="20">
        <v>16000000</v>
      </c>
      <c r="D1042" s="21" t="s">
        <v>649</v>
      </c>
      <c r="E1042" s="21">
        <v>91002468</v>
      </c>
      <c r="F1042" s="20">
        <v>16000000</v>
      </c>
      <c r="G1042" s="22">
        <v>45898</v>
      </c>
      <c r="H1042" t="s">
        <v>79</v>
      </c>
      <c r="I1042" s="40" t="str">
        <f>IFERROR(IF(VLOOKUP(E1042,extracto!C:C,1,FALSE)=E1042,"pagado","no pagado"),"no pagado")</f>
        <v>pagado</v>
      </c>
      <c r="J1042" s="41" t="str">
        <f t="shared" si="480"/>
        <v>pagado</v>
      </c>
      <c r="K1042" s="40" t="str">
        <f t="shared" ca="1" si="481"/>
        <v>excluir</v>
      </c>
      <c r="L1042" s="40" t="str">
        <f t="shared" ca="1" si="482"/>
        <v>no semana</v>
      </c>
      <c r="M1042" s="40" t="str">
        <f>IFERROR(VLOOKUP(E1042,'cheques a conf'!A:D,4,FALSE),"no clearing")</f>
        <v>no clearing</v>
      </c>
      <c r="N1042" s="40">
        <f t="shared" si="483"/>
        <v>35</v>
      </c>
      <c r="O1042" s="42">
        <f t="shared" si="484"/>
        <v>8</v>
      </c>
      <c r="P1042" s="42">
        <f t="shared" si="485"/>
        <v>2025</v>
      </c>
    </row>
    <row r="1043" spans="1:16" x14ac:dyDescent="0.25">
      <c r="A1043" s="21">
        <v>3000004960</v>
      </c>
      <c r="B1043" s="22">
        <v>45894</v>
      </c>
      <c r="C1043" s="20">
        <v>15608527.07</v>
      </c>
      <c r="D1043" s="21" t="s">
        <v>649</v>
      </c>
      <c r="E1043" s="21">
        <v>91002469</v>
      </c>
      <c r="F1043" s="20">
        <v>15608527.07</v>
      </c>
      <c r="G1043" s="22">
        <v>45901</v>
      </c>
      <c r="H1043" t="s">
        <v>79</v>
      </c>
      <c r="I1043" s="40" t="str">
        <f>IFERROR(IF(VLOOKUP(E1043,extracto!C:C,1,FALSE)=E1043,"pagado","no pagado"),"no pagado")</f>
        <v>pagado</v>
      </c>
      <c r="J1043" s="41" t="str">
        <f t="shared" si="480"/>
        <v>pagado</v>
      </c>
      <c r="K1043" s="40" t="str">
        <f t="shared" ca="1" si="481"/>
        <v>excluir</v>
      </c>
      <c r="L1043" s="40" t="str">
        <f t="shared" ca="1" si="482"/>
        <v>no semana</v>
      </c>
      <c r="M1043" s="40" t="str">
        <f>IFERROR(VLOOKUP(E1043,'cheques a conf'!A:D,4,FALSE),"no clearing")</f>
        <v>no clearing</v>
      </c>
      <c r="N1043" s="40">
        <f t="shared" si="483"/>
        <v>36</v>
      </c>
      <c r="O1043" s="42">
        <f t="shared" si="484"/>
        <v>9</v>
      </c>
      <c r="P1043" s="42">
        <f t="shared" si="485"/>
        <v>2025</v>
      </c>
    </row>
    <row r="1044" spans="1:16" x14ac:dyDescent="0.25">
      <c r="A1044" s="21">
        <v>3000004961</v>
      </c>
      <c r="B1044" s="22">
        <v>45894</v>
      </c>
      <c r="C1044" s="20">
        <v>15000000</v>
      </c>
      <c r="D1044" s="21" t="s">
        <v>756</v>
      </c>
      <c r="E1044" s="21">
        <v>91002470</v>
      </c>
      <c r="F1044" s="20">
        <v>15000000</v>
      </c>
      <c r="G1044" s="22">
        <v>45898</v>
      </c>
      <c r="H1044" t="s">
        <v>79</v>
      </c>
      <c r="I1044" s="40" t="str">
        <f>IFERROR(IF(VLOOKUP(E1044,extracto!C:C,1,FALSE)=E1044,"pagado","no pagado"),"no pagado")</f>
        <v>pagado</v>
      </c>
      <c r="J1044" s="41" t="str">
        <f t="shared" si="480"/>
        <v>pagado</v>
      </c>
      <c r="K1044" s="40" t="str">
        <f t="shared" ca="1" si="481"/>
        <v>excluir</v>
      </c>
      <c r="L1044" s="40" t="str">
        <f t="shared" ca="1" si="482"/>
        <v>no semana</v>
      </c>
      <c r="M1044" s="40" t="str">
        <f>IFERROR(VLOOKUP(E1044,'cheques a conf'!A:D,4,FALSE),"no clearing")</f>
        <v>no clearing</v>
      </c>
      <c r="N1044" s="40">
        <f t="shared" si="483"/>
        <v>35</v>
      </c>
      <c r="O1044" s="42">
        <f t="shared" si="484"/>
        <v>8</v>
      </c>
      <c r="P1044" s="42">
        <f t="shared" si="485"/>
        <v>2025</v>
      </c>
    </row>
    <row r="1045" spans="1:16" x14ac:dyDescent="0.25">
      <c r="A1045" s="21">
        <v>3000004961</v>
      </c>
      <c r="B1045" s="22">
        <v>45894</v>
      </c>
      <c r="C1045" s="20">
        <v>14838594.6</v>
      </c>
      <c r="D1045" s="21" t="s">
        <v>756</v>
      </c>
      <c r="E1045" s="21">
        <v>91002471</v>
      </c>
      <c r="F1045" s="20">
        <v>14838594.6</v>
      </c>
      <c r="G1045" s="22">
        <v>45901</v>
      </c>
      <c r="H1045" t="s">
        <v>79</v>
      </c>
      <c r="I1045" s="40" t="str">
        <f>IFERROR(IF(VLOOKUP(E1045,extracto!C:C,1,FALSE)=E1045,"pagado","no pagado"),"no pagado")</f>
        <v>pagado</v>
      </c>
      <c r="J1045" s="41" t="str">
        <f t="shared" si="480"/>
        <v>pagado</v>
      </c>
      <c r="K1045" s="40" t="str">
        <f t="shared" ca="1" si="481"/>
        <v>excluir</v>
      </c>
      <c r="L1045" s="40" t="str">
        <f t="shared" ca="1" si="482"/>
        <v>no semana</v>
      </c>
      <c r="M1045" s="40" t="str">
        <f>IFERROR(VLOOKUP(E1045,'cheques a conf'!A:D,4,FALSE),"no clearing")</f>
        <v>no clearing</v>
      </c>
      <c r="N1045" s="40">
        <f t="shared" si="483"/>
        <v>36</v>
      </c>
      <c r="O1045" s="42">
        <f t="shared" si="484"/>
        <v>9</v>
      </c>
      <c r="P1045" s="42">
        <f t="shared" si="485"/>
        <v>2025</v>
      </c>
    </row>
    <row r="1046" spans="1:16" x14ac:dyDescent="0.25">
      <c r="A1046" s="21">
        <v>3000004963</v>
      </c>
      <c r="B1046" s="22">
        <v>45894</v>
      </c>
      <c r="C1046" s="20">
        <v>25000000</v>
      </c>
      <c r="D1046" s="21" t="s">
        <v>621</v>
      </c>
      <c r="E1046" s="21">
        <v>91002473</v>
      </c>
      <c r="F1046" s="20">
        <v>25000000</v>
      </c>
      <c r="G1046" s="22">
        <v>45898</v>
      </c>
      <c r="H1046" t="s">
        <v>79</v>
      </c>
      <c r="I1046" s="40" t="str">
        <f>IFERROR(IF(VLOOKUP(E1046,extracto!C:C,1,FALSE)=E1046,"pagado","no pagado"),"no pagado")</f>
        <v>pagado</v>
      </c>
      <c r="J1046" s="41" t="str">
        <f t="shared" si="480"/>
        <v>pagado</v>
      </c>
      <c r="K1046" s="40" t="str">
        <f t="shared" ca="1" si="481"/>
        <v>excluir</v>
      </c>
      <c r="L1046" s="40" t="str">
        <f t="shared" ca="1" si="482"/>
        <v>no semana</v>
      </c>
      <c r="M1046" s="40" t="str">
        <f>IFERROR(VLOOKUP(E1046,'cheques a conf'!A:D,4,FALSE),"no clearing")</f>
        <v>no clearing</v>
      </c>
      <c r="N1046" s="40">
        <f t="shared" si="483"/>
        <v>35</v>
      </c>
      <c r="O1046" s="42">
        <f t="shared" si="484"/>
        <v>8</v>
      </c>
      <c r="P1046" s="42">
        <f t="shared" si="485"/>
        <v>2025</v>
      </c>
    </row>
    <row r="1047" spans="1:16" x14ac:dyDescent="0.25">
      <c r="A1047" s="21">
        <v>3000004963</v>
      </c>
      <c r="B1047" s="22">
        <v>45894</v>
      </c>
      <c r="C1047" s="20">
        <v>24833000</v>
      </c>
      <c r="D1047" s="21" t="s">
        <v>621</v>
      </c>
      <c r="E1047" s="21">
        <v>91002474</v>
      </c>
      <c r="F1047" s="20">
        <v>24833000</v>
      </c>
      <c r="G1047" s="22">
        <v>45901</v>
      </c>
      <c r="H1047" t="s">
        <v>79</v>
      </c>
      <c r="I1047" s="40" t="str">
        <f>IFERROR(IF(VLOOKUP(E1047,extracto!C:C,1,FALSE)=E1047,"pagado","no pagado"),"no pagado")</f>
        <v>pagado</v>
      </c>
      <c r="J1047" s="41" t="str">
        <f t="shared" si="480"/>
        <v>pagado</v>
      </c>
      <c r="K1047" s="40" t="str">
        <f t="shared" ca="1" si="481"/>
        <v>excluir</v>
      </c>
      <c r="L1047" s="40" t="str">
        <f t="shared" ca="1" si="482"/>
        <v>no semana</v>
      </c>
      <c r="M1047" s="40" t="str">
        <f>IFERROR(VLOOKUP(E1047,'cheques a conf'!A:D,4,FALSE),"no clearing")</f>
        <v>no clearing</v>
      </c>
      <c r="N1047" s="40">
        <f t="shared" si="483"/>
        <v>36</v>
      </c>
      <c r="O1047" s="42">
        <f t="shared" si="484"/>
        <v>9</v>
      </c>
      <c r="P1047" s="42">
        <f t="shared" si="485"/>
        <v>2025</v>
      </c>
    </row>
    <row r="1048" spans="1:16" x14ac:dyDescent="0.25">
      <c r="A1048" s="21">
        <v>3000004948</v>
      </c>
      <c r="B1048" s="22">
        <v>45894</v>
      </c>
      <c r="C1048" s="20">
        <v>5156858.4000000004</v>
      </c>
      <c r="D1048" s="21" t="s">
        <v>738</v>
      </c>
      <c r="E1048" s="21">
        <v>91002453</v>
      </c>
      <c r="F1048" s="20">
        <v>5156858.4000000004</v>
      </c>
      <c r="G1048" s="22">
        <v>45898</v>
      </c>
      <c r="H1048" t="s">
        <v>79</v>
      </c>
      <c r="I1048" s="40" t="str">
        <f>IFERROR(IF(VLOOKUP(E1048,extracto!C:C,1,FALSE)=E1048,"pagado","no pagado"),"no pagado")</f>
        <v>pagado</v>
      </c>
      <c r="J1048" s="41" t="str">
        <f t="shared" si="480"/>
        <v>pagado</v>
      </c>
      <c r="K1048" s="40" t="str">
        <f t="shared" ca="1" si="481"/>
        <v>excluir</v>
      </c>
      <c r="L1048" s="40" t="str">
        <f t="shared" ca="1" si="482"/>
        <v>no semana</v>
      </c>
      <c r="M1048" s="40" t="str">
        <f>IFERROR(VLOOKUP(E1048,'cheques a conf'!A:D,4,FALSE),"no clearing")</f>
        <v>no clearing</v>
      </c>
      <c r="N1048" s="40">
        <f t="shared" si="483"/>
        <v>35</v>
      </c>
      <c r="O1048" s="42">
        <f t="shared" si="484"/>
        <v>8</v>
      </c>
      <c r="P1048" s="42">
        <f t="shared" si="485"/>
        <v>2025</v>
      </c>
    </row>
    <row r="1049" spans="1:16" x14ac:dyDescent="0.25">
      <c r="A1049" s="21">
        <v>3000004952</v>
      </c>
      <c r="B1049" s="22">
        <v>45894</v>
      </c>
      <c r="C1049" s="20">
        <v>15136442.539999999</v>
      </c>
      <c r="D1049" s="21" t="s">
        <v>698</v>
      </c>
      <c r="E1049" s="21">
        <v>91002460</v>
      </c>
      <c r="F1049" s="20">
        <v>15136442.539999999</v>
      </c>
      <c r="G1049" s="22">
        <v>45898</v>
      </c>
      <c r="H1049" t="s">
        <v>79</v>
      </c>
      <c r="I1049" s="40" t="str">
        <f>IFERROR(IF(VLOOKUP(E1049,extracto!C:C,1,FALSE)=E1049,"pagado","no pagado"),"no pagado")</f>
        <v>pagado</v>
      </c>
      <c r="J1049" s="41" t="str">
        <f t="shared" si="480"/>
        <v>pagado</v>
      </c>
      <c r="K1049" s="40" t="str">
        <f t="shared" ca="1" si="481"/>
        <v>excluir</v>
      </c>
      <c r="L1049" s="40" t="str">
        <f t="shared" ca="1" si="482"/>
        <v>no semana</v>
      </c>
      <c r="M1049" s="40" t="str">
        <f>IFERROR(VLOOKUP(E1049,'cheques a conf'!A:D,4,FALSE),"no clearing")</f>
        <v>no clearing</v>
      </c>
      <c r="N1049" s="40">
        <f t="shared" si="483"/>
        <v>35</v>
      </c>
      <c r="O1049" s="42">
        <f t="shared" si="484"/>
        <v>8</v>
      </c>
      <c r="P1049" s="42">
        <f t="shared" si="485"/>
        <v>2025</v>
      </c>
    </row>
    <row r="1050" spans="1:16" x14ac:dyDescent="0.25">
      <c r="A1050" s="21">
        <v>3000004953</v>
      </c>
      <c r="B1050" s="22">
        <v>45894</v>
      </c>
      <c r="C1050" s="20">
        <v>9008164.7100000009</v>
      </c>
      <c r="D1050" s="21" t="s">
        <v>757</v>
      </c>
      <c r="E1050" s="21">
        <v>91002461</v>
      </c>
      <c r="F1050" s="20">
        <v>9008164.7100000009</v>
      </c>
      <c r="G1050" s="22">
        <v>45898</v>
      </c>
      <c r="H1050" t="s">
        <v>79</v>
      </c>
      <c r="I1050" s="40" t="str">
        <f>IFERROR(IF(VLOOKUP(E1050,extracto!C:C,1,FALSE)=E1050,"pagado","no pagado"),"no pagado")</f>
        <v>pagado</v>
      </c>
      <c r="J1050" s="41" t="str">
        <f t="shared" si="480"/>
        <v>pagado</v>
      </c>
      <c r="K1050" s="40" t="str">
        <f t="shared" ca="1" si="481"/>
        <v>excluir</v>
      </c>
      <c r="L1050" s="40" t="str">
        <f t="shared" ca="1" si="482"/>
        <v>no semana</v>
      </c>
      <c r="M1050" s="40" t="str">
        <f>IFERROR(VLOOKUP(E1050,'cheques a conf'!A:D,4,FALSE),"no clearing")</f>
        <v>no clearing</v>
      </c>
      <c r="N1050" s="40">
        <f t="shared" si="483"/>
        <v>35</v>
      </c>
      <c r="O1050" s="42">
        <f t="shared" si="484"/>
        <v>8</v>
      </c>
      <c r="P1050" s="42">
        <f t="shared" si="485"/>
        <v>2025</v>
      </c>
    </row>
    <row r="1051" spans="1:16" x14ac:dyDescent="0.25">
      <c r="A1051" s="21">
        <v>3000004954</v>
      </c>
      <c r="B1051" s="22">
        <v>45894</v>
      </c>
      <c r="C1051" s="20">
        <v>15844400.58</v>
      </c>
      <c r="D1051" s="21" t="s">
        <v>632</v>
      </c>
      <c r="E1051" s="21">
        <v>91002462</v>
      </c>
      <c r="F1051" s="20">
        <v>15844400.58</v>
      </c>
      <c r="G1051" s="22">
        <v>45898</v>
      </c>
      <c r="H1051" t="s">
        <v>79</v>
      </c>
      <c r="I1051" s="40" t="str">
        <f>IFERROR(IF(VLOOKUP(E1051,extracto!C:C,1,FALSE)=E1051,"pagado","no pagado"),"no pagado")</f>
        <v>pagado</v>
      </c>
      <c r="J1051" s="41" t="str">
        <f t="shared" si="480"/>
        <v>pagado</v>
      </c>
      <c r="K1051" s="40" t="str">
        <f t="shared" ca="1" si="481"/>
        <v>excluir</v>
      </c>
      <c r="L1051" s="40" t="str">
        <f t="shared" ca="1" si="482"/>
        <v>no semana</v>
      </c>
      <c r="M1051" s="40" t="str">
        <f>IFERROR(VLOOKUP(E1051,'cheques a conf'!A:D,4,FALSE),"no clearing")</f>
        <v>no clearing</v>
      </c>
      <c r="N1051" s="40">
        <f t="shared" si="483"/>
        <v>35</v>
      </c>
      <c r="O1051" s="42">
        <f t="shared" si="484"/>
        <v>8</v>
      </c>
      <c r="P1051" s="42">
        <f t="shared" si="485"/>
        <v>2025</v>
      </c>
    </row>
    <row r="1052" spans="1:16" x14ac:dyDescent="0.25">
      <c r="A1052" s="21">
        <v>3000004955</v>
      </c>
      <c r="B1052" s="22">
        <v>45894</v>
      </c>
      <c r="C1052" s="20">
        <v>3497234.05</v>
      </c>
      <c r="D1052" s="21" t="s">
        <v>595</v>
      </c>
      <c r="E1052" s="21">
        <v>91002463</v>
      </c>
      <c r="F1052" s="20">
        <v>3497234.05</v>
      </c>
      <c r="G1052" s="22">
        <v>45898</v>
      </c>
      <c r="H1052" t="s">
        <v>79</v>
      </c>
      <c r="I1052" s="40" t="str">
        <f>IFERROR(IF(VLOOKUP(E1052,extracto!C:C,1,FALSE)=E1052,"pagado","no pagado"),"no pagado")</f>
        <v>pagado</v>
      </c>
      <c r="J1052" s="41" t="str">
        <f t="shared" si="480"/>
        <v>pagado</v>
      </c>
      <c r="K1052" s="40" t="str">
        <f t="shared" ca="1" si="481"/>
        <v>excluir</v>
      </c>
      <c r="L1052" s="40" t="str">
        <f t="shared" ca="1" si="482"/>
        <v>no semana</v>
      </c>
      <c r="M1052" s="40" t="str">
        <f>IFERROR(VLOOKUP(E1052,'cheques a conf'!A:D,4,FALSE),"no clearing")</f>
        <v>no clearing</v>
      </c>
      <c r="N1052" s="40">
        <f t="shared" si="483"/>
        <v>35</v>
      </c>
      <c r="O1052" s="42">
        <f t="shared" si="484"/>
        <v>8</v>
      </c>
      <c r="P1052" s="42">
        <f t="shared" si="485"/>
        <v>2025</v>
      </c>
    </row>
    <row r="1053" spans="1:16" x14ac:dyDescent="0.25">
      <c r="A1053" s="21">
        <v>3000004956</v>
      </c>
      <c r="B1053" s="22">
        <v>45894</v>
      </c>
      <c r="C1053" s="20">
        <v>7460417.5599999996</v>
      </c>
      <c r="D1053" s="21" t="s">
        <v>626</v>
      </c>
      <c r="E1053" s="21">
        <v>91002464</v>
      </c>
      <c r="F1053" s="20">
        <v>7460417.5599999996</v>
      </c>
      <c r="G1053" s="22">
        <v>45898</v>
      </c>
      <c r="H1053" t="s">
        <v>79</v>
      </c>
      <c r="I1053" s="40" t="str">
        <f>IFERROR(IF(VLOOKUP(E1053,extracto!C:C,1,FALSE)=E1053,"pagado","no pagado"),"no pagado")</f>
        <v>pagado</v>
      </c>
      <c r="J1053" s="41" t="str">
        <f t="shared" si="480"/>
        <v>pagado</v>
      </c>
      <c r="K1053" s="40" t="str">
        <f t="shared" ca="1" si="481"/>
        <v>excluir</v>
      </c>
      <c r="L1053" s="40" t="str">
        <f t="shared" ca="1" si="482"/>
        <v>no semana</v>
      </c>
      <c r="M1053" s="40" t="str">
        <f>IFERROR(VLOOKUP(E1053,'cheques a conf'!A:D,4,FALSE),"no clearing")</f>
        <v>no clearing</v>
      </c>
      <c r="N1053" s="40">
        <f t="shared" si="483"/>
        <v>35</v>
      </c>
      <c r="O1053" s="42">
        <f t="shared" si="484"/>
        <v>8</v>
      </c>
      <c r="P1053" s="42">
        <f t="shared" si="485"/>
        <v>2025</v>
      </c>
    </row>
    <row r="1054" spans="1:16" x14ac:dyDescent="0.25">
      <c r="A1054" s="21">
        <v>3000004957</v>
      </c>
      <c r="B1054" s="22">
        <v>45894</v>
      </c>
      <c r="C1054" s="20">
        <v>13789931.4</v>
      </c>
      <c r="D1054" s="21" t="s">
        <v>610</v>
      </c>
      <c r="E1054" s="21">
        <v>91002465</v>
      </c>
      <c r="F1054" s="20">
        <v>13789931.4</v>
      </c>
      <c r="G1054" s="22">
        <v>45898</v>
      </c>
      <c r="H1054" t="s">
        <v>79</v>
      </c>
      <c r="I1054" s="40" t="str">
        <f>IFERROR(IF(VLOOKUP(E1054,extracto!C:C,1,FALSE)=E1054,"pagado","no pagado"),"no pagado")</f>
        <v>pagado</v>
      </c>
      <c r="J1054" s="41" t="str">
        <f t="shared" si="480"/>
        <v>pagado</v>
      </c>
      <c r="K1054" s="40" t="str">
        <f t="shared" ca="1" si="481"/>
        <v>excluir</v>
      </c>
      <c r="L1054" s="40" t="str">
        <f t="shared" ca="1" si="482"/>
        <v>no semana</v>
      </c>
      <c r="M1054" s="40" t="str">
        <f>IFERROR(VLOOKUP(E1054,'cheques a conf'!A:D,4,FALSE),"no clearing")</f>
        <v>no clearing</v>
      </c>
      <c r="N1054" s="40">
        <f t="shared" si="483"/>
        <v>35</v>
      </c>
      <c r="O1054" s="42">
        <f t="shared" si="484"/>
        <v>8</v>
      </c>
      <c r="P1054" s="42">
        <f t="shared" si="485"/>
        <v>2025</v>
      </c>
    </row>
    <row r="1055" spans="1:16" x14ac:dyDescent="0.25">
      <c r="A1055" s="21">
        <v>3000004958</v>
      </c>
      <c r="B1055" s="22">
        <v>45894</v>
      </c>
      <c r="C1055" s="20">
        <v>6127680</v>
      </c>
      <c r="D1055" s="21" t="s">
        <v>600</v>
      </c>
      <c r="E1055" s="21">
        <v>91002466</v>
      </c>
      <c r="F1055" s="20">
        <v>6127680</v>
      </c>
      <c r="G1055" s="22">
        <v>45898</v>
      </c>
      <c r="H1055" t="s">
        <v>79</v>
      </c>
      <c r="I1055" s="40" t="str">
        <f>IFERROR(IF(VLOOKUP(E1055,extracto!C:C,1,FALSE)=E1055,"pagado","no pagado"),"no pagado")</f>
        <v>pagado</v>
      </c>
      <c r="J1055" s="41" t="str">
        <f t="shared" si="480"/>
        <v>pagado</v>
      </c>
      <c r="K1055" s="40" t="str">
        <f t="shared" ca="1" si="481"/>
        <v>excluir</v>
      </c>
      <c r="L1055" s="40" t="str">
        <f t="shared" ca="1" si="482"/>
        <v>no semana</v>
      </c>
      <c r="M1055" s="40" t="str">
        <f>IFERROR(VLOOKUP(E1055,'cheques a conf'!A:D,4,FALSE),"no clearing")</f>
        <v>no clearing</v>
      </c>
      <c r="N1055" s="40">
        <f t="shared" si="483"/>
        <v>35</v>
      </c>
      <c r="O1055" s="42">
        <f t="shared" si="484"/>
        <v>8</v>
      </c>
      <c r="P1055" s="42">
        <f t="shared" si="485"/>
        <v>2025</v>
      </c>
    </row>
    <row r="1056" spans="1:16" x14ac:dyDescent="0.25">
      <c r="A1056" s="21">
        <v>3000004959</v>
      </c>
      <c r="B1056" s="22">
        <v>45894</v>
      </c>
      <c r="C1056" s="20">
        <v>9870000</v>
      </c>
      <c r="D1056" s="21" t="s">
        <v>620</v>
      </c>
      <c r="E1056" s="21">
        <v>91002467</v>
      </c>
      <c r="F1056" s="20">
        <v>9870000</v>
      </c>
      <c r="G1056" s="22">
        <v>45898</v>
      </c>
      <c r="H1056" t="s">
        <v>79</v>
      </c>
      <c r="I1056" s="40" t="str">
        <f>IFERROR(IF(VLOOKUP(E1056,extracto!C:C,1,FALSE)=E1056,"pagado","no pagado"),"no pagado")</f>
        <v>pagado</v>
      </c>
      <c r="J1056" s="41" t="str">
        <f t="shared" si="480"/>
        <v>pagado</v>
      </c>
      <c r="K1056" s="40" t="str">
        <f t="shared" ca="1" si="481"/>
        <v>excluir</v>
      </c>
      <c r="L1056" s="40" t="str">
        <f t="shared" ca="1" si="482"/>
        <v>no semana</v>
      </c>
      <c r="M1056" s="40" t="str">
        <f>IFERROR(VLOOKUP(E1056,'cheques a conf'!A:D,4,FALSE),"no clearing")</f>
        <v>no clearing</v>
      </c>
      <c r="N1056" s="40">
        <f t="shared" si="483"/>
        <v>35</v>
      </c>
      <c r="O1056" s="42">
        <f t="shared" si="484"/>
        <v>8</v>
      </c>
      <c r="P1056" s="42">
        <f t="shared" si="485"/>
        <v>2025</v>
      </c>
    </row>
    <row r="1057" spans="1:16" x14ac:dyDescent="0.25">
      <c r="A1057" s="21">
        <v>3000004962</v>
      </c>
      <c r="B1057" s="22">
        <v>45894</v>
      </c>
      <c r="C1057" s="20">
        <v>8266467.2000000002</v>
      </c>
      <c r="D1057" s="21" t="s">
        <v>758</v>
      </c>
      <c r="E1057" s="21">
        <v>91002472</v>
      </c>
      <c r="F1057" s="20">
        <v>8266467.2000000002</v>
      </c>
      <c r="G1057" s="22">
        <v>45898</v>
      </c>
      <c r="H1057" t="s">
        <v>79</v>
      </c>
      <c r="I1057" s="40" t="str">
        <f>IFERROR(IF(VLOOKUP(E1057,extracto!C:C,1,FALSE)=E1057,"pagado","no pagado"),"no pagado")</f>
        <v>pagado</v>
      </c>
      <c r="J1057" s="41" t="str">
        <f t="shared" si="480"/>
        <v>pagado</v>
      </c>
      <c r="K1057" s="40" t="str">
        <f t="shared" ca="1" si="481"/>
        <v>excluir</v>
      </c>
      <c r="L1057" s="40" t="str">
        <f t="shared" ca="1" si="482"/>
        <v>no semana</v>
      </c>
      <c r="M1057" s="40" t="str">
        <f>IFERROR(VLOOKUP(E1057,'cheques a conf'!A:D,4,FALSE),"no clearing")</f>
        <v>no clearing</v>
      </c>
      <c r="N1057" s="40">
        <f t="shared" si="483"/>
        <v>35</v>
      </c>
      <c r="O1057" s="42">
        <f t="shared" si="484"/>
        <v>8</v>
      </c>
      <c r="P1057" s="42">
        <f t="shared" si="485"/>
        <v>2025</v>
      </c>
    </row>
    <row r="1058" spans="1:16" x14ac:dyDescent="0.25">
      <c r="A1058" s="21">
        <v>3000004995</v>
      </c>
      <c r="B1058" s="22">
        <v>45895</v>
      </c>
      <c r="C1058" s="20">
        <v>9950499.9800000004</v>
      </c>
      <c r="D1058" s="21" t="s">
        <v>733</v>
      </c>
      <c r="E1058" s="21">
        <v>91002475</v>
      </c>
      <c r="F1058" s="20">
        <v>9950499.9800000004</v>
      </c>
      <c r="G1058" s="22">
        <v>45898</v>
      </c>
      <c r="H1058" t="s">
        <v>79</v>
      </c>
      <c r="I1058" s="40" t="str">
        <f>IFERROR(IF(VLOOKUP(E1058,extracto!C:C,1,FALSE)=E1058,"pagado","no pagado"),"no pagado")</f>
        <v>pagado</v>
      </c>
      <c r="J1058" s="41" t="str">
        <f t="shared" si="480"/>
        <v>pagado</v>
      </c>
      <c r="K1058" s="40" t="str">
        <f t="shared" ca="1" si="481"/>
        <v>excluir</v>
      </c>
      <c r="L1058" s="40" t="str">
        <f t="shared" ca="1" si="482"/>
        <v>no semana</v>
      </c>
      <c r="M1058" s="40" t="str">
        <f>IFERROR(VLOOKUP(E1058,'cheques a conf'!A:D,4,FALSE),"no clearing")</f>
        <v>no clearing</v>
      </c>
      <c r="N1058" s="40">
        <f t="shared" si="483"/>
        <v>35</v>
      </c>
      <c r="O1058" s="42">
        <f t="shared" si="484"/>
        <v>8</v>
      </c>
      <c r="P1058" s="42">
        <f t="shared" si="485"/>
        <v>2025</v>
      </c>
    </row>
    <row r="1059" spans="1:16" x14ac:dyDescent="0.25">
      <c r="A1059" s="21">
        <v>3000004996</v>
      </c>
      <c r="B1059" s="22">
        <v>45895</v>
      </c>
      <c r="C1059" s="20">
        <v>6286667.6699999999</v>
      </c>
      <c r="D1059" s="21" t="s">
        <v>673</v>
      </c>
      <c r="E1059" s="21">
        <v>91002476</v>
      </c>
      <c r="F1059" s="20">
        <v>6286667.6699999999</v>
      </c>
      <c r="G1059" s="22">
        <v>45898</v>
      </c>
      <c r="H1059" t="s">
        <v>79</v>
      </c>
      <c r="I1059" s="40" t="str">
        <f>IFERROR(IF(VLOOKUP(E1059,extracto!C:C,1,FALSE)=E1059,"pagado","no pagado"),"no pagado")</f>
        <v>pagado</v>
      </c>
      <c r="J1059" s="41" t="str">
        <f t="shared" si="480"/>
        <v>pagado</v>
      </c>
      <c r="K1059" s="40" t="str">
        <f t="shared" ca="1" si="481"/>
        <v>excluir</v>
      </c>
      <c r="L1059" s="40" t="str">
        <f t="shared" ca="1" si="482"/>
        <v>no semana</v>
      </c>
      <c r="M1059" s="40" t="str">
        <f>IFERROR(VLOOKUP(E1059,'cheques a conf'!A:D,4,FALSE),"no clearing")</f>
        <v>no clearing</v>
      </c>
      <c r="N1059" s="40">
        <f t="shared" si="483"/>
        <v>35</v>
      </c>
      <c r="O1059" s="42">
        <f t="shared" si="484"/>
        <v>8</v>
      </c>
      <c r="P1059" s="42">
        <f t="shared" si="485"/>
        <v>2025</v>
      </c>
    </row>
    <row r="1060" spans="1:16" x14ac:dyDescent="0.25">
      <c r="A1060" s="21">
        <v>3000004997</v>
      </c>
      <c r="B1060" s="22">
        <v>45895</v>
      </c>
      <c r="C1060" s="20">
        <v>3463468.43</v>
      </c>
      <c r="D1060" s="21" t="s">
        <v>665</v>
      </c>
      <c r="E1060" s="21">
        <v>91002477</v>
      </c>
      <c r="F1060" s="20">
        <v>3463468.43</v>
      </c>
      <c r="G1060" s="22">
        <v>45898</v>
      </c>
      <c r="H1060" t="s">
        <v>79</v>
      </c>
      <c r="I1060" s="40" t="str">
        <f>IFERROR(IF(VLOOKUP(E1060,extracto!C:C,1,FALSE)=E1060,"pagado","no pagado"),"no pagado")</f>
        <v>pagado</v>
      </c>
      <c r="J1060" s="41" t="str">
        <f t="shared" si="480"/>
        <v>pagado</v>
      </c>
      <c r="K1060" s="40" t="str">
        <f t="shared" ca="1" si="481"/>
        <v>excluir</v>
      </c>
      <c r="L1060" s="40" t="str">
        <f t="shared" ca="1" si="482"/>
        <v>no semana</v>
      </c>
      <c r="M1060" s="40" t="str">
        <f>IFERROR(VLOOKUP(E1060,'cheques a conf'!A:D,4,FALSE),"no clearing")</f>
        <v>no clearing</v>
      </c>
      <c r="N1060" s="40">
        <f t="shared" si="483"/>
        <v>35</v>
      </c>
      <c r="O1060" s="42">
        <f t="shared" si="484"/>
        <v>8</v>
      </c>
      <c r="P1060" s="42">
        <f t="shared" si="485"/>
        <v>2025</v>
      </c>
    </row>
    <row r="1061" spans="1:16" x14ac:dyDescent="0.25">
      <c r="A1061" s="21">
        <v>3000004998</v>
      </c>
      <c r="B1061" s="22">
        <v>45895</v>
      </c>
      <c r="C1061" s="20">
        <v>0</v>
      </c>
      <c r="D1061" s="21" t="s">
        <v>240</v>
      </c>
      <c r="E1061" s="21">
        <v>91002478</v>
      </c>
      <c r="F1061" s="20">
        <v>0</v>
      </c>
      <c r="G1061" s="22">
        <v>45898</v>
      </c>
      <c r="H1061" t="s">
        <v>79</v>
      </c>
      <c r="I1061" s="40" t="str">
        <f>IFERROR(IF(VLOOKUP(E1061,extracto!C:C,1,FALSE)=E1061,"pagado","no pagado"),"no pagado")</f>
        <v>no pagado</v>
      </c>
      <c r="J1061" s="41" t="str">
        <f t="shared" ca="1" si="480"/>
        <v>fuera de fecha</v>
      </c>
      <c r="K1061" s="40" t="str">
        <f t="shared" ca="1" si="481"/>
        <v>excluir</v>
      </c>
      <c r="L1061" s="40" t="str">
        <f t="shared" ca="1" si="482"/>
        <v>no semana</v>
      </c>
      <c r="M1061" s="40" t="str">
        <f>IFERROR(VLOOKUP(E1061,'cheques a conf'!A:D,4,FALSE),"no clearing")</f>
        <v>no clearing</v>
      </c>
      <c r="N1061" s="40">
        <f t="shared" si="483"/>
        <v>35</v>
      </c>
      <c r="O1061" s="42">
        <f t="shared" si="484"/>
        <v>8</v>
      </c>
      <c r="P1061" s="42">
        <f t="shared" si="485"/>
        <v>2025</v>
      </c>
    </row>
    <row r="1062" spans="1:16" x14ac:dyDescent="0.25">
      <c r="A1062" s="21">
        <v>3000004999</v>
      </c>
      <c r="B1062" s="22">
        <v>45895</v>
      </c>
      <c r="C1062" s="20">
        <v>2404308.73</v>
      </c>
      <c r="D1062" s="21" t="s">
        <v>759</v>
      </c>
      <c r="E1062" s="21">
        <v>91002479</v>
      </c>
      <c r="F1062" s="20">
        <v>2404308.73</v>
      </c>
      <c r="G1062" s="22">
        <v>45898</v>
      </c>
      <c r="H1062" t="s">
        <v>79</v>
      </c>
      <c r="I1062" s="40" t="str">
        <f>IFERROR(IF(VLOOKUP(E1062,extracto!C:C,1,FALSE)=E1062,"pagado","no pagado"),"no pagado")</f>
        <v>pagado</v>
      </c>
      <c r="J1062" s="41" t="str">
        <f t="shared" si="480"/>
        <v>pagado</v>
      </c>
      <c r="K1062" s="40" t="str">
        <f t="shared" ca="1" si="481"/>
        <v>excluir</v>
      </c>
      <c r="L1062" s="40" t="str">
        <f t="shared" ca="1" si="482"/>
        <v>no semana</v>
      </c>
      <c r="M1062" s="40" t="str">
        <f>IFERROR(VLOOKUP(E1062,'cheques a conf'!A:D,4,FALSE),"no clearing")</f>
        <v>no clearing</v>
      </c>
      <c r="N1062" s="40">
        <f t="shared" si="483"/>
        <v>35</v>
      </c>
      <c r="O1062" s="42">
        <f t="shared" si="484"/>
        <v>8</v>
      </c>
      <c r="P1062" s="42">
        <f t="shared" si="485"/>
        <v>2025</v>
      </c>
    </row>
    <row r="1063" spans="1:16" x14ac:dyDescent="0.25">
      <c r="A1063" s="21">
        <v>3000005000</v>
      </c>
      <c r="B1063" s="22">
        <v>45895</v>
      </c>
      <c r="C1063" s="20">
        <v>4641089.26</v>
      </c>
      <c r="D1063" s="21" t="s">
        <v>664</v>
      </c>
      <c r="E1063" s="21">
        <v>91002480</v>
      </c>
      <c r="F1063" s="20">
        <v>4641089.26</v>
      </c>
      <c r="G1063" s="22">
        <v>45898</v>
      </c>
      <c r="H1063" t="s">
        <v>79</v>
      </c>
      <c r="I1063" s="40" t="str">
        <f>IFERROR(IF(VLOOKUP(E1063,extracto!C:C,1,FALSE)=E1063,"pagado","no pagado"),"no pagado")</f>
        <v>pagado</v>
      </c>
      <c r="J1063" s="41" t="str">
        <f t="shared" si="480"/>
        <v>pagado</v>
      </c>
      <c r="K1063" s="40" t="str">
        <f t="shared" ca="1" si="481"/>
        <v>excluir</v>
      </c>
      <c r="L1063" s="40" t="str">
        <f t="shared" ca="1" si="482"/>
        <v>no semana</v>
      </c>
      <c r="M1063" s="40" t="str">
        <f>IFERROR(VLOOKUP(E1063,'cheques a conf'!A:D,4,FALSE),"no clearing")</f>
        <v>no clearing</v>
      </c>
      <c r="N1063" s="40">
        <f t="shared" si="483"/>
        <v>35</v>
      </c>
      <c r="O1063" s="42">
        <f t="shared" si="484"/>
        <v>8</v>
      </c>
      <c r="P1063" s="42">
        <f t="shared" si="485"/>
        <v>2025</v>
      </c>
    </row>
    <row r="1064" spans="1:16" x14ac:dyDescent="0.25">
      <c r="A1064" s="21">
        <v>3000005001</v>
      </c>
      <c r="B1064" s="22">
        <v>45895</v>
      </c>
      <c r="C1064" s="20">
        <v>15000000</v>
      </c>
      <c r="D1064" s="21" t="s">
        <v>672</v>
      </c>
      <c r="E1064" s="21">
        <v>91002481</v>
      </c>
      <c r="F1064" s="20">
        <v>15000000</v>
      </c>
      <c r="G1064" s="22">
        <v>45898</v>
      </c>
      <c r="H1064" t="s">
        <v>79</v>
      </c>
      <c r="I1064" s="40" t="str">
        <f>IFERROR(IF(VLOOKUP(E1064,extracto!C:C,1,FALSE)=E1064,"pagado","no pagado"),"no pagado")</f>
        <v>pagado</v>
      </c>
      <c r="J1064" s="41" t="str">
        <f t="shared" si="480"/>
        <v>pagado</v>
      </c>
      <c r="K1064" s="40" t="str">
        <f t="shared" ca="1" si="481"/>
        <v>excluir</v>
      </c>
      <c r="L1064" s="40" t="str">
        <f t="shared" ca="1" si="482"/>
        <v>no semana</v>
      </c>
      <c r="M1064" s="40" t="str">
        <f>IFERROR(VLOOKUP(E1064,'cheques a conf'!A:D,4,FALSE),"no clearing")</f>
        <v>no clearing</v>
      </c>
      <c r="N1064" s="40">
        <f t="shared" si="483"/>
        <v>35</v>
      </c>
      <c r="O1064" s="42">
        <f t="shared" si="484"/>
        <v>8</v>
      </c>
      <c r="P1064" s="42">
        <f t="shared" si="485"/>
        <v>2025</v>
      </c>
    </row>
    <row r="1065" spans="1:16" x14ac:dyDescent="0.25">
      <c r="A1065" s="21">
        <v>3000005001</v>
      </c>
      <c r="B1065" s="22">
        <v>45895</v>
      </c>
      <c r="C1065" s="20">
        <v>14895880.23</v>
      </c>
      <c r="D1065" s="21" t="s">
        <v>672</v>
      </c>
      <c r="E1065" s="21">
        <v>91002482</v>
      </c>
      <c r="F1065" s="20">
        <v>14895880.23</v>
      </c>
      <c r="G1065" s="22">
        <v>45901</v>
      </c>
      <c r="H1065" t="s">
        <v>79</v>
      </c>
      <c r="I1065" s="40" t="str">
        <f>IFERROR(IF(VLOOKUP(E1065,extracto!C:C,1,FALSE)=E1065,"pagado","no pagado"),"no pagado")</f>
        <v>pagado</v>
      </c>
      <c r="J1065" s="41" t="str">
        <f t="shared" si="480"/>
        <v>pagado</v>
      </c>
      <c r="K1065" s="40" t="str">
        <f t="shared" ca="1" si="481"/>
        <v>excluir</v>
      </c>
      <c r="L1065" s="40" t="str">
        <f t="shared" ca="1" si="482"/>
        <v>no semana</v>
      </c>
      <c r="M1065" s="40" t="str">
        <f>IFERROR(VLOOKUP(E1065,'cheques a conf'!A:D,4,FALSE),"no clearing")</f>
        <v>no clearing</v>
      </c>
      <c r="N1065" s="40">
        <f t="shared" si="483"/>
        <v>36</v>
      </c>
      <c r="O1065" s="42">
        <f t="shared" si="484"/>
        <v>9</v>
      </c>
      <c r="P1065" s="42">
        <f t="shared" si="485"/>
        <v>2025</v>
      </c>
    </row>
    <row r="1066" spans="1:16" x14ac:dyDescent="0.25">
      <c r="A1066" s="21">
        <v>3000005002</v>
      </c>
      <c r="B1066" s="22">
        <v>45895</v>
      </c>
      <c r="C1066" s="20">
        <v>8519886.3100000005</v>
      </c>
      <c r="D1066" s="21" t="s">
        <v>642</v>
      </c>
      <c r="E1066" s="21">
        <v>91002483</v>
      </c>
      <c r="F1066" s="20">
        <v>8519886.3100000005</v>
      </c>
      <c r="G1066" s="22">
        <v>45898</v>
      </c>
      <c r="H1066" t="s">
        <v>79</v>
      </c>
      <c r="I1066" s="40" t="str">
        <f>IFERROR(IF(VLOOKUP(E1066,extracto!C:C,1,FALSE)=E1066,"pagado","no pagado"),"no pagado")</f>
        <v>pagado</v>
      </c>
      <c r="J1066" s="41" t="str">
        <f t="shared" si="480"/>
        <v>pagado</v>
      </c>
      <c r="K1066" s="40" t="str">
        <f t="shared" ca="1" si="481"/>
        <v>excluir</v>
      </c>
      <c r="L1066" s="40" t="str">
        <f t="shared" ca="1" si="482"/>
        <v>no semana</v>
      </c>
      <c r="M1066" s="40" t="str">
        <f>IFERROR(VLOOKUP(E1066,'cheques a conf'!A:D,4,FALSE),"no clearing")</f>
        <v>no clearing</v>
      </c>
      <c r="N1066" s="40">
        <f t="shared" si="483"/>
        <v>35</v>
      </c>
      <c r="O1066" s="42">
        <f t="shared" si="484"/>
        <v>8</v>
      </c>
      <c r="P1066" s="42">
        <f t="shared" si="485"/>
        <v>2025</v>
      </c>
    </row>
    <row r="1067" spans="1:16" x14ac:dyDescent="0.25">
      <c r="A1067" s="21">
        <v>3000005003</v>
      </c>
      <c r="B1067" s="22">
        <v>45895</v>
      </c>
      <c r="C1067" s="20">
        <v>4259943.16</v>
      </c>
      <c r="D1067" s="21" t="s">
        <v>612</v>
      </c>
      <c r="E1067" s="21">
        <v>91002484</v>
      </c>
      <c r="F1067" s="20">
        <v>4259943.16</v>
      </c>
      <c r="G1067" s="22">
        <v>45898</v>
      </c>
      <c r="H1067" t="s">
        <v>79</v>
      </c>
      <c r="I1067" s="40" t="str">
        <f>IFERROR(IF(VLOOKUP(E1067,extracto!C:C,1,FALSE)=E1067,"pagado","no pagado"),"no pagado")</f>
        <v>pagado</v>
      </c>
      <c r="J1067" s="41" t="str">
        <f t="shared" si="480"/>
        <v>pagado</v>
      </c>
      <c r="K1067" s="40" t="str">
        <f t="shared" ca="1" si="481"/>
        <v>excluir</v>
      </c>
      <c r="L1067" s="40" t="str">
        <f t="shared" ca="1" si="482"/>
        <v>no semana</v>
      </c>
      <c r="M1067" s="40" t="str">
        <f>IFERROR(VLOOKUP(E1067,'cheques a conf'!A:D,4,FALSE),"no clearing")</f>
        <v>no clearing</v>
      </c>
      <c r="N1067" s="40">
        <f t="shared" si="483"/>
        <v>35</v>
      </c>
      <c r="O1067" s="42">
        <f t="shared" si="484"/>
        <v>8</v>
      </c>
      <c r="P1067" s="42">
        <f t="shared" si="485"/>
        <v>2025</v>
      </c>
    </row>
    <row r="1068" spans="1:16" x14ac:dyDescent="0.25">
      <c r="A1068" s="21">
        <v>3000005004</v>
      </c>
      <c r="B1068" s="22">
        <v>45895</v>
      </c>
      <c r="C1068" s="20">
        <v>6349523.3700000001</v>
      </c>
      <c r="D1068" s="21" t="s">
        <v>623</v>
      </c>
      <c r="E1068" s="21">
        <v>91002485</v>
      </c>
      <c r="F1068" s="20">
        <v>6349523.3700000001</v>
      </c>
      <c r="G1068" s="22">
        <v>45898</v>
      </c>
      <c r="H1068" t="s">
        <v>79</v>
      </c>
      <c r="I1068" s="40" t="str">
        <f>IFERROR(IF(VLOOKUP(E1068,extracto!C:C,1,FALSE)=E1068,"pagado","no pagado"),"no pagado")</f>
        <v>pagado</v>
      </c>
      <c r="J1068" s="41" t="str">
        <f t="shared" si="480"/>
        <v>pagado</v>
      </c>
      <c r="K1068" s="40" t="str">
        <f t="shared" ca="1" si="481"/>
        <v>excluir</v>
      </c>
      <c r="L1068" s="40" t="str">
        <f t="shared" ca="1" si="482"/>
        <v>no semana</v>
      </c>
      <c r="M1068" s="40" t="str">
        <f>IFERROR(VLOOKUP(E1068,'cheques a conf'!A:D,4,FALSE),"no clearing")</f>
        <v>no clearing</v>
      </c>
      <c r="N1068" s="40">
        <f t="shared" si="483"/>
        <v>35</v>
      </c>
      <c r="O1068" s="42">
        <f t="shared" si="484"/>
        <v>8</v>
      </c>
      <c r="P1068" s="42">
        <f t="shared" si="485"/>
        <v>2025</v>
      </c>
    </row>
    <row r="1069" spans="1:16" x14ac:dyDescent="0.25">
      <c r="A1069" s="21">
        <v>3000005005</v>
      </c>
      <c r="B1069" s="22">
        <v>45895</v>
      </c>
      <c r="C1069" s="20">
        <v>6000000</v>
      </c>
      <c r="D1069" s="21" t="s">
        <v>619</v>
      </c>
      <c r="E1069" s="21">
        <v>91002486</v>
      </c>
      <c r="F1069" s="20">
        <v>6000000</v>
      </c>
      <c r="G1069" s="22">
        <v>45898</v>
      </c>
      <c r="H1069" t="s">
        <v>79</v>
      </c>
      <c r="I1069" s="40" t="str">
        <f>IFERROR(IF(VLOOKUP(E1069,extracto!C:C,1,FALSE)=E1069,"pagado","no pagado"),"no pagado")</f>
        <v>pagado</v>
      </c>
      <c r="J1069" s="41" t="str">
        <f t="shared" si="480"/>
        <v>pagado</v>
      </c>
      <c r="K1069" s="40" t="str">
        <f t="shared" ca="1" si="481"/>
        <v>excluir</v>
      </c>
      <c r="L1069" s="40" t="str">
        <f t="shared" ca="1" si="482"/>
        <v>no semana</v>
      </c>
      <c r="M1069" s="40" t="str">
        <f>IFERROR(VLOOKUP(E1069,'cheques a conf'!A:D,4,FALSE),"no clearing")</f>
        <v>no clearing</v>
      </c>
      <c r="N1069" s="40">
        <f t="shared" si="483"/>
        <v>35</v>
      </c>
      <c r="O1069" s="42">
        <f t="shared" si="484"/>
        <v>8</v>
      </c>
      <c r="P1069" s="42">
        <f t="shared" si="485"/>
        <v>2025</v>
      </c>
    </row>
    <row r="1070" spans="1:16" x14ac:dyDescent="0.25">
      <c r="A1070" s="21">
        <v>3000005005</v>
      </c>
      <c r="B1070" s="22">
        <v>45895</v>
      </c>
      <c r="C1070" s="20">
        <v>6650577.0800000001</v>
      </c>
      <c r="D1070" s="21" t="s">
        <v>619</v>
      </c>
      <c r="E1070" s="21">
        <v>91002487</v>
      </c>
      <c r="F1070" s="20">
        <v>6650577.0800000001</v>
      </c>
      <c r="G1070" s="22">
        <v>45901</v>
      </c>
      <c r="H1070" t="s">
        <v>79</v>
      </c>
      <c r="I1070" s="40" t="str">
        <f>IFERROR(IF(VLOOKUP(E1070,extracto!C:C,1,FALSE)=E1070,"pagado","no pagado"),"no pagado")</f>
        <v>pagado</v>
      </c>
      <c r="J1070" s="41" t="str">
        <f t="shared" si="480"/>
        <v>pagado</v>
      </c>
      <c r="K1070" s="40" t="str">
        <f t="shared" ca="1" si="481"/>
        <v>excluir</v>
      </c>
      <c r="L1070" s="40" t="str">
        <f t="shared" ca="1" si="482"/>
        <v>no semana</v>
      </c>
      <c r="M1070" s="40" t="str">
        <f>IFERROR(VLOOKUP(E1070,'cheques a conf'!A:D,4,FALSE),"no clearing")</f>
        <v>no clearing</v>
      </c>
      <c r="N1070" s="40">
        <f t="shared" si="483"/>
        <v>36</v>
      </c>
      <c r="O1070" s="42">
        <f t="shared" si="484"/>
        <v>9</v>
      </c>
      <c r="P1070" s="42">
        <f t="shared" si="485"/>
        <v>2025</v>
      </c>
    </row>
    <row r="1071" spans="1:16" x14ac:dyDescent="0.25">
      <c r="A1071" s="21">
        <v>3000005006</v>
      </c>
      <c r="B1071" s="22">
        <v>45895</v>
      </c>
      <c r="C1071" s="20">
        <v>3491157.76</v>
      </c>
      <c r="D1071" s="21" t="s">
        <v>760</v>
      </c>
      <c r="E1071" s="21">
        <v>91002488</v>
      </c>
      <c r="F1071" s="20">
        <v>3491157.76</v>
      </c>
      <c r="G1071" s="22">
        <v>45898</v>
      </c>
      <c r="H1071" t="s">
        <v>79</v>
      </c>
      <c r="I1071" s="40" t="str">
        <f>IFERROR(IF(VLOOKUP(E1071,extracto!C:C,1,FALSE)=E1071,"pagado","no pagado"),"no pagado")</f>
        <v>pagado</v>
      </c>
      <c r="J1071" s="41" t="str">
        <f t="shared" si="480"/>
        <v>pagado</v>
      </c>
      <c r="K1071" s="40" t="str">
        <f t="shared" ca="1" si="481"/>
        <v>excluir</v>
      </c>
      <c r="L1071" s="40" t="str">
        <f t="shared" ca="1" si="482"/>
        <v>no semana</v>
      </c>
      <c r="M1071" s="40" t="str">
        <f>IFERROR(VLOOKUP(E1071,'cheques a conf'!A:D,4,FALSE),"no clearing")</f>
        <v>no clearing</v>
      </c>
      <c r="N1071" s="40">
        <f t="shared" si="483"/>
        <v>35</v>
      </c>
      <c r="O1071" s="42">
        <f t="shared" si="484"/>
        <v>8</v>
      </c>
      <c r="P1071" s="42">
        <f t="shared" si="485"/>
        <v>2025</v>
      </c>
    </row>
    <row r="1072" spans="1:16" x14ac:dyDescent="0.25">
      <c r="A1072" s="21">
        <v>3000005007</v>
      </c>
      <c r="B1072" s="22">
        <v>45895</v>
      </c>
      <c r="C1072" s="20">
        <v>20000000</v>
      </c>
      <c r="D1072" s="21" t="s">
        <v>613</v>
      </c>
      <c r="E1072" s="21">
        <v>91002489</v>
      </c>
      <c r="F1072" s="20">
        <v>20000000</v>
      </c>
      <c r="G1072" s="22">
        <v>45898</v>
      </c>
      <c r="H1072" t="s">
        <v>79</v>
      </c>
      <c r="I1072" s="40" t="str">
        <f>IFERROR(IF(VLOOKUP(E1072,extracto!C:C,1,FALSE)=E1072,"pagado","no pagado"),"no pagado")</f>
        <v>pagado</v>
      </c>
      <c r="J1072" s="41" t="str">
        <f t="shared" ref="J1072" si="486">IF(I1072="pagado","pagado",IF(G1072&lt;$V$1-30,"fuera de fecha","en periodo de pago"))</f>
        <v>pagado</v>
      </c>
      <c r="K1072" s="40" t="str">
        <f t="shared" ref="K1072" ca="1" si="487">+IF(B1072&gt;$V$1,"excluir",IF(J1072="en periodo de pago",IF($V$1&gt;G1072,"a pagar","proximo a vencer"),"excluir"))</f>
        <v>excluir</v>
      </c>
      <c r="L1072" s="40" t="str">
        <f t="shared" ref="L1072" ca="1" si="488">+IF(K1072="proximo a vencer",IF($V$1+5&gt;G1072,"para la semana","no semana"),"no semana")</f>
        <v>no semana</v>
      </c>
      <c r="M1072" s="40" t="str">
        <f>IFERROR(VLOOKUP(E1072,'cheques a conf'!A:D,4,FALSE),"no clearing")</f>
        <v>no clearing</v>
      </c>
      <c r="N1072" s="40">
        <f t="shared" ref="N1072" si="489">+WEEKNUM(G1072,2)</f>
        <v>35</v>
      </c>
      <c r="O1072" s="42">
        <f t="shared" ref="O1072" si="490">+MONTH(G1072)</f>
        <v>8</v>
      </c>
      <c r="P1072" s="42">
        <f t="shared" ref="P1072" si="491">+YEAR(G1072)</f>
        <v>2025</v>
      </c>
    </row>
    <row r="1073" spans="1:16" x14ac:dyDescent="0.25">
      <c r="A1073" s="21">
        <v>3000005007</v>
      </c>
      <c r="B1073" s="22">
        <v>45895</v>
      </c>
      <c r="C1073" s="20">
        <v>18339488.41</v>
      </c>
      <c r="D1073" s="21" t="s">
        <v>613</v>
      </c>
      <c r="E1073" s="21">
        <v>91002490</v>
      </c>
      <c r="F1073" s="20">
        <v>18339488.41</v>
      </c>
      <c r="G1073" s="22">
        <v>45895</v>
      </c>
      <c r="H1073" t="s">
        <v>79</v>
      </c>
      <c r="I1073" s="40" t="str">
        <f>IFERROR(IF(VLOOKUP(E1073,extracto!C:C,1,FALSE)=E1073,"pagado","no pagado"),"no pagado")</f>
        <v>pagado</v>
      </c>
      <c r="J1073" s="41" t="str">
        <f t="shared" ref="J1073:J1093" si="492">IF(I1073="pagado","pagado",IF(G1073&lt;$V$1-30,"fuera de fecha","en periodo de pago"))</f>
        <v>pagado</v>
      </c>
      <c r="K1073" s="40" t="str">
        <f t="shared" ref="K1073:K1093" ca="1" si="493">+IF(B1073&gt;$V$1,"excluir",IF(J1073="en periodo de pago",IF($V$1&gt;G1073,"a pagar","proximo a vencer"),"excluir"))</f>
        <v>excluir</v>
      </c>
      <c r="L1073" s="40" t="str">
        <f t="shared" ref="L1073:L1093" ca="1" si="494">+IF(K1073="proximo a vencer",IF($V$1+5&gt;G1073,"para la semana","no semana"),"no semana")</f>
        <v>no semana</v>
      </c>
      <c r="M1073" s="40" t="str">
        <f>IFERROR(VLOOKUP(E1073,'cheques a conf'!A:D,4,FALSE),"no clearing")</f>
        <v>no clearing</v>
      </c>
      <c r="N1073" s="40">
        <f t="shared" ref="N1073:N1093" si="495">+WEEKNUM(G1073,2)</f>
        <v>35</v>
      </c>
      <c r="O1073" s="42">
        <f t="shared" ref="O1073:O1093" si="496">+MONTH(G1073)</f>
        <v>8</v>
      </c>
      <c r="P1073" s="42">
        <f t="shared" ref="P1073:P1093" si="497">+YEAR(G1073)</f>
        <v>2025</v>
      </c>
    </row>
    <row r="1074" spans="1:16" x14ac:dyDescent="0.25">
      <c r="A1074" s="21">
        <v>3000005008</v>
      </c>
      <c r="B1074" s="22">
        <v>45895</v>
      </c>
      <c r="C1074" s="20">
        <v>12000000</v>
      </c>
      <c r="D1074" s="21" t="s">
        <v>621</v>
      </c>
      <c r="E1074" s="21">
        <v>91002491</v>
      </c>
      <c r="F1074" s="20">
        <v>12000000</v>
      </c>
      <c r="G1074" s="22">
        <v>45898</v>
      </c>
      <c r="H1074" t="s">
        <v>79</v>
      </c>
      <c r="I1074" s="40" t="str">
        <f>IFERROR(IF(VLOOKUP(E1074,extracto!C:C,1,FALSE)=E1074,"pagado","no pagado"),"no pagado")</f>
        <v>pagado</v>
      </c>
      <c r="J1074" s="41" t="str">
        <f t="shared" si="492"/>
        <v>pagado</v>
      </c>
      <c r="K1074" s="40" t="str">
        <f t="shared" ca="1" si="493"/>
        <v>excluir</v>
      </c>
      <c r="L1074" s="40" t="str">
        <f t="shared" ca="1" si="494"/>
        <v>no semana</v>
      </c>
      <c r="M1074" s="40" t="str">
        <f>IFERROR(VLOOKUP(E1074,'cheques a conf'!A:D,4,FALSE),"no clearing")</f>
        <v>no clearing</v>
      </c>
      <c r="N1074" s="40">
        <f t="shared" si="495"/>
        <v>35</v>
      </c>
      <c r="O1074" s="42">
        <f t="shared" si="496"/>
        <v>8</v>
      </c>
      <c r="P1074" s="42">
        <f t="shared" si="497"/>
        <v>2025</v>
      </c>
    </row>
    <row r="1075" spans="1:16" x14ac:dyDescent="0.25">
      <c r="A1075" s="21">
        <v>3000005008</v>
      </c>
      <c r="B1075" s="22">
        <v>45895</v>
      </c>
      <c r="C1075" s="20">
        <v>12916500</v>
      </c>
      <c r="D1075" s="21" t="s">
        <v>621</v>
      </c>
      <c r="E1075" s="21">
        <v>91002492</v>
      </c>
      <c r="F1075" s="20">
        <v>12916500</v>
      </c>
      <c r="G1075" s="22">
        <v>45901</v>
      </c>
      <c r="H1075" t="s">
        <v>79</v>
      </c>
      <c r="I1075" s="40" t="str">
        <f>IFERROR(IF(VLOOKUP(E1075,extracto!C:C,1,FALSE)=E1075,"pagado","no pagado"),"no pagado")</f>
        <v>pagado</v>
      </c>
      <c r="J1075" s="41" t="str">
        <f t="shared" si="492"/>
        <v>pagado</v>
      </c>
      <c r="K1075" s="40" t="str">
        <f t="shared" ca="1" si="493"/>
        <v>excluir</v>
      </c>
      <c r="L1075" s="40" t="str">
        <f t="shared" ca="1" si="494"/>
        <v>no semana</v>
      </c>
      <c r="M1075" s="40" t="str">
        <f>IFERROR(VLOOKUP(E1075,'cheques a conf'!A:D,4,FALSE),"no clearing")</f>
        <v>no clearing</v>
      </c>
      <c r="N1075" s="40">
        <f t="shared" si="495"/>
        <v>36</v>
      </c>
      <c r="O1075" s="42">
        <f t="shared" si="496"/>
        <v>9</v>
      </c>
      <c r="P1075" s="42">
        <f t="shared" si="497"/>
        <v>2025</v>
      </c>
    </row>
    <row r="1076" spans="1:16" x14ac:dyDescent="0.25">
      <c r="A1076" s="21">
        <v>3000005009</v>
      </c>
      <c r="B1076" s="22">
        <v>45895</v>
      </c>
      <c r="C1076" s="20">
        <v>11000000</v>
      </c>
      <c r="D1076" s="21" t="s">
        <v>761</v>
      </c>
      <c r="E1076" s="21">
        <v>91002493</v>
      </c>
      <c r="F1076" s="20">
        <v>11000000</v>
      </c>
      <c r="G1076" s="22">
        <v>45898</v>
      </c>
      <c r="H1076" t="s">
        <v>79</v>
      </c>
      <c r="I1076" s="40" t="str">
        <f>IFERROR(IF(VLOOKUP(E1076,extracto!C:C,1,FALSE)=E1076,"pagado","no pagado"),"no pagado")</f>
        <v>pagado</v>
      </c>
      <c r="J1076" s="41" t="str">
        <f t="shared" si="492"/>
        <v>pagado</v>
      </c>
      <c r="K1076" s="40" t="str">
        <f t="shared" ca="1" si="493"/>
        <v>excluir</v>
      </c>
      <c r="L1076" s="40" t="str">
        <f t="shared" ca="1" si="494"/>
        <v>no semana</v>
      </c>
      <c r="M1076" s="40" t="str">
        <f>IFERROR(VLOOKUP(E1076,'cheques a conf'!A:D,4,FALSE),"no clearing")</f>
        <v>no clearing</v>
      </c>
      <c r="N1076" s="40">
        <f t="shared" si="495"/>
        <v>35</v>
      </c>
      <c r="O1076" s="42">
        <f t="shared" si="496"/>
        <v>8</v>
      </c>
      <c r="P1076" s="42">
        <f t="shared" si="497"/>
        <v>2025</v>
      </c>
    </row>
    <row r="1077" spans="1:16" x14ac:dyDescent="0.25">
      <c r="A1077" s="21">
        <v>3000005009</v>
      </c>
      <c r="B1077" s="22">
        <v>45895</v>
      </c>
      <c r="C1077" s="20">
        <v>11644543.4</v>
      </c>
      <c r="D1077" s="21" t="s">
        <v>761</v>
      </c>
      <c r="E1077" s="21">
        <v>91002494</v>
      </c>
      <c r="F1077" s="20">
        <v>11644543.4</v>
      </c>
      <c r="G1077" s="22">
        <v>45901</v>
      </c>
      <c r="H1077" t="s">
        <v>79</v>
      </c>
      <c r="I1077" s="40" t="str">
        <f>IFERROR(IF(VLOOKUP(E1077,extracto!C:C,1,FALSE)=E1077,"pagado","no pagado"),"no pagado")</f>
        <v>pagado</v>
      </c>
      <c r="J1077" s="41" t="str">
        <f t="shared" si="492"/>
        <v>pagado</v>
      </c>
      <c r="K1077" s="40" t="str">
        <f t="shared" ca="1" si="493"/>
        <v>excluir</v>
      </c>
      <c r="L1077" s="40" t="str">
        <f t="shared" ca="1" si="494"/>
        <v>no semana</v>
      </c>
      <c r="M1077" s="40" t="str">
        <f>IFERROR(VLOOKUP(E1077,'cheques a conf'!A:D,4,FALSE),"no clearing")</f>
        <v>no clearing</v>
      </c>
      <c r="N1077" s="40">
        <f t="shared" si="495"/>
        <v>36</v>
      </c>
      <c r="O1077" s="42">
        <f t="shared" si="496"/>
        <v>9</v>
      </c>
      <c r="P1077" s="42">
        <f t="shared" si="497"/>
        <v>2025</v>
      </c>
    </row>
    <row r="1078" spans="1:16" x14ac:dyDescent="0.25">
      <c r="A1078" s="21">
        <v>3000005010</v>
      </c>
      <c r="B1078" s="22">
        <v>45895</v>
      </c>
      <c r="C1078" s="20">
        <v>10000000</v>
      </c>
      <c r="D1078" s="21" t="s">
        <v>31</v>
      </c>
      <c r="E1078" s="21">
        <v>91002495</v>
      </c>
      <c r="F1078" s="20">
        <v>10000000</v>
      </c>
      <c r="G1078" s="22">
        <v>45898</v>
      </c>
      <c r="H1078" t="s">
        <v>79</v>
      </c>
      <c r="I1078" s="40" t="str">
        <f>IFERROR(IF(VLOOKUP(E1078,extracto!C:C,1,FALSE)=E1078,"pagado","no pagado"),"no pagado")</f>
        <v>pagado</v>
      </c>
      <c r="J1078" s="41" t="str">
        <f t="shared" si="492"/>
        <v>pagado</v>
      </c>
      <c r="K1078" s="40" t="str">
        <f t="shared" ca="1" si="493"/>
        <v>excluir</v>
      </c>
      <c r="L1078" s="40" t="str">
        <f t="shared" ca="1" si="494"/>
        <v>no semana</v>
      </c>
      <c r="M1078" s="40" t="str">
        <f>IFERROR(VLOOKUP(E1078,'cheques a conf'!A:D,4,FALSE),"no clearing")</f>
        <v>no clearing</v>
      </c>
      <c r="N1078" s="40">
        <f t="shared" si="495"/>
        <v>35</v>
      </c>
      <c r="O1078" s="42">
        <f t="shared" si="496"/>
        <v>8</v>
      </c>
      <c r="P1078" s="42">
        <f t="shared" si="497"/>
        <v>2025</v>
      </c>
    </row>
    <row r="1079" spans="1:16" x14ac:dyDescent="0.25">
      <c r="A1079" s="21">
        <v>3000005010</v>
      </c>
      <c r="B1079" s="22">
        <v>45895</v>
      </c>
      <c r="C1079" s="20">
        <v>5186559.84</v>
      </c>
      <c r="D1079" s="21" t="s">
        <v>31</v>
      </c>
      <c r="E1079" s="21">
        <v>91002496</v>
      </c>
      <c r="F1079" s="20">
        <v>5186559.84</v>
      </c>
      <c r="G1079" s="22">
        <v>45901</v>
      </c>
      <c r="H1079" t="s">
        <v>79</v>
      </c>
      <c r="I1079" s="40" t="str">
        <f>IFERROR(IF(VLOOKUP(E1079,extracto!C:C,1,FALSE)=E1079,"pagado","no pagado"),"no pagado")</f>
        <v>pagado</v>
      </c>
      <c r="J1079" s="41" t="str">
        <f t="shared" si="492"/>
        <v>pagado</v>
      </c>
      <c r="K1079" s="40" t="str">
        <f t="shared" ca="1" si="493"/>
        <v>excluir</v>
      </c>
      <c r="L1079" s="40" t="str">
        <f t="shared" ca="1" si="494"/>
        <v>no semana</v>
      </c>
      <c r="M1079" s="40" t="str">
        <f>IFERROR(VLOOKUP(E1079,'cheques a conf'!A:D,4,FALSE),"no clearing")</f>
        <v>no clearing</v>
      </c>
      <c r="N1079" s="40">
        <f t="shared" si="495"/>
        <v>36</v>
      </c>
      <c r="O1079" s="42">
        <f t="shared" si="496"/>
        <v>9</v>
      </c>
      <c r="P1079" s="42">
        <f t="shared" si="497"/>
        <v>2025</v>
      </c>
    </row>
    <row r="1080" spans="1:16" x14ac:dyDescent="0.25">
      <c r="A1080" s="21">
        <v>3000005011</v>
      </c>
      <c r="B1080" s="22">
        <v>45895</v>
      </c>
      <c r="C1080" s="20">
        <v>10000000</v>
      </c>
      <c r="D1080" s="21" t="s">
        <v>657</v>
      </c>
      <c r="E1080" s="21">
        <v>91002497</v>
      </c>
      <c r="F1080" s="20">
        <v>10000000</v>
      </c>
      <c r="G1080" s="22">
        <v>45898</v>
      </c>
      <c r="H1080" t="s">
        <v>79</v>
      </c>
      <c r="I1080" s="40" t="str">
        <f>IFERROR(IF(VLOOKUP(E1080,extracto!C:C,1,FALSE)=E1080,"pagado","no pagado"),"no pagado")</f>
        <v>pagado</v>
      </c>
      <c r="J1080" s="41" t="str">
        <f t="shared" si="492"/>
        <v>pagado</v>
      </c>
      <c r="K1080" s="40" t="str">
        <f t="shared" ca="1" si="493"/>
        <v>excluir</v>
      </c>
      <c r="L1080" s="40" t="str">
        <f t="shared" ca="1" si="494"/>
        <v>no semana</v>
      </c>
      <c r="M1080" s="40" t="str">
        <f>IFERROR(VLOOKUP(E1080,'cheques a conf'!A:D,4,FALSE),"no clearing")</f>
        <v>no clearing</v>
      </c>
      <c r="N1080" s="40">
        <f t="shared" si="495"/>
        <v>35</v>
      </c>
      <c r="O1080" s="42">
        <f t="shared" si="496"/>
        <v>8</v>
      </c>
      <c r="P1080" s="42">
        <f t="shared" si="497"/>
        <v>2025</v>
      </c>
    </row>
    <row r="1081" spans="1:16" x14ac:dyDescent="0.25">
      <c r="A1081" s="21">
        <v>3000005011</v>
      </c>
      <c r="B1081" s="22">
        <v>45895</v>
      </c>
      <c r="C1081" s="20">
        <v>5446984.3099999996</v>
      </c>
      <c r="D1081" s="21" t="s">
        <v>657</v>
      </c>
      <c r="E1081" s="21">
        <v>91002498</v>
      </c>
      <c r="F1081" s="20">
        <v>5446984.3099999996</v>
      </c>
      <c r="G1081" s="22">
        <v>45901</v>
      </c>
      <c r="H1081" t="s">
        <v>79</v>
      </c>
      <c r="I1081" s="40" t="str">
        <f>IFERROR(IF(VLOOKUP(E1081,extracto!C:C,1,FALSE)=E1081,"pagado","no pagado"),"no pagado")</f>
        <v>pagado</v>
      </c>
      <c r="J1081" s="41" t="str">
        <f t="shared" si="492"/>
        <v>pagado</v>
      </c>
      <c r="K1081" s="40" t="str">
        <f t="shared" ca="1" si="493"/>
        <v>excluir</v>
      </c>
      <c r="L1081" s="40" t="str">
        <f t="shared" ca="1" si="494"/>
        <v>no semana</v>
      </c>
      <c r="M1081" s="40" t="str">
        <f>IFERROR(VLOOKUP(E1081,'cheques a conf'!A:D,4,FALSE),"no clearing")</f>
        <v>no clearing</v>
      </c>
      <c r="N1081" s="40">
        <f t="shared" si="495"/>
        <v>36</v>
      </c>
      <c r="O1081" s="42">
        <f t="shared" si="496"/>
        <v>9</v>
      </c>
      <c r="P1081" s="42">
        <f t="shared" si="497"/>
        <v>2025</v>
      </c>
    </row>
    <row r="1082" spans="1:16" x14ac:dyDescent="0.25">
      <c r="A1082">
        <v>3000004912</v>
      </c>
      <c r="B1082" s="22">
        <v>45895</v>
      </c>
      <c r="C1082" s="20">
        <v>225840410</v>
      </c>
      <c r="D1082" s="21" t="s">
        <v>25</v>
      </c>
      <c r="E1082" s="21">
        <v>1833</v>
      </c>
      <c r="F1082" s="20">
        <v>225840410</v>
      </c>
      <c r="G1082" s="22">
        <v>45895</v>
      </c>
      <c r="H1082" t="s">
        <v>32</v>
      </c>
      <c r="I1082" s="40" t="str">
        <f>IFERROR(IF(VLOOKUP(E1082,extracto!C:C,1,FALSE)=E1082,"pagado","no pagado"),"no pagado")</f>
        <v>pagado</v>
      </c>
      <c r="J1082" s="41" t="str">
        <f t="shared" si="492"/>
        <v>pagado</v>
      </c>
      <c r="K1082" s="40" t="str">
        <f t="shared" ca="1" si="493"/>
        <v>excluir</v>
      </c>
      <c r="L1082" s="40" t="str">
        <f t="shared" ca="1" si="494"/>
        <v>no semana</v>
      </c>
      <c r="M1082" s="40" t="str">
        <f>IFERROR(VLOOKUP(E1082,'cheques a conf'!A:D,4,FALSE),"no clearing")</f>
        <v>no clearing</v>
      </c>
      <c r="N1082" s="40">
        <f t="shared" si="495"/>
        <v>35</v>
      </c>
      <c r="O1082" s="42">
        <f t="shared" si="496"/>
        <v>8</v>
      </c>
      <c r="P1082" s="42">
        <f t="shared" si="497"/>
        <v>2025</v>
      </c>
    </row>
    <row r="1083" spans="1:16" x14ac:dyDescent="0.25">
      <c r="A1083" s="21">
        <v>3000005046</v>
      </c>
      <c r="B1083" s="22">
        <v>45896</v>
      </c>
      <c r="C1083" s="20">
        <v>15784765.289999999</v>
      </c>
      <c r="D1083" s="21" t="s">
        <v>631</v>
      </c>
      <c r="E1083" s="21">
        <v>1834</v>
      </c>
      <c r="F1083" s="20">
        <v>15784765.289999999</v>
      </c>
      <c r="G1083" s="22">
        <v>45898</v>
      </c>
      <c r="H1083" t="s">
        <v>32</v>
      </c>
      <c r="I1083" s="40" t="str">
        <f>IFERROR(IF(VLOOKUP(E1083,extracto!C:C,1,FALSE)=E1083,"pagado","no pagado"),"no pagado")</f>
        <v>pagado</v>
      </c>
      <c r="J1083" s="41" t="str">
        <f t="shared" si="492"/>
        <v>pagado</v>
      </c>
      <c r="K1083" s="40" t="str">
        <f t="shared" ca="1" si="493"/>
        <v>excluir</v>
      </c>
      <c r="L1083" s="40" t="str">
        <f t="shared" ca="1" si="494"/>
        <v>no semana</v>
      </c>
      <c r="M1083" s="40" t="str">
        <f>IFERROR(VLOOKUP(E1083,'cheques a conf'!A:D,4,FALSE),"no clearing")</f>
        <v>no clearing</v>
      </c>
      <c r="N1083" s="40">
        <f t="shared" si="495"/>
        <v>35</v>
      </c>
      <c r="O1083" s="42">
        <f t="shared" si="496"/>
        <v>8</v>
      </c>
      <c r="P1083" s="42">
        <f t="shared" si="497"/>
        <v>2025</v>
      </c>
    </row>
    <row r="1084" spans="1:16" x14ac:dyDescent="0.25">
      <c r="A1084" s="21">
        <v>3000005047</v>
      </c>
      <c r="B1084" s="22">
        <v>45896</v>
      </c>
      <c r="C1084" s="20">
        <v>12449144.41</v>
      </c>
      <c r="D1084" s="21" t="s">
        <v>640</v>
      </c>
      <c r="E1084" s="21">
        <v>1835</v>
      </c>
      <c r="F1084" s="20">
        <v>12449144.41</v>
      </c>
      <c r="G1084" s="22">
        <v>45898</v>
      </c>
      <c r="H1084" t="s">
        <v>32</v>
      </c>
      <c r="I1084" s="40" t="str">
        <f>IFERROR(IF(VLOOKUP(E1084,extracto!C:C,1,FALSE)=E1084,"pagado","no pagado"),"no pagado")</f>
        <v>pagado</v>
      </c>
      <c r="J1084" s="41" t="str">
        <f t="shared" si="492"/>
        <v>pagado</v>
      </c>
      <c r="K1084" s="40" t="str">
        <f t="shared" ca="1" si="493"/>
        <v>excluir</v>
      </c>
      <c r="L1084" s="40" t="str">
        <f t="shared" ca="1" si="494"/>
        <v>no semana</v>
      </c>
      <c r="M1084" s="40" t="str">
        <f>IFERROR(VLOOKUP(E1084,'cheques a conf'!A:D,4,FALSE),"no clearing")</f>
        <v>no clearing</v>
      </c>
      <c r="N1084" s="40">
        <f t="shared" si="495"/>
        <v>35</v>
      </c>
      <c r="O1084" s="42">
        <f t="shared" si="496"/>
        <v>8</v>
      </c>
      <c r="P1084" s="42">
        <f t="shared" si="497"/>
        <v>2025</v>
      </c>
    </row>
    <row r="1085" spans="1:16" x14ac:dyDescent="0.25">
      <c r="A1085" s="21">
        <v>3000005048</v>
      </c>
      <c r="B1085" s="22">
        <v>45896</v>
      </c>
      <c r="C1085" s="20">
        <v>17008921.050000001</v>
      </c>
      <c r="D1085" s="21" t="s">
        <v>626</v>
      </c>
      <c r="E1085" s="21">
        <v>1836</v>
      </c>
      <c r="F1085" s="20">
        <v>17008921.050000001</v>
      </c>
      <c r="G1085" s="22">
        <v>45898</v>
      </c>
      <c r="H1085" t="s">
        <v>32</v>
      </c>
      <c r="I1085" s="40" t="str">
        <f>IFERROR(IF(VLOOKUP(E1085,extracto!C:C,1,FALSE)=E1085,"pagado","no pagado"),"no pagado")</f>
        <v>pagado</v>
      </c>
      <c r="J1085" s="41" t="str">
        <f t="shared" si="492"/>
        <v>pagado</v>
      </c>
      <c r="K1085" s="40" t="str">
        <f t="shared" ca="1" si="493"/>
        <v>excluir</v>
      </c>
      <c r="L1085" s="40" t="str">
        <f t="shared" ca="1" si="494"/>
        <v>no semana</v>
      </c>
      <c r="M1085" s="40" t="str">
        <f>IFERROR(VLOOKUP(E1085,'cheques a conf'!A:D,4,FALSE),"no clearing")</f>
        <v>no clearing</v>
      </c>
      <c r="N1085" s="40">
        <f t="shared" si="495"/>
        <v>35</v>
      </c>
      <c r="O1085" s="42">
        <f t="shared" si="496"/>
        <v>8</v>
      </c>
      <c r="P1085" s="42">
        <f t="shared" si="497"/>
        <v>2025</v>
      </c>
    </row>
    <row r="1086" spans="1:16" x14ac:dyDescent="0.25">
      <c r="A1086" s="21">
        <v>3000005049</v>
      </c>
      <c r="B1086" s="22">
        <v>45897</v>
      </c>
      <c r="C1086" s="20">
        <v>15000000</v>
      </c>
      <c r="D1086" s="21" t="s">
        <v>595</v>
      </c>
      <c r="E1086" s="21">
        <v>1837</v>
      </c>
      <c r="F1086" s="20">
        <v>15000000</v>
      </c>
      <c r="G1086" s="22">
        <v>45901</v>
      </c>
      <c r="H1086" t="s">
        <v>32</v>
      </c>
      <c r="I1086" s="40" t="str">
        <f>IFERROR(IF(VLOOKUP(E1086,extracto!C:C,1,FALSE)=E1086,"pagado","no pagado"),"no pagado")</f>
        <v>pagado</v>
      </c>
      <c r="J1086" s="41" t="str">
        <f t="shared" si="492"/>
        <v>pagado</v>
      </c>
      <c r="K1086" s="40" t="str">
        <f t="shared" ca="1" si="493"/>
        <v>excluir</v>
      </c>
      <c r="L1086" s="40" t="str">
        <f t="shared" ca="1" si="494"/>
        <v>no semana</v>
      </c>
      <c r="M1086" s="40" t="str">
        <f>IFERROR(VLOOKUP(E1086,'cheques a conf'!A:D,4,FALSE),"no clearing")</f>
        <v>no clearing</v>
      </c>
      <c r="N1086" s="40">
        <f t="shared" si="495"/>
        <v>36</v>
      </c>
      <c r="O1086" s="42">
        <f t="shared" si="496"/>
        <v>9</v>
      </c>
      <c r="P1086" s="42">
        <f t="shared" si="497"/>
        <v>2025</v>
      </c>
    </row>
    <row r="1087" spans="1:16" x14ac:dyDescent="0.25">
      <c r="A1087" s="21">
        <v>3000005049</v>
      </c>
      <c r="B1087" s="22">
        <v>45897</v>
      </c>
      <c r="C1087" s="20">
        <v>13635360</v>
      </c>
      <c r="D1087" s="21" t="s">
        <v>595</v>
      </c>
      <c r="E1087" s="21">
        <v>1838</v>
      </c>
      <c r="F1087" s="20">
        <v>13635360</v>
      </c>
      <c r="G1087" s="22">
        <v>45901</v>
      </c>
      <c r="H1087" t="s">
        <v>32</v>
      </c>
      <c r="I1087" s="40" t="str">
        <f>IFERROR(IF(VLOOKUP(E1087,extracto!C:C,1,FALSE)=E1087,"pagado","no pagado"),"no pagado")</f>
        <v>pagado</v>
      </c>
      <c r="J1087" s="41" t="str">
        <f t="shared" si="492"/>
        <v>pagado</v>
      </c>
      <c r="K1087" s="40" t="str">
        <f t="shared" ca="1" si="493"/>
        <v>excluir</v>
      </c>
      <c r="L1087" s="40" t="str">
        <f t="shared" ca="1" si="494"/>
        <v>no semana</v>
      </c>
      <c r="M1087" s="40" t="str">
        <f>IFERROR(VLOOKUP(E1087,'cheques a conf'!A:D,4,FALSE),"no clearing")</f>
        <v>no clearing</v>
      </c>
      <c r="N1087" s="40">
        <f t="shared" si="495"/>
        <v>36</v>
      </c>
      <c r="O1087" s="42">
        <f t="shared" si="496"/>
        <v>9</v>
      </c>
      <c r="P1087" s="42">
        <f t="shared" si="497"/>
        <v>2025</v>
      </c>
    </row>
    <row r="1088" spans="1:16" x14ac:dyDescent="0.25">
      <c r="A1088" s="21">
        <v>3000005049</v>
      </c>
      <c r="B1088" s="22">
        <v>45897</v>
      </c>
      <c r="C1088" s="20">
        <v>0</v>
      </c>
      <c r="D1088" s="21" t="s">
        <v>762</v>
      </c>
      <c r="E1088" s="21">
        <v>1839</v>
      </c>
      <c r="F1088" s="20">
        <v>0</v>
      </c>
      <c r="G1088" s="22">
        <v>45903</v>
      </c>
      <c r="H1088" t="s">
        <v>32</v>
      </c>
      <c r="I1088" s="40" t="str">
        <f>IFERROR(IF(VLOOKUP(E1088,extracto!C:C,1,FALSE)=E1088,"pagado","no pagado"),"no pagado")</f>
        <v>no pagado</v>
      </c>
      <c r="J1088" s="41" t="str">
        <f t="shared" ca="1" si="492"/>
        <v>fuera de fecha</v>
      </c>
      <c r="K1088" s="40" t="str">
        <f t="shared" ca="1" si="493"/>
        <v>excluir</v>
      </c>
      <c r="L1088" s="40" t="str">
        <f t="shared" ca="1" si="494"/>
        <v>no semana</v>
      </c>
      <c r="M1088" s="40" t="str">
        <f>IFERROR(VLOOKUP(E1088,'cheques a conf'!A:D,4,FALSE),"no clearing")</f>
        <v>no clearing</v>
      </c>
      <c r="N1088" s="40">
        <f t="shared" si="495"/>
        <v>36</v>
      </c>
      <c r="O1088" s="42">
        <f t="shared" si="496"/>
        <v>9</v>
      </c>
      <c r="P1088" s="42">
        <f t="shared" si="497"/>
        <v>2025</v>
      </c>
    </row>
    <row r="1089" spans="1:16" x14ac:dyDescent="0.25">
      <c r="A1089" s="21">
        <v>3000005049</v>
      </c>
      <c r="B1089" s="22">
        <v>45897</v>
      </c>
      <c r="C1089" s="20">
        <v>25000000</v>
      </c>
      <c r="D1089" s="21" t="s">
        <v>595</v>
      </c>
      <c r="E1089" s="21">
        <v>1840</v>
      </c>
      <c r="F1089" s="20">
        <v>25000000</v>
      </c>
      <c r="G1089" s="22">
        <v>45903</v>
      </c>
      <c r="H1089" t="s">
        <v>32</v>
      </c>
      <c r="I1089" s="40" t="str">
        <f>IFERROR(IF(VLOOKUP(E1089,extracto!C:C,1,FALSE)=E1089,"pagado","no pagado"),"no pagado")</f>
        <v>pagado</v>
      </c>
      <c r="J1089" s="41" t="str">
        <f t="shared" si="492"/>
        <v>pagado</v>
      </c>
      <c r="K1089" s="40" t="str">
        <f t="shared" ca="1" si="493"/>
        <v>excluir</v>
      </c>
      <c r="L1089" s="40" t="str">
        <f t="shared" ca="1" si="494"/>
        <v>no semana</v>
      </c>
      <c r="M1089" s="40" t="str">
        <f>IFERROR(VLOOKUP(E1089,'cheques a conf'!A:D,4,FALSE),"no clearing")</f>
        <v>no clearing</v>
      </c>
      <c r="N1089" s="40">
        <f t="shared" si="495"/>
        <v>36</v>
      </c>
      <c r="O1089" s="42">
        <f t="shared" si="496"/>
        <v>9</v>
      </c>
      <c r="P1089" s="42">
        <f t="shared" si="497"/>
        <v>2025</v>
      </c>
    </row>
    <row r="1090" spans="1:16" x14ac:dyDescent="0.25">
      <c r="A1090" s="21">
        <v>3000005049</v>
      </c>
      <c r="B1090" s="22">
        <v>45897</v>
      </c>
      <c r="C1090" s="20">
        <v>31829454.129999999</v>
      </c>
      <c r="D1090" s="21" t="s">
        <v>595</v>
      </c>
      <c r="E1090" s="21">
        <v>1841</v>
      </c>
      <c r="F1090" s="20">
        <v>31829454.129999999</v>
      </c>
      <c r="G1090" s="22">
        <v>45903</v>
      </c>
      <c r="H1090" t="s">
        <v>32</v>
      </c>
      <c r="I1090" s="40" t="str">
        <f>IFERROR(IF(VLOOKUP(E1090,extracto!C:C,1,FALSE)=E1090,"pagado","no pagado"),"no pagado")</f>
        <v>pagado</v>
      </c>
      <c r="J1090" s="41" t="str">
        <f t="shared" si="492"/>
        <v>pagado</v>
      </c>
      <c r="K1090" s="40" t="str">
        <f t="shared" ca="1" si="493"/>
        <v>excluir</v>
      </c>
      <c r="L1090" s="40" t="str">
        <f t="shared" ca="1" si="494"/>
        <v>no semana</v>
      </c>
      <c r="M1090" s="40" t="str">
        <f>IFERROR(VLOOKUP(E1090,'cheques a conf'!A:D,4,FALSE),"no clearing")</f>
        <v>no clearing</v>
      </c>
      <c r="N1090" s="40">
        <f t="shared" si="495"/>
        <v>36</v>
      </c>
      <c r="O1090" s="42">
        <f t="shared" si="496"/>
        <v>9</v>
      </c>
      <c r="P1090" s="42">
        <f t="shared" si="497"/>
        <v>2025</v>
      </c>
    </row>
    <row r="1091" spans="1:16" x14ac:dyDescent="0.25">
      <c r="A1091" s="21">
        <v>3000005050</v>
      </c>
      <c r="B1091" s="22">
        <v>45897</v>
      </c>
      <c r="C1091" s="20">
        <v>290000000</v>
      </c>
      <c r="D1091" s="21" t="s">
        <v>763</v>
      </c>
      <c r="E1091" s="21">
        <v>1842</v>
      </c>
      <c r="F1091" s="20">
        <v>290000000</v>
      </c>
      <c r="G1091" s="22">
        <v>45918</v>
      </c>
      <c r="H1091" t="s">
        <v>32</v>
      </c>
      <c r="I1091" s="40" t="str">
        <f>IFERROR(IF(VLOOKUP(E1091,extracto!C:C,1,FALSE)=E1091,"pagado","no pagado"),"no pagado")</f>
        <v>pagado</v>
      </c>
      <c r="J1091" s="41" t="str">
        <f t="shared" si="492"/>
        <v>pagado</v>
      </c>
      <c r="K1091" s="40" t="str">
        <f t="shared" ca="1" si="493"/>
        <v>excluir</v>
      </c>
      <c r="L1091" s="40" t="str">
        <f t="shared" ca="1" si="494"/>
        <v>no semana</v>
      </c>
      <c r="M1091" s="40" t="str">
        <f>IFERROR(VLOOKUP(E1091,'cheques a conf'!A:D,4,FALSE),"no clearing")</f>
        <v>no clearing</v>
      </c>
      <c r="N1091" s="40">
        <f t="shared" si="495"/>
        <v>38</v>
      </c>
      <c r="O1091" s="42">
        <f t="shared" si="496"/>
        <v>9</v>
      </c>
      <c r="P1091" s="42">
        <f t="shared" si="497"/>
        <v>2025</v>
      </c>
    </row>
    <row r="1092" spans="1:16" x14ac:dyDescent="0.25">
      <c r="A1092" s="21">
        <v>3000005050</v>
      </c>
      <c r="B1092" s="22">
        <v>45897</v>
      </c>
      <c r="C1092" s="20">
        <v>290000000</v>
      </c>
      <c r="D1092" s="21" t="s">
        <v>763</v>
      </c>
      <c r="E1092" s="21">
        <v>1843</v>
      </c>
      <c r="F1092" s="20">
        <v>290000000</v>
      </c>
      <c r="G1092" s="22">
        <v>45918</v>
      </c>
      <c r="H1092" t="s">
        <v>32</v>
      </c>
      <c r="I1092" s="40" t="str">
        <f>IFERROR(IF(VLOOKUP(E1092,extracto!C:C,1,FALSE)=E1092,"pagado","no pagado"),"no pagado")</f>
        <v>pagado</v>
      </c>
      <c r="J1092" s="41" t="str">
        <f t="shared" si="492"/>
        <v>pagado</v>
      </c>
      <c r="K1092" s="40" t="str">
        <f t="shared" ca="1" si="493"/>
        <v>excluir</v>
      </c>
      <c r="L1092" s="40" t="str">
        <f t="shared" ca="1" si="494"/>
        <v>no semana</v>
      </c>
      <c r="M1092" s="40" t="str">
        <f>IFERROR(VLOOKUP(E1092,'cheques a conf'!A:D,4,FALSE),"no clearing")</f>
        <v>no clearing</v>
      </c>
      <c r="N1092" s="40">
        <f t="shared" si="495"/>
        <v>38</v>
      </c>
      <c r="O1092" s="42">
        <f t="shared" si="496"/>
        <v>9</v>
      </c>
      <c r="P1092" s="42">
        <f t="shared" si="497"/>
        <v>2025</v>
      </c>
    </row>
    <row r="1093" spans="1:16" x14ac:dyDescent="0.25">
      <c r="A1093" s="21">
        <v>3000005050</v>
      </c>
      <c r="B1093" s="22">
        <v>45897</v>
      </c>
      <c r="C1093" s="20">
        <v>290000000</v>
      </c>
      <c r="D1093" s="21" t="s">
        <v>763</v>
      </c>
      <c r="E1093" s="21">
        <v>1844</v>
      </c>
      <c r="F1093" s="20">
        <v>290000000</v>
      </c>
      <c r="G1093" s="22">
        <v>45918</v>
      </c>
      <c r="H1093" t="s">
        <v>32</v>
      </c>
      <c r="I1093" s="40" t="str">
        <f>IFERROR(IF(VLOOKUP(E1093,extracto!C:C,1,FALSE)=E1093,"pagado","no pagado"),"no pagado")</f>
        <v>pagado</v>
      </c>
      <c r="J1093" s="41" t="str">
        <f t="shared" si="492"/>
        <v>pagado</v>
      </c>
      <c r="K1093" s="40" t="str">
        <f t="shared" ca="1" si="493"/>
        <v>excluir</v>
      </c>
      <c r="L1093" s="40" t="str">
        <f t="shared" ca="1" si="494"/>
        <v>no semana</v>
      </c>
      <c r="M1093" s="40" t="str">
        <f>IFERROR(VLOOKUP(E1093,'cheques a conf'!A:D,4,FALSE),"no clearing")</f>
        <v>no clearing</v>
      </c>
      <c r="N1093" s="40">
        <f t="shared" si="495"/>
        <v>38</v>
      </c>
      <c r="O1093" s="42">
        <f t="shared" si="496"/>
        <v>9</v>
      </c>
      <c r="P1093" s="42">
        <f t="shared" si="497"/>
        <v>2025</v>
      </c>
    </row>
    <row r="1094" spans="1:16" x14ac:dyDescent="0.25">
      <c r="A1094" s="21">
        <v>3000005050</v>
      </c>
      <c r="B1094" s="22">
        <v>45897</v>
      </c>
      <c r="C1094" s="20">
        <v>290000000</v>
      </c>
      <c r="D1094" s="21" t="s">
        <v>763</v>
      </c>
      <c r="E1094" s="21">
        <v>1845</v>
      </c>
      <c r="F1094" s="20">
        <v>290000000</v>
      </c>
      <c r="G1094" s="22">
        <v>45950</v>
      </c>
      <c r="H1094" t="s">
        <v>32</v>
      </c>
      <c r="I1094" s="40" t="str">
        <f>IFERROR(IF(VLOOKUP(E1094,extracto!C:C,1,FALSE)=E1094,"pagado","no pagado"),"no pagado")</f>
        <v>pagado</v>
      </c>
      <c r="J1094" s="41" t="str">
        <f t="shared" ref="J1094:J1098" si="498">IF(I1094="pagado","pagado",IF(G1094&lt;$V$1-30,"fuera de fecha","en periodo de pago"))</f>
        <v>pagado</v>
      </c>
      <c r="K1094" s="40" t="str">
        <f t="shared" ref="K1094:K1098" ca="1" si="499">+IF(B1094&gt;$V$1,"excluir",IF(J1094="en periodo de pago",IF($V$1&gt;G1094,"a pagar","proximo a vencer"),"excluir"))</f>
        <v>excluir</v>
      </c>
      <c r="L1094" s="40" t="str">
        <f t="shared" ref="L1094:L1098" ca="1" si="500">+IF(K1094="proximo a vencer",IF($V$1+5&gt;G1094,"para la semana","no semana"),"no semana")</f>
        <v>no semana</v>
      </c>
      <c r="M1094" s="40" t="str">
        <f>IFERROR(VLOOKUP(E1094,'cheques a conf'!A:D,4,FALSE),"no clearing")</f>
        <v>no clearing</v>
      </c>
      <c r="N1094" s="40">
        <f t="shared" ref="N1094:N1098" si="501">+WEEKNUM(G1094,2)</f>
        <v>43</v>
      </c>
      <c r="O1094" s="42">
        <f t="shared" ref="O1094:O1098" si="502">+MONTH(G1094)</f>
        <v>10</v>
      </c>
      <c r="P1094" s="42">
        <f t="shared" ref="P1094:P1098" si="503">+YEAR(G1094)</f>
        <v>2025</v>
      </c>
    </row>
    <row r="1095" spans="1:16" x14ac:dyDescent="0.25">
      <c r="A1095" s="21">
        <v>3000005050</v>
      </c>
      <c r="B1095" s="22">
        <v>45897</v>
      </c>
      <c r="C1095" s="20">
        <v>290000000</v>
      </c>
      <c r="D1095" s="21" t="s">
        <v>763</v>
      </c>
      <c r="E1095" s="21">
        <v>1846</v>
      </c>
      <c r="F1095" s="20">
        <v>290000000</v>
      </c>
      <c r="G1095" s="22">
        <v>45950</v>
      </c>
      <c r="H1095" t="s">
        <v>32</v>
      </c>
      <c r="I1095" s="40" t="str">
        <f>IFERROR(IF(VLOOKUP(E1095,extracto!C:C,1,FALSE)=E1095,"pagado","no pagado"),"no pagado")</f>
        <v>pagado</v>
      </c>
      <c r="J1095" s="41" t="str">
        <f t="shared" si="498"/>
        <v>pagado</v>
      </c>
      <c r="K1095" s="40" t="str">
        <f t="shared" ca="1" si="499"/>
        <v>excluir</v>
      </c>
      <c r="L1095" s="40" t="str">
        <f t="shared" ca="1" si="500"/>
        <v>no semana</v>
      </c>
      <c r="M1095" s="40" t="str">
        <f>IFERROR(VLOOKUP(E1095,'cheques a conf'!A:D,4,FALSE),"no clearing")</f>
        <v>no clearing</v>
      </c>
      <c r="N1095" s="40">
        <f t="shared" si="501"/>
        <v>43</v>
      </c>
      <c r="O1095" s="42">
        <f t="shared" si="502"/>
        <v>10</v>
      </c>
      <c r="P1095" s="42">
        <f t="shared" si="503"/>
        <v>2025</v>
      </c>
    </row>
    <row r="1096" spans="1:16" x14ac:dyDescent="0.25">
      <c r="A1096" s="21">
        <v>3000005050</v>
      </c>
      <c r="B1096" s="22">
        <v>45897</v>
      </c>
      <c r="C1096" s="20">
        <v>290000000</v>
      </c>
      <c r="D1096" s="21" t="s">
        <v>763</v>
      </c>
      <c r="E1096" s="21">
        <v>1847</v>
      </c>
      <c r="F1096" s="20">
        <v>290000000</v>
      </c>
      <c r="G1096" s="22">
        <v>45950</v>
      </c>
      <c r="H1096" t="s">
        <v>32</v>
      </c>
      <c r="I1096" s="40" t="str">
        <f>IFERROR(IF(VLOOKUP(E1096,extracto!C:C,1,FALSE)=E1096,"pagado","no pagado"),"no pagado")</f>
        <v>pagado</v>
      </c>
      <c r="J1096" s="41" t="str">
        <f t="shared" si="498"/>
        <v>pagado</v>
      </c>
      <c r="K1096" s="40" t="str">
        <f t="shared" ca="1" si="499"/>
        <v>excluir</v>
      </c>
      <c r="L1096" s="40" t="str">
        <f t="shared" ca="1" si="500"/>
        <v>no semana</v>
      </c>
      <c r="M1096" s="40" t="str">
        <f>IFERROR(VLOOKUP(E1096,'cheques a conf'!A:D,4,FALSE),"no clearing")</f>
        <v>no clearing</v>
      </c>
      <c r="N1096" s="40">
        <f t="shared" si="501"/>
        <v>43</v>
      </c>
      <c r="O1096" s="42">
        <f t="shared" si="502"/>
        <v>10</v>
      </c>
      <c r="P1096" s="42">
        <f t="shared" si="503"/>
        <v>2025</v>
      </c>
    </row>
    <row r="1097" spans="1:16" x14ac:dyDescent="0.25">
      <c r="A1097" s="21">
        <v>3000005050</v>
      </c>
      <c r="B1097" s="22">
        <v>45897</v>
      </c>
      <c r="C1097" s="20">
        <v>290000000</v>
      </c>
      <c r="D1097" s="21" t="s">
        <v>763</v>
      </c>
      <c r="E1097" s="21">
        <v>1848</v>
      </c>
      <c r="F1097" s="20">
        <v>290000000</v>
      </c>
      <c r="G1097" s="22">
        <v>45978</v>
      </c>
      <c r="H1097" t="s">
        <v>32</v>
      </c>
      <c r="I1097" s="40" t="str">
        <f>IFERROR(IF(VLOOKUP(E1097,extracto!C:C,1,FALSE)=E1097,"pagado","no pagado"),"no pagado")</f>
        <v>pagado</v>
      </c>
      <c r="J1097" s="41" t="str">
        <f t="shared" si="498"/>
        <v>pagado</v>
      </c>
      <c r="K1097" s="40" t="str">
        <f t="shared" ca="1" si="499"/>
        <v>excluir</v>
      </c>
      <c r="L1097" s="40" t="str">
        <f t="shared" ca="1" si="500"/>
        <v>no semana</v>
      </c>
      <c r="M1097" s="40" t="str">
        <f>IFERROR(VLOOKUP(E1097,'cheques a conf'!A:D,4,FALSE),"no clearing")</f>
        <v>no clearing</v>
      </c>
      <c r="N1097" s="40">
        <f t="shared" si="501"/>
        <v>47</v>
      </c>
      <c r="O1097" s="42">
        <f t="shared" si="502"/>
        <v>11</v>
      </c>
      <c r="P1097" s="42">
        <f t="shared" si="503"/>
        <v>2025</v>
      </c>
    </row>
    <row r="1098" spans="1:16" x14ac:dyDescent="0.25">
      <c r="A1098" s="21">
        <v>3000005050</v>
      </c>
      <c r="B1098" s="22">
        <v>45897</v>
      </c>
      <c r="C1098" s="20">
        <v>290000000</v>
      </c>
      <c r="D1098" s="21" t="s">
        <v>763</v>
      </c>
      <c r="E1098" s="21">
        <v>1849</v>
      </c>
      <c r="F1098" s="20">
        <v>290000000</v>
      </c>
      <c r="G1098" s="22">
        <v>45978</v>
      </c>
      <c r="H1098" t="s">
        <v>32</v>
      </c>
      <c r="I1098" s="40" t="str">
        <f>IFERROR(IF(VLOOKUP(E1098,extracto!C:C,1,FALSE)=E1098,"pagado","no pagado"),"no pagado")</f>
        <v>pagado</v>
      </c>
      <c r="J1098" s="41" t="str">
        <f t="shared" si="498"/>
        <v>pagado</v>
      </c>
      <c r="K1098" s="40" t="str">
        <f t="shared" ca="1" si="499"/>
        <v>excluir</v>
      </c>
      <c r="L1098" s="40" t="str">
        <f t="shared" ca="1" si="500"/>
        <v>no semana</v>
      </c>
      <c r="M1098" s="40" t="str">
        <f>IFERROR(VLOOKUP(E1098,'cheques a conf'!A:D,4,FALSE),"no clearing")</f>
        <v>no clearing</v>
      </c>
      <c r="N1098" s="40">
        <f t="shared" si="501"/>
        <v>47</v>
      </c>
      <c r="O1098" s="42">
        <f t="shared" si="502"/>
        <v>11</v>
      </c>
      <c r="P1098" s="42">
        <f t="shared" si="503"/>
        <v>2025</v>
      </c>
    </row>
    <row r="1099" spans="1:16" x14ac:dyDescent="0.25">
      <c r="A1099" s="21">
        <v>3000005050</v>
      </c>
      <c r="B1099" s="22">
        <v>45897</v>
      </c>
      <c r="C1099" s="20">
        <v>290000000</v>
      </c>
      <c r="D1099" s="21" t="s">
        <v>763</v>
      </c>
      <c r="E1099" s="21">
        <v>1850</v>
      </c>
      <c r="F1099" s="20">
        <v>290000000</v>
      </c>
      <c r="G1099" s="22">
        <v>45978</v>
      </c>
      <c r="H1099" t="s">
        <v>32</v>
      </c>
      <c r="I1099" s="40" t="str">
        <f>IFERROR(IF(VLOOKUP(E1099,extracto!C:C,1,FALSE)=E1099,"pagado","no pagado"),"no pagado")</f>
        <v>pagado</v>
      </c>
      <c r="J1099" s="41" t="str">
        <f t="shared" ref="J1099:J1100" si="504">IF(I1099="pagado","pagado",IF(G1099&lt;$V$1-30,"fuera de fecha","en periodo de pago"))</f>
        <v>pagado</v>
      </c>
      <c r="K1099" s="40" t="str">
        <f t="shared" ref="K1099:K1100" ca="1" si="505">+IF(B1099&gt;$V$1,"excluir",IF(J1099="en periodo de pago",IF($V$1&gt;G1099,"a pagar","proximo a vencer"),"excluir"))</f>
        <v>excluir</v>
      </c>
      <c r="L1099" s="40" t="str">
        <f t="shared" ref="L1099:L1100" ca="1" si="506">+IF(K1099="proximo a vencer",IF($V$1+5&gt;G1099,"para la semana","no semana"),"no semana")</f>
        <v>no semana</v>
      </c>
      <c r="M1099" s="40" t="str">
        <f>IFERROR(VLOOKUP(E1099,'cheques a conf'!A:D,4,FALSE),"no clearing")</f>
        <v>no clearing</v>
      </c>
      <c r="N1099" s="40">
        <f t="shared" ref="N1099:N1100" si="507">+WEEKNUM(G1099,2)</f>
        <v>47</v>
      </c>
      <c r="O1099" s="42">
        <f t="shared" ref="O1099:O1100" si="508">+MONTH(G1099)</f>
        <v>11</v>
      </c>
      <c r="P1099" s="42">
        <f t="shared" ref="P1099:P1100" si="509">+YEAR(G1099)</f>
        <v>2025</v>
      </c>
    </row>
    <row r="1100" spans="1:16" x14ac:dyDescent="0.25">
      <c r="A1100" s="21">
        <v>3000005050</v>
      </c>
      <c r="B1100" s="22">
        <v>45897</v>
      </c>
      <c r="C1100" s="20">
        <v>290000000</v>
      </c>
      <c r="D1100" s="21" t="s">
        <v>763</v>
      </c>
      <c r="E1100" s="21">
        <v>1851</v>
      </c>
      <c r="F1100" s="20">
        <v>290000000</v>
      </c>
      <c r="G1100" s="22">
        <v>46008</v>
      </c>
      <c r="H1100" t="s">
        <v>32</v>
      </c>
      <c r="I1100" s="40" t="str">
        <f>IFERROR(IF(VLOOKUP(E1100,extracto!C:C,1,FALSE)=E1100,"pagado","no pagado"),"no pagado")</f>
        <v>pagado</v>
      </c>
      <c r="J1100" s="41" t="str">
        <f t="shared" si="504"/>
        <v>pagado</v>
      </c>
      <c r="K1100" s="40" t="str">
        <f t="shared" ca="1" si="505"/>
        <v>excluir</v>
      </c>
      <c r="L1100" s="40" t="str">
        <f t="shared" ca="1" si="506"/>
        <v>no semana</v>
      </c>
      <c r="M1100" s="40" t="str">
        <f>IFERROR(VLOOKUP(E1100,'cheques a conf'!A:D,4,FALSE),"no clearing")</f>
        <v>no clearing</v>
      </c>
      <c r="N1100" s="40">
        <f t="shared" si="507"/>
        <v>51</v>
      </c>
      <c r="O1100" s="42">
        <f t="shared" si="508"/>
        <v>12</v>
      </c>
      <c r="P1100" s="42">
        <f t="shared" si="509"/>
        <v>2025</v>
      </c>
    </row>
    <row r="1101" spans="1:16" x14ac:dyDescent="0.25">
      <c r="A1101" s="21">
        <v>3000005050</v>
      </c>
      <c r="B1101" s="22">
        <v>45897</v>
      </c>
      <c r="C1101" s="20">
        <v>290000000</v>
      </c>
      <c r="D1101" s="21" t="s">
        <v>763</v>
      </c>
      <c r="E1101" s="21">
        <v>1852</v>
      </c>
      <c r="F1101" s="20">
        <v>290000000</v>
      </c>
      <c r="G1101" s="22">
        <v>46008</v>
      </c>
      <c r="H1101" t="s">
        <v>32</v>
      </c>
      <c r="I1101" s="40" t="str">
        <f>IFERROR(IF(VLOOKUP(E1101,extracto!C:C,1,FALSE)=E1101,"pagado","no pagado"),"no pagado")</f>
        <v>pagado</v>
      </c>
      <c r="J1101" s="41" t="str">
        <f t="shared" ref="J1101:J1121" si="510">IF(I1101="pagado","pagado",IF(G1101&lt;$V$1-30,"fuera de fecha","en periodo de pago"))</f>
        <v>pagado</v>
      </c>
      <c r="K1101" s="40" t="str">
        <f t="shared" ref="K1101:K1121" ca="1" si="511">+IF(B1101&gt;$V$1,"excluir",IF(J1101="en periodo de pago",IF($V$1&gt;G1101,"a pagar","proximo a vencer"),"excluir"))</f>
        <v>excluir</v>
      </c>
      <c r="L1101" s="40" t="str">
        <f t="shared" ref="L1101:L1121" ca="1" si="512">+IF(K1101="proximo a vencer",IF($V$1+5&gt;G1101,"para la semana","no semana"),"no semana")</f>
        <v>no semana</v>
      </c>
      <c r="M1101" s="40" t="str">
        <f>IFERROR(VLOOKUP(E1101,'cheques a conf'!A:D,4,FALSE),"no clearing")</f>
        <v>no clearing</v>
      </c>
      <c r="N1101" s="40">
        <f t="shared" ref="N1101:N1121" si="513">+WEEKNUM(G1101,2)</f>
        <v>51</v>
      </c>
      <c r="O1101" s="42">
        <f t="shared" ref="O1101:O1121" si="514">+MONTH(G1101)</f>
        <v>12</v>
      </c>
      <c r="P1101" s="42">
        <f t="shared" ref="P1101:P1121" si="515">+YEAR(G1101)</f>
        <v>2025</v>
      </c>
    </row>
    <row r="1102" spans="1:16" x14ac:dyDescent="0.25">
      <c r="A1102" s="21">
        <v>3000005050</v>
      </c>
      <c r="B1102" s="22">
        <v>45897</v>
      </c>
      <c r="C1102" s="20">
        <v>278717907.69999999</v>
      </c>
      <c r="D1102" s="21" t="s">
        <v>763</v>
      </c>
      <c r="E1102" s="21">
        <v>1853</v>
      </c>
      <c r="F1102" s="20">
        <v>278717907.69999999</v>
      </c>
      <c r="G1102" s="22">
        <v>46008</v>
      </c>
      <c r="H1102" t="s">
        <v>32</v>
      </c>
      <c r="I1102" s="40" t="str">
        <f>IFERROR(IF(VLOOKUP(E1102,extracto!C:C,1,FALSE)=E1102,"pagado","no pagado"),"no pagado")</f>
        <v>pagado</v>
      </c>
      <c r="J1102" s="41" t="str">
        <f t="shared" si="510"/>
        <v>pagado</v>
      </c>
      <c r="K1102" s="40" t="str">
        <f t="shared" ca="1" si="511"/>
        <v>excluir</v>
      </c>
      <c r="L1102" s="40" t="str">
        <f t="shared" ca="1" si="512"/>
        <v>no semana</v>
      </c>
      <c r="M1102" s="40" t="str">
        <f>IFERROR(VLOOKUP(E1102,'cheques a conf'!A:D,4,FALSE),"no clearing")</f>
        <v>no clearing</v>
      </c>
      <c r="N1102" s="40">
        <f t="shared" si="513"/>
        <v>51</v>
      </c>
      <c r="O1102" s="42">
        <f t="shared" si="514"/>
        <v>12</v>
      </c>
      <c r="P1102" s="42">
        <f t="shared" si="515"/>
        <v>2025</v>
      </c>
    </row>
    <row r="1103" spans="1:16" x14ac:dyDescent="0.25">
      <c r="A1103" s="21">
        <v>3000005074</v>
      </c>
      <c r="B1103" s="22">
        <v>45897</v>
      </c>
      <c r="C1103" s="20">
        <v>0</v>
      </c>
      <c r="D1103" s="21" t="s">
        <v>764</v>
      </c>
      <c r="E1103" s="21">
        <v>1854</v>
      </c>
      <c r="F1103" s="20">
        <v>0</v>
      </c>
      <c r="G1103" s="22">
        <v>45902</v>
      </c>
      <c r="H1103" t="s">
        <v>32</v>
      </c>
      <c r="I1103" s="40" t="str">
        <f>IFERROR(IF(VLOOKUP(E1103,extracto!C:C,1,FALSE)=E1103,"pagado","no pagado"),"no pagado")</f>
        <v>no pagado</v>
      </c>
      <c r="J1103" s="41" t="str">
        <f t="shared" ca="1" si="510"/>
        <v>fuera de fecha</v>
      </c>
      <c r="K1103" s="40" t="str">
        <f t="shared" ca="1" si="511"/>
        <v>excluir</v>
      </c>
      <c r="L1103" s="40" t="str">
        <f t="shared" ca="1" si="512"/>
        <v>no semana</v>
      </c>
      <c r="M1103" s="40" t="str">
        <f>IFERROR(VLOOKUP(E1103,'cheques a conf'!A:D,4,FALSE),"no clearing")</f>
        <v>no clearing</v>
      </c>
      <c r="N1103" s="40">
        <f t="shared" si="513"/>
        <v>36</v>
      </c>
      <c r="O1103" s="42">
        <f t="shared" si="514"/>
        <v>9</v>
      </c>
      <c r="P1103" s="42">
        <f t="shared" si="515"/>
        <v>2025</v>
      </c>
    </row>
    <row r="1104" spans="1:16" x14ac:dyDescent="0.25">
      <c r="A1104" s="21">
        <v>3000005133</v>
      </c>
      <c r="B1104" s="22">
        <v>45901</v>
      </c>
      <c r="C1104" s="20">
        <v>4187334.65</v>
      </c>
      <c r="D1104" s="21" t="s">
        <v>765</v>
      </c>
      <c r="E1104" s="21">
        <v>1855</v>
      </c>
      <c r="F1104" s="20">
        <v>4187334.65</v>
      </c>
      <c r="G1104" s="22">
        <v>45903</v>
      </c>
      <c r="H1104" t="s">
        <v>32</v>
      </c>
      <c r="I1104" s="40" t="str">
        <f>IFERROR(IF(VLOOKUP(E1104,extracto!C:C,1,FALSE)=E1104,"pagado","no pagado"),"no pagado")</f>
        <v>pagado</v>
      </c>
      <c r="J1104" s="41" t="str">
        <f t="shared" si="510"/>
        <v>pagado</v>
      </c>
      <c r="K1104" s="40" t="str">
        <f t="shared" ca="1" si="511"/>
        <v>excluir</v>
      </c>
      <c r="L1104" s="40" t="str">
        <f t="shared" ca="1" si="512"/>
        <v>no semana</v>
      </c>
      <c r="M1104" s="40" t="str">
        <f>IFERROR(VLOOKUP(E1104,'cheques a conf'!A:D,4,FALSE),"no clearing")</f>
        <v>no clearing</v>
      </c>
      <c r="N1104" s="40">
        <f t="shared" si="513"/>
        <v>36</v>
      </c>
      <c r="O1104" s="42">
        <f t="shared" si="514"/>
        <v>9</v>
      </c>
      <c r="P1104" s="42">
        <f t="shared" si="515"/>
        <v>2025</v>
      </c>
    </row>
    <row r="1105" spans="1:16" x14ac:dyDescent="0.25">
      <c r="A1105" s="21">
        <v>3000005134</v>
      </c>
      <c r="B1105" s="22">
        <v>45901</v>
      </c>
      <c r="C1105" s="20">
        <v>13679155</v>
      </c>
      <c r="D1105" s="21" t="s">
        <v>658</v>
      </c>
      <c r="E1105" s="21">
        <v>1856</v>
      </c>
      <c r="F1105" s="20">
        <v>13679155</v>
      </c>
      <c r="G1105" s="22">
        <v>45903</v>
      </c>
      <c r="H1105" t="s">
        <v>32</v>
      </c>
      <c r="I1105" s="40" t="str">
        <f>IFERROR(IF(VLOOKUP(E1105,extracto!C:C,1,FALSE)=E1105,"pagado","no pagado"),"no pagado")</f>
        <v>pagado</v>
      </c>
      <c r="J1105" s="41" t="str">
        <f t="shared" si="510"/>
        <v>pagado</v>
      </c>
      <c r="K1105" s="40" t="str">
        <f t="shared" ca="1" si="511"/>
        <v>excluir</v>
      </c>
      <c r="L1105" s="40" t="str">
        <f t="shared" ca="1" si="512"/>
        <v>no semana</v>
      </c>
      <c r="M1105" s="40" t="str">
        <f>IFERROR(VLOOKUP(E1105,'cheques a conf'!A:D,4,FALSE),"no clearing")</f>
        <v>no clearing</v>
      </c>
      <c r="N1105" s="40">
        <f t="shared" si="513"/>
        <v>36</v>
      </c>
      <c r="O1105" s="42">
        <f t="shared" si="514"/>
        <v>9</v>
      </c>
      <c r="P1105" s="42">
        <f t="shared" si="515"/>
        <v>2025</v>
      </c>
    </row>
    <row r="1106" spans="1:16" x14ac:dyDescent="0.25">
      <c r="A1106" s="21">
        <v>3000005135</v>
      </c>
      <c r="B1106" s="22">
        <v>45901</v>
      </c>
      <c r="C1106" s="20">
        <v>6141982.2999999998</v>
      </c>
      <c r="D1106" s="21" t="s">
        <v>87</v>
      </c>
      <c r="E1106" s="21">
        <v>1857</v>
      </c>
      <c r="F1106" s="20">
        <v>6141982.2999999998</v>
      </c>
      <c r="G1106" s="22">
        <v>45903</v>
      </c>
      <c r="H1106" t="s">
        <v>32</v>
      </c>
      <c r="I1106" s="40" t="str">
        <f>IFERROR(IF(VLOOKUP(E1106,extracto!C:C,1,FALSE)=E1106,"pagado","no pagado"),"no pagado")</f>
        <v>pagado</v>
      </c>
      <c r="J1106" s="41" t="str">
        <f t="shared" si="510"/>
        <v>pagado</v>
      </c>
      <c r="K1106" s="40" t="str">
        <f t="shared" ca="1" si="511"/>
        <v>excluir</v>
      </c>
      <c r="L1106" s="40" t="str">
        <f t="shared" ca="1" si="512"/>
        <v>no semana</v>
      </c>
      <c r="M1106" s="40" t="str">
        <f>IFERROR(VLOOKUP(E1106,'cheques a conf'!A:D,4,FALSE),"no clearing")</f>
        <v>no clearing</v>
      </c>
      <c r="N1106" s="40">
        <f t="shared" si="513"/>
        <v>36</v>
      </c>
      <c r="O1106" s="42">
        <f t="shared" si="514"/>
        <v>9</v>
      </c>
      <c r="P1106" s="42">
        <f t="shared" si="515"/>
        <v>2025</v>
      </c>
    </row>
    <row r="1107" spans="1:16" x14ac:dyDescent="0.25">
      <c r="A1107" s="21">
        <v>3000005136</v>
      </c>
      <c r="B1107" s="22">
        <v>45901</v>
      </c>
      <c r="C1107" s="20">
        <v>7278248.4199999999</v>
      </c>
      <c r="D1107" s="21" t="s">
        <v>631</v>
      </c>
      <c r="E1107" s="21">
        <v>1858</v>
      </c>
      <c r="F1107" s="20">
        <v>7278248.4199999999</v>
      </c>
      <c r="G1107" s="22">
        <v>45903</v>
      </c>
      <c r="H1107" t="s">
        <v>32</v>
      </c>
      <c r="I1107" s="40" t="str">
        <f>IFERROR(IF(VLOOKUP(E1107,extracto!C:C,1,FALSE)=E1107,"pagado","no pagado"),"no pagado")</f>
        <v>pagado</v>
      </c>
      <c r="J1107" s="41" t="str">
        <f t="shared" si="510"/>
        <v>pagado</v>
      </c>
      <c r="K1107" s="40" t="str">
        <f t="shared" ca="1" si="511"/>
        <v>excluir</v>
      </c>
      <c r="L1107" s="40" t="str">
        <f t="shared" ca="1" si="512"/>
        <v>no semana</v>
      </c>
      <c r="M1107" s="40" t="str">
        <f>IFERROR(VLOOKUP(E1107,'cheques a conf'!A:D,4,FALSE),"no clearing")</f>
        <v>no clearing</v>
      </c>
      <c r="N1107" s="40">
        <f t="shared" si="513"/>
        <v>36</v>
      </c>
      <c r="O1107" s="42">
        <f t="shared" si="514"/>
        <v>9</v>
      </c>
      <c r="P1107" s="42">
        <f t="shared" si="515"/>
        <v>2025</v>
      </c>
    </row>
    <row r="1108" spans="1:16" x14ac:dyDescent="0.25">
      <c r="A1108" s="21">
        <v>3000005137</v>
      </c>
      <c r="B1108" s="22">
        <v>45902</v>
      </c>
      <c r="C1108" s="20">
        <v>27496492.34</v>
      </c>
      <c r="D1108" s="21" t="s">
        <v>752</v>
      </c>
      <c r="E1108" s="21">
        <v>1859</v>
      </c>
      <c r="F1108" s="20">
        <v>27496492.34</v>
      </c>
      <c r="G1108" s="22">
        <v>45905</v>
      </c>
      <c r="H1108" t="s">
        <v>32</v>
      </c>
      <c r="I1108" s="40" t="str">
        <f>IFERROR(IF(VLOOKUP(E1108,extracto!C:C,1,FALSE)=E1108,"pagado","no pagado"),"no pagado")</f>
        <v>pagado</v>
      </c>
      <c r="J1108" s="41" t="str">
        <f t="shared" si="510"/>
        <v>pagado</v>
      </c>
      <c r="K1108" s="40" t="str">
        <f t="shared" ca="1" si="511"/>
        <v>excluir</v>
      </c>
      <c r="L1108" s="40" t="str">
        <f t="shared" ca="1" si="512"/>
        <v>no semana</v>
      </c>
      <c r="M1108" s="40" t="str">
        <f>IFERROR(VLOOKUP(E1108,'cheques a conf'!A:D,4,FALSE),"no clearing")</f>
        <v>no clearing</v>
      </c>
      <c r="N1108" s="40">
        <f t="shared" si="513"/>
        <v>36</v>
      </c>
      <c r="O1108" s="42">
        <f t="shared" si="514"/>
        <v>9</v>
      </c>
      <c r="P1108" s="42">
        <f t="shared" si="515"/>
        <v>2025</v>
      </c>
    </row>
    <row r="1109" spans="1:16" x14ac:dyDescent="0.25">
      <c r="A1109" s="21">
        <v>3000005130</v>
      </c>
      <c r="B1109" s="22">
        <v>45901</v>
      </c>
      <c r="C1109" s="20">
        <v>6710000</v>
      </c>
      <c r="D1109" s="21" t="s">
        <v>88</v>
      </c>
      <c r="E1109" s="21">
        <v>40272981</v>
      </c>
      <c r="F1109" s="20">
        <v>6710000</v>
      </c>
      <c r="G1109" s="22">
        <v>45902</v>
      </c>
      <c r="H1109" t="s">
        <v>79</v>
      </c>
      <c r="I1109" s="40" t="str">
        <f>IFERROR(IF(VLOOKUP(E1109,extracto!C:C,1,FALSE)=E1109,"pagado","no pagado"),"no pagado")</f>
        <v>pagado</v>
      </c>
      <c r="J1109" s="41" t="str">
        <f t="shared" si="510"/>
        <v>pagado</v>
      </c>
      <c r="K1109" s="40" t="str">
        <f t="shared" ca="1" si="511"/>
        <v>excluir</v>
      </c>
      <c r="L1109" s="40" t="str">
        <f t="shared" ca="1" si="512"/>
        <v>no semana</v>
      </c>
      <c r="M1109" s="40" t="str">
        <f>IFERROR(VLOOKUP(E1109,'cheques a conf'!A:D,4,FALSE),"no clearing")</f>
        <v>no clearing</v>
      </c>
      <c r="N1109" s="40">
        <f t="shared" si="513"/>
        <v>36</v>
      </c>
      <c r="O1109" s="42">
        <f t="shared" si="514"/>
        <v>9</v>
      </c>
      <c r="P1109" s="42">
        <f t="shared" si="515"/>
        <v>2025</v>
      </c>
    </row>
    <row r="1110" spans="1:16" x14ac:dyDescent="0.25">
      <c r="A1110" s="21">
        <v>3000005131</v>
      </c>
      <c r="B1110" s="22">
        <v>45901</v>
      </c>
      <c r="C1110" s="20">
        <v>2090000.1</v>
      </c>
      <c r="D1110" s="21" t="s">
        <v>88</v>
      </c>
      <c r="E1110" s="21">
        <v>40272982</v>
      </c>
      <c r="F1110" s="20">
        <v>2090000.1</v>
      </c>
      <c r="G1110" s="22">
        <v>45902</v>
      </c>
      <c r="H1110" t="s">
        <v>79</v>
      </c>
      <c r="I1110" s="40" t="str">
        <f>IFERROR(IF(VLOOKUP(E1110,extracto!C:C,1,FALSE)=E1110,"pagado","no pagado"),"no pagado")</f>
        <v>pagado</v>
      </c>
      <c r="J1110" s="41" t="str">
        <f t="shared" si="510"/>
        <v>pagado</v>
      </c>
      <c r="K1110" s="40" t="str">
        <f t="shared" ca="1" si="511"/>
        <v>excluir</v>
      </c>
      <c r="L1110" s="40" t="str">
        <f t="shared" ca="1" si="512"/>
        <v>no semana</v>
      </c>
      <c r="M1110" s="40" t="str">
        <f>IFERROR(VLOOKUP(E1110,'cheques a conf'!A:D,4,FALSE),"no clearing")</f>
        <v>no clearing</v>
      </c>
      <c r="N1110" s="40">
        <f t="shared" si="513"/>
        <v>36</v>
      </c>
      <c r="O1110" s="42">
        <f t="shared" si="514"/>
        <v>9</v>
      </c>
      <c r="P1110" s="42">
        <f t="shared" si="515"/>
        <v>2025</v>
      </c>
    </row>
    <row r="1111" spans="1:16" x14ac:dyDescent="0.25">
      <c r="A1111" s="21">
        <v>3000005211</v>
      </c>
      <c r="B1111" s="22">
        <v>45903</v>
      </c>
      <c r="C1111" s="20">
        <v>3802164.91</v>
      </c>
      <c r="D1111" s="21" t="s">
        <v>659</v>
      </c>
      <c r="E1111" s="21">
        <v>40272983</v>
      </c>
      <c r="F1111" s="20">
        <v>3802164.91</v>
      </c>
      <c r="G1111" s="22">
        <v>45905</v>
      </c>
      <c r="H1111" t="s">
        <v>79</v>
      </c>
      <c r="I1111" s="40" t="str">
        <f>IFERROR(IF(VLOOKUP(E1111,extracto!C:C,1,FALSE)=E1111,"pagado","no pagado"),"no pagado")</f>
        <v>pagado</v>
      </c>
      <c r="J1111" s="41" t="str">
        <f t="shared" si="510"/>
        <v>pagado</v>
      </c>
      <c r="K1111" s="40" t="str">
        <f t="shared" ca="1" si="511"/>
        <v>excluir</v>
      </c>
      <c r="L1111" s="40" t="str">
        <f t="shared" ca="1" si="512"/>
        <v>no semana</v>
      </c>
      <c r="M1111" s="40" t="str">
        <f>IFERROR(VLOOKUP(E1111,'cheques a conf'!A:D,4,FALSE),"no clearing")</f>
        <v>no clearing</v>
      </c>
      <c r="N1111" s="40">
        <f t="shared" si="513"/>
        <v>36</v>
      </c>
      <c r="O1111" s="42">
        <f t="shared" si="514"/>
        <v>9</v>
      </c>
      <c r="P1111" s="42">
        <f t="shared" si="515"/>
        <v>2025</v>
      </c>
    </row>
    <row r="1112" spans="1:16" x14ac:dyDescent="0.25">
      <c r="A1112" s="21">
        <v>3000005212</v>
      </c>
      <c r="B1112" s="22">
        <v>45903</v>
      </c>
      <c r="C1112" s="20">
        <v>21440381.739999998</v>
      </c>
      <c r="D1112" s="21" t="s">
        <v>641</v>
      </c>
      <c r="E1112" s="21">
        <v>91002499</v>
      </c>
      <c r="F1112" s="20">
        <v>21440381.739999998</v>
      </c>
      <c r="G1112" s="22">
        <v>45908</v>
      </c>
      <c r="H1112" t="s">
        <v>79</v>
      </c>
      <c r="I1112" s="40" t="str">
        <f>IFERROR(IF(VLOOKUP(E1112,extracto!C:C,1,FALSE)=E1112,"pagado","no pagado"),"no pagado")</f>
        <v>pagado</v>
      </c>
      <c r="J1112" s="41" t="str">
        <f t="shared" si="510"/>
        <v>pagado</v>
      </c>
      <c r="K1112" s="40" t="str">
        <f t="shared" ca="1" si="511"/>
        <v>excluir</v>
      </c>
      <c r="L1112" s="40" t="str">
        <f t="shared" ca="1" si="512"/>
        <v>no semana</v>
      </c>
      <c r="M1112" s="40" t="str">
        <f>IFERROR(VLOOKUP(E1112,'cheques a conf'!A:D,4,FALSE),"no clearing")</f>
        <v>no clearing</v>
      </c>
      <c r="N1112" s="40">
        <f t="shared" si="513"/>
        <v>37</v>
      </c>
      <c r="O1112" s="42">
        <f t="shared" si="514"/>
        <v>9</v>
      </c>
      <c r="P1112" s="42">
        <f t="shared" si="515"/>
        <v>2025</v>
      </c>
    </row>
    <row r="1113" spans="1:16" x14ac:dyDescent="0.25">
      <c r="A1113" s="21">
        <v>3000005213</v>
      </c>
      <c r="B1113" s="22">
        <v>45903</v>
      </c>
      <c r="C1113" s="20">
        <v>9928694.3200000003</v>
      </c>
      <c r="D1113" s="21" t="s">
        <v>622</v>
      </c>
      <c r="E1113" s="21">
        <v>91002500</v>
      </c>
      <c r="F1113" s="20">
        <v>9928694.3200000003</v>
      </c>
      <c r="G1113" s="22">
        <v>45908</v>
      </c>
      <c r="H1113" t="s">
        <v>79</v>
      </c>
      <c r="I1113" s="40" t="str">
        <f>IFERROR(IF(VLOOKUP(E1113,extracto!C:C,1,FALSE)=E1113,"pagado","no pagado"),"no pagado")</f>
        <v>pagado</v>
      </c>
      <c r="J1113" s="41" t="str">
        <f t="shared" si="510"/>
        <v>pagado</v>
      </c>
      <c r="K1113" s="40" t="str">
        <f t="shared" ca="1" si="511"/>
        <v>excluir</v>
      </c>
      <c r="L1113" s="40" t="str">
        <f t="shared" ca="1" si="512"/>
        <v>no semana</v>
      </c>
      <c r="M1113" s="40" t="str">
        <f>IFERROR(VLOOKUP(E1113,'cheques a conf'!A:D,4,FALSE),"no clearing")</f>
        <v>no clearing</v>
      </c>
      <c r="N1113" s="40">
        <f t="shared" si="513"/>
        <v>37</v>
      </c>
      <c r="O1113" s="42">
        <f t="shared" si="514"/>
        <v>9</v>
      </c>
      <c r="P1113" s="42">
        <f t="shared" si="515"/>
        <v>2025</v>
      </c>
    </row>
    <row r="1114" spans="1:16" x14ac:dyDescent="0.25">
      <c r="A1114" s="21">
        <v>3000005214</v>
      </c>
      <c r="B1114" s="22">
        <v>45903</v>
      </c>
      <c r="C1114" s="20">
        <v>21311510.899999999</v>
      </c>
      <c r="D1114" s="21" t="s">
        <v>593</v>
      </c>
      <c r="E1114" s="21">
        <v>91002501</v>
      </c>
      <c r="F1114" s="20">
        <v>21311510.899999999</v>
      </c>
      <c r="G1114" s="22">
        <v>45908</v>
      </c>
      <c r="H1114" t="s">
        <v>79</v>
      </c>
      <c r="I1114" s="40" t="str">
        <f>IFERROR(IF(VLOOKUP(E1114,extracto!C:C,1,FALSE)=E1114,"pagado","no pagado"),"no pagado")</f>
        <v>pagado</v>
      </c>
      <c r="J1114" s="41" t="str">
        <f t="shared" si="510"/>
        <v>pagado</v>
      </c>
      <c r="K1114" s="40" t="str">
        <f t="shared" ca="1" si="511"/>
        <v>excluir</v>
      </c>
      <c r="L1114" s="40" t="str">
        <f t="shared" ca="1" si="512"/>
        <v>no semana</v>
      </c>
      <c r="M1114" s="40" t="str">
        <f>IFERROR(VLOOKUP(E1114,'cheques a conf'!A:D,4,FALSE),"no clearing")</f>
        <v>no clearing</v>
      </c>
      <c r="N1114" s="40">
        <f t="shared" si="513"/>
        <v>37</v>
      </c>
      <c r="O1114" s="42">
        <f t="shared" si="514"/>
        <v>9</v>
      </c>
      <c r="P1114" s="42">
        <f t="shared" si="515"/>
        <v>2025</v>
      </c>
    </row>
    <row r="1115" spans="1:16" x14ac:dyDescent="0.25">
      <c r="A1115" s="21">
        <v>3000005215</v>
      </c>
      <c r="B1115" s="22">
        <v>45903</v>
      </c>
      <c r="C1115" s="20">
        <v>6333274.7800000003</v>
      </c>
      <c r="D1115" s="21" t="s">
        <v>679</v>
      </c>
      <c r="E1115" s="21">
        <v>91002502</v>
      </c>
      <c r="F1115" s="20">
        <v>6333274.7800000003</v>
      </c>
      <c r="G1115" s="22">
        <v>45908</v>
      </c>
      <c r="H1115" t="s">
        <v>79</v>
      </c>
      <c r="I1115" s="40" t="str">
        <f>IFERROR(IF(VLOOKUP(E1115,extracto!C:C,1,FALSE)=E1115,"pagado","no pagado"),"no pagado")</f>
        <v>pagado</v>
      </c>
      <c r="J1115" s="41" t="str">
        <f t="shared" si="510"/>
        <v>pagado</v>
      </c>
      <c r="K1115" s="40" t="str">
        <f t="shared" ca="1" si="511"/>
        <v>excluir</v>
      </c>
      <c r="L1115" s="40" t="str">
        <f t="shared" ca="1" si="512"/>
        <v>no semana</v>
      </c>
      <c r="M1115" s="40" t="str">
        <f>IFERROR(VLOOKUP(E1115,'cheques a conf'!A:D,4,FALSE),"no clearing")</f>
        <v>no clearing</v>
      </c>
      <c r="N1115" s="40">
        <f t="shared" si="513"/>
        <v>37</v>
      </c>
      <c r="O1115" s="42">
        <f t="shared" si="514"/>
        <v>9</v>
      </c>
      <c r="P1115" s="42">
        <f t="shared" si="515"/>
        <v>2025</v>
      </c>
    </row>
    <row r="1116" spans="1:16" x14ac:dyDescent="0.25">
      <c r="A1116" s="21">
        <v>3000005216</v>
      </c>
      <c r="B1116" s="22">
        <v>45903</v>
      </c>
      <c r="C1116" s="20">
        <v>8183368.6900000004</v>
      </c>
      <c r="D1116" s="21" t="s">
        <v>675</v>
      </c>
      <c r="E1116" s="21">
        <v>91002503</v>
      </c>
      <c r="F1116" s="20">
        <v>8183368.6900000004</v>
      </c>
      <c r="G1116" s="22">
        <v>45908</v>
      </c>
      <c r="H1116" t="s">
        <v>79</v>
      </c>
      <c r="I1116" s="40" t="str">
        <f>IFERROR(IF(VLOOKUP(E1116,extracto!C:C,1,FALSE)=E1116,"pagado","no pagado"),"no pagado")</f>
        <v>pagado</v>
      </c>
      <c r="J1116" s="41" t="str">
        <f t="shared" si="510"/>
        <v>pagado</v>
      </c>
      <c r="K1116" s="40" t="str">
        <f t="shared" ca="1" si="511"/>
        <v>excluir</v>
      </c>
      <c r="L1116" s="40" t="str">
        <f t="shared" ca="1" si="512"/>
        <v>no semana</v>
      </c>
      <c r="M1116" s="40" t="str">
        <f>IFERROR(VLOOKUP(E1116,'cheques a conf'!A:D,4,FALSE),"no clearing")</f>
        <v>no clearing</v>
      </c>
      <c r="N1116" s="40">
        <f t="shared" si="513"/>
        <v>37</v>
      </c>
      <c r="O1116" s="42">
        <f t="shared" si="514"/>
        <v>9</v>
      </c>
      <c r="P1116" s="42">
        <f t="shared" si="515"/>
        <v>2025</v>
      </c>
    </row>
    <row r="1117" spans="1:16" x14ac:dyDescent="0.25">
      <c r="A1117" s="21">
        <v>3000005217</v>
      </c>
      <c r="B1117" s="22">
        <v>45903</v>
      </c>
      <c r="C1117" s="20">
        <v>5891793.7699999996</v>
      </c>
      <c r="D1117" s="21" t="s">
        <v>680</v>
      </c>
      <c r="E1117" s="21">
        <v>91002504</v>
      </c>
      <c r="F1117" s="20">
        <v>5891793.7699999996</v>
      </c>
      <c r="G1117" s="22">
        <v>45908</v>
      </c>
      <c r="H1117" t="s">
        <v>79</v>
      </c>
      <c r="I1117" s="40" t="str">
        <f>IFERROR(IF(VLOOKUP(E1117,extracto!C:C,1,FALSE)=E1117,"pagado","no pagado"),"no pagado")</f>
        <v>pagado</v>
      </c>
      <c r="J1117" s="41" t="str">
        <f t="shared" si="510"/>
        <v>pagado</v>
      </c>
      <c r="K1117" s="40" t="str">
        <f t="shared" ca="1" si="511"/>
        <v>excluir</v>
      </c>
      <c r="L1117" s="40" t="str">
        <f t="shared" ca="1" si="512"/>
        <v>no semana</v>
      </c>
      <c r="M1117" s="40" t="str">
        <f>IFERROR(VLOOKUP(E1117,'cheques a conf'!A:D,4,FALSE),"no clearing")</f>
        <v>no clearing</v>
      </c>
      <c r="N1117" s="40">
        <f t="shared" si="513"/>
        <v>37</v>
      </c>
      <c r="O1117" s="42">
        <f t="shared" si="514"/>
        <v>9</v>
      </c>
      <c r="P1117" s="42">
        <f t="shared" si="515"/>
        <v>2025</v>
      </c>
    </row>
    <row r="1118" spans="1:16" x14ac:dyDescent="0.25">
      <c r="A1118" s="21">
        <v>3000005218</v>
      </c>
      <c r="B1118" s="22">
        <v>45903</v>
      </c>
      <c r="C1118" s="20">
        <v>9806709.6999999993</v>
      </c>
      <c r="D1118" s="21" t="s">
        <v>689</v>
      </c>
      <c r="E1118" s="21">
        <v>91002505</v>
      </c>
      <c r="F1118" s="20">
        <v>9806709.6999999993</v>
      </c>
      <c r="G1118" s="22">
        <v>45908</v>
      </c>
      <c r="H1118" t="s">
        <v>79</v>
      </c>
      <c r="I1118" s="40" t="str">
        <f>IFERROR(IF(VLOOKUP(E1118,extracto!C:C,1,FALSE)=E1118,"pagado","no pagado"),"no pagado")</f>
        <v>pagado</v>
      </c>
      <c r="J1118" s="41" t="str">
        <f t="shared" si="510"/>
        <v>pagado</v>
      </c>
      <c r="K1118" s="40" t="str">
        <f t="shared" ca="1" si="511"/>
        <v>excluir</v>
      </c>
      <c r="L1118" s="40" t="str">
        <f t="shared" ca="1" si="512"/>
        <v>no semana</v>
      </c>
      <c r="M1118" s="40" t="str">
        <f>IFERROR(VLOOKUP(E1118,'cheques a conf'!A:D,4,FALSE),"no clearing")</f>
        <v>no clearing</v>
      </c>
      <c r="N1118" s="40">
        <f t="shared" si="513"/>
        <v>37</v>
      </c>
      <c r="O1118" s="42">
        <f t="shared" si="514"/>
        <v>9</v>
      </c>
      <c r="P1118" s="42">
        <f t="shared" si="515"/>
        <v>2025</v>
      </c>
    </row>
    <row r="1119" spans="1:16" x14ac:dyDescent="0.25">
      <c r="A1119" s="21">
        <v>3000005219</v>
      </c>
      <c r="B1119" s="22">
        <v>45903</v>
      </c>
      <c r="C1119" s="20">
        <v>7439170.54</v>
      </c>
      <c r="D1119" s="21" t="s">
        <v>618</v>
      </c>
      <c r="E1119" s="21">
        <v>91002506</v>
      </c>
      <c r="F1119" s="20">
        <v>7439170.54</v>
      </c>
      <c r="G1119" s="22">
        <v>45908</v>
      </c>
      <c r="H1119" t="s">
        <v>79</v>
      </c>
      <c r="I1119" s="40" t="str">
        <f>IFERROR(IF(VLOOKUP(E1119,extracto!C:C,1,FALSE)=E1119,"pagado","no pagado"),"no pagado")</f>
        <v>pagado</v>
      </c>
      <c r="J1119" s="41" t="str">
        <f t="shared" si="510"/>
        <v>pagado</v>
      </c>
      <c r="K1119" s="40" t="str">
        <f t="shared" ca="1" si="511"/>
        <v>excluir</v>
      </c>
      <c r="L1119" s="40" t="str">
        <f t="shared" ca="1" si="512"/>
        <v>no semana</v>
      </c>
      <c r="M1119" s="40" t="str">
        <f>IFERROR(VLOOKUP(E1119,'cheques a conf'!A:D,4,FALSE),"no clearing")</f>
        <v>no clearing</v>
      </c>
      <c r="N1119" s="40">
        <f t="shared" si="513"/>
        <v>37</v>
      </c>
      <c r="O1119" s="42">
        <f t="shared" si="514"/>
        <v>9</v>
      </c>
      <c r="P1119" s="42">
        <f t="shared" si="515"/>
        <v>2025</v>
      </c>
    </row>
    <row r="1120" spans="1:16" x14ac:dyDescent="0.25">
      <c r="A1120" s="21">
        <v>3000005220</v>
      </c>
      <c r="B1120" s="22">
        <v>45903</v>
      </c>
      <c r="C1120" s="20">
        <v>27731984.98</v>
      </c>
      <c r="D1120" s="21" t="s">
        <v>613</v>
      </c>
      <c r="E1120" s="21">
        <v>91002507</v>
      </c>
      <c r="F1120" s="20">
        <v>27731984.98</v>
      </c>
      <c r="G1120" s="22">
        <v>45908</v>
      </c>
      <c r="H1120" t="s">
        <v>79</v>
      </c>
      <c r="I1120" s="40" t="str">
        <f>IFERROR(IF(VLOOKUP(E1120,extracto!C:C,1,FALSE)=E1120,"pagado","no pagado"),"no pagado")</f>
        <v>pagado</v>
      </c>
      <c r="J1120" s="41" t="str">
        <f t="shared" si="510"/>
        <v>pagado</v>
      </c>
      <c r="K1120" s="40" t="str">
        <f t="shared" ca="1" si="511"/>
        <v>excluir</v>
      </c>
      <c r="L1120" s="40" t="str">
        <f t="shared" ca="1" si="512"/>
        <v>no semana</v>
      </c>
      <c r="M1120" s="40" t="str">
        <f>IFERROR(VLOOKUP(E1120,'cheques a conf'!A:D,4,FALSE),"no clearing")</f>
        <v>no clearing</v>
      </c>
      <c r="N1120" s="40">
        <f t="shared" si="513"/>
        <v>37</v>
      </c>
      <c r="O1120" s="42">
        <f t="shared" si="514"/>
        <v>9</v>
      </c>
      <c r="P1120" s="42">
        <f t="shared" si="515"/>
        <v>2025</v>
      </c>
    </row>
    <row r="1121" spans="1:16" x14ac:dyDescent="0.25">
      <c r="A1121" s="21">
        <v>3000005221</v>
      </c>
      <c r="B1121" s="22">
        <v>45903</v>
      </c>
      <c r="C1121" s="20">
        <v>6045685.4299999997</v>
      </c>
      <c r="D1121" s="21" t="s">
        <v>663</v>
      </c>
      <c r="E1121" s="21">
        <v>91002508</v>
      </c>
      <c r="F1121" s="20">
        <v>6045685.4299999997</v>
      </c>
      <c r="G1121" s="22">
        <v>45908</v>
      </c>
      <c r="H1121" t="s">
        <v>79</v>
      </c>
      <c r="I1121" s="40" t="str">
        <f>IFERROR(IF(VLOOKUP(E1121,extracto!C:C,1,FALSE)=E1121,"pagado","no pagado"),"no pagado")</f>
        <v>pagado</v>
      </c>
      <c r="J1121" s="41" t="str">
        <f t="shared" si="510"/>
        <v>pagado</v>
      </c>
      <c r="K1121" s="40" t="str">
        <f t="shared" ca="1" si="511"/>
        <v>excluir</v>
      </c>
      <c r="L1121" s="40" t="str">
        <f t="shared" ca="1" si="512"/>
        <v>no semana</v>
      </c>
      <c r="M1121" s="40" t="str">
        <f>IFERROR(VLOOKUP(E1121,'cheques a conf'!A:D,4,FALSE),"no clearing")</f>
        <v>no clearing</v>
      </c>
      <c r="N1121" s="40">
        <f t="shared" si="513"/>
        <v>37</v>
      </c>
      <c r="O1121" s="42">
        <f t="shared" si="514"/>
        <v>9</v>
      </c>
      <c r="P1121" s="42">
        <f t="shared" si="515"/>
        <v>2025</v>
      </c>
    </row>
    <row r="1122" spans="1:16" x14ac:dyDescent="0.25">
      <c r="A1122" s="21">
        <v>3000005222</v>
      </c>
      <c r="B1122" s="22">
        <v>45903</v>
      </c>
      <c r="C1122" s="20">
        <v>7723981.6500000004</v>
      </c>
      <c r="D1122" s="21" t="s">
        <v>717</v>
      </c>
      <c r="E1122" s="21">
        <v>91002509</v>
      </c>
      <c r="F1122" s="20">
        <v>7723981.6500000004</v>
      </c>
      <c r="G1122" s="22">
        <v>45908</v>
      </c>
      <c r="H1122" t="s">
        <v>79</v>
      </c>
      <c r="I1122" s="40" t="str">
        <f>IFERROR(IF(VLOOKUP(E1122,extracto!C:C,1,FALSE)=E1122,"pagado","no pagado"),"no pagado")</f>
        <v>pagado</v>
      </c>
      <c r="J1122" s="41" t="str">
        <f t="shared" ref="J1122:J1167" si="516">IF(I1122="pagado","pagado",IF(G1122&lt;$V$1-30,"fuera de fecha","en periodo de pago"))</f>
        <v>pagado</v>
      </c>
      <c r="K1122" s="40" t="str">
        <f t="shared" ref="K1122:K1167" ca="1" si="517">+IF(B1122&gt;$V$1,"excluir",IF(J1122="en periodo de pago",IF($V$1&gt;G1122,"a pagar","proximo a vencer"),"excluir"))</f>
        <v>excluir</v>
      </c>
      <c r="L1122" s="40" t="str">
        <f t="shared" ref="L1122:L1167" ca="1" si="518">+IF(K1122="proximo a vencer",IF($V$1+5&gt;G1122,"para la semana","no semana"),"no semana")</f>
        <v>no semana</v>
      </c>
      <c r="M1122" s="40" t="str">
        <f>IFERROR(VLOOKUP(E1122,'cheques a conf'!A:D,4,FALSE),"no clearing")</f>
        <v>no clearing</v>
      </c>
      <c r="N1122" s="40">
        <f t="shared" ref="N1122:N1167" si="519">+WEEKNUM(G1122,2)</f>
        <v>37</v>
      </c>
      <c r="O1122" s="42">
        <f t="shared" ref="O1122:O1167" si="520">+MONTH(G1122)</f>
        <v>9</v>
      </c>
      <c r="P1122" s="42">
        <f t="shared" ref="P1122:P1167" si="521">+YEAR(G1122)</f>
        <v>2025</v>
      </c>
    </row>
    <row r="1123" spans="1:16" x14ac:dyDescent="0.25">
      <c r="A1123" s="21">
        <v>3000005223</v>
      </c>
      <c r="B1123" s="22">
        <v>45903</v>
      </c>
      <c r="C1123" s="20">
        <v>5624994.2000000002</v>
      </c>
      <c r="D1123" s="21" t="s">
        <v>664</v>
      </c>
      <c r="E1123" s="21">
        <v>91002510</v>
      </c>
      <c r="F1123" s="20">
        <v>5624994.2000000002</v>
      </c>
      <c r="G1123" s="22">
        <v>45908</v>
      </c>
      <c r="H1123" t="s">
        <v>79</v>
      </c>
      <c r="I1123" s="40" t="str">
        <f>IFERROR(IF(VLOOKUP(E1123,extracto!C:C,1,FALSE)=E1123,"pagado","no pagado"),"no pagado")</f>
        <v>pagado</v>
      </c>
      <c r="J1123" s="41" t="str">
        <f t="shared" si="516"/>
        <v>pagado</v>
      </c>
      <c r="K1123" s="40" t="str">
        <f t="shared" ca="1" si="517"/>
        <v>excluir</v>
      </c>
      <c r="L1123" s="40" t="str">
        <f t="shared" ca="1" si="518"/>
        <v>no semana</v>
      </c>
      <c r="M1123" s="40" t="str">
        <f>IFERROR(VLOOKUP(E1123,'cheques a conf'!A:D,4,FALSE),"no clearing")</f>
        <v>no clearing</v>
      </c>
      <c r="N1123" s="40">
        <f t="shared" si="519"/>
        <v>37</v>
      </c>
      <c r="O1123" s="42">
        <f t="shared" si="520"/>
        <v>9</v>
      </c>
      <c r="P1123" s="42">
        <f t="shared" si="521"/>
        <v>2025</v>
      </c>
    </row>
    <row r="1124" spans="1:16" x14ac:dyDescent="0.25">
      <c r="A1124" s="21">
        <v>3000005224</v>
      </c>
      <c r="B1124" s="22">
        <v>45903</v>
      </c>
      <c r="C1124" s="20">
        <v>9099752.5800000001</v>
      </c>
      <c r="D1124" s="21" t="s">
        <v>667</v>
      </c>
      <c r="E1124" s="21">
        <v>91002511</v>
      </c>
      <c r="F1124" s="20">
        <v>9099752.5800000001</v>
      </c>
      <c r="G1124" s="22">
        <v>45908</v>
      </c>
      <c r="H1124" t="s">
        <v>79</v>
      </c>
      <c r="I1124" s="40" t="str">
        <f>IFERROR(IF(VLOOKUP(E1124,extracto!C:C,1,FALSE)=E1124,"pagado","no pagado"),"no pagado")</f>
        <v>pagado</v>
      </c>
      <c r="J1124" s="41" t="str">
        <f t="shared" si="516"/>
        <v>pagado</v>
      </c>
      <c r="K1124" s="40" t="str">
        <f t="shared" ca="1" si="517"/>
        <v>excluir</v>
      </c>
      <c r="L1124" s="40" t="str">
        <f t="shared" ca="1" si="518"/>
        <v>no semana</v>
      </c>
      <c r="M1124" s="40" t="str">
        <f>IFERROR(VLOOKUP(E1124,'cheques a conf'!A:D,4,FALSE),"no clearing")</f>
        <v>no clearing</v>
      </c>
      <c r="N1124" s="40">
        <f t="shared" si="519"/>
        <v>37</v>
      </c>
      <c r="O1124" s="42">
        <f t="shared" si="520"/>
        <v>9</v>
      </c>
      <c r="P1124" s="42">
        <f t="shared" si="521"/>
        <v>2025</v>
      </c>
    </row>
    <row r="1125" spans="1:16" x14ac:dyDescent="0.25">
      <c r="A1125" s="21">
        <v>3000005225</v>
      </c>
      <c r="B1125" s="22">
        <v>45903</v>
      </c>
      <c r="C1125" s="20">
        <v>5032785.34</v>
      </c>
      <c r="D1125" s="21" t="s">
        <v>669</v>
      </c>
      <c r="E1125" s="21">
        <v>91002512</v>
      </c>
      <c r="F1125" s="20">
        <v>5032785.34</v>
      </c>
      <c r="G1125" s="22">
        <v>45908</v>
      </c>
      <c r="H1125" t="s">
        <v>79</v>
      </c>
      <c r="I1125" s="40" t="str">
        <f>IFERROR(IF(VLOOKUP(E1125,extracto!C:C,1,FALSE)=E1125,"pagado","no pagado"),"no pagado")</f>
        <v>pagado</v>
      </c>
      <c r="J1125" s="41" t="str">
        <f t="shared" si="516"/>
        <v>pagado</v>
      </c>
      <c r="K1125" s="40" t="str">
        <f t="shared" ca="1" si="517"/>
        <v>excluir</v>
      </c>
      <c r="L1125" s="40" t="str">
        <f t="shared" ca="1" si="518"/>
        <v>no semana</v>
      </c>
      <c r="M1125" s="40" t="str">
        <f>IFERROR(VLOOKUP(E1125,'cheques a conf'!A:D,4,FALSE),"no clearing")</f>
        <v>no clearing</v>
      </c>
      <c r="N1125" s="40">
        <f t="shared" si="519"/>
        <v>37</v>
      </c>
      <c r="O1125" s="42">
        <f t="shared" si="520"/>
        <v>9</v>
      </c>
      <c r="P1125" s="42">
        <f t="shared" si="521"/>
        <v>2025</v>
      </c>
    </row>
    <row r="1126" spans="1:16" x14ac:dyDescent="0.25">
      <c r="A1126" s="21">
        <v>3000005226</v>
      </c>
      <c r="B1126" s="22">
        <v>45903</v>
      </c>
      <c r="C1126" s="20">
        <v>7074694.2000000002</v>
      </c>
      <c r="D1126" s="21" t="s">
        <v>676</v>
      </c>
      <c r="E1126" s="21">
        <v>91002513</v>
      </c>
      <c r="F1126" s="20">
        <v>7074694.2000000002</v>
      </c>
      <c r="G1126" s="22">
        <v>45908</v>
      </c>
      <c r="H1126" t="s">
        <v>79</v>
      </c>
      <c r="I1126" s="40" t="str">
        <f>IFERROR(IF(VLOOKUP(E1126,extracto!C:C,1,FALSE)=E1126,"pagado","no pagado"),"no pagado")</f>
        <v>pagado</v>
      </c>
      <c r="J1126" s="41" t="str">
        <f t="shared" si="516"/>
        <v>pagado</v>
      </c>
      <c r="K1126" s="40" t="str">
        <f t="shared" ca="1" si="517"/>
        <v>excluir</v>
      </c>
      <c r="L1126" s="40" t="str">
        <f t="shared" ca="1" si="518"/>
        <v>no semana</v>
      </c>
      <c r="M1126" s="40" t="str">
        <f>IFERROR(VLOOKUP(E1126,'cheques a conf'!A:D,4,FALSE),"no clearing")</f>
        <v>no clearing</v>
      </c>
      <c r="N1126" s="40">
        <f t="shared" si="519"/>
        <v>37</v>
      </c>
      <c r="O1126" s="42">
        <f t="shared" si="520"/>
        <v>9</v>
      </c>
      <c r="P1126" s="42">
        <f t="shared" si="521"/>
        <v>2025</v>
      </c>
    </row>
    <row r="1127" spans="1:16" x14ac:dyDescent="0.25">
      <c r="A1127" s="21">
        <v>3000005227</v>
      </c>
      <c r="B1127" s="22">
        <v>45903</v>
      </c>
      <c r="C1127" s="20">
        <v>24916667.920000002</v>
      </c>
      <c r="D1127" s="21" t="s">
        <v>621</v>
      </c>
      <c r="E1127" s="21">
        <v>91002514</v>
      </c>
      <c r="F1127" s="20">
        <v>24916667.920000002</v>
      </c>
      <c r="G1127" s="22">
        <v>45908</v>
      </c>
      <c r="H1127" t="s">
        <v>79</v>
      </c>
      <c r="I1127" s="40" t="str">
        <f>IFERROR(IF(VLOOKUP(E1127,extracto!C:C,1,FALSE)=E1127,"pagado","no pagado"),"no pagado")</f>
        <v>pagado</v>
      </c>
      <c r="J1127" s="41" t="str">
        <f t="shared" si="516"/>
        <v>pagado</v>
      </c>
      <c r="K1127" s="40" t="str">
        <f t="shared" ca="1" si="517"/>
        <v>excluir</v>
      </c>
      <c r="L1127" s="40" t="str">
        <f t="shared" ca="1" si="518"/>
        <v>no semana</v>
      </c>
      <c r="M1127" s="40" t="str">
        <f>IFERROR(VLOOKUP(E1127,'cheques a conf'!A:D,4,FALSE),"no clearing")</f>
        <v>no clearing</v>
      </c>
      <c r="N1127" s="40">
        <f t="shared" si="519"/>
        <v>37</v>
      </c>
      <c r="O1127" s="42">
        <f t="shared" si="520"/>
        <v>9</v>
      </c>
      <c r="P1127" s="42">
        <f t="shared" si="521"/>
        <v>2025</v>
      </c>
    </row>
    <row r="1128" spans="1:16" x14ac:dyDescent="0.25">
      <c r="A1128" s="21">
        <v>3000005228</v>
      </c>
      <c r="B1128" s="22">
        <v>45903</v>
      </c>
      <c r="C1128" s="20">
        <v>15214656.74</v>
      </c>
      <c r="D1128" s="21" t="s">
        <v>652</v>
      </c>
      <c r="E1128" s="21">
        <v>91002515</v>
      </c>
      <c r="F1128" s="20">
        <v>15214656.74</v>
      </c>
      <c r="G1128" s="22">
        <v>45908</v>
      </c>
      <c r="H1128" t="s">
        <v>79</v>
      </c>
      <c r="I1128" s="40" t="str">
        <f>IFERROR(IF(VLOOKUP(E1128,extracto!C:C,1,FALSE)=E1128,"pagado","no pagado"),"no pagado")</f>
        <v>pagado</v>
      </c>
      <c r="J1128" s="41" t="str">
        <f t="shared" si="516"/>
        <v>pagado</v>
      </c>
      <c r="K1128" s="40" t="str">
        <f t="shared" ca="1" si="517"/>
        <v>excluir</v>
      </c>
      <c r="L1128" s="40" t="str">
        <f t="shared" ca="1" si="518"/>
        <v>no semana</v>
      </c>
      <c r="M1128" s="40" t="str">
        <f>IFERROR(VLOOKUP(E1128,'cheques a conf'!A:D,4,FALSE),"no clearing")</f>
        <v>no clearing</v>
      </c>
      <c r="N1128" s="40">
        <f t="shared" si="519"/>
        <v>37</v>
      </c>
      <c r="O1128" s="42">
        <f t="shared" si="520"/>
        <v>9</v>
      </c>
      <c r="P1128" s="42">
        <f t="shared" si="521"/>
        <v>2025</v>
      </c>
    </row>
    <row r="1129" spans="1:16" x14ac:dyDescent="0.25">
      <c r="A1129" s="21">
        <v>3000005229</v>
      </c>
      <c r="B1129" s="22">
        <v>45903</v>
      </c>
      <c r="C1129" s="20">
        <v>17312014.640000001</v>
      </c>
      <c r="D1129" s="21" t="s">
        <v>644</v>
      </c>
      <c r="E1129" s="21">
        <v>91002516</v>
      </c>
      <c r="F1129" s="20">
        <v>17312014.640000001</v>
      </c>
      <c r="G1129" s="22">
        <v>45908</v>
      </c>
      <c r="H1129" t="s">
        <v>79</v>
      </c>
      <c r="I1129" s="40" t="str">
        <f>IFERROR(IF(VLOOKUP(E1129,extracto!C:C,1,FALSE)=E1129,"pagado","no pagado"),"no pagado")</f>
        <v>pagado</v>
      </c>
      <c r="J1129" s="41" t="str">
        <f t="shared" si="516"/>
        <v>pagado</v>
      </c>
      <c r="K1129" s="40" t="str">
        <f t="shared" ca="1" si="517"/>
        <v>excluir</v>
      </c>
      <c r="L1129" s="40" t="str">
        <f t="shared" ca="1" si="518"/>
        <v>no semana</v>
      </c>
      <c r="M1129" s="40" t="str">
        <f>IFERROR(VLOOKUP(E1129,'cheques a conf'!A:D,4,FALSE),"no clearing")</f>
        <v>no clearing</v>
      </c>
      <c r="N1129" s="40">
        <f t="shared" si="519"/>
        <v>37</v>
      </c>
      <c r="O1129" s="42">
        <f t="shared" si="520"/>
        <v>9</v>
      </c>
      <c r="P1129" s="42">
        <f t="shared" si="521"/>
        <v>2025</v>
      </c>
    </row>
    <row r="1130" spans="1:16" x14ac:dyDescent="0.25">
      <c r="A1130" s="21">
        <v>3000005230</v>
      </c>
      <c r="B1130" s="22">
        <v>45903</v>
      </c>
      <c r="C1130" s="20">
        <v>6498336.6500000004</v>
      </c>
      <c r="D1130" s="21" t="s">
        <v>624</v>
      </c>
      <c r="E1130" s="21">
        <v>91002517</v>
      </c>
      <c r="F1130" s="20">
        <v>6498336.6500000004</v>
      </c>
      <c r="G1130" s="22">
        <v>45908</v>
      </c>
      <c r="H1130" t="s">
        <v>79</v>
      </c>
      <c r="I1130" s="40" t="str">
        <f>IFERROR(IF(VLOOKUP(E1130,extracto!C:C,1,FALSE)=E1130,"pagado","no pagado"),"no pagado")</f>
        <v>pagado</v>
      </c>
      <c r="J1130" s="41" t="str">
        <f t="shared" si="516"/>
        <v>pagado</v>
      </c>
      <c r="K1130" s="40" t="str">
        <f t="shared" ca="1" si="517"/>
        <v>excluir</v>
      </c>
      <c r="L1130" s="40" t="str">
        <f t="shared" ca="1" si="518"/>
        <v>no semana</v>
      </c>
      <c r="M1130" s="40" t="str">
        <f>IFERROR(VLOOKUP(E1130,'cheques a conf'!A:D,4,FALSE),"no clearing")</f>
        <v>no clearing</v>
      </c>
      <c r="N1130" s="40">
        <f t="shared" si="519"/>
        <v>37</v>
      </c>
      <c r="O1130" s="42">
        <f t="shared" si="520"/>
        <v>9</v>
      </c>
      <c r="P1130" s="42">
        <f t="shared" si="521"/>
        <v>2025</v>
      </c>
    </row>
    <row r="1131" spans="1:16" x14ac:dyDescent="0.25">
      <c r="A1131" s="21">
        <v>3000005232</v>
      </c>
      <c r="B1131" s="22">
        <v>45903</v>
      </c>
      <c r="C1131" s="20">
        <v>5065682.33</v>
      </c>
      <c r="D1131" s="21" t="s">
        <v>732</v>
      </c>
      <c r="E1131" s="21">
        <v>40272984</v>
      </c>
      <c r="F1131" s="20">
        <v>5065682.33</v>
      </c>
      <c r="G1131" s="22">
        <v>45908</v>
      </c>
      <c r="H1131" t="s">
        <v>79</v>
      </c>
      <c r="I1131" s="40" t="str">
        <f>IFERROR(IF(VLOOKUP(E1131,extracto!C:C,1,FALSE)=E1131,"pagado","no pagado"),"no pagado")</f>
        <v>pagado</v>
      </c>
      <c r="J1131" s="41" t="str">
        <f t="shared" si="516"/>
        <v>pagado</v>
      </c>
      <c r="K1131" s="40" t="str">
        <f t="shared" ca="1" si="517"/>
        <v>excluir</v>
      </c>
      <c r="L1131" s="40" t="str">
        <f t="shared" ca="1" si="518"/>
        <v>no semana</v>
      </c>
      <c r="M1131" s="40" t="str">
        <f>IFERROR(VLOOKUP(E1131,'cheques a conf'!A:D,4,FALSE),"no clearing")</f>
        <v>no clearing</v>
      </c>
      <c r="N1131" s="40">
        <f t="shared" si="519"/>
        <v>37</v>
      </c>
      <c r="O1131" s="42">
        <f t="shared" si="520"/>
        <v>9</v>
      </c>
      <c r="P1131" s="42">
        <f t="shared" si="521"/>
        <v>2025</v>
      </c>
    </row>
    <row r="1132" spans="1:16" x14ac:dyDescent="0.25">
      <c r="A1132" s="21">
        <v>3000005361</v>
      </c>
      <c r="B1132" s="22">
        <v>45909</v>
      </c>
      <c r="C1132" s="20">
        <v>18773007.870000001</v>
      </c>
      <c r="D1132" s="21" t="s">
        <v>754</v>
      </c>
      <c r="E1132" s="21">
        <v>40272987</v>
      </c>
      <c r="F1132" s="20">
        <v>18773007.870000001</v>
      </c>
      <c r="G1132" s="22">
        <v>45912</v>
      </c>
      <c r="H1132" t="s">
        <v>79</v>
      </c>
      <c r="I1132" s="40" t="str">
        <f>IFERROR(IF(VLOOKUP(E1132,extracto!C:C,1,FALSE)=E1132,"pagado","no pagado"),"no pagado")</f>
        <v>pagado</v>
      </c>
      <c r="J1132" s="41" t="str">
        <f t="shared" si="516"/>
        <v>pagado</v>
      </c>
      <c r="K1132" s="40" t="str">
        <f t="shared" ca="1" si="517"/>
        <v>excluir</v>
      </c>
      <c r="L1132" s="40" t="str">
        <f t="shared" ca="1" si="518"/>
        <v>no semana</v>
      </c>
      <c r="M1132" s="40" t="str">
        <f>IFERROR(VLOOKUP(E1132,'cheques a conf'!A:D,4,FALSE),"no clearing")</f>
        <v>no clearing</v>
      </c>
      <c r="N1132" s="40">
        <f t="shared" si="519"/>
        <v>37</v>
      </c>
      <c r="O1132" s="42">
        <f t="shared" si="520"/>
        <v>9</v>
      </c>
      <c r="P1132" s="42">
        <f t="shared" si="521"/>
        <v>2025</v>
      </c>
    </row>
    <row r="1133" spans="1:16" x14ac:dyDescent="0.25">
      <c r="A1133" s="21">
        <v>3000005363</v>
      </c>
      <c r="B1133" s="22">
        <v>45909</v>
      </c>
      <c r="C1133" s="20">
        <v>13203161.15</v>
      </c>
      <c r="D1133" s="21" t="s">
        <v>732</v>
      </c>
      <c r="E1133" s="21">
        <v>40272988</v>
      </c>
      <c r="F1133" s="20">
        <v>13203161.15</v>
      </c>
      <c r="G1133" s="22">
        <v>45912</v>
      </c>
      <c r="H1133" t="s">
        <v>79</v>
      </c>
      <c r="I1133" s="40" t="str">
        <f>IFERROR(IF(VLOOKUP(E1133,extracto!C:C,1,FALSE)=E1133,"pagado","no pagado"),"no pagado")</f>
        <v>pagado</v>
      </c>
      <c r="J1133" s="41" t="str">
        <f t="shared" si="516"/>
        <v>pagado</v>
      </c>
      <c r="K1133" s="40" t="str">
        <f t="shared" ca="1" si="517"/>
        <v>excluir</v>
      </c>
      <c r="L1133" s="40" t="str">
        <f t="shared" ca="1" si="518"/>
        <v>no semana</v>
      </c>
      <c r="M1133" s="40" t="str">
        <f>IFERROR(VLOOKUP(E1133,'cheques a conf'!A:D,4,FALSE),"no clearing")</f>
        <v>no clearing</v>
      </c>
      <c r="N1133" s="40">
        <f t="shared" si="519"/>
        <v>37</v>
      </c>
      <c r="O1133" s="42">
        <f t="shared" si="520"/>
        <v>9</v>
      </c>
      <c r="P1133" s="42">
        <f t="shared" si="521"/>
        <v>2025</v>
      </c>
    </row>
    <row r="1134" spans="1:16" x14ac:dyDescent="0.25">
      <c r="A1134" s="21">
        <v>3000005301</v>
      </c>
      <c r="B1134" s="22">
        <v>45908</v>
      </c>
      <c r="C1134" s="20">
        <v>11573870.220000001</v>
      </c>
      <c r="D1134" s="21" t="s">
        <v>640</v>
      </c>
      <c r="E1134" s="21">
        <v>91002518</v>
      </c>
      <c r="F1134" s="20">
        <v>11573870.220000001</v>
      </c>
      <c r="G1134" s="22">
        <v>45911</v>
      </c>
      <c r="H1134" t="s">
        <v>79</v>
      </c>
      <c r="I1134" s="40" t="str">
        <f>IFERROR(IF(VLOOKUP(E1134,extracto!C:C,1,FALSE)=E1134,"pagado","no pagado"),"no pagado")</f>
        <v>pagado</v>
      </c>
      <c r="J1134" s="41" t="str">
        <f t="shared" si="516"/>
        <v>pagado</v>
      </c>
      <c r="K1134" s="40" t="str">
        <f t="shared" ca="1" si="517"/>
        <v>excluir</v>
      </c>
      <c r="L1134" s="40" t="str">
        <f t="shared" ca="1" si="518"/>
        <v>no semana</v>
      </c>
      <c r="M1134" s="40" t="str">
        <f>IFERROR(VLOOKUP(E1134,'cheques a conf'!A:D,4,FALSE),"no clearing")</f>
        <v>no clearing</v>
      </c>
      <c r="N1134" s="40">
        <f t="shared" si="519"/>
        <v>37</v>
      </c>
      <c r="O1134" s="42">
        <f t="shared" si="520"/>
        <v>9</v>
      </c>
      <c r="P1134" s="42">
        <f t="shared" si="521"/>
        <v>2025</v>
      </c>
    </row>
    <row r="1135" spans="1:16" x14ac:dyDescent="0.25">
      <c r="A1135" s="21">
        <v>3000005302</v>
      </c>
      <c r="B1135" s="22">
        <v>45908</v>
      </c>
      <c r="C1135" s="20">
        <v>21000000</v>
      </c>
      <c r="D1135" s="21" t="s">
        <v>631</v>
      </c>
      <c r="E1135" s="21">
        <v>91002519</v>
      </c>
      <c r="F1135" s="20">
        <v>21000000</v>
      </c>
      <c r="G1135" s="22">
        <v>45911</v>
      </c>
      <c r="H1135" t="s">
        <v>79</v>
      </c>
      <c r="I1135" s="40" t="str">
        <f>IFERROR(IF(VLOOKUP(E1135,extracto!C:C,1,FALSE)=E1135,"pagado","no pagado"),"no pagado")</f>
        <v>pagado</v>
      </c>
      <c r="J1135" s="41" t="str">
        <f t="shared" si="516"/>
        <v>pagado</v>
      </c>
      <c r="K1135" s="40" t="str">
        <f t="shared" ca="1" si="517"/>
        <v>excluir</v>
      </c>
      <c r="L1135" s="40" t="str">
        <f t="shared" ca="1" si="518"/>
        <v>no semana</v>
      </c>
      <c r="M1135" s="40" t="str">
        <f>IFERROR(VLOOKUP(E1135,'cheques a conf'!A:D,4,FALSE),"no clearing")</f>
        <v>no clearing</v>
      </c>
      <c r="N1135" s="40">
        <f t="shared" si="519"/>
        <v>37</v>
      </c>
      <c r="O1135" s="42">
        <f t="shared" si="520"/>
        <v>9</v>
      </c>
      <c r="P1135" s="42">
        <f t="shared" si="521"/>
        <v>2025</v>
      </c>
    </row>
    <row r="1136" spans="1:16" x14ac:dyDescent="0.25">
      <c r="A1136" s="21">
        <v>3000005302</v>
      </c>
      <c r="B1136" s="22">
        <v>45908</v>
      </c>
      <c r="C1136" s="20">
        <v>20057852.82</v>
      </c>
      <c r="D1136" s="21" t="s">
        <v>631</v>
      </c>
      <c r="E1136" s="21">
        <v>91002520</v>
      </c>
      <c r="F1136" s="20">
        <v>20057852.82</v>
      </c>
      <c r="G1136" s="22">
        <v>45912</v>
      </c>
      <c r="H1136" t="s">
        <v>79</v>
      </c>
      <c r="I1136" s="40" t="str">
        <f>IFERROR(IF(VLOOKUP(E1136,extracto!C:C,1,FALSE)=E1136,"pagado","no pagado"),"no pagado")</f>
        <v>pagado</v>
      </c>
      <c r="J1136" s="41" t="str">
        <f t="shared" si="516"/>
        <v>pagado</v>
      </c>
      <c r="K1136" s="40" t="str">
        <f t="shared" ca="1" si="517"/>
        <v>excluir</v>
      </c>
      <c r="L1136" s="40" t="str">
        <f t="shared" ca="1" si="518"/>
        <v>no semana</v>
      </c>
      <c r="M1136" s="40" t="str">
        <f>IFERROR(VLOOKUP(E1136,'cheques a conf'!A:D,4,FALSE),"no clearing")</f>
        <v>no clearing</v>
      </c>
      <c r="N1136" s="40">
        <f t="shared" si="519"/>
        <v>37</v>
      </c>
      <c r="O1136" s="42">
        <f t="shared" si="520"/>
        <v>9</v>
      </c>
      <c r="P1136" s="42">
        <f t="shared" si="521"/>
        <v>2025</v>
      </c>
    </row>
    <row r="1137" spans="1:16" x14ac:dyDescent="0.25">
      <c r="A1137" s="21">
        <v>3000005303</v>
      </c>
      <c r="B1137" s="22">
        <v>45908</v>
      </c>
      <c r="C1137" s="20">
        <v>10000000</v>
      </c>
      <c r="D1137" s="21" t="s">
        <v>626</v>
      </c>
      <c r="E1137" s="21">
        <v>91002521</v>
      </c>
      <c r="F1137" s="20">
        <v>10000000</v>
      </c>
      <c r="G1137" s="22">
        <v>45911</v>
      </c>
      <c r="H1137" t="s">
        <v>79</v>
      </c>
      <c r="I1137" s="40" t="str">
        <f>IFERROR(IF(VLOOKUP(E1137,extracto!C:C,1,FALSE)=E1137,"pagado","no pagado"),"no pagado")</f>
        <v>pagado</v>
      </c>
      <c r="J1137" s="41" t="str">
        <f t="shared" si="516"/>
        <v>pagado</v>
      </c>
      <c r="K1137" s="40" t="str">
        <f t="shared" ca="1" si="517"/>
        <v>excluir</v>
      </c>
      <c r="L1137" s="40" t="str">
        <f t="shared" ca="1" si="518"/>
        <v>no semana</v>
      </c>
      <c r="M1137" s="40" t="str">
        <f>IFERROR(VLOOKUP(E1137,'cheques a conf'!A:D,4,FALSE),"no clearing")</f>
        <v>no clearing</v>
      </c>
      <c r="N1137" s="40">
        <f t="shared" si="519"/>
        <v>37</v>
      </c>
      <c r="O1137" s="42">
        <f t="shared" si="520"/>
        <v>9</v>
      </c>
      <c r="P1137" s="42">
        <f t="shared" si="521"/>
        <v>2025</v>
      </c>
    </row>
    <row r="1138" spans="1:16" x14ac:dyDescent="0.25">
      <c r="A1138" s="21">
        <v>3000005303</v>
      </c>
      <c r="B1138" s="22">
        <v>45908</v>
      </c>
      <c r="C1138" s="20">
        <v>8559089.25</v>
      </c>
      <c r="D1138" s="21" t="s">
        <v>626</v>
      </c>
      <c r="E1138" s="21">
        <v>91002522</v>
      </c>
      <c r="F1138" s="20">
        <v>8559089.25</v>
      </c>
      <c r="G1138" s="22">
        <v>45912</v>
      </c>
      <c r="H1138" t="s">
        <v>79</v>
      </c>
      <c r="I1138" s="40" t="str">
        <f>IFERROR(IF(VLOOKUP(E1138,extracto!C:C,1,FALSE)=E1138,"pagado","no pagado"),"no pagado")</f>
        <v>pagado</v>
      </c>
      <c r="J1138" s="41" t="str">
        <f t="shared" si="516"/>
        <v>pagado</v>
      </c>
      <c r="K1138" s="40" t="str">
        <f t="shared" ca="1" si="517"/>
        <v>excluir</v>
      </c>
      <c r="L1138" s="40" t="str">
        <f t="shared" ca="1" si="518"/>
        <v>no semana</v>
      </c>
      <c r="M1138" s="40" t="str">
        <f>IFERROR(VLOOKUP(E1138,'cheques a conf'!A:D,4,FALSE),"no clearing")</f>
        <v>no clearing</v>
      </c>
      <c r="N1138" s="40">
        <f t="shared" si="519"/>
        <v>37</v>
      </c>
      <c r="O1138" s="42">
        <f t="shared" si="520"/>
        <v>9</v>
      </c>
      <c r="P1138" s="42">
        <f t="shared" si="521"/>
        <v>2025</v>
      </c>
    </row>
    <row r="1139" spans="1:16" x14ac:dyDescent="0.25">
      <c r="A1139" s="21">
        <v>3000005304</v>
      </c>
      <c r="B1139" s="22">
        <v>45908</v>
      </c>
      <c r="C1139" s="20">
        <v>10000000</v>
      </c>
      <c r="D1139" s="21" t="s">
        <v>74</v>
      </c>
      <c r="E1139" s="21">
        <v>91002523</v>
      </c>
      <c r="F1139" s="20">
        <v>10000000</v>
      </c>
      <c r="G1139" s="22">
        <v>45911</v>
      </c>
      <c r="H1139" t="s">
        <v>79</v>
      </c>
      <c r="I1139" s="40" t="str">
        <f>IFERROR(IF(VLOOKUP(E1139,extracto!C:C,1,FALSE)=E1139,"pagado","no pagado"),"no pagado")</f>
        <v>pagado</v>
      </c>
      <c r="J1139" s="41" t="str">
        <f t="shared" si="516"/>
        <v>pagado</v>
      </c>
      <c r="K1139" s="40" t="str">
        <f t="shared" ca="1" si="517"/>
        <v>excluir</v>
      </c>
      <c r="L1139" s="40" t="str">
        <f t="shared" ca="1" si="518"/>
        <v>no semana</v>
      </c>
      <c r="M1139" s="40" t="str">
        <f>IFERROR(VLOOKUP(E1139,'cheques a conf'!A:D,4,FALSE),"no clearing")</f>
        <v>no clearing</v>
      </c>
      <c r="N1139" s="40">
        <f t="shared" si="519"/>
        <v>37</v>
      </c>
      <c r="O1139" s="42">
        <f t="shared" si="520"/>
        <v>9</v>
      </c>
      <c r="P1139" s="42">
        <f t="shared" si="521"/>
        <v>2025</v>
      </c>
    </row>
    <row r="1140" spans="1:16" x14ac:dyDescent="0.25">
      <c r="A1140" s="21">
        <v>3000005304</v>
      </c>
      <c r="B1140" s="22">
        <v>45908</v>
      </c>
      <c r="C1140" s="20">
        <v>8363150.1799999997</v>
      </c>
      <c r="D1140" s="21" t="s">
        <v>74</v>
      </c>
      <c r="E1140" s="21">
        <v>91002524</v>
      </c>
      <c r="F1140" s="20">
        <v>8363150.1799999997</v>
      </c>
      <c r="G1140" s="22">
        <v>45912</v>
      </c>
      <c r="H1140" t="s">
        <v>79</v>
      </c>
      <c r="I1140" s="40" t="str">
        <f>IFERROR(IF(VLOOKUP(E1140,extracto!C:C,1,FALSE)=E1140,"pagado","no pagado"),"no pagado")</f>
        <v>pagado</v>
      </c>
      <c r="J1140" s="41" t="str">
        <f t="shared" si="516"/>
        <v>pagado</v>
      </c>
      <c r="K1140" s="40" t="str">
        <f t="shared" ca="1" si="517"/>
        <v>excluir</v>
      </c>
      <c r="L1140" s="40" t="str">
        <f t="shared" ca="1" si="518"/>
        <v>no semana</v>
      </c>
      <c r="M1140" s="40" t="str">
        <f>IFERROR(VLOOKUP(E1140,'cheques a conf'!A:D,4,FALSE),"no clearing")</f>
        <v>no clearing</v>
      </c>
      <c r="N1140" s="40">
        <f t="shared" si="519"/>
        <v>37</v>
      </c>
      <c r="O1140" s="42">
        <f t="shared" si="520"/>
        <v>9</v>
      </c>
      <c r="P1140" s="42">
        <f t="shared" si="521"/>
        <v>2025</v>
      </c>
    </row>
    <row r="1141" spans="1:16" x14ac:dyDescent="0.25">
      <c r="A1141" s="21">
        <v>3000005305</v>
      </c>
      <c r="B1141" s="22">
        <v>45908</v>
      </c>
      <c r="C1141" s="20">
        <v>20000000</v>
      </c>
      <c r="D1141" s="21" t="s">
        <v>629</v>
      </c>
      <c r="E1141" s="21">
        <v>91002525</v>
      </c>
      <c r="F1141" s="20">
        <v>20000000</v>
      </c>
      <c r="G1141" s="22">
        <v>45911</v>
      </c>
      <c r="H1141" t="s">
        <v>79</v>
      </c>
      <c r="I1141" s="40" t="str">
        <f>IFERROR(IF(VLOOKUP(E1141,extracto!C:C,1,FALSE)=E1141,"pagado","no pagado"),"no pagado")</f>
        <v>pagado</v>
      </c>
      <c r="J1141" s="41" t="str">
        <f t="shared" si="516"/>
        <v>pagado</v>
      </c>
      <c r="K1141" s="40" t="str">
        <f t="shared" ca="1" si="517"/>
        <v>excluir</v>
      </c>
      <c r="L1141" s="40" t="str">
        <f t="shared" ca="1" si="518"/>
        <v>no semana</v>
      </c>
      <c r="M1141" s="40" t="str">
        <f>IFERROR(VLOOKUP(E1141,'cheques a conf'!A:D,4,FALSE),"no clearing")</f>
        <v>no clearing</v>
      </c>
      <c r="N1141" s="40">
        <f t="shared" si="519"/>
        <v>37</v>
      </c>
      <c r="O1141" s="42">
        <f t="shared" si="520"/>
        <v>9</v>
      </c>
      <c r="P1141" s="42">
        <f t="shared" si="521"/>
        <v>2025</v>
      </c>
    </row>
    <row r="1142" spans="1:16" x14ac:dyDescent="0.25">
      <c r="A1142" s="21">
        <v>3000005305</v>
      </c>
      <c r="B1142" s="22">
        <v>45908</v>
      </c>
      <c r="C1142" s="20">
        <v>19545843.399999999</v>
      </c>
      <c r="D1142" s="21" t="s">
        <v>629</v>
      </c>
      <c r="E1142" s="21">
        <v>91002526</v>
      </c>
      <c r="F1142" s="20">
        <v>19545843.399999999</v>
      </c>
      <c r="G1142" s="22">
        <v>45912</v>
      </c>
      <c r="H1142" t="s">
        <v>79</v>
      </c>
      <c r="I1142" s="40" t="str">
        <f>IFERROR(IF(VLOOKUP(E1142,extracto!C:C,1,FALSE)=E1142,"pagado","no pagado"),"no pagado")</f>
        <v>pagado</v>
      </c>
      <c r="J1142" s="41" t="str">
        <f t="shared" si="516"/>
        <v>pagado</v>
      </c>
      <c r="K1142" s="40" t="str">
        <f t="shared" ca="1" si="517"/>
        <v>excluir</v>
      </c>
      <c r="L1142" s="40" t="str">
        <f t="shared" ca="1" si="518"/>
        <v>no semana</v>
      </c>
      <c r="M1142" s="40" t="str">
        <f>IFERROR(VLOOKUP(E1142,'cheques a conf'!A:D,4,FALSE),"no clearing")</f>
        <v>no clearing</v>
      </c>
      <c r="N1142" s="40">
        <f t="shared" si="519"/>
        <v>37</v>
      </c>
      <c r="O1142" s="42">
        <f t="shared" si="520"/>
        <v>9</v>
      </c>
      <c r="P1142" s="42">
        <f t="shared" si="521"/>
        <v>2025</v>
      </c>
    </row>
    <row r="1143" spans="1:16" x14ac:dyDescent="0.25">
      <c r="A1143" s="21">
        <v>3000005306</v>
      </c>
      <c r="B1143" s="22">
        <v>45908</v>
      </c>
      <c r="C1143" s="20">
        <v>11503132</v>
      </c>
      <c r="D1143" s="21" t="s">
        <v>766</v>
      </c>
      <c r="E1143" s="21">
        <v>91002527</v>
      </c>
      <c r="F1143" s="20">
        <v>11503132</v>
      </c>
      <c r="G1143" s="22">
        <v>45911</v>
      </c>
      <c r="H1143" t="s">
        <v>79</v>
      </c>
      <c r="I1143" s="40" t="str">
        <f>IFERROR(IF(VLOOKUP(E1143,extracto!C:C,1,FALSE)=E1143,"pagado","no pagado"),"no pagado")</f>
        <v>pagado</v>
      </c>
      <c r="J1143" s="41" t="str">
        <f t="shared" si="516"/>
        <v>pagado</v>
      </c>
      <c r="K1143" s="40" t="str">
        <f t="shared" ca="1" si="517"/>
        <v>excluir</v>
      </c>
      <c r="L1143" s="40" t="str">
        <f t="shared" ca="1" si="518"/>
        <v>no semana</v>
      </c>
      <c r="M1143" s="40" t="str">
        <f>IFERROR(VLOOKUP(E1143,'cheques a conf'!A:D,4,FALSE),"no clearing")</f>
        <v>no clearing</v>
      </c>
      <c r="N1143" s="40">
        <f t="shared" si="519"/>
        <v>37</v>
      </c>
      <c r="O1143" s="42">
        <f t="shared" si="520"/>
        <v>9</v>
      </c>
      <c r="P1143" s="42">
        <f t="shared" si="521"/>
        <v>2025</v>
      </c>
    </row>
    <row r="1144" spans="1:16" x14ac:dyDescent="0.25">
      <c r="A1144" s="21">
        <v>3000005307</v>
      </c>
      <c r="B1144" s="22">
        <v>45908</v>
      </c>
      <c r="C1144" s="20">
        <v>20000000</v>
      </c>
      <c r="D1144" s="21" t="s">
        <v>706</v>
      </c>
      <c r="E1144" s="21">
        <v>91002528</v>
      </c>
      <c r="F1144" s="20">
        <v>20000000</v>
      </c>
      <c r="G1144" s="22">
        <v>45911</v>
      </c>
      <c r="H1144" t="s">
        <v>79</v>
      </c>
      <c r="I1144" s="40" t="str">
        <f>IFERROR(IF(VLOOKUP(E1144,extracto!C:C,1,FALSE)=E1144,"pagado","no pagado"),"no pagado")</f>
        <v>pagado</v>
      </c>
      <c r="J1144" s="41" t="str">
        <f t="shared" si="516"/>
        <v>pagado</v>
      </c>
      <c r="K1144" s="40" t="str">
        <f t="shared" ca="1" si="517"/>
        <v>excluir</v>
      </c>
      <c r="L1144" s="40" t="str">
        <f t="shared" ca="1" si="518"/>
        <v>no semana</v>
      </c>
      <c r="M1144" s="40" t="str">
        <f>IFERROR(VLOOKUP(E1144,'cheques a conf'!A:D,4,FALSE),"no clearing")</f>
        <v>no clearing</v>
      </c>
      <c r="N1144" s="40">
        <f t="shared" si="519"/>
        <v>37</v>
      </c>
      <c r="O1144" s="42">
        <f t="shared" si="520"/>
        <v>9</v>
      </c>
      <c r="P1144" s="42">
        <f t="shared" si="521"/>
        <v>2025</v>
      </c>
    </row>
    <row r="1145" spans="1:16" x14ac:dyDescent="0.25">
      <c r="A1145" s="21">
        <v>3000005307</v>
      </c>
      <c r="B1145" s="22">
        <v>45908</v>
      </c>
      <c r="C1145" s="20">
        <v>18077652.120000001</v>
      </c>
      <c r="D1145" s="21" t="s">
        <v>706</v>
      </c>
      <c r="E1145" s="21">
        <v>91002529</v>
      </c>
      <c r="F1145" s="20">
        <v>18077652.120000001</v>
      </c>
      <c r="G1145" s="22">
        <v>45912</v>
      </c>
      <c r="H1145" t="s">
        <v>79</v>
      </c>
      <c r="I1145" s="40" t="str">
        <f>IFERROR(IF(VLOOKUP(E1145,extracto!C:C,1,FALSE)=E1145,"pagado","no pagado"),"no pagado")</f>
        <v>pagado</v>
      </c>
      <c r="J1145" s="41" t="str">
        <f t="shared" si="516"/>
        <v>pagado</v>
      </c>
      <c r="K1145" s="40" t="str">
        <f t="shared" ca="1" si="517"/>
        <v>excluir</v>
      </c>
      <c r="L1145" s="40" t="str">
        <f t="shared" ca="1" si="518"/>
        <v>no semana</v>
      </c>
      <c r="M1145" s="40" t="str">
        <f>IFERROR(VLOOKUP(E1145,'cheques a conf'!A:D,4,FALSE),"no clearing")</f>
        <v>no clearing</v>
      </c>
      <c r="N1145" s="40">
        <f t="shared" si="519"/>
        <v>37</v>
      </c>
      <c r="O1145" s="42">
        <f t="shared" si="520"/>
        <v>9</v>
      </c>
      <c r="P1145" s="42">
        <f t="shared" si="521"/>
        <v>2025</v>
      </c>
    </row>
    <row r="1146" spans="1:16" x14ac:dyDescent="0.25">
      <c r="A1146" s="21">
        <v>3000005308</v>
      </c>
      <c r="B1146" s="22">
        <v>45908</v>
      </c>
      <c r="C1146" s="20">
        <v>20000000</v>
      </c>
      <c r="D1146" s="21" t="s">
        <v>724</v>
      </c>
      <c r="E1146" s="21">
        <v>91002530</v>
      </c>
      <c r="F1146" s="20">
        <v>20000000</v>
      </c>
      <c r="G1146" s="22">
        <v>45911</v>
      </c>
      <c r="H1146" t="s">
        <v>79</v>
      </c>
      <c r="I1146" s="40" t="str">
        <f>IFERROR(IF(VLOOKUP(E1146,extracto!C:C,1,FALSE)=E1146,"pagado","no pagado"),"no pagado")</f>
        <v>pagado</v>
      </c>
      <c r="J1146" s="41" t="str">
        <f t="shared" si="516"/>
        <v>pagado</v>
      </c>
      <c r="K1146" s="40" t="str">
        <f t="shared" ca="1" si="517"/>
        <v>excluir</v>
      </c>
      <c r="L1146" s="40" t="str">
        <f t="shared" ca="1" si="518"/>
        <v>no semana</v>
      </c>
      <c r="M1146" s="40" t="str">
        <f>IFERROR(VLOOKUP(E1146,'cheques a conf'!A:D,4,FALSE),"no clearing")</f>
        <v>no clearing</v>
      </c>
      <c r="N1146" s="40">
        <f t="shared" si="519"/>
        <v>37</v>
      </c>
      <c r="O1146" s="42">
        <f t="shared" si="520"/>
        <v>9</v>
      </c>
      <c r="P1146" s="42">
        <f t="shared" si="521"/>
        <v>2025</v>
      </c>
    </row>
    <row r="1147" spans="1:16" x14ac:dyDescent="0.25">
      <c r="A1147" s="21">
        <v>3000005308</v>
      </c>
      <c r="B1147" s="22">
        <v>45908</v>
      </c>
      <c r="C1147" s="20">
        <v>17275610.27</v>
      </c>
      <c r="D1147" s="21" t="s">
        <v>724</v>
      </c>
      <c r="E1147" s="21">
        <v>91002531</v>
      </c>
      <c r="F1147" s="20">
        <v>17275610.27</v>
      </c>
      <c r="G1147" s="22">
        <v>45912</v>
      </c>
      <c r="H1147" t="s">
        <v>79</v>
      </c>
      <c r="I1147" s="40" t="str">
        <f>IFERROR(IF(VLOOKUP(E1147,extracto!C:C,1,FALSE)=E1147,"pagado","no pagado"),"no pagado")</f>
        <v>pagado</v>
      </c>
      <c r="J1147" s="41" t="str">
        <f t="shared" si="516"/>
        <v>pagado</v>
      </c>
      <c r="K1147" s="40" t="str">
        <f t="shared" ca="1" si="517"/>
        <v>excluir</v>
      </c>
      <c r="L1147" s="40" t="str">
        <f t="shared" ca="1" si="518"/>
        <v>no semana</v>
      </c>
      <c r="M1147" s="40" t="str">
        <f>IFERROR(VLOOKUP(E1147,'cheques a conf'!A:D,4,FALSE),"no clearing")</f>
        <v>no clearing</v>
      </c>
      <c r="N1147" s="40">
        <f t="shared" si="519"/>
        <v>37</v>
      </c>
      <c r="O1147" s="42">
        <f t="shared" si="520"/>
        <v>9</v>
      </c>
      <c r="P1147" s="42">
        <f t="shared" si="521"/>
        <v>2025</v>
      </c>
    </row>
    <row r="1148" spans="1:16" x14ac:dyDescent="0.25">
      <c r="A1148" s="21">
        <v>3000005309</v>
      </c>
      <c r="B1148" s="22">
        <v>45908</v>
      </c>
      <c r="C1148" s="20">
        <v>7983579.1900000004</v>
      </c>
      <c r="D1148" s="21" t="s">
        <v>700</v>
      </c>
      <c r="E1148" s="21">
        <v>91002532</v>
      </c>
      <c r="F1148" s="20">
        <v>7983579.1900000004</v>
      </c>
      <c r="G1148" s="22">
        <v>45911</v>
      </c>
      <c r="H1148" t="s">
        <v>79</v>
      </c>
      <c r="I1148" s="40" t="str">
        <f>IFERROR(IF(VLOOKUP(E1148,extracto!C:C,1,FALSE)=E1148,"pagado","no pagado"),"no pagado")</f>
        <v>pagado</v>
      </c>
      <c r="J1148" s="41" t="str">
        <f t="shared" si="516"/>
        <v>pagado</v>
      </c>
      <c r="K1148" s="40" t="str">
        <f t="shared" ca="1" si="517"/>
        <v>excluir</v>
      </c>
      <c r="L1148" s="40" t="str">
        <f t="shared" ca="1" si="518"/>
        <v>no semana</v>
      </c>
      <c r="M1148" s="40" t="str">
        <f>IFERROR(VLOOKUP(E1148,'cheques a conf'!A:D,4,FALSE),"no clearing")</f>
        <v>no clearing</v>
      </c>
      <c r="N1148" s="40">
        <f t="shared" si="519"/>
        <v>37</v>
      </c>
      <c r="O1148" s="42">
        <f t="shared" si="520"/>
        <v>9</v>
      </c>
      <c r="P1148" s="42">
        <f t="shared" si="521"/>
        <v>2025</v>
      </c>
    </row>
    <row r="1149" spans="1:16" x14ac:dyDescent="0.25">
      <c r="A1149" s="21">
        <v>3000005310</v>
      </c>
      <c r="B1149" s="22">
        <v>45908</v>
      </c>
      <c r="C1149" s="20">
        <v>16000000</v>
      </c>
      <c r="D1149" s="21" t="s">
        <v>746</v>
      </c>
      <c r="E1149" s="21">
        <v>91002533</v>
      </c>
      <c r="F1149" s="20">
        <v>16000000</v>
      </c>
      <c r="G1149" s="22">
        <v>45911</v>
      </c>
      <c r="H1149" t="s">
        <v>79</v>
      </c>
      <c r="I1149" s="40" t="str">
        <f>IFERROR(IF(VLOOKUP(E1149,extracto!C:C,1,FALSE)=E1149,"pagado","no pagado"),"no pagado")</f>
        <v>pagado</v>
      </c>
      <c r="J1149" s="41" t="str">
        <f t="shared" si="516"/>
        <v>pagado</v>
      </c>
      <c r="K1149" s="40" t="str">
        <f t="shared" ca="1" si="517"/>
        <v>excluir</v>
      </c>
      <c r="L1149" s="40" t="str">
        <f t="shared" ca="1" si="518"/>
        <v>no semana</v>
      </c>
      <c r="M1149" s="40" t="str">
        <f>IFERROR(VLOOKUP(E1149,'cheques a conf'!A:D,4,FALSE),"no clearing")</f>
        <v>no clearing</v>
      </c>
      <c r="N1149" s="40">
        <f t="shared" si="519"/>
        <v>37</v>
      </c>
      <c r="O1149" s="42">
        <f t="shared" si="520"/>
        <v>9</v>
      </c>
      <c r="P1149" s="42">
        <f t="shared" si="521"/>
        <v>2025</v>
      </c>
    </row>
    <row r="1150" spans="1:16" x14ac:dyDescent="0.25">
      <c r="A1150" s="21">
        <v>3000005310</v>
      </c>
      <c r="B1150" s="22">
        <v>45908</v>
      </c>
      <c r="C1150" s="20">
        <v>16174974.5</v>
      </c>
      <c r="D1150" s="21" t="s">
        <v>746</v>
      </c>
      <c r="E1150" s="21">
        <v>91002534</v>
      </c>
      <c r="F1150" s="20">
        <v>16174974.5</v>
      </c>
      <c r="G1150" s="22">
        <v>45912</v>
      </c>
      <c r="H1150" t="s">
        <v>79</v>
      </c>
      <c r="I1150" s="40" t="str">
        <f>IFERROR(IF(VLOOKUP(E1150,extracto!C:C,1,FALSE)=E1150,"pagado","no pagado"),"no pagado")</f>
        <v>pagado</v>
      </c>
      <c r="J1150" s="41" t="str">
        <f t="shared" si="516"/>
        <v>pagado</v>
      </c>
      <c r="K1150" s="40" t="str">
        <f t="shared" ca="1" si="517"/>
        <v>excluir</v>
      </c>
      <c r="L1150" s="40" t="str">
        <f t="shared" ca="1" si="518"/>
        <v>no semana</v>
      </c>
      <c r="M1150" s="40" t="str">
        <f>IFERROR(VLOOKUP(E1150,'cheques a conf'!A:D,4,FALSE),"no clearing")</f>
        <v>no clearing</v>
      </c>
      <c r="N1150" s="40">
        <f t="shared" si="519"/>
        <v>37</v>
      </c>
      <c r="O1150" s="42">
        <f t="shared" si="520"/>
        <v>9</v>
      </c>
      <c r="P1150" s="42">
        <f t="shared" si="521"/>
        <v>2025</v>
      </c>
    </row>
    <row r="1151" spans="1:16" x14ac:dyDescent="0.25">
      <c r="A1151" s="21">
        <v>3000005311</v>
      </c>
      <c r="B1151" s="22">
        <v>45908</v>
      </c>
      <c r="C1151" s="20">
        <v>15975394.789999999</v>
      </c>
      <c r="D1151" s="21" t="s">
        <v>86</v>
      </c>
      <c r="E1151" s="21">
        <v>91002535</v>
      </c>
      <c r="F1151" s="20">
        <v>15975394.789999999</v>
      </c>
      <c r="G1151" s="22">
        <v>45911</v>
      </c>
      <c r="H1151" t="s">
        <v>79</v>
      </c>
      <c r="I1151" s="40" t="str">
        <f>IFERROR(IF(VLOOKUP(E1151,extracto!C:C,1,FALSE)=E1151,"pagado","no pagado"),"no pagado")</f>
        <v>pagado</v>
      </c>
      <c r="J1151" s="41" t="str">
        <f t="shared" si="516"/>
        <v>pagado</v>
      </c>
      <c r="K1151" s="40" t="str">
        <f t="shared" ca="1" si="517"/>
        <v>excluir</v>
      </c>
      <c r="L1151" s="40" t="str">
        <f t="shared" ca="1" si="518"/>
        <v>no semana</v>
      </c>
      <c r="M1151" s="40" t="str">
        <f>IFERROR(VLOOKUP(E1151,'cheques a conf'!A:D,4,FALSE),"no clearing")</f>
        <v>no clearing</v>
      </c>
      <c r="N1151" s="40">
        <f t="shared" si="519"/>
        <v>37</v>
      </c>
      <c r="O1151" s="42">
        <f t="shared" si="520"/>
        <v>9</v>
      </c>
      <c r="P1151" s="42">
        <f t="shared" si="521"/>
        <v>2025</v>
      </c>
    </row>
    <row r="1152" spans="1:16" x14ac:dyDescent="0.25">
      <c r="A1152" s="21">
        <v>3000005312</v>
      </c>
      <c r="B1152" s="22">
        <v>45908</v>
      </c>
      <c r="C1152" s="20">
        <v>9984661.5600000005</v>
      </c>
      <c r="D1152" s="21" t="s">
        <v>630</v>
      </c>
      <c r="E1152" s="21">
        <v>91002536</v>
      </c>
      <c r="F1152" s="20">
        <v>9984661.5600000005</v>
      </c>
      <c r="G1152" s="22">
        <v>45911</v>
      </c>
      <c r="H1152" t="s">
        <v>79</v>
      </c>
      <c r="I1152" s="40" t="str">
        <f>IFERROR(IF(VLOOKUP(E1152,extracto!C:C,1,FALSE)=E1152,"pagado","no pagado"),"no pagado")</f>
        <v>pagado</v>
      </c>
      <c r="J1152" s="41" t="str">
        <f t="shared" si="516"/>
        <v>pagado</v>
      </c>
      <c r="K1152" s="40" t="str">
        <f t="shared" ca="1" si="517"/>
        <v>excluir</v>
      </c>
      <c r="L1152" s="40" t="str">
        <f t="shared" ca="1" si="518"/>
        <v>no semana</v>
      </c>
      <c r="M1152" s="40" t="str">
        <f>IFERROR(VLOOKUP(E1152,'cheques a conf'!A:D,4,FALSE),"no clearing")</f>
        <v>no clearing</v>
      </c>
      <c r="N1152" s="40">
        <f t="shared" si="519"/>
        <v>37</v>
      </c>
      <c r="O1152" s="42">
        <f t="shared" si="520"/>
        <v>9</v>
      </c>
      <c r="P1152" s="42">
        <f t="shared" si="521"/>
        <v>2025</v>
      </c>
    </row>
    <row r="1153" spans="1:16" x14ac:dyDescent="0.25">
      <c r="A1153" s="21">
        <v>3000005313</v>
      </c>
      <c r="B1153" s="22">
        <v>45908</v>
      </c>
      <c r="C1153" s="20">
        <v>5944942.2699999996</v>
      </c>
      <c r="D1153" s="21" t="s">
        <v>767</v>
      </c>
      <c r="E1153" s="21">
        <v>91002537</v>
      </c>
      <c r="F1153" s="20">
        <v>5944942.2699999996</v>
      </c>
      <c r="G1153" s="22">
        <v>45911</v>
      </c>
      <c r="H1153" t="s">
        <v>79</v>
      </c>
      <c r="I1153" s="40" t="str">
        <f>IFERROR(IF(VLOOKUP(E1153,extracto!C:C,1,FALSE)=E1153,"pagado","no pagado"),"no pagado")</f>
        <v>pagado</v>
      </c>
      <c r="J1153" s="41" t="str">
        <f t="shared" si="516"/>
        <v>pagado</v>
      </c>
      <c r="K1153" s="40" t="str">
        <f t="shared" ca="1" si="517"/>
        <v>excluir</v>
      </c>
      <c r="L1153" s="40" t="str">
        <f t="shared" ca="1" si="518"/>
        <v>no semana</v>
      </c>
      <c r="M1153" s="40" t="str">
        <f>IFERROR(VLOOKUP(E1153,'cheques a conf'!A:D,4,FALSE),"no clearing")</f>
        <v>no clearing</v>
      </c>
      <c r="N1153" s="40">
        <f t="shared" si="519"/>
        <v>37</v>
      </c>
      <c r="O1153" s="42">
        <f t="shared" si="520"/>
        <v>9</v>
      </c>
      <c r="P1153" s="42">
        <f t="shared" si="521"/>
        <v>2025</v>
      </c>
    </row>
    <row r="1154" spans="1:16" x14ac:dyDescent="0.25">
      <c r="A1154" s="21">
        <v>3000005314</v>
      </c>
      <c r="B1154" s="22">
        <v>45908</v>
      </c>
      <c r="C1154" s="20">
        <v>16000000</v>
      </c>
      <c r="D1154" s="21" t="s">
        <v>768</v>
      </c>
      <c r="E1154" s="21">
        <v>91002538</v>
      </c>
      <c r="F1154" s="20">
        <v>16000000</v>
      </c>
      <c r="G1154" s="22">
        <v>45911</v>
      </c>
      <c r="H1154" t="s">
        <v>79</v>
      </c>
      <c r="I1154" s="40" t="str">
        <f>IFERROR(IF(VLOOKUP(E1154,extracto!C:C,1,FALSE)=E1154,"pagado","no pagado"),"no pagado")</f>
        <v>pagado</v>
      </c>
      <c r="J1154" s="41" t="str">
        <f t="shared" si="516"/>
        <v>pagado</v>
      </c>
      <c r="K1154" s="40" t="str">
        <f t="shared" ca="1" si="517"/>
        <v>excluir</v>
      </c>
      <c r="L1154" s="40" t="str">
        <f t="shared" ca="1" si="518"/>
        <v>no semana</v>
      </c>
      <c r="M1154" s="40" t="str">
        <f>IFERROR(VLOOKUP(E1154,'cheques a conf'!A:D,4,FALSE),"no clearing")</f>
        <v>no clearing</v>
      </c>
      <c r="N1154" s="40">
        <f t="shared" si="519"/>
        <v>37</v>
      </c>
      <c r="O1154" s="42">
        <f t="shared" si="520"/>
        <v>9</v>
      </c>
      <c r="P1154" s="42">
        <f t="shared" si="521"/>
        <v>2025</v>
      </c>
    </row>
    <row r="1155" spans="1:16" x14ac:dyDescent="0.25">
      <c r="A1155" s="21">
        <v>3000005314</v>
      </c>
      <c r="B1155" s="22">
        <v>45908</v>
      </c>
      <c r="C1155" s="20">
        <v>16506264</v>
      </c>
      <c r="D1155" s="21" t="s">
        <v>768</v>
      </c>
      <c r="E1155" s="21">
        <v>91002539</v>
      </c>
      <c r="F1155" s="20">
        <v>16506264</v>
      </c>
      <c r="G1155" s="22">
        <v>45912</v>
      </c>
      <c r="H1155" t="s">
        <v>79</v>
      </c>
      <c r="I1155" s="40" t="str">
        <f>IFERROR(IF(VLOOKUP(E1155,extracto!C:C,1,FALSE)=E1155,"pagado","no pagado"),"no pagado")</f>
        <v>pagado</v>
      </c>
      <c r="J1155" s="41" t="str">
        <f t="shared" si="516"/>
        <v>pagado</v>
      </c>
      <c r="K1155" s="40" t="str">
        <f t="shared" ca="1" si="517"/>
        <v>excluir</v>
      </c>
      <c r="L1155" s="40" t="str">
        <f t="shared" ca="1" si="518"/>
        <v>no semana</v>
      </c>
      <c r="M1155" s="40" t="str">
        <f>IFERROR(VLOOKUP(E1155,'cheques a conf'!A:D,4,FALSE),"no clearing")</f>
        <v>no clearing</v>
      </c>
      <c r="N1155" s="40">
        <f t="shared" si="519"/>
        <v>37</v>
      </c>
      <c r="O1155" s="42">
        <f t="shared" si="520"/>
        <v>9</v>
      </c>
      <c r="P1155" s="42">
        <f t="shared" si="521"/>
        <v>2025</v>
      </c>
    </row>
    <row r="1156" spans="1:16" x14ac:dyDescent="0.25">
      <c r="A1156" s="21">
        <v>3000005315</v>
      </c>
      <c r="B1156" s="22">
        <v>45908</v>
      </c>
      <c r="C1156" s="20">
        <v>10000000</v>
      </c>
      <c r="D1156" s="21" t="s">
        <v>769</v>
      </c>
      <c r="E1156" s="21">
        <v>91002540</v>
      </c>
      <c r="F1156" s="20">
        <v>10000000</v>
      </c>
      <c r="G1156" s="22">
        <v>45911</v>
      </c>
      <c r="H1156" t="s">
        <v>79</v>
      </c>
      <c r="I1156" s="40" t="str">
        <f>IFERROR(IF(VLOOKUP(E1156,extracto!C:C,1,FALSE)=E1156,"pagado","no pagado"),"no pagado")</f>
        <v>pagado</v>
      </c>
      <c r="J1156" s="41" t="str">
        <f t="shared" si="516"/>
        <v>pagado</v>
      </c>
      <c r="K1156" s="40" t="str">
        <f t="shared" ca="1" si="517"/>
        <v>excluir</v>
      </c>
      <c r="L1156" s="40" t="str">
        <f t="shared" ca="1" si="518"/>
        <v>no semana</v>
      </c>
      <c r="M1156" s="40" t="str">
        <f>IFERROR(VLOOKUP(E1156,'cheques a conf'!A:D,4,FALSE),"no clearing")</f>
        <v>no clearing</v>
      </c>
      <c r="N1156" s="40">
        <f t="shared" si="519"/>
        <v>37</v>
      </c>
      <c r="O1156" s="42">
        <f t="shared" si="520"/>
        <v>9</v>
      </c>
      <c r="P1156" s="42">
        <f t="shared" si="521"/>
        <v>2025</v>
      </c>
    </row>
    <row r="1157" spans="1:16" x14ac:dyDescent="0.25">
      <c r="A1157" s="21">
        <v>3000005315</v>
      </c>
      <c r="B1157" s="22">
        <v>45908</v>
      </c>
      <c r="C1157" s="20">
        <v>6253132</v>
      </c>
      <c r="D1157" s="21" t="s">
        <v>769</v>
      </c>
      <c r="E1157" s="21">
        <v>91002541</v>
      </c>
      <c r="F1157" s="20">
        <v>6253132</v>
      </c>
      <c r="G1157" s="22">
        <v>45912</v>
      </c>
      <c r="H1157" t="s">
        <v>79</v>
      </c>
      <c r="I1157" s="40" t="str">
        <f>IFERROR(IF(VLOOKUP(E1157,extracto!C:C,1,FALSE)=E1157,"pagado","no pagado"),"no pagado")</f>
        <v>pagado</v>
      </c>
      <c r="J1157" s="41" t="str">
        <f t="shared" si="516"/>
        <v>pagado</v>
      </c>
      <c r="K1157" s="40" t="str">
        <f t="shared" ca="1" si="517"/>
        <v>excluir</v>
      </c>
      <c r="L1157" s="40" t="str">
        <f t="shared" ca="1" si="518"/>
        <v>no semana</v>
      </c>
      <c r="M1157" s="40" t="str">
        <f>IFERROR(VLOOKUP(E1157,'cheques a conf'!A:D,4,FALSE),"no clearing")</f>
        <v>no clearing</v>
      </c>
      <c r="N1157" s="40">
        <f t="shared" si="519"/>
        <v>37</v>
      </c>
      <c r="O1157" s="42">
        <f t="shared" si="520"/>
        <v>9</v>
      </c>
      <c r="P1157" s="42">
        <f t="shared" si="521"/>
        <v>2025</v>
      </c>
    </row>
    <row r="1158" spans="1:16" x14ac:dyDescent="0.25">
      <c r="A1158" s="21">
        <v>3000005316</v>
      </c>
      <c r="B1158" s="22">
        <v>45908</v>
      </c>
      <c r="C1158" s="20">
        <v>15910960.800000001</v>
      </c>
      <c r="D1158" s="21" t="s">
        <v>770</v>
      </c>
      <c r="E1158" s="21">
        <v>91002542</v>
      </c>
      <c r="F1158" s="20">
        <v>15910960.800000001</v>
      </c>
      <c r="G1158" s="22">
        <v>45911</v>
      </c>
      <c r="H1158" t="s">
        <v>79</v>
      </c>
      <c r="I1158" s="40" t="str">
        <f>IFERROR(IF(VLOOKUP(E1158,extracto!C:C,1,FALSE)=E1158,"pagado","no pagado"),"no pagado")</f>
        <v>pagado</v>
      </c>
      <c r="J1158" s="41" t="str">
        <f t="shared" si="516"/>
        <v>pagado</v>
      </c>
      <c r="K1158" s="40" t="str">
        <f t="shared" ca="1" si="517"/>
        <v>excluir</v>
      </c>
      <c r="L1158" s="40" t="str">
        <f t="shared" ca="1" si="518"/>
        <v>no semana</v>
      </c>
      <c r="M1158" s="40" t="str">
        <f>IFERROR(VLOOKUP(E1158,'cheques a conf'!A:D,4,FALSE),"no clearing")</f>
        <v>no clearing</v>
      </c>
      <c r="N1158" s="40">
        <f t="shared" si="519"/>
        <v>37</v>
      </c>
      <c r="O1158" s="42">
        <f t="shared" si="520"/>
        <v>9</v>
      </c>
      <c r="P1158" s="42">
        <f t="shared" si="521"/>
        <v>2025</v>
      </c>
    </row>
    <row r="1159" spans="1:16" x14ac:dyDescent="0.25">
      <c r="A1159" s="21">
        <v>3000005317</v>
      </c>
      <c r="B1159" s="22">
        <v>45908</v>
      </c>
      <c r="C1159" s="20">
        <v>1084986.3999999999</v>
      </c>
      <c r="D1159" s="21" t="s">
        <v>771</v>
      </c>
      <c r="E1159" s="21">
        <v>91002543</v>
      </c>
      <c r="F1159" s="20">
        <v>1084986.3999999999</v>
      </c>
      <c r="G1159" s="22">
        <v>45911</v>
      </c>
      <c r="H1159" t="s">
        <v>79</v>
      </c>
      <c r="I1159" s="40" t="str">
        <f>IFERROR(IF(VLOOKUP(E1159,extracto!C:C,1,FALSE)=E1159,"pagado","no pagado"),"no pagado")</f>
        <v>pagado</v>
      </c>
      <c r="J1159" s="41" t="str">
        <f t="shared" si="516"/>
        <v>pagado</v>
      </c>
      <c r="K1159" s="40" t="str">
        <f t="shared" ca="1" si="517"/>
        <v>excluir</v>
      </c>
      <c r="L1159" s="40" t="str">
        <f t="shared" ca="1" si="518"/>
        <v>no semana</v>
      </c>
      <c r="M1159" s="40" t="str">
        <f>IFERROR(VLOOKUP(E1159,'cheques a conf'!A:D,4,FALSE),"no clearing")</f>
        <v>no clearing</v>
      </c>
      <c r="N1159" s="40">
        <f t="shared" si="519"/>
        <v>37</v>
      </c>
      <c r="O1159" s="42">
        <f t="shared" si="520"/>
        <v>9</v>
      </c>
      <c r="P1159" s="42">
        <f t="shared" si="521"/>
        <v>2025</v>
      </c>
    </row>
    <row r="1160" spans="1:16" x14ac:dyDescent="0.25">
      <c r="A1160" s="21">
        <v>3000005318</v>
      </c>
      <c r="B1160" s="22">
        <v>45908</v>
      </c>
      <c r="C1160" s="20">
        <v>11000000</v>
      </c>
      <c r="D1160" s="21" t="s">
        <v>619</v>
      </c>
      <c r="E1160" s="21">
        <v>91002544</v>
      </c>
      <c r="F1160" s="20">
        <v>11000000</v>
      </c>
      <c r="G1160" s="22">
        <v>45911</v>
      </c>
      <c r="H1160" t="s">
        <v>79</v>
      </c>
      <c r="I1160" s="40" t="str">
        <f>IFERROR(IF(VLOOKUP(E1160,extracto!C:C,1,FALSE)=E1160,"pagado","no pagado"),"no pagado")</f>
        <v>pagado</v>
      </c>
      <c r="J1160" s="41" t="str">
        <f t="shared" si="516"/>
        <v>pagado</v>
      </c>
      <c r="K1160" s="40" t="str">
        <f t="shared" ca="1" si="517"/>
        <v>excluir</v>
      </c>
      <c r="L1160" s="40" t="str">
        <f t="shared" ca="1" si="518"/>
        <v>no semana</v>
      </c>
      <c r="M1160" s="40" t="str">
        <f>IFERROR(VLOOKUP(E1160,'cheques a conf'!A:D,4,FALSE),"no clearing")</f>
        <v>no clearing</v>
      </c>
      <c r="N1160" s="40">
        <f t="shared" si="519"/>
        <v>37</v>
      </c>
      <c r="O1160" s="42">
        <f t="shared" si="520"/>
        <v>9</v>
      </c>
      <c r="P1160" s="42">
        <f t="shared" si="521"/>
        <v>2025</v>
      </c>
    </row>
    <row r="1161" spans="1:16" x14ac:dyDescent="0.25">
      <c r="A1161" s="21">
        <v>3000005318</v>
      </c>
      <c r="B1161" s="22">
        <v>45908</v>
      </c>
      <c r="C1161" s="20">
        <v>10053777.210000001</v>
      </c>
      <c r="D1161" s="21" t="s">
        <v>619</v>
      </c>
      <c r="E1161" s="21">
        <v>91002545</v>
      </c>
      <c r="F1161" s="20">
        <v>10053777.210000001</v>
      </c>
      <c r="G1161" s="22">
        <v>45912</v>
      </c>
      <c r="H1161" t="s">
        <v>79</v>
      </c>
      <c r="I1161" s="40" t="str">
        <f>IFERROR(IF(VLOOKUP(E1161,extracto!C:C,1,FALSE)=E1161,"pagado","no pagado"),"no pagado")</f>
        <v>pagado</v>
      </c>
      <c r="J1161" s="41" t="str">
        <f t="shared" si="516"/>
        <v>pagado</v>
      </c>
      <c r="K1161" s="40" t="str">
        <f t="shared" ca="1" si="517"/>
        <v>excluir</v>
      </c>
      <c r="L1161" s="40" t="str">
        <f t="shared" ca="1" si="518"/>
        <v>no semana</v>
      </c>
      <c r="M1161" s="40" t="str">
        <f>IFERROR(VLOOKUP(E1161,'cheques a conf'!A:D,4,FALSE),"no clearing")</f>
        <v>no clearing</v>
      </c>
      <c r="N1161" s="40">
        <f t="shared" si="519"/>
        <v>37</v>
      </c>
      <c r="O1161" s="42">
        <f t="shared" si="520"/>
        <v>9</v>
      </c>
      <c r="P1161" s="42">
        <f t="shared" si="521"/>
        <v>2025</v>
      </c>
    </row>
    <row r="1162" spans="1:16" x14ac:dyDescent="0.25">
      <c r="A1162" s="21">
        <v>3000005319</v>
      </c>
      <c r="B1162" s="22">
        <v>45908</v>
      </c>
      <c r="C1162" s="20">
        <v>4233183.5</v>
      </c>
      <c r="D1162" s="21" t="s">
        <v>623</v>
      </c>
      <c r="E1162" s="21">
        <v>91002546</v>
      </c>
      <c r="F1162" s="20">
        <v>4233183.5</v>
      </c>
      <c r="G1162" s="22">
        <v>45911</v>
      </c>
      <c r="H1162" t="s">
        <v>79</v>
      </c>
      <c r="I1162" s="40" t="str">
        <f>IFERROR(IF(VLOOKUP(E1162,extracto!C:C,1,FALSE)=E1162,"pagado","no pagado"),"no pagado")</f>
        <v>pagado</v>
      </c>
      <c r="J1162" s="41" t="str">
        <f t="shared" si="516"/>
        <v>pagado</v>
      </c>
      <c r="K1162" s="40" t="str">
        <f t="shared" ca="1" si="517"/>
        <v>excluir</v>
      </c>
      <c r="L1162" s="40" t="str">
        <f t="shared" ca="1" si="518"/>
        <v>no semana</v>
      </c>
      <c r="M1162" s="40" t="str">
        <f>IFERROR(VLOOKUP(E1162,'cheques a conf'!A:D,4,FALSE),"no clearing")</f>
        <v>no clearing</v>
      </c>
      <c r="N1162" s="40">
        <f t="shared" si="519"/>
        <v>37</v>
      </c>
      <c r="O1162" s="42">
        <f t="shared" si="520"/>
        <v>9</v>
      </c>
      <c r="P1162" s="42">
        <f t="shared" si="521"/>
        <v>2025</v>
      </c>
    </row>
    <row r="1163" spans="1:16" x14ac:dyDescent="0.25">
      <c r="A1163" s="21">
        <v>3000005320</v>
      </c>
      <c r="B1163" s="22">
        <v>45908</v>
      </c>
      <c r="C1163" s="20">
        <v>7859452.5499999998</v>
      </c>
      <c r="D1163" s="21" t="s">
        <v>672</v>
      </c>
      <c r="E1163" s="21">
        <v>91002547</v>
      </c>
      <c r="F1163" s="20">
        <v>7859452.5499999998</v>
      </c>
      <c r="G1163" s="22">
        <v>45911</v>
      </c>
      <c r="H1163" t="s">
        <v>79</v>
      </c>
      <c r="I1163" s="40" t="str">
        <f>IFERROR(IF(VLOOKUP(E1163,extracto!C:C,1,FALSE)=E1163,"pagado","no pagado"),"no pagado")</f>
        <v>pagado</v>
      </c>
      <c r="J1163" s="41" t="str">
        <f t="shared" si="516"/>
        <v>pagado</v>
      </c>
      <c r="K1163" s="40" t="str">
        <f t="shared" ca="1" si="517"/>
        <v>excluir</v>
      </c>
      <c r="L1163" s="40" t="str">
        <f t="shared" ca="1" si="518"/>
        <v>no semana</v>
      </c>
      <c r="M1163" s="40" t="str">
        <f>IFERROR(VLOOKUP(E1163,'cheques a conf'!A:D,4,FALSE),"no clearing")</f>
        <v>no clearing</v>
      </c>
      <c r="N1163" s="40">
        <f t="shared" si="519"/>
        <v>37</v>
      </c>
      <c r="O1163" s="42">
        <f t="shared" si="520"/>
        <v>9</v>
      </c>
      <c r="P1163" s="42">
        <f t="shared" si="521"/>
        <v>2025</v>
      </c>
    </row>
    <row r="1164" spans="1:16" x14ac:dyDescent="0.25">
      <c r="A1164" s="21">
        <v>3000005321</v>
      </c>
      <c r="B1164" s="22">
        <v>45908</v>
      </c>
      <c r="C1164" s="20">
        <v>3926843</v>
      </c>
      <c r="D1164" s="21" t="s">
        <v>772</v>
      </c>
      <c r="E1164" s="21">
        <v>91002548</v>
      </c>
      <c r="F1164" s="20">
        <v>3926843</v>
      </c>
      <c r="G1164" s="22">
        <v>45911</v>
      </c>
      <c r="H1164" t="s">
        <v>79</v>
      </c>
      <c r="I1164" s="40" t="str">
        <f>IFERROR(IF(VLOOKUP(E1164,extracto!C:C,1,FALSE)=E1164,"pagado","no pagado"),"no pagado")</f>
        <v>pagado</v>
      </c>
      <c r="J1164" s="41" t="str">
        <f t="shared" si="516"/>
        <v>pagado</v>
      </c>
      <c r="K1164" s="40" t="str">
        <f t="shared" ca="1" si="517"/>
        <v>excluir</v>
      </c>
      <c r="L1164" s="40" t="str">
        <f t="shared" ca="1" si="518"/>
        <v>no semana</v>
      </c>
      <c r="M1164" s="40" t="str">
        <f>IFERROR(VLOOKUP(E1164,'cheques a conf'!A:D,4,FALSE),"no clearing")</f>
        <v>no clearing</v>
      </c>
      <c r="N1164" s="40">
        <f t="shared" si="519"/>
        <v>37</v>
      </c>
      <c r="O1164" s="42">
        <f t="shared" si="520"/>
        <v>9</v>
      </c>
      <c r="P1164" s="42">
        <f t="shared" si="521"/>
        <v>2025</v>
      </c>
    </row>
    <row r="1165" spans="1:16" x14ac:dyDescent="0.25">
      <c r="A1165" s="21">
        <v>3000005322</v>
      </c>
      <c r="B1165" s="22">
        <v>45908</v>
      </c>
      <c r="C1165" s="20">
        <v>15000000</v>
      </c>
      <c r="D1165" s="21" t="s">
        <v>595</v>
      </c>
      <c r="E1165" s="21">
        <v>91002549</v>
      </c>
      <c r="F1165" s="20">
        <v>15000000</v>
      </c>
      <c r="G1165" s="22">
        <v>45911</v>
      </c>
      <c r="H1165" t="s">
        <v>79</v>
      </c>
      <c r="I1165" s="40" t="str">
        <f>IFERROR(IF(VLOOKUP(E1165,extracto!C:C,1,FALSE)=E1165,"pagado","no pagado"),"no pagado")</f>
        <v>pagado</v>
      </c>
      <c r="J1165" s="41" t="str">
        <f t="shared" si="516"/>
        <v>pagado</v>
      </c>
      <c r="K1165" s="40" t="str">
        <f t="shared" ca="1" si="517"/>
        <v>excluir</v>
      </c>
      <c r="L1165" s="40" t="str">
        <f t="shared" ca="1" si="518"/>
        <v>no semana</v>
      </c>
      <c r="M1165" s="40" t="str">
        <f>IFERROR(VLOOKUP(E1165,'cheques a conf'!A:D,4,FALSE),"no clearing")</f>
        <v>no clearing</v>
      </c>
      <c r="N1165" s="40">
        <f t="shared" si="519"/>
        <v>37</v>
      </c>
      <c r="O1165" s="42">
        <f t="shared" si="520"/>
        <v>9</v>
      </c>
      <c r="P1165" s="42">
        <f t="shared" si="521"/>
        <v>2025</v>
      </c>
    </row>
    <row r="1166" spans="1:16" x14ac:dyDescent="0.25">
      <c r="A1166" s="21">
        <v>3000005322</v>
      </c>
      <c r="B1166" s="22">
        <v>45908</v>
      </c>
      <c r="C1166" s="20">
        <v>7000000</v>
      </c>
      <c r="D1166" s="21" t="s">
        <v>595</v>
      </c>
      <c r="E1166" s="21">
        <v>91002550</v>
      </c>
      <c r="F1166" s="20">
        <v>7000000</v>
      </c>
      <c r="G1166" s="22">
        <v>45911</v>
      </c>
      <c r="H1166" t="s">
        <v>79</v>
      </c>
      <c r="I1166" s="40" t="str">
        <f>IFERROR(IF(VLOOKUP(E1166,extracto!C:C,1,FALSE)=E1166,"pagado","no pagado"),"no pagado")</f>
        <v>pagado</v>
      </c>
      <c r="J1166" s="41" t="str">
        <f t="shared" si="516"/>
        <v>pagado</v>
      </c>
      <c r="K1166" s="40" t="str">
        <f t="shared" ca="1" si="517"/>
        <v>excluir</v>
      </c>
      <c r="L1166" s="40" t="str">
        <f t="shared" ca="1" si="518"/>
        <v>no semana</v>
      </c>
      <c r="M1166" s="40" t="str">
        <f>IFERROR(VLOOKUP(E1166,'cheques a conf'!A:D,4,FALSE),"no clearing")</f>
        <v>no clearing</v>
      </c>
      <c r="N1166" s="40">
        <f t="shared" si="519"/>
        <v>37</v>
      </c>
      <c r="O1166" s="42">
        <f t="shared" si="520"/>
        <v>9</v>
      </c>
      <c r="P1166" s="42">
        <f t="shared" si="521"/>
        <v>2025</v>
      </c>
    </row>
    <row r="1167" spans="1:16" x14ac:dyDescent="0.25">
      <c r="A1167" s="21">
        <v>3000005322</v>
      </c>
      <c r="B1167" s="22">
        <v>45908</v>
      </c>
      <c r="C1167" s="20">
        <v>4000000</v>
      </c>
      <c r="D1167" s="21" t="s">
        <v>595</v>
      </c>
      <c r="E1167" s="21">
        <v>91002551</v>
      </c>
      <c r="F1167" s="20">
        <v>4000000</v>
      </c>
      <c r="G1167" s="22">
        <v>45911</v>
      </c>
      <c r="H1167" t="s">
        <v>79</v>
      </c>
      <c r="I1167" s="40" t="str">
        <f>IFERROR(IF(VLOOKUP(E1167,extracto!C:C,1,FALSE)=E1167,"pagado","no pagado"),"no pagado")</f>
        <v>pagado</v>
      </c>
      <c r="J1167" s="41" t="str">
        <f t="shared" si="516"/>
        <v>pagado</v>
      </c>
      <c r="K1167" s="40" t="str">
        <f t="shared" ca="1" si="517"/>
        <v>excluir</v>
      </c>
      <c r="L1167" s="40" t="str">
        <f t="shared" ca="1" si="518"/>
        <v>no semana</v>
      </c>
      <c r="M1167" s="40" t="str">
        <f>IFERROR(VLOOKUP(E1167,'cheques a conf'!A:D,4,FALSE),"no clearing")</f>
        <v>no clearing</v>
      </c>
      <c r="N1167" s="40">
        <f t="shared" si="519"/>
        <v>37</v>
      </c>
      <c r="O1167" s="42">
        <f t="shared" si="520"/>
        <v>9</v>
      </c>
      <c r="P1167" s="42">
        <f t="shared" si="521"/>
        <v>2025</v>
      </c>
    </row>
    <row r="1168" spans="1:16" x14ac:dyDescent="0.25">
      <c r="A1168" s="21">
        <v>3000005322</v>
      </c>
      <c r="B1168" s="22">
        <v>45908</v>
      </c>
      <c r="C1168" s="20">
        <v>4000000</v>
      </c>
      <c r="D1168" s="21" t="s">
        <v>595</v>
      </c>
      <c r="E1168" s="21">
        <v>91002552</v>
      </c>
      <c r="F1168" s="20">
        <v>4000000</v>
      </c>
      <c r="G1168" s="22">
        <v>45911</v>
      </c>
      <c r="H1168" t="s">
        <v>79</v>
      </c>
      <c r="I1168" s="40" t="str">
        <f>IFERROR(IF(VLOOKUP(E1168,extracto!C:C,1,FALSE)=E1168,"pagado","no pagado"),"no pagado")</f>
        <v>pagado</v>
      </c>
      <c r="J1168" s="41" t="str">
        <f t="shared" ref="J1168" si="522">IF(I1168="pagado","pagado",IF(G1168&lt;$V$1-30,"fuera de fecha","en periodo de pago"))</f>
        <v>pagado</v>
      </c>
      <c r="K1168" s="40" t="str">
        <f t="shared" ref="K1168" ca="1" si="523">+IF(B1168&gt;$V$1,"excluir",IF(J1168="en periodo de pago",IF($V$1&gt;G1168,"a pagar","proximo a vencer"),"excluir"))</f>
        <v>excluir</v>
      </c>
      <c r="L1168" s="40" t="str">
        <f t="shared" ref="L1168" ca="1" si="524">+IF(K1168="proximo a vencer",IF($V$1+5&gt;G1168,"para la semana","no semana"),"no semana")</f>
        <v>no semana</v>
      </c>
      <c r="M1168" s="40" t="str">
        <f>IFERROR(VLOOKUP(E1168,'cheques a conf'!A:D,4,FALSE),"no clearing")</f>
        <v>no clearing</v>
      </c>
      <c r="N1168" s="40">
        <f t="shared" ref="N1168" si="525">+WEEKNUM(G1168,2)</f>
        <v>37</v>
      </c>
      <c r="O1168" s="42">
        <f t="shared" ref="O1168" si="526">+MONTH(G1168)</f>
        <v>9</v>
      </c>
      <c r="P1168" s="42">
        <f t="shared" ref="P1168" si="527">+YEAR(G1168)</f>
        <v>2025</v>
      </c>
    </row>
    <row r="1169" spans="1:16" x14ac:dyDescent="0.25">
      <c r="A1169" s="21">
        <v>3000005322</v>
      </c>
      <c r="B1169" s="22">
        <v>45908</v>
      </c>
      <c r="C1169" s="20">
        <v>35000000</v>
      </c>
      <c r="D1169" s="21" t="s">
        <v>595</v>
      </c>
      <c r="E1169" s="21">
        <v>91002553</v>
      </c>
      <c r="F1169" s="20">
        <v>35000000</v>
      </c>
      <c r="G1169" s="22">
        <v>45912</v>
      </c>
      <c r="H1169" t="s">
        <v>79</v>
      </c>
      <c r="I1169" s="40" t="str">
        <f>IFERROR(IF(VLOOKUP(E1169,extracto!C:C,1,FALSE)=E1169,"pagado","no pagado"),"no pagado")</f>
        <v>pagado</v>
      </c>
      <c r="J1169" s="41" t="str">
        <f t="shared" ref="J1169:J1185" si="528">IF(I1169="pagado","pagado",IF(G1169&lt;$V$1-30,"fuera de fecha","en periodo de pago"))</f>
        <v>pagado</v>
      </c>
      <c r="K1169" s="40" t="str">
        <f t="shared" ref="K1169:K1185" ca="1" si="529">+IF(B1169&gt;$V$1,"excluir",IF(J1169="en periodo de pago",IF($V$1&gt;G1169,"a pagar","proximo a vencer"),"excluir"))</f>
        <v>excluir</v>
      </c>
      <c r="L1169" s="40" t="str">
        <f t="shared" ref="L1169:L1185" ca="1" si="530">+IF(K1169="proximo a vencer",IF($V$1+5&gt;G1169,"para la semana","no semana"),"no semana")</f>
        <v>no semana</v>
      </c>
      <c r="M1169" s="40" t="str">
        <f>IFERROR(VLOOKUP(E1169,'cheques a conf'!A:D,4,FALSE),"no clearing")</f>
        <v>no clearing</v>
      </c>
      <c r="N1169" s="40">
        <f t="shared" ref="N1169:N1185" si="531">+WEEKNUM(G1169,2)</f>
        <v>37</v>
      </c>
      <c r="O1169" s="42">
        <f t="shared" ref="O1169:O1185" si="532">+MONTH(G1169)</f>
        <v>9</v>
      </c>
      <c r="P1169" s="42">
        <f t="shared" ref="P1169:P1185" si="533">+YEAR(G1169)</f>
        <v>2025</v>
      </c>
    </row>
    <row r="1170" spans="1:16" x14ac:dyDescent="0.25">
      <c r="A1170" s="21">
        <v>3000005322</v>
      </c>
      <c r="B1170" s="22">
        <v>45908</v>
      </c>
      <c r="C1170" s="20">
        <v>42579298.479999997</v>
      </c>
      <c r="D1170" s="21" t="s">
        <v>595</v>
      </c>
      <c r="E1170" s="21">
        <v>91002554</v>
      </c>
      <c r="F1170" s="20">
        <v>42579298.479999997</v>
      </c>
      <c r="G1170" s="22">
        <v>45915</v>
      </c>
      <c r="H1170" t="s">
        <v>79</v>
      </c>
      <c r="I1170" s="40" t="str">
        <f>IFERROR(IF(VLOOKUP(E1170,extracto!C:C,1,FALSE)=E1170,"pagado","no pagado"),"no pagado")</f>
        <v>pagado</v>
      </c>
      <c r="J1170" s="41" t="str">
        <f t="shared" si="528"/>
        <v>pagado</v>
      </c>
      <c r="K1170" s="40" t="str">
        <f t="shared" ca="1" si="529"/>
        <v>excluir</v>
      </c>
      <c r="L1170" s="40" t="str">
        <f t="shared" ca="1" si="530"/>
        <v>no semana</v>
      </c>
      <c r="M1170" s="40" t="str">
        <f>IFERROR(VLOOKUP(E1170,'cheques a conf'!A:D,4,FALSE),"no clearing")</f>
        <v>no clearing</v>
      </c>
      <c r="N1170" s="40">
        <f t="shared" si="531"/>
        <v>38</v>
      </c>
      <c r="O1170" s="42">
        <f t="shared" si="532"/>
        <v>9</v>
      </c>
      <c r="P1170" s="42">
        <f t="shared" si="533"/>
        <v>2025</v>
      </c>
    </row>
    <row r="1171" spans="1:16" x14ac:dyDescent="0.25">
      <c r="A1171" s="21">
        <v>3000005323</v>
      </c>
      <c r="B1171" s="22">
        <v>45908</v>
      </c>
      <c r="C1171" s="20">
        <v>4000000</v>
      </c>
      <c r="D1171" s="21" t="s">
        <v>595</v>
      </c>
      <c r="E1171" s="21">
        <v>91002555</v>
      </c>
      <c r="F1171" s="20">
        <v>4000000</v>
      </c>
      <c r="G1171" s="22">
        <v>45911</v>
      </c>
      <c r="H1171" t="s">
        <v>79</v>
      </c>
      <c r="I1171" s="40" t="str">
        <f>IFERROR(IF(VLOOKUP(E1171,extracto!C:C,1,FALSE)=E1171,"pagado","no pagado"),"no pagado")</f>
        <v>pagado</v>
      </c>
      <c r="J1171" s="41" t="str">
        <f t="shared" si="528"/>
        <v>pagado</v>
      </c>
      <c r="K1171" s="40" t="str">
        <f t="shared" ca="1" si="529"/>
        <v>excluir</v>
      </c>
      <c r="L1171" s="40" t="str">
        <f t="shared" ca="1" si="530"/>
        <v>no semana</v>
      </c>
      <c r="M1171" s="40" t="str">
        <f>IFERROR(VLOOKUP(E1171,'cheques a conf'!A:D,4,FALSE),"no clearing")</f>
        <v>no clearing</v>
      </c>
      <c r="N1171" s="40">
        <f t="shared" si="531"/>
        <v>37</v>
      </c>
      <c r="O1171" s="42">
        <f t="shared" si="532"/>
        <v>9</v>
      </c>
      <c r="P1171" s="42">
        <f t="shared" si="533"/>
        <v>2025</v>
      </c>
    </row>
    <row r="1172" spans="1:16" x14ac:dyDescent="0.25">
      <c r="A1172" s="21">
        <v>3000005323</v>
      </c>
      <c r="B1172" s="22">
        <v>45908</v>
      </c>
      <c r="C1172" s="20">
        <v>2000000</v>
      </c>
      <c r="D1172" s="21" t="s">
        <v>595</v>
      </c>
      <c r="E1172" s="21">
        <v>91002556</v>
      </c>
      <c r="F1172" s="20">
        <v>2000000</v>
      </c>
      <c r="G1172" s="22">
        <v>45911</v>
      </c>
      <c r="H1172" t="s">
        <v>79</v>
      </c>
      <c r="I1172" s="40" t="str">
        <f>IFERROR(IF(VLOOKUP(E1172,extracto!C:C,1,FALSE)=E1172,"pagado","no pagado"),"no pagado")</f>
        <v>pagado</v>
      </c>
      <c r="J1172" s="41" t="str">
        <f t="shared" si="528"/>
        <v>pagado</v>
      </c>
      <c r="K1172" s="40" t="str">
        <f t="shared" ca="1" si="529"/>
        <v>excluir</v>
      </c>
      <c r="L1172" s="40" t="str">
        <f t="shared" ca="1" si="530"/>
        <v>no semana</v>
      </c>
      <c r="M1172" s="40" t="str">
        <f>IFERROR(VLOOKUP(E1172,'cheques a conf'!A:D,4,FALSE),"no clearing")</f>
        <v>no clearing</v>
      </c>
      <c r="N1172" s="40">
        <f t="shared" si="531"/>
        <v>37</v>
      </c>
      <c r="O1172" s="42">
        <f t="shared" si="532"/>
        <v>9</v>
      </c>
      <c r="P1172" s="42">
        <f t="shared" si="533"/>
        <v>2025</v>
      </c>
    </row>
    <row r="1173" spans="1:16" x14ac:dyDescent="0.25">
      <c r="A1173" s="21">
        <v>3000005323</v>
      </c>
      <c r="B1173" s="22">
        <v>45908</v>
      </c>
      <c r="C1173" s="20">
        <v>2800000</v>
      </c>
      <c r="D1173" s="21" t="s">
        <v>595</v>
      </c>
      <c r="E1173" s="21">
        <v>91002557</v>
      </c>
      <c r="F1173" s="20">
        <v>2800000</v>
      </c>
      <c r="G1173" s="22">
        <v>45911</v>
      </c>
      <c r="H1173" t="s">
        <v>79</v>
      </c>
      <c r="I1173" s="40" t="str">
        <f>IFERROR(IF(VLOOKUP(E1173,extracto!C:C,1,FALSE)=E1173,"pagado","no pagado"),"no pagado")</f>
        <v>pagado</v>
      </c>
      <c r="J1173" s="41" t="str">
        <f t="shared" si="528"/>
        <v>pagado</v>
      </c>
      <c r="K1173" s="40" t="str">
        <f t="shared" ca="1" si="529"/>
        <v>excluir</v>
      </c>
      <c r="L1173" s="40" t="str">
        <f t="shared" ca="1" si="530"/>
        <v>no semana</v>
      </c>
      <c r="M1173" s="40" t="str">
        <f>IFERROR(VLOOKUP(E1173,'cheques a conf'!A:D,4,FALSE),"no clearing")</f>
        <v>no clearing</v>
      </c>
      <c r="N1173" s="40">
        <f t="shared" si="531"/>
        <v>37</v>
      </c>
      <c r="O1173" s="42">
        <f t="shared" si="532"/>
        <v>9</v>
      </c>
      <c r="P1173" s="42">
        <f t="shared" si="533"/>
        <v>2025</v>
      </c>
    </row>
    <row r="1174" spans="1:16" x14ac:dyDescent="0.25">
      <c r="A1174" s="21">
        <v>3000005323</v>
      </c>
      <c r="B1174" s="22">
        <v>45908</v>
      </c>
      <c r="C1174" s="20">
        <v>1400000</v>
      </c>
      <c r="D1174" s="21" t="s">
        <v>595</v>
      </c>
      <c r="E1174" s="21">
        <v>91002558</v>
      </c>
      <c r="F1174" s="20">
        <v>1400000</v>
      </c>
      <c r="G1174" s="22">
        <v>45911</v>
      </c>
      <c r="H1174" t="s">
        <v>79</v>
      </c>
      <c r="I1174" s="40" t="str">
        <f>IFERROR(IF(VLOOKUP(E1174,extracto!C:C,1,FALSE)=E1174,"pagado","no pagado"),"no pagado")</f>
        <v>pagado</v>
      </c>
      <c r="J1174" s="41" t="str">
        <f t="shared" si="528"/>
        <v>pagado</v>
      </c>
      <c r="K1174" s="40" t="str">
        <f t="shared" ca="1" si="529"/>
        <v>excluir</v>
      </c>
      <c r="L1174" s="40" t="str">
        <f t="shared" ca="1" si="530"/>
        <v>no semana</v>
      </c>
      <c r="M1174" s="40" t="str">
        <f>IFERROR(VLOOKUP(E1174,'cheques a conf'!A:D,4,FALSE),"no clearing")</f>
        <v>no clearing</v>
      </c>
      <c r="N1174" s="40">
        <f t="shared" si="531"/>
        <v>37</v>
      </c>
      <c r="O1174" s="42">
        <f t="shared" si="532"/>
        <v>9</v>
      </c>
      <c r="P1174" s="42">
        <f t="shared" si="533"/>
        <v>2025</v>
      </c>
    </row>
    <row r="1175" spans="1:16" x14ac:dyDescent="0.25">
      <c r="A1175" s="21">
        <v>3000005323</v>
      </c>
      <c r="B1175" s="22">
        <v>45908</v>
      </c>
      <c r="C1175" s="20">
        <v>1200000</v>
      </c>
      <c r="D1175" s="21" t="s">
        <v>595</v>
      </c>
      <c r="E1175" s="21">
        <v>91002559</v>
      </c>
      <c r="F1175" s="20">
        <v>1200000</v>
      </c>
      <c r="G1175" s="22">
        <v>45911</v>
      </c>
      <c r="H1175" t="s">
        <v>79</v>
      </c>
      <c r="I1175" s="40" t="str">
        <f>IFERROR(IF(VLOOKUP(E1175,extracto!C:C,1,FALSE)=E1175,"pagado","no pagado"),"no pagado")</f>
        <v>pagado</v>
      </c>
      <c r="J1175" s="41" t="str">
        <f t="shared" si="528"/>
        <v>pagado</v>
      </c>
      <c r="K1175" s="40" t="str">
        <f t="shared" ca="1" si="529"/>
        <v>excluir</v>
      </c>
      <c r="L1175" s="40" t="str">
        <f t="shared" ca="1" si="530"/>
        <v>no semana</v>
      </c>
      <c r="M1175" s="40" t="str">
        <f>IFERROR(VLOOKUP(E1175,'cheques a conf'!A:D,4,FALSE),"no clearing")</f>
        <v>no clearing</v>
      </c>
      <c r="N1175" s="40">
        <f t="shared" si="531"/>
        <v>37</v>
      </c>
      <c r="O1175" s="42">
        <f t="shared" si="532"/>
        <v>9</v>
      </c>
      <c r="P1175" s="42">
        <f t="shared" si="533"/>
        <v>2025</v>
      </c>
    </row>
    <row r="1176" spans="1:16" x14ac:dyDescent="0.25">
      <c r="A1176" s="21">
        <v>3000005323</v>
      </c>
      <c r="B1176" s="22">
        <v>45908</v>
      </c>
      <c r="C1176" s="20">
        <v>40000000</v>
      </c>
      <c r="D1176" s="21" t="s">
        <v>595</v>
      </c>
      <c r="E1176" s="21">
        <v>91002560</v>
      </c>
      <c r="F1176" s="20">
        <v>40000000</v>
      </c>
      <c r="G1176" s="22">
        <v>45912</v>
      </c>
      <c r="H1176" t="s">
        <v>79</v>
      </c>
      <c r="I1176" s="40" t="str">
        <f>IFERROR(IF(VLOOKUP(E1176,extracto!C:C,1,FALSE)=E1176,"pagado","no pagado"),"no pagado")</f>
        <v>pagado</v>
      </c>
      <c r="J1176" s="41" t="str">
        <f t="shared" si="528"/>
        <v>pagado</v>
      </c>
      <c r="K1176" s="40" t="str">
        <f t="shared" ca="1" si="529"/>
        <v>excluir</v>
      </c>
      <c r="L1176" s="40" t="str">
        <f t="shared" ca="1" si="530"/>
        <v>no semana</v>
      </c>
      <c r="M1176" s="40" t="str">
        <f>IFERROR(VLOOKUP(E1176,'cheques a conf'!A:D,4,FALSE),"no clearing")</f>
        <v>no clearing</v>
      </c>
      <c r="N1176" s="40">
        <f t="shared" si="531"/>
        <v>37</v>
      </c>
      <c r="O1176" s="42">
        <f t="shared" si="532"/>
        <v>9</v>
      </c>
      <c r="P1176" s="42">
        <f t="shared" si="533"/>
        <v>2025</v>
      </c>
    </row>
    <row r="1177" spans="1:16" x14ac:dyDescent="0.25">
      <c r="A1177" s="21">
        <v>3000005323</v>
      </c>
      <c r="B1177" s="22">
        <v>45908</v>
      </c>
      <c r="C1177" s="20">
        <v>34653027.520000003</v>
      </c>
      <c r="D1177" s="21" t="s">
        <v>595</v>
      </c>
      <c r="E1177" s="21">
        <v>91002561</v>
      </c>
      <c r="F1177" s="20">
        <v>34653027.520000003</v>
      </c>
      <c r="G1177" s="22">
        <v>45915</v>
      </c>
      <c r="H1177" t="s">
        <v>79</v>
      </c>
      <c r="I1177" s="40" t="str">
        <f>IFERROR(IF(VLOOKUP(E1177,extracto!C:C,1,FALSE)=E1177,"pagado","no pagado"),"no pagado")</f>
        <v>pagado</v>
      </c>
      <c r="J1177" s="41" t="str">
        <f t="shared" si="528"/>
        <v>pagado</v>
      </c>
      <c r="K1177" s="40" t="str">
        <f t="shared" ca="1" si="529"/>
        <v>excluir</v>
      </c>
      <c r="L1177" s="40" t="str">
        <f t="shared" ca="1" si="530"/>
        <v>no semana</v>
      </c>
      <c r="M1177" s="40" t="str">
        <f>IFERROR(VLOOKUP(E1177,'cheques a conf'!A:D,4,FALSE),"no clearing")</f>
        <v>no clearing</v>
      </c>
      <c r="N1177" s="40">
        <f t="shared" si="531"/>
        <v>38</v>
      </c>
      <c r="O1177" s="42">
        <f t="shared" si="532"/>
        <v>9</v>
      </c>
      <c r="P1177" s="42">
        <f t="shared" si="533"/>
        <v>2025</v>
      </c>
    </row>
    <row r="1178" spans="1:16" x14ac:dyDescent="0.25">
      <c r="A1178" s="21">
        <v>3000005362</v>
      </c>
      <c r="B1178" s="22">
        <v>45909</v>
      </c>
      <c r="C1178" s="20">
        <v>8617127.2300000004</v>
      </c>
      <c r="D1178" s="21" t="s">
        <v>773</v>
      </c>
      <c r="E1178" s="21">
        <v>1860</v>
      </c>
      <c r="F1178" s="20">
        <v>8617127.2300000004</v>
      </c>
      <c r="G1178" s="22">
        <v>45911</v>
      </c>
      <c r="H1178" t="s">
        <v>32</v>
      </c>
      <c r="I1178" s="40" t="str">
        <f>IFERROR(IF(VLOOKUP(E1178,extracto!C:C,1,FALSE)=E1178,"pagado","no pagado"),"no pagado")</f>
        <v>pagado</v>
      </c>
      <c r="J1178" s="41" t="str">
        <f t="shared" si="528"/>
        <v>pagado</v>
      </c>
      <c r="K1178" s="40" t="str">
        <f t="shared" ca="1" si="529"/>
        <v>excluir</v>
      </c>
      <c r="L1178" s="40" t="str">
        <f t="shared" ca="1" si="530"/>
        <v>no semana</v>
      </c>
      <c r="M1178" s="40" t="str">
        <f>IFERROR(VLOOKUP(E1178,'cheques a conf'!A:D,4,FALSE),"no clearing")</f>
        <v>no clearing</v>
      </c>
      <c r="N1178" s="40">
        <f t="shared" si="531"/>
        <v>37</v>
      </c>
      <c r="O1178" s="42">
        <f t="shared" si="532"/>
        <v>9</v>
      </c>
      <c r="P1178" s="42">
        <f t="shared" si="533"/>
        <v>2025</v>
      </c>
    </row>
    <row r="1179" spans="1:16" x14ac:dyDescent="0.25">
      <c r="A1179" s="21">
        <v>3000005364</v>
      </c>
      <c r="B1179" s="22">
        <v>45909</v>
      </c>
      <c r="C1179" s="20">
        <v>13682367.92</v>
      </c>
      <c r="D1179" s="21" t="s">
        <v>774</v>
      </c>
      <c r="E1179" s="21">
        <v>1861</v>
      </c>
      <c r="F1179" s="20">
        <v>13682367.92</v>
      </c>
      <c r="G1179" s="22">
        <v>45912</v>
      </c>
      <c r="H1179" t="s">
        <v>32</v>
      </c>
      <c r="I1179" s="40" t="str">
        <f>IFERROR(IF(VLOOKUP(E1179,extracto!C:C,1,FALSE)=E1179,"pagado","no pagado"),"no pagado")</f>
        <v>pagado</v>
      </c>
      <c r="J1179" s="41" t="str">
        <f t="shared" si="528"/>
        <v>pagado</v>
      </c>
      <c r="K1179" s="40" t="str">
        <f t="shared" ca="1" si="529"/>
        <v>excluir</v>
      </c>
      <c r="L1179" s="40" t="str">
        <f t="shared" ca="1" si="530"/>
        <v>no semana</v>
      </c>
      <c r="M1179" s="40" t="str">
        <f>IFERROR(VLOOKUP(E1179,'cheques a conf'!A:D,4,FALSE),"no clearing")</f>
        <v>no clearing</v>
      </c>
      <c r="N1179" s="40">
        <f t="shared" si="531"/>
        <v>37</v>
      </c>
      <c r="O1179" s="42">
        <f t="shared" si="532"/>
        <v>9</v>
      </c>
      <c r="P1179" s="42">
        <f t="shared" si="533"/>
        <v>2025</v>
      </c>
    </row>
    <row r="1180" spans="1:16" x14ac:dyDescent="0.25">
      <c r="A1180" s="21">
        <v>3000005365</v>
      </c>
      <c r="B1180" s="22">
        <v>45909</v>
      </c>
      <c r="C1180" s="20">
        <v>9673396.3699999992</v>
      </c>
      <c r="D1180" s="21" t="s">
        <v>652</v>
      </c>
      <c r="E1180" s="21">
        <v>1862</v>
      </c>
      <c r="F1180" s="20">
        <v>9673396.3699999992</v>
      </c>
      <c r="G1180" s="22">
        <v>45912</v>
      </c>
      <c r="H1180" t="s">
        <v>32</v>
      </c>
      <c r="I1180" s="40" t="str">
        <f>IFERROR(IF(VLOOKUP(E1180,extracto!C:C,1,FALSE)=E1180,"pagado","no pagado"),"no pagado")</f>
        <v>pagado</v>
      </c>
      <c r="J1180" s="41" t="str">
        <f t="shared" si="528"/>
        <v>pagado</v>
      </c>
      <c r="K1180" s="40" t="str">
        <f t="shared" ca="1" si="529"/>
        <v>excluir</v>
      </c>
      <c r="L1180" s="40" t="str">
        <f t="shared" ca="1" si="530"/>
        <v>no semana</v>
      </c>
      <c r="M1180" s="40" t="str">
        <f>IFERROR(VLOOKUP(E1180,'cheques a conf'!A:D,4,FALSE),"no clearing")</f>
        <v>no clearing</v>
      </c>
      <c r="N1180" s="40">
        <f t="shared" si="531"/>
        <v>37</v>
      </c>
      <c r="O1180" s="42">
        <f t="shared" si="532"/>
        <v>9</v>
      </c>
      <c r="P1180" s="42">
        <f t="shared" si="533"/>
        <v>2025</v>
      </c>
    </row>
    <row r="1181" spans="1:16" x14ac:dyDescent="0.25">
      <c r="A1181" s="21">
        <v>3000005366</v>
      </c>
      <c r="B1181" s="22">
        <v>45909</v>
      </c>
      <c r="C1181" s="20">
        <v>6086794.8200000003</v>
      </c>
      <c r="D1181" s="21" t="s">
        <v>664</v>
      </c>
      <c r="E1181" s="21">
        <v>1863</v>
      </c>
      <c r="F1181" s="20">
        <v>6086794.8200000003</v>
      </c>
      <c r="G1181" s="22">
        <v>45911</v>
      </c>
      <c r="H1181" t="s">
        <v>32</v>
      </c>
      <c r="I1181" s="40" t="str">
        <f>IFERROR(IF(VLOOKUP(E1181,extracto!C:C,1,FALSE)=E1181,"pagado","no pagado"),"no pagado")</f>
        <v>pagado</v>
      </c>
      <c r="J1181" s="41" t="str">
        <f t="shared" si="528"/>
        <v>pagado</v>
      </c>
      <c r="K1181" s="40" t="str">
        <f t="shared" ca="1" si="529"/>
        <v>excluir</v>
      </c>
      <c r="L1181" s="40" t="str">
        <f t="shared" ca="1" si="530"/>
        <v>no semana</v>
      </c>
      <c r="M1181" s="40" t="str">
        <f>IFERROR(VLOOKUP(E1181,'cheques a conf'!A:D,4,FALSE),"no clearing")</f>
        <v>no clearing</v>
      </c>
      <c r="N1181" s="40">
        <f t="shared" si="531"/>
        <v>37</v>
      </c>
      <c r="O1181" s="42">
        <f t="shared" si="532"/>
        <v>9</v>
      </c>
      <c r="P1181" s="42">
        <f t="shared" si="533"/>
        <v>2025</v>
      </c>
    </row>
    <row r="1182" spans="1:16" x14ac:dyDescent="0.25">
      <c r="A1182" s="21">
        <v>3000005367</v>
      </c>
      <c r="B1182" s="22">
        <v>45909</v>
      </c>
      <c r="C1182" s="20">
        <v>4570689.91</v>
      </c>
      <c r="D1182" s="21" t="s">
        <v>669</v>
      </c>
      <c r="E1182" s="21">
        <v>1864</v>
      </c>
      <c r="F1182" s="20">
        <v>4570689.91</v>
      </c>
      <c r="G1182" s="22">
        <v>45911</v>
      </c>
      <c r="H1182" t="s">
        <v>32</v>
      </c>
      <c r="I1182" s="40" t="str">
        <f>IFERROR(IF(VLOOKUP(E1182,extracto!C:C,1,FALSE)=E1182,"pagado","no pagado"),"no pagado")</f>
        <v>pagado</v>
      </c>
      <c r="J1182" s="41" t="str">
        <f t="shared" si="528"/>
        <v>pagado</v>
      </c>
      <c r="K1182" s="40" t="str">
        <f t="shared" ca="1" si="529"/>
        <v>excluir</v>
      </c>
      <c r="L1182" s="40" t="str">
        <f t="shared" ca="1" si="530"/>
        <v>no semana</v>
      </c>
      <c r="M1182" s="40" t="str">
        <f>IFERROR(VLOOKUP(E1182,'cheques a conf'!A:D,4,FALSE),"no clearing")</f>
        <v>no clearing</v>
      </c>
      <c r="N1182" s="40">
        <f t="shared" si="531"/>
        <v>37</v>
      </c>
      <c r="O1182" s="42">
        <f t="shared" si="532"/>
        <v>9</v>
      </c>
      <c r="P1182" s="42">
        <f t="shared" si="533"/>
        <v>2025</v>
      </c>
    </row>
    <row r="1183" spans="1:16" x14ac:dyDescent="0.25">
      <c r="A1183" s="21">
        <v>3000005368</v>
      </c>
      <c r="B1183" s="22">
        <v>45909</v>
      </c>
      <c r="C1183" s="20">
        <v>4513341.7699999996</v>
      </c>
      <c r="D1183" s="21" t="s">
        <v>668</v>
      </c>
      <c r="E1183" s="21">
        <v>1865</v>
      </c>
      <c r="F1183" s="20">
        <v>4513341.7699999996</v>
      </c>
      <c r="G1183" s="22">
        <v>45911</v>
      </c>
      <c r="H1183" t="s">
        <v>32</v>
      </c>
      <c r="I1183" s="40" t="str">
        <f>IFERROR(IF(VLOOKUP(E1183,extracto!C:C,1,FALSE)=E1183,"pagado","no pagado"),"no pagado")</f>
        <v>pagado</v>
      </c>
      <c r="J1183" s="41" t="str">
        <f t="shared" si="528"/>
        <v>pagado</v>
      </c>
      <c r="K1183" s="40" t="str">
        <f t="shared" ca="1" si="529"/>
        <v>excluir</v>
      </c>
      <c r="L1183" s="40" t="str">
        <f t="shared" ca="1" si="530"/>
        <v>no semana</v>
      </c>
      <c r="M1183" s="40" t="str">
        <f>IFERROR(VLOOKUP(E1183,'cheques a conf'!A:D,4,FALSE),"no clearing")</f>
        <v>no clearing</v>
      </c>
      <c r="N1183" s="40">
        <f t="shared" si="531"/>
        <v>37</v>
      </c>
      <c r="O1183" s="42">
        <f t="shared" si="532"/>
        <v>9</v>
      </c>
      <c r="P1183" s="42">
        <f t="shared" si="533"/>
        <v>2025</v>
      </c>
    </row>
    <row r="1184" spans="1:16" x14ac:dyDescent="0.25">
      <c r="A1184" s="21">
        <v>3000005369</v>
      </c>
      <c r="B1184" s="22">
        <v>45909</v>
      </c>
      <c r="C1184" s="20">
        <v>14020968.210000001</v>
      </c>
      <c r="D1184" s="21" t="s">
        <v>691</v>
      </c>
      <c r="E1184" s="21">
        <v>1866</v>
      </c>
      <c r="F1184" s="20">
        <v>14020968.210000001</v>
      </c>
      <c r="G1184" s="22">
        <v>45912</v>
      </c>
      <c r="H1184" t="s">
        <v>32</v>
      </c>
      <c r="I1184" s="40" t="str">
        <f>IFERROR(IF(VLOOKUP(E1184,extracto!C:C,1,FALSE)=E1184,"pagado","no pagado"),"no pagado")</f>
        <v>pagado</v>
      </c>
      <c r="J1184" s="41" t="str">
        <f t="shared" si="528"/>
        <v>pagado</v>
      </c>
      <c r="K1184" s="40" t="str">
        <f t="shared" ca="1" si="529"/>
        <v>excluir</v>
      </c>
      <c r="L1184" s="40" t="str">
        <f t="shared" ca="1" si="530"/>
        <v>no semana</v>
      </c>
      <c r="M1184" s="40" t="str">
        <f>IFERROR(VLOOKUP(E1184,'cheques a conf'!A:D,4,FALSE),"no clearing")</f>
        <v>no clearing</v>
      </c>
      <c r="N1184" s="40">
        <f t="shared" si="531"/>
        <v>37</v>
      </c>
      <c r="O1184" s="42">
        <f t="shared" si="532"/>
        <v>9</v>
      </c>
      <c r="P1184" s="42">
        <f t="shared" si="533"/>
        <v>2025</v>
      </c>
    </row>
    <row r="1185" spans="1:16" x14ac:dyDescent="0.25">
      <c r="A1185" s="21">
        <v>3000005370</v>
      </c>
      <c r="B1185" s="22">
        <v>45909</v>
      </c>
      <c r="C1185" s="20">
        <v>16235350.359999999</v>
      </c>
      <c r="D1185" s="21" t="s">
        <v>657</v>
      </c>
      <c r="E1185" s="21">
        <v>1867</v>
      </c>
      <c r="F1185" s="20">
        <v>16235350.359999999</v>
      </c>
      <c r="G1185" s="22">
        <v>45912</v>
      </c>
      <c r="H1185" t="s">
        <v>32</v>
      </c>
      <c r="I1185" s="40" t="str">
        <f>IFERROR(IF(VLOOKUP(E1185,extracto!C:C,1,FALSE)=E1185,"pagado","no pagado"),"no pagado")</f>
        <v>pagado</v>
      </c>
      <c r="J1185" s="41" t="str">
        <f t="shared" si="528"/>
        <v>pagado</v>
      </c>
      <c r="K1185" s="40" t="str">
        <f t="shared" ca="1" si="529"/>
        <v>excluir</v>
      </c>
      <c r="L1185" s="40" t="str">
        <f t="shared" ca="1" si="530"/>
        <v>no semana</v>
      </c>
      <c r="M1185" s="40" t="str">
        <f>IFERROR(VLOOKUP(E1185,'cheques a conf'!A:D,4,FALSE),"no clearing")</f>
        <v>no clearing</v>
      </c>
      <c r="N1185" s="40">
        <f t="shared" si="531"/>
        <v>37</v>
      </c>
      <c r="O1185" s="42">
        <f t="shared" si="532"/>
        <v>9</v>
      </c>
      <c r="P1185" s="42">
        <f t="shared" si="533"/>
        <v>2025</v>
      </c>
    </row>
    <row r="1186" spans="1:16" x14ac:dyDescent="0.25">
      <c r="A1186" s="21">
        <v>3000005371</v>
      </c>
      <c r="B1186" s="22">
        <v>45909</v>
      </c>
      <c r="C1186" s="20">
        <v>7734103.5899999999</v>
      </c>
      <c r="D1186" s="21" t="s">
        <v>667</v>
      </c>
      <c r="E1186" s="21">
        <v>1868</v>
      </c>
      <c r="F1186" s="20">
        <v>7734103.5899999999</v>
      </c>
      <c r="G1186" s="22">
        <v>45911</v>
      </c>
      <c r="H1186" t="s">
        <v>32</v>
      </c>
      <c r="I1186" s="40" t="str">
        <f>IFERROR(IF(VLOOKUP(E1186,extracto!C:C,1,FALSE)=E1186,"pagado","no pagado"),"no pagado")</f>
        <v>pagado</v>
      </c>
      <c r="J1186" s="41" t="str">
        <f t="shared" ref="J1186:J1217" si="534">IF(I1186="pagado","pagado",IF(G1186&lt;$V$1-30,"fuera de fecha","en periodo de pago"))</f>
        <v>pagado</v>
      </c>
      <c r="K1186" s="40" t="str">
        <f t="shared" ref="K1186:K1217" ca="1" si="535">+IF(B1186&gt;$V$1,"excluir",IF(J1186="en periodo de pago",IF($V$1&gt;G1186,"a pagar","proximo a vencer"),"excluir"))</f>
        <v>excluir</v>
      </c>
      <c r="L1186" s="40" t="str">
        <f t="shared" ref="L1186:L1217" ca="1" si="536">+IF(K1186="proximo a vencer",IF($V$1+5&gt;G1186,"para la semana","no semana"),"no semana")</f>
        <v>no semana</v>
      </c>
      <c r="M1186" s="40" t="str">
        <f>IFERROR(VLOOKUP(E1186,'cheques a conf'!A:D,4,FALSE),"no clearing")</f>
        <v>no clearing</v>
      </c>
      <c r="N1186" s="40">
        <f t="shared" ref="N1186:N1217" si="537">+WEEKNUM(G1186,2)</f>
        <v>37</v>
      </c>
      <c r="O1186" s="42">
        <f t="shared" ref="O1186:O1217" si="538">+MONTH(G1186)</f>
        <v>9</v>
      </c>
      <c r="P1186" s="42">
        <f t="shared" ref="P1186:P1217" si="539">+YEAR(G1186)</f>
        <v>2025</v>
      </c>
    </row>
    <row r="1187" spans="1:16" x14ac:dyDescent="0.25">
      <c r="A1187" s="21">
        <v>3000005372</v>
      </c>
      <c r="B1187" s="22">
        <v>45909</v>
      </c>
      <c r="C1187" s="20">
        <v>26312486.77</v>
      </c>
      <c r="D1187" s="21" t="s">
        <v>613</v>
      </c>
      <c r="E1187" s="21">
        <v>1869</v>
      </c>
      <c r="F1187" s="20">
        <v>26312486.77</v>
      </c>
      <c r="G1187" s="22">
        <v>45912</v>
      </c>
      <c r="H1187" t="s">
        <v>32</v>
      </c>
      <c r="I1187" s="40" t="str">
        <f>IFERROR(IF(VLOOKUP(E1187,extracto!C:C,1,FALSE)=E1187,"pagado","no pagado"),"no pagado")</f>
        <v>pagado</v>
      </c>
      <c r="J1187" s="41" t="str">
        <f t="shared" si="534"/>
        <v>pagado</v>
      </c>
      <c r="K1187" s="40" t="str">
        <f t="shared" ca="1" si="535"/>
        <v>excluir</v>
      </c>
      <c r="L1187" s="40" t="str">
        <f t="shared" ca="1" si="536"/>
        <v>no semana</v>
      </c>
      <c r="M1187" s="40" t="str">
        <f>IFERROR(VLOOKUP(E1187,'cheques a conf'!A:D,4,FALSE),"no clearing")</f>
        <v>no clearing</v>
      </c>
      <c r="N1187" s="40">
        <f t="shared" si="537"/>
        <v>37</v>
      </c>
      <c r="O1187" s="42">
        <f t="shared" si="538"/>
        <v>9</v>
      </c>
      <c r="P1187" s="42">
        <f t="shared" si="539"/>
        <v>2025</v>
      </c>
    </row>
    <row r="1188" spans="1:16" x14ac:dyDescent="0.25">
      <c r="A1188" s="21">
        <v>3000005373</v>
      </c>
      <c r="B1188" s="22">
        <v>45909</v>
      </c>
      <c r="C1188" s="20">
        <v>34715345.520000003</v>
      </c>
      <c r="D1188" s="21" t="s">
        <v>618</v>
      </c>
      <c r="E1188" s="21">
        <v>1870</v>
      </c>
      <c r="F1188" s="20">
        <v>34715345.520000003</v>
      </c>
      <c r="G1188" s="22">
        <v>45912</v>
      </c>
      <c r="H1188" t="s">
        <v>32</v>
      </c>
      <c r="I1188" s="40" t="str">
        <f>IFERROR(IF(VLOOKUP(E1188,extracto!C:C,1,FALSE)=E1188,"pagado","no pagado"),"no pagado")</f>
        <v>pagado</v>
      </c>
      <c r="J1188" s="41" t="str">
        <f t="shared" si="534"/>
        <v>pagado</v>
      </c>
      <c r="K1188" s="40" t="str">
        <f t="shared" ca="1" si="535"/>
        <v>excluir</v>
      </c>
      <c r="L1188" s="40" t="str">
        <f t="shared" ca="1" si="536"/>
        <v>no semana</v>
      </c>
      <c r="M1188" s="40" t="str">
        <f>IFERROR(VLOOKUP(E1188,'cheques a conf'!A:D,4,FALSE),"no clearing")</f>
        <v>no clearing</v>
      </c>
      <c r="N1188" s="40">
        <f t="shared" si="537"/>
        <v>37</v>
      </c>
      <c r="O1188" s="42">
        <f t="shared" si="538"/>
        <v>9</v>
      </c>
      <c r="P1188" s="42">
        <f t="shared" si="539"/>
        <v>2025</v>
      </c>
    </row>
    <row r="1189" spans="1:16" x14ac:dyDescent="0.25">
      <c r="A1189" s="21">
        <v>3000005374</v>
      </c>
      <c r="B1189" s="22">
        <v>45909</v>
      </c>
      <c r="C1189" s="20">
        <v>4233183.5</v>
      </c>
      <c r="D1189" s="21" t="s">
        <v>775</v>
      </c>
      <c r="E1189" s="21">
        <v>1871</v>
      </c>
      <c r="F1189" s="20">
        <v>4233183.5</v>
      </c>
      <c r="G1189" s="22">
        <v>45911</v>
      </c>
      <c r="H1189" t="s">
        <v>32</v>
      </c>
      <c r="I1189" s="40" t="str">
        <f>IFERROR(IF(VLOOKUP(E1189,extracto!C:C,1,FALSE)=E1189,"pagado","no pagado"),"no pagado")</f>
        <v>pagado</v>
      </c>
      <c r="J1189" s="41" t="str">
        <f t="shared" si="534"/>
        <v>pagado</v>
      </c>
      <c r="K1189" s="40" t="str">
        <f t="shared" ca="1" si="535"/>
        <v>excluir</v>
      </c>
      <c r="L1189" s="40" t="str">
        <f t="shared" ca="1" si="536"/>
        <v>no semana</v>
      </c>
      <c r="M1189" s="40" t="str">
        <f>IFERROR(VLOOKUP(E1189,'cheques a conf'!A:D,4,FALSE),"no clearing")</f>
        <v>no clearing</v>
      </c>
      <c r="N1189" s="40">
        <f t="shared" si="537"/>
        <v>37</v>
      </c>
      <c r="O1189" s="42">
        <f t="shared" si="538"/>
        <v>9</v>
      </c>
      <c r="P1189" s="42">
        <f t="shared" si="539"/>
        <v>2025</v>
      </c>
    </row>
    <row r="1190" spans="1:16" x14ac:dyDescent="0.25">
      <c r="A1190" s="21">
        <v>3000005375</v>
      </c>
      <c r="B1190" s="22">
        <v>45909</v>
      </c>
      <c r="C1190" s="20">
        <v>10649857.890000001</v>
      </c>
      <c r="D1190" s="21" t="s">
        <v>642</v>
      </c>
      <c r="E1190" s="21">
        <v>1872</v>
      </c>
      <c r="F1190" s="20">
        <v>10649857.890000001</v>
      </c>
      <c r="G1190" s="22">
        <v>45912</v>
      </c>
      <c r="H1190" t="s">
        <v>32</v>
      </c>
      <c r="I1190" s="40" t="str">
        <f>IFERROR(IF(VLOOKUP(E1190,extracto!C:C,1,FALSE)=E1190,"pagado","no pagado"),"no pagado")</f>
        <v>pagado</v>
      </c>
      <c r="J1190" s="41" t="str">
        <f t="shared" si="534"/>
        <v>pagado</v>
      </c>
      <c r="K1190" s="40" t="str">
        <f t="shared" ca="1" si="535"/>
        <v>excluir</v>
      </c>
      <c r="L1190" s="40" t="str">
        <f t="shared" ca="1" si="536"/>
        <v>no semana</v>
      </c>
      <c r="M1190" s="40" t="str">
        <f>IFERROR(VLOOKUP(E1190,'cheques a conf'!A:D,4,FALSE),"no clearing")</f>
        <v>no clearing</v>
      </c>
      <c r="N1190" s="40">
        <f t="shared" si="537"/>
        <v>37</v>
      </c>
      <c r="O1190" s="42">
        <f t="shared" si="538"/>
        <v>9</v>
      </c>
      <c r="P1190" s="42">
        <f t="shared" si="539"/>
        <v>2025</v>
      </c>
    </row>
    <row r="1191" spans="1:16" x14ac:dyDescent="0.25">
      <c r="A1191" s="21">
        <v>3000005376</v>
      </c>
      <c r="B1191" s="22">
        <v>45909</v>
      </c>
      <c r="C1191" s="20">
        <v>4260111.08</v>
      </c>
      <c r="D1191" s="21" t="s">
        <v>612</v>
      </c>
      <c r="E1191" s="21">
        <v>1873</v>
      </c>
      <c r="F1191" s="20">
        <v>4260111.08</v>
      </c>
      <c r="G1191" s="22">
        <v>45911</v>
      </c>
      <c r="H1191" t="s">
        <v>32</v>
      </c>
      <c r="I1191" s="40" t="str">
        <f>IFERROR(IF(VLOOKUP(E1191,extracto!C:C,1,FALSE)=E1191,"pagado","no pagado"),"no pagado")</f>
        <v>pagado</v>
      </c>
      <c r="J1191" s="41" t="str">
        <f t="shared" si="534"/>
        <v>pagado</v>
      </c>
      <c r="K1191" s="40" t="str">
        <f t="shared" ca="1" si="535"/>
        <v>excluir</v>
      </c>
      <c r="L1191" s="40" t="str">
        <f t="shared" ca="1" si="536"/>
        <v>no semana</v>
      </c>
      <c r="M1191" s="40" t="str">
        <f>IFERROR(VLOOKUP(E1191,'cheques a conf'!A:D,4,FALSE),"no clearing")</f>
        <v>no clearing</v>
      </c>
      <c r="N1191" s="40">
        <f t="shared" si="537"/>
        <v>37</v>
      </c>
      <c r="O1191" s="42">
        <f t="shared" si="538"/>
        <v>9</v>
      </c>
      <c r="P1191" s="42">
        <f t="shared" si="539"/>
        <v>2025</v>
      </c>
    </row>
    <row r="1192" spans="1:16" x14ac:dyDescent="0.25">
      <c r="A1192" s="21">
        <v>3000005377</v>
      </c>
      <c r="B1192" s="22">
        <v>45909</v>
      </c>
      <c r="C1192" s="20">
        <v>7834202.96</v>
      </c>
      <c r="D1192" s="21" t="s">
        <v>716</v>
      </c>
      <c r="E1192" s="21">
        <v>1874</v>
      </c>
      <c r="F1192" s="20">
        <v>7834202.96</v>
      </c>
      <c r="G1192" s="22">
        <v>45911</v>
      </c>
      <c r="H1192" t="s">
        <v>32</v>
      </c>
      <c r="I1192" s="40" t="str">
        <f>IFERROR(IF(VLOOKUP(E1192,extracto!C:C,1,FALSE)=E1192,"pagado","no pagado"),"no pagado")</f>
        <v>pagado</v>
      </c>
      <c r="J1192" s="41" t="str">
        <f t="shared" si="534"/>
        <v>pagado</v>
      </c>
      <c r="K1192" s="40" t="str">
        <f t="shared" ca="1" si="535"/>
        <v>excluir</v>
      </c>
      <c r="L1192" s="40" t="str">
        <f t="shared" ca="1" si="536"/>
        <v>no semana</v>
      </c>
      <c r="M1192" s="40" t="str">
        <f>IFERROR(VLOOKUP(E1192,'cheques a conf'!A:D,4,FALSE),"no clearing")</f>
        <v>no clearing</v>
      </c>
      <c r="N1192" s="40">
        <f t="shared" si="537"/>
        <v>37</v>
      </c>
      <c r="O1192" s="42">
        <f t="shared" si="538"/>
        <v>9</v>
      </c>
      <c r="P1192" s="42">
        <f t="shared" si="539"/>
        <v>2025</v>
      </c>
    </row>
    <row r="1193" spans="1:16" x14ac:dyDescent="0.25">
      <c r="A1193" s="21">
        <v>3000005378</v>
      </c>
      <c r="B1193" s="22">
        <v>45909</v>
      </c>
      <c r="C1193" s="20">
        <v>11721787.52</v>
      </c>
      <c r="D1193" s="21" t="s">
        <v>31</v>
      </c>
      <c r="E1193" s="21">
        <v>1875</v>
      </c>
      <c r="F1193" s="20">
        <v>11721787.52</v>
      </c>
      <c r="G1193" s="22">
        <v>45912</v>
      </c>
      <c r="H1193" t="s">
        <v>32</v>
      </c>
      <c r="I1193" s="40" t="str">
        <f>IFERROR(IF(VLOOKUP(E1193,extracto!C:C,1,FALSE)=E1193,"pagado","no pagado"),"no pagado")</f>
        <v>pagado</v>
      </c>
      <c r="J1193" s="41" t="str">
        <f t="shared" si="534"/>
        <v>pagado</v>
      </c>
      <c r="K1193" s="40" t="str">
        <f t="shared" ca="1" si="535"/>
        <v>excluir</v>
      </c>
      <c r="L1193" s="40" t="str">
        <f t="shared" ca="1" si="536"/>
        <v>no semana</v>
      </c>
      <c r="M1193" s="40" t="str">
        <f>IFERROR(VLOOKUP(E1193,'cheques a conf'!A:D,4,FALSE),"no clearing")</f>
        <v>no clearing</v>
      </c>
      <c r="N1193" s="40">
        <f t="shared" si="537"/>
        <v>37</v>
      </c>
      <c r="O1193" s="42">
        <f t="shared" si="538"/>
        <v>9</v>
      </c>
      <c r="P1193" s="42">
        <f t="shared" si="539"/>
        <v>2025</v>
      </c>
    </row>
    <row r="1194" spans="1:16" x14ac:dyDescent="0.25">
      <c r="A1194" s="21">
        <v>3000005379</v>
      </c>
      <c r="B1194" s="22">
        <v>45909</v>
      </c>
      <c r="C1194" s="20">
        <v>5686402.4199999999</v>
      </c>
      <c r="D1194" s="21" t="s">
        <v>679</v>
      </c>
      <c r="E1194" s="21">
        <v>1876</v>
      </c>
      <c r="F1194" s="20">
        <v>5686402.4199999999</v>
      </c>
      <c r="G1194" s="22">
        <v>45911</v>
      </c>
      <c r="H1194" t="s">
        <v>32</v>
      </c>
      <c r="I1194" s="40" t="str">
        <f>IFERROR(IF(VLOOKUP(E1194,extracto!C:C,1,FALSE)=E1194,"pagado","no pagado"),"no pagado")</f>
        <v>pagado</v>
      </c>
      <c r="J1194" s="41" t="str">
        <f t="shared" si="534"/>
        <v>pagado</v>
      </c>
      <c r="K1194" s="40" t="str">
        <f t="shared" ca="1" si="535"/>
        <v>excluir</v>
      </c>
      <c r="L1194" s="40" t="str">
        <f t="shared" ca="1" si="536"/>
        <v>no semana</v>
      </c>
      <c r="M1194" s="40" t="str">
        <f>IFERROR(VLOOKUP(E1194,'cheques a conf'!A:D,4,FALSE),"no clearing")</f>
        <v>no clearing</v>
      </c>
      <c r="N1194" s="40">
        <f t="shared" si="537"/>
        <v>37</v>
      </c>
      <c r="O1194" s="42">
        <f t="shared" si="538"/>
        <v>9</v>
      </c>
      <c r="P1194" s="42">
        <f t="shared" si="539"/>
        <v>2025</v>
      </c>
    </row>
    <row r="1195" spans="1:16" x14ac:dyDescent="0.25">
      <c r="A1195" s="21">
        <v>3000005380</v>
      </c>
      <c r="B1195" s="22">
        <v>45909</v>
      </c>
      <c r="C1195" s="20">
        <v>31800379.420000002</v>
      </c>
      <c r="D1195" s="21" t="s">
        <v>654</v>
      </c>
      <c r="E1195" s="21">
        <v>1877</v>
      </c>
      <c r="F1195" s="20">
        <v>31800379.420000002</v>
      </c>
      <c r="G1195" s="22">
        <v>45912</v>
      </c>
      <c r="H1195" t="s">
        <v>32</v>
      </c>
      <c r="I1195" s="40" t="str">
        <f>IFERROR(IF(VLOOKUP(E1195,extracto!C:C,1,FALSE)=E1195,"pagado","no pagado"),"no pagado")</f>
        <v>pagado</v>
      </c>
      <c r="J1195" s="41" t="str">
        <f t="shared" si="534"/>
        <v>pagado</v>
      </c>
      <c r="K1195" s="40" t="str">
        <f t="shared" ca="1" si="535"/>
        <v>excluir</v>
      </c>
      <c r="L1195" s="40" t="str">
        <f t="shared" ca="1" si="536"/>
        <v>no semana</v>
      </c>
      <c r="M1195" s="40" t="str">
        <f>IFERROR(VLOOKUP(E1195,'cheques a conf'!A:D,4,FALSE),"no clearing")</f>
        <v>no clearing</v>
      </c>
      <c r="N1195" s="40">
        <f t="shared" si="537"/>
        <v>37</v>
      </c>
      <c r="O1195" s="42">
        <f t="shared" si="538"/>
        <v>9</v>
      </c>
      <c r="P1195" s="42">
        <f t="shared" si="539"/>
        <v>2025</v>
      </c>
    </row>
    <row r="1196" spans="1:16" x14ac:dyDescent="0.25">
      <c r="A1196" s="21">
        <v>3000005509</v>
      </c>
      <c r="B1196" s="22">
        <v>45915</v>
      </c>
      <c r="C1196" s="20">
        <v>0</v>
      </c>
      <c r="D1196" s="21" t="s">
        <v>162</v>
      </c>
      <c r="E1196" s="21">
        <v>1878</v>
      </c>
      <c r="F1196" s="20">
        <v>0</v>
      </c>
      <c r="G1196" s="22">
        <v>45918</v>
      </c>
      <c r="H1196" t="s">
        <v>32</v>
      </c>
      <c r="I1196" s="40" t="str">
        <f>IFERROR(IF(VLOOKUP(E1196,extracto!C:C,1,FALSE)=E1196,"pagado","no pagado"),"no pagado")</f>
        <v>no pagado</v>
      </c>
      <c r="J1196" s="41" t="str">
        <f t="shared" ca="1" si="534"/>
        <v>fuera de fecha</v>
      </c>
      <c r="K1196" s="40" t="str">
        <f t="shared" ca="1" si="535"/>
        <v>excluir</v>
      </c>
      <c r="L1196" s="40" t="str">
        <f t="shared" ca="1" si="536"/>
        <v>no semana</v>
      </c>
      <c r="M1196" s="40" t="str">
        <f>IFERROR(VLOOKUP(E1196,'cheques a conf'!A:D,4,FALSE),"no clearing")</f>
        <v>no clearing</v>
      </c>
      <c r="N1196" s="40">
        <f t="shared" si="537"/>
        <v>38</v>
      </c>
      <c r="O1196" s="42">
        <f t="shared" si="538"/>
        <v>9</v>
      </c>
      <c r="P1196" s="42">
        <f t="shared" si="539"/>
        <v>2025</v>
      </c>
    </row>
    <row r="1197" spans="1:16" x14ac:dyDescent="0.25">
      <c r="A1197" s="21">
        <v>3000005510</v>
      </c>
      <c r="B1197" s="22">
        <v>45915</v>
      </c>
      <c r="C1197" s="20">
        <v>0</v>
      </c>
      <c r="D1197" s="21" t="s">
        <v>162</v>
      </c>
      <c r="E1197" s="21">
        <v>1879</v>
      </c>
      <c r="F1197" s="20">
        <v>0</v>
      </c>
      <c r="G1197" s="22">
        <v>45918</v>
      </c>
      <c r="H1197" t="s">
        <v>32</v>
      </c>
      <c r="I1197" s="40" t="str">
        <f>IFERROR(IF(VLOOKUP(E1197,extracto!C:C,1,FALSE)=E1197,"pagado","no pagado"),"no pagado")</f>
        <v>no pagado</v>
      </c>
      <c r="J1197" s="41" t="str">
        <f t="shared" ca="1" si="534"/>
        <v>fuera de fecha</v>
      </c>
      <c r="K1197" s="40" t="str">
        <f t="shared" ca="1" si="535"/>
        <v>excluir</v>
      </c>
      <c r="L1197" s="40" t="str">
        <f t="shared" ca="1" si="536"/>
        <v>no semana</v>
      </c>
      <c r="M1197" s="40" t="str">
        <f>IFERROR(VLOOKUP(E1197,'cheques a conf'!A:D,4,FALSE),"no clearing")</f>
        <v>no clearing</v>
      </c>
      <c r="N1197" s="40">
        <f t="shared" si="537"/>
        <v>38</v>
      </c>
      <c r="O1197" s="42">
        <f t="shared" si="538"/>
        <v>9</v>
      </c>
      <c r="P1197" s="42">
        <f t="shared" si="539"/>
        <v>2025</v>
      </c>
    </row>
    <row r="1198" spans="1:16" x14ac:dyDescent="0.25">
      <c r="A1198" s="21">
        <v>3000005511</v>
      </c>
      <c r="B1198" s="22">
        <v>45915</v>
      </c>
      <c r="C1198" s="20">
        <v>0</v>
      </c>
      <c r="D1198" s="21" t="s">
        <v>162</v>
      </c>
      <c r="E1198" s="21">
        <v>1880</v>
      </c>
      <c r="F1198" s="20">
        <v>0</v>
      </c>
      <c r="G1198" s="22">
        <v>45918</v>
      </c>
      <c r="H1198" t="s">
        <v>32</v>
      </c>
      <c r="I1198" s="40" t="str">
        <f>IFERROR(IF(VLOOKUP(E1198,extracto!C:C,1,FALSE)=E1198,"pagado","no pagado"),"no pagado")</f>
        <v>no pagado</v>
      </c>
      <c r="J1198" s="41" t="str">
        <f t="shared" ca="1" si="534"/>
        <v>fuera de fecha</v>
      </c>
      <c r="K1198" s="40" t="str">
        <f t="shared" ca="1" si="535"/>
        <v>excluir</v>
      </c>
      <c r="L1198" s="40" t="str">
        <f t="shared" ca="1" si="536"/>
        <v>no semana</v>
      </c>
      <c r="M1198" s="40" t="str">
        <f>IFERROR(VLOOKUP(E1198,'cheques a conf'!A:D,4,FALSE),"no clearing")</f>
        <v>no clearing</v>
      </c>
      <c r="N1198" s="40">
        <f t="shared" si="537"/>
        <v>38</v>
      </c>
      <c r="O1198" s="42">
        <f t="shared" si="538"/>
        <v>9</v>
      </c>
      <c r="P1198" s="42">
        <f t="shared" si="539"/>
        <v>2025</v>
      </c>
    </row>
    <row r="1199" spans="1:16" x14ac:dyDescent="0.25">
      <c r="A1199" s="21">
        <v>3000005512</v>
      </c>
      <c r="B1199" s="22">
        <v>45915</v>
      </c>
      <c r="C1199" s="20">
        <v>0</v>
      </c>
      <c r="D1199" s="21" t="s">
        <v>162</v>
      </c>
      <c r="E1199" s="21">
        <v>1881</v>
      </c>
      <c r="F1199" s="20">
        <v>0</v>
      </c>
      <c r="G1199" s="22">
        <v>45918</v>
      </c>
      <c r="H1199" t="s">
        <v>32</v>
      </c>
      <c r="I1199" s="40" t="str">
        <f>IFERROR(IF(VLOOKUP(E1199,extracto!C:C,1,FALSE)=E1199,"pagado","no pagado"),"no pagado")</f>
        <v>no pagado</v>
      </c>
      <c r="J1199" s="41" t="str">
        <f t="shared" ca="1" si="534"/>
        <v>fuera de fecha</v>
      </c>
      <c r="K1199" s="40" t="str">
        <f t="shared" ca="1" si="535"/>
        <v>excluir</v>
      </c>
      <c r="L1199" s="40" t="str">
        <f t="shared" ca="1" si="536"/>
        <v>no semana</v>
      </c>
      <c r="M1199" s="40" t="str">
        <f>IFERROR(VLOOKUP(E1199,'cheques a conf'!A:D,4,FALSE),"no clearing")</f>
        <v>no clearing</v>
      </c>
      <c r="N1199" s="40">
        <f t="shared" si="537"/>
        <v>38</v>
      </c>
      <c r="O1199" s="42">
        <f t="shared" si="538"/>
        <v>9</v>
      </c>
      <c r="P1199" s="42">
        <f t="shared" si="539"/>
        <v>2025</v>
      </c>
    </row>
    <row r="1200" spans="1:16" x14ac:dyDescent="0.25">
      <c r="A1200" s="21">
        <v>3000005513</v>
      </c>
      <c r="B1200" s="22">
        <v>45915</v>
      </c>
      <c r="C1200" s="20">
        <v>0</v>
      </c>
      <c r="D1200" s="21" t="s">
        <v>162</v>
      </c>
      <c r="E1200" s="21">
        <v>1882</v>
      </c>
      <c r="F1200" s="20">
        <v>0</v>
      </c>
      <c r="G1200" s="22">
        <v>45918</v>
      </c>
      <c r="H1200" t="s">
        <v>32</v>
      </c>
      <c r="I1200" s="40" t="str">
        <f>IFERROR(IF(VLOOKUP(E1200,extracto!C:C,1,FALSE)=E1200,"pagado","no pagado"),"no pagado")</f>
        <v>no pagado</v>
      </c>
      <c r="J1200" s="41" t="str">
        <f t="shared" ca="1" si="534"/>
        <v>fuera de fecha</v>
      </c>
      <c r="K1200" s="40" t="str">
        <f t="shared" ca="1" si="535"/>
        <v>excluir</v>
      </c>
      <c r="L1200" s="40" t="str">
        <f t="shared" ca="1" si="536"/>
        <v>no semana</v>
      </c>
      <c r="M1200" s="40" t="str">
        <f>IFERROR(VLOOKUP(E1200,'cheques a conf'!A:D,4,FALSE),"no clearing")</f>
        <v>no clearing</v>
      </c>
      <c r="N1200" s="40">
        <f t="shared" si="537"/>
        <v>38</v>
      </c>
      <c r="O1200" s="42">
        <f t="shared" si="538"/>
        <v>9</v>
      </c>
      <c r="P1200" s="42">
        <f t="shared" si="539"/>
        <v>2025</v>
      </c>
    </row>
    <row r="1201" spans="1:16" x14ac:dyDescent="0.25">
      <c r="A1201" s="21">
        <v>3000005514</v>
      </c>
      <c r="B1201" s="22">
        <v>45915</v>
      </c>
      <c r="C1201" s="20">
        <v>0</v>
      </c>
      <c r="D1201" s="21" t="s">
        <v>162</v>
      </c>
      <c r="E1201" s="21">
        <v>1883</v>
      </c>
      <c r="F1201" s="20">
        <v>0</v>
      </c>
      <c r="G1201" s="22">
        <v>45918</v>
      </c>
      <c r="H1201" t="s">
        <v>32</v>
      </c>
      <c r="I1201" s="40" t="str">
        <f>IFERROR(IF(VLOOKUP(E1201,extracto!C:C,1,FALSE)=E1201,"pagado","no pagado"),"no pagado")</f>
        <v>no pagado</v>
      </c>
      <c r="J1201" s="41" t="str">
        <f t="shared" ca="1" si="534"/>
        <v>fuera de fecha</v>
      </c>
      <c r="K1201" s="40" t="str">
        <f t="shared" ca="1" si="535"/>
        <v>excluir</v>
      </c>
      <c r="L1201" s="40" t="str">
        <f t="shared" ca="1" si="536"/>
        <v>no semana</v>
      </c>
      <c r="M1201" s="40" t="str">
        <f>IFERROR(VLOOKUP(E1201,'cheques a conf'!A:D,4,FALSE),"no clearing")</f>
        <v>no clearing</v>
      </c>
      <c r="N1201" s="40">
        <f t="shared" si="537"/>
        <v>38</v>
      </c>
      <c r="O1201" s="42">
        <f t="shared" si="538"/>
        <v>9</v>
      </c>
      <c r="P1201" s="42">
        <f t="shared" si="539"/>
        <v>2025</v>
      </c>
    </row>
    <row r="1202" spans="1:16" x14ac:dyDescent="0.25">
      <c r="A1202" s="21">
        <v>3000005515</v>
      </c>
      <c r="B1202" s="22">
        <v>45915</v>
      </c>
      <c r="C1202" s="20">
        <v>0</v>
      </c>
      <c r="D1202" s="21" t="s">
        <v>162</v>
      </c>
      <c r="E1202" s="21">
        <v>1884</v>
      </c>
      <c r="F1202" s="20">
        <v>0</v>
      </c>
      <c r="G1202" s="22">
        <v>45918</v>
      </c>
      <c r="H1202" t="s">
        <v>32</v>
      </c>
      <c r="I1202" s="40" t="str">
        <f>IFERROR(IF(VLOOKUP(E1202,extracto!C:C,1,FALSE)=E1202,"pagado","no pagado"),"no pagado")</f>
        <v>no pagado</v>
      </c>
      <c r="J1202" s="41" t="str">
        <f t="shared" ca="1" si="534"/>
        <v>fuera de fecha</v>
      </c>
      <c r="K1202" s="40" t="str">
        <f t="shared" ca="1" si="535"/>
        <v>excluir</v>
      </c>
      <c r="L1202" s="40" t="str">
        <f t="shared" ca="1" si="536"/>
        <v>no semana</v>
      </c>
      <c r="M1202" s="40" t="str">
        <f>IFERROR(VLOOKUP(E1202,'cheques a conf'!A:D,4,FALSE),"no clearing")</f>
        <v>no clearing</v>
      </c>
      <c r="N1202" s="40">
        <f t="shared" si="537"/>
        <v>38</v>
      </c>
      <c r="O1202" s="42">
        <f t="shared" si="538"/>
        <v>9</v>
      </c>
      <c r="P1202" s="42">
        <f t="shared" si="539"/>
        <v>2025</v>
      </c>
    </row>
    <row r="1203" spans="1:16" x14ac:dyDescent="0.25">
      <c r="A1203" s="21">
        <v>3000005516</v>
      </c>
      <c r="B1203" s="22">
        <v>45915</v>
      </c>
      <c r="C1203" s="20">
        <v>0</v>
      </c>
      <c r="D1203" s="21" t="s">
        <v>162</v>
      </c>
      <c r="E1203" s="21">
        <v>1885</v>
      </c>
      <c r="F1203" s="20">
        <v>0</v>
      </c>
      <c r="G1203" s="22">
        <v>45918</v>
      </c>
      <c r="H1203" t="s">
        <v>32</v>
      </c>
      <c r="I1203" s="40" t="str">
        <f>IFERROR(IF(VLOOKUP(E1203,extracto!C:C,1,FALSE)=E1203,"pagado","no pagado"),"no pagado")</f>
        <v>no pagado</v>
      </c>
      <c r="J1203" s="41" t="str">
        <f t="shared" ca="1" si="534"/>
        <v>fuera de fecha</v>
      </c>
      <c r="K1203" s="40" t="str">
        <f t="shared" ca="1" si="535"/>
        <v>excluir</v>
      </c>
      <c r="L1203" s="40" t="str">
        <f t="shared" ca="1" si="536"/>
        <v>no semana</v>
      </c>
      <c r="M1203" s="40" t="str">
        <f>IFERROR(VLOOKUP(E1203,'cheques a conf'!A:D,4,FALSE),"no clearing")</f>
        <v>no clearing</v>
      </c>
      <c r="N1203" s="40">
        <f t="shared" si="537"/>
        <v>38</v>
      </c>
      <c r="O1203" s="42">
        <f t="shared" si="538"/>
        <v>9</v>
      </c>
      <c r="P1203" s="42">
        <f t="shared" si="539"/>
        <v>2025</v>
      </c>
    </row>
    <row r="1204" spans="1:16" x14ac:dyDescent="0.25">
      <c r="A1204" s="21">
        <v>3000005517</v>
      </c>
      <c r="B1204" s="22">
        <v>45915</v>
      </c>
      <c r="C1204" s="20">
        <v>0</v>
      </c>
      <c r="D1204" s="21" t="s">
        <v>162</v>
      </c>
      <c r="E1204" s="21">
        <v>1886</v>
      </c>
      <c r="F1204" s="20">
        <v>0</v>
      </c>
      <c r="G1204" s="22">
        <v>45918</v>
      </c>
      <c r="H1204" t="s">
        <v>32</v>
      </c>
      <c r="I1204" s="40" t="str">
        <f>IFERROR(IF(VLOOKUP(E1204,extracto!C:C,1,FALSE)=E1204,"pagado","no pagado"),"no pagado")</f>
        <v>no pagado</v>
      </c>
      <c r="J1204" s="41" t="str">
        <f t="shared" ca="1" si="534"/>
        <v>fuera de fecha</v>
      </c>
      <c r="K1204" s="40" t="str">
        <f t="shared" ca="1" si="535"/>
        <v>excluir</v>
      </c>
      <c r="L1204" s="40" t="str">
        <f t="shared" ca="1" si="536"/>
        <v>no semana</v>
      </c>
      <c r="M1204" s="40" t="str">
        <f>IFERROR(VLOOKUP(E1204,'cheques a conf'!A:D,4,FALSE),"no clearing")</f>
        <v>no clearing</v>
      </c>
      <c r="N1204" s="40">
        <f t="shared" si="537"/>
        <v>38</v>
      </c>
      <c r="O1204" s="42">
        <f t="shared" si="538"/>
        <v>9</v>
      </c>
      <c r="P1204" s="42">
        <f t="shared" si="539"/>
        <v>2025</v>
      </c>
    </row>
    <row r="1205" spans="1:16" x14ac:dyDescent="0.25">
      <c r="A1205" s="21">
        <v>3000005518</v>
      </c>
      <c r="B1205" s="22">
        <v>45915</v>
      </c>
      <c r="C1205" s="20">
        <v>0</v>
      </c>
      <c r="D1205" s="21" t="s">
        <v>162</v>
      </c>
      <c r="E1205" s="21">
        <v>1887</v>
      </c>
      <c r="F1205" s="20">
        <v>0</v>
      </c>
      <c r="G1205" s="22">
        <v>45918</v>
      </c>
      <c r="H1205" t="s">
        <v>32</v>
      </c>
      <c r="I1205" s="40" t="str">
        <f>IFERROR(IF(VLOOKUP(E1205,extracto!C:C,1,FALSE)=E1205,"pagado","no pagado"),"no pagado")</f>
        <v>no pagado</v>
      </c>
      <c r="J1205" s="41" t="str">
        <f t="shared" ca="1" si="534"/>
        <v>fuera de fecha</v>
      </c>
      <c r="K1205" s="40" t="str">
        <f t="shared" ca="1" si="535"/>
        <v>excluir</v>
      </c>
      <c r="L1205" s="40" t="str">
        <f t="shared" ca="1" si="536"/>
        <v>no semana</v>
      </c>
      <c r="M1205" s="40" t="str">
        <f>IFERROR(VLOOKUP(E1205,'cheques a conf'!A:D,4,FALSE),"no clearing")</f>
        <v>no clearing</v>
      </c>
      <c r="N1205" s="40">
        <f t="shared" si="537"/>
        <v>38</v>
      </c>
      <c r="O1205" s="42">
        <f t="shared" si="538"/>
        <v>9</v>
      </c>
      <c r="P1205" s="42">
        <f t="shared" si="539"/>
        <v>2025</v>
      </c>
    </row>
    <row r="1206" spans="1:16" x14ac:dyDescent="0.25">
      <c r="A1206" s="21">
        <v>3000005519</v>
      </c>
      <c r="B1206" s="22">
        <v>45915</v>
      </c>
      <c r="C1206" s="20">
        <v>0</v>
      </c>
      <c r="D1206" s="21" t="s">
        <v>162</v>
      </c>
      <c r="E1206" s="21">
        <v>1888</v>
      </c>
      <c r="F1206" s="20">
        <v>0</v>
      </c>
      <c r="G1206" s="22">
        <v>45919</v>
      </c>
      <c r="H1206" t="s">
        <v>32</v>
      </c>
      <c r="I1206" s="40" t="str">
        <f>IFERROR(IF(VLOOKUP(E1206,extracto!C:C,1,FALSE)=E1206,"pagado","no pagado"),"no pagado")</f>
        <v>no pagado</v>
      </c>
      <c r="J1206" s="41" t="str">
        <f t="shared" ca="1" si="534"/>
        <v>fuera de fecha</v>
      </c>
      <c r="K1206" s="40" t="str">
        <f t="shared" ca="1" si="535"/>
        <v>excluir</v>
      </c>
      <c r="L1206" s="40" t="str">
        <f t="shared" ca="1" si="536"/>
        <v>no semana</v>
      </c>
      <c r="M1206" s="40" t="str">
        <f>IFERROR(VLOOKUP(E1206,'cheques a conf'!A:D,4,FALSE),"no clearing")</f>
        <v>no clearing</v>
      </c>
      <c r="N1206" s="40">
        <f t="shared" si="537"/>
        <v>38</v>
      </c>
      <c r="O1206" s="42">
        <f t="shared" si="538"/>
        <v>9</v>
      </c>
      <c r="P1206" s="42">
        <f t="shared" si="539"/>
        <v>2025</v>
      </c>
    </row>
    <row r="1207" spans="1:16" x14ac:dyDescent="0.25">
      <c r="A1207" s="21">
        <v>3000005520</v>
      </c>
      <c r="B1207" s="22">
        <v>45915</v>
      </c>
      <c r="C1207" s="20">
        <v>0</v>
      </c>
      <c r="D1207" s="21" t="s">
        <v>162</v>
      </c>
      <c r="E1207" s="21">
        <v>1889</v>
      </c>
      <c r="F1207" s="20">
        <v>0</v>
      </c>
      <c r="G1207" s="22">
        <v>45919</v>
      </c>
      <c r="H1207" t="s">
        <v>32</v>
      </c>
      <c r="I1207" s="40" t="str">
        <f>IFERROR(IF(VLOOKUP(E1207,extracto!C:C,1,FALSE)=E1207,"pagado","no pagado"),"no pagado")</f>
        <v>no pagado</v>
      </c>
      <c r="J1207" s="41" t="str">
        <f t="shared" ca="1" si="534"/>
        <v>fuera de fecha</v>
      </c>
      <c r="K1207" s="40" t="str">
        <f t="shared" ca="1" si="535"/>
        <v>excluir</v>
      </c>
      <c r="L1207" s="40" t="str">
        <f t="shared" ca="1" si="536"/>
        <v>no semana</v>
      </c>
      <c r="M1207" s="40" t="str">
        <f>IFERROR(VLOOKUP(E1207,'cheques a conf'!A:D,4,FALSE),"no clearing")</f>
        <v>no clearing</v>
      </c>
      <c r="N1207" s="40">
        <f t="shared" si="537"/>
        <v>38</v>
      </c>
      <c r="O1207" s="42">
        <f t="shared" si="538"/>
        <v>9</v>
      </c>
      <c r="P1207" s="42">
        <f t="shared" si="539"/>
        <v>2025</v>
      </c>
    </row>
    <row r="1208" spans="1:16" x14ac:dyDescent="0.25">
      <c r="A1208" s="21">
        <v>3000005521</v>
      </c>
      <c r="B1208" s="22">
        <v>45915</v>
      </c>
      <c r="C1208" s="20">
        <v>0</v>
      </c>
      <c r="D1208" s="21" t="s">
        <v>162</v>
      </c>
      <c r="E1208" s="21">
        <v>1890</v>
      </c>
      <c r="F1208" s="20">
        <v>0</v>
      </c>
      <c r="G1208" s="22">
        <v>45919</v>
      </c>
      <c r="H1208" t="s">
        <v>32</v>
      </c>
      <c r="I1208" s="40" t="str">
        <f>IFERROR(IF(VLOOKUP(E1208,extracto!C:C,1,FALSE)=E1208,"pagado","no pagado"),"no pagado")</f>
        <v>no pagado</v>
      </c>
      <c r="J1208" s="41" t="str">
        <f t="shared" ca="1" si="534"/>
        <v>fuera de fecha</v>
      </c>
      <c r="K1208" s="40" t="str">
        <f t="shared" ca="1" si="535"/>
        <v>excluir</v>
      </c>
      <c r="L1208" s="40" t="str">
        <f t="shared" ca="1" si="536"/>
        <v>no semana</v>
      </c>
      <c r="M1208" s="40" t="str">
        <f>IFERROR(VLOOKUP(E1208,'cheques a conf'!A:D,4,FALSE),"no clearing")</f>
        <v>no clearing</v>
      </c>
      <c r="N1208" s="40">
        <f t="shared" si="537"/>
        <v>38</v>
      </c>
      <c r="O1208" s="42">
        <f t="shared" si="538"/>
        <v>9</v>
      </c>
      <c r="P1208" s="42">
        <f t="shared" si="539"/>
        <v>2025</v>
      </c>
    </row>
    <row r="1209" spans="1:16" x14ac:dyDescent="0.25">
      <c r="A1209" s="21">
        <v>3000005522</v>
      </c>
      <c r="B1209" s="22">
        <v>45915</v>
      </c>
      <c r="C1209" s="20">
        <v>0</v>
      </c>
      <c r="D1209" s="21" t="s">
        <v>162</v>
      </c>
      <c r="E1209" s="21">
        <v>1891</v>
      </c>
      <c r="F1209" s="20">
        <v>0</v>
      </c>
      <c r="G1209" s="22">
        <v>45919</v>
      </c>
      <c r="H1209" t="s">
        <v>32</v>
      </c>
      <c r="I1209" s="40" t="str">
        <f>IFERROR(IF(VLOOKUP(E1209,extracto!C:C,1,FALSE)=E1209,"pagado","no pagado"),"no pagado")</f>
        <v>no pagado</v>
      </c>
      <c r="J1209" s="41" t="str">
        <f t="shared" ca="1" si="534"/>
        <v>fuera de fecha</v>
      </c>
      <c r="K1209" s="40" t="str">
        <f t="shared" ca="1" si="535"/>
        <v>excluir</v>
      </c>
      <c r="L1209" s="40" t="str">
        <f t="shared" ca="1" si="536"/>
        <v>no semana</v>
      </c>
      <c r="M1209" s="40" t="str">
        <f>IFERROR(VLOOKUP(E1209,'cheques a conf'!A:D,4,FALSE),"no clearing")</f>
        <v>no clearing</v>
      </c>
      <c r="N1209" s="40">
        <f t="shared" si="537"/>
        <v>38</v>
      </c>
      <c r="O1209" s="42">
        <f t="shared" si="538"/>
        <v>9</v>
      </c>
      <c r="P1209" s="42">
        <f t="shared" si="539"/>
        <v>2025</v>
      </c>
    </row>
    <row r="1210" spans="1:16" x14ac:dyDescent="0.25">
      <c r="A1210" s="21">
        <v>3000005523</v>
      </c>
      <c r="B1210" s="22">
        <v>45915</v>
      </c>
      <c r="C1210" s="20">
        <v>0</v>
      </c>
      <c r="D1210" s="21" t="s">
        <v>162</v>
      </c>
      <c r="E1210" s="21">
        <v>1892</v>
      </c>
      <c r="F1210" s="20">
        <v>0</v>
      </c>
      <c r="G1210" s="22">
        <v>45919</v>
      </c>
      <c r="H1210" t="s">
        <v>32</v>
      </c>
      <c r="I1210" s="40" t="str">
        <f>IFERROR(IF(VLOOKUP(E1210,extracto!C:C,1,FALSE)=E1210,"pagado","no pagado"),"no pagado")</f>
        <v>no pagado</v>
      </c>
      <c r="J1210" s="41" t="str">
        <f t="shared" ca="1" si="534"/>
        <v>fuera de fecha</v>
      </c>
      <c r="K1210" s="40" t="str">
        <f t="shared" ca="1" si="535"/>
        <v>excluir</v>
      </c>
      <c r="L1210" s="40" t="str">
        <f t="shared" ca="1" si="536"/>
        <v>no semana</v>
      </c>
      <c r="M1210" s="40" t="str">
        <f>IFERROR(VLOOKUP(E1210,'cheques a conf'!A:D,4,FALSE),"no clearing")</f>
        <v>no clearing</v>
      </c>
      <c r="N1210" s="40">
        <f t="shared" si="537"/>
        <v>38</v>
      </c>
      <c r="O1210" s="42">
        <f t="shared" si="538"/>
        <v>9</v>
      </c>
      <c r="P1210" s="42">
        <f t="shared" si="539"/>
        <v>2025</v>
      </c>
    </row>
    <row r="1211" spans="1:16" x14ac:dyDescent="0.25">
      <c r="A1211" s="21">
        <v>3000005526</v>
      </c>
      <c r="B1211" s="22">
        <v>45916</v>
      </c>
      <c r="C1211" s="20">
        <v>0</v>
      </c>
      <c r="D1211" s="21" t="s">
        <v>162</v>
      </c>
      <c r="E1211" s="21">
        <v>1893</v>
      </c>
      <c r="F1211" s="20">
        <v>0</v>
      </c>
      <c r="G1211" s="22">
        <v>45919</v>
      </c>
      <c r="H1211" t="s">
        <v>32</v>
      </c>
      <c r="I1211" s="40" t="str">
        <f>IFERROR(IF(VLOOKUP(E1211,extracto!C:C,1,FALSE)=E1211,"pagado","no pagado"),"no pagado")</f>
        <v>no pagado</v>
      </c>
      <c r="J1211" s="41" t="str">
        <f t="shared" ca="1" si="534"/>
        <v>fuera de fecha</v>
      </c>
      <c r="K1211" s="40" t="str">
        <f t="shared" ca="1" si="535"/>
        <v>excluir</v>
      </c>
      <c r="L1211" s="40" t="str">
        <f t="shared" ca="1" si="536"/>
        <v>no semana</v>
      </c>
      <c r="M1211" s="40" t="str">
        <f>IFERROR(VLOOKUP(E1211,'cheques a conf'!A:D,4,FALSE),"no clearing")</f>
        <v>no clearing</v>
      </c>
      <c r="N1211" s="40">
        <f t="shared" si="537"/>
        <v>38</v>
      </c>
      <c r="O1211" s="42">
        <f t="shared" si="538"/>
        <v>9</v>
      </c>
      <c r="P1211" s="42">
        <f t="shared" si="539"/>
        <v>2025</v>
      </c>
    </row>
    <row r="1212" spans="1:16" x14ac:dyDescent="0.25">
      <c r="A1212" s="21">
        <v>3000005509</v>
      </c>
      <c r="B1212" s="22">
        <v>45916</v>
      </c>
      <c r="C1212" s="20">
        <v>4590664.0199999996</v>
      </c>
      <c r="D1212" s="21" t="s">
        <v>673</v>
      </c>
      <c r="E1212" s="21">
        <v>1894</v>
      </c>
      <c r="F1212" s="20">
        <v>4590664.0199999996</v>
      </c>
      <c r="G1212" s="22">
        <v>45918</v>
      </c>
      <c r="H1212" t="s">
        <v>32</v>
      </c>
      <c r="I1212" s="40" t="str">
        <f>IFERROR(IF(VLOOKUP(E1212,extracto!C:C,1,FALSE)=E1212,"pagado","no pagado"),"no pagado")</f>
        <v>pagado</v>
      </c>
      <c r="J1212" s="41" t="str">
        <f t="shared" si="534"/>
        <v>pagado</v>
      </c>
      <c r="K1212" s="40" t="str">
        <f t="shared" ca="1" si="535"/>
        <v>excluir</v>
      </c>
      <c r="L1212" s="40" t="str">
        <f t="shared" ca="1" si="536"/>
        <v>no semana</v>
      </c>
      <c r="M1212" s="40" t="str">
        <f>IFERROR(VLOOKUP(E1212,'cheques a conf'!A:D,4,FALSE),"no clearing")</f>
        <v>no clearing</v>
      </c>
      <c r="N1212" s="40">
        <f t="shared" si="537"/>
        <v>38</v>
      </c>
      <c r="O1212" s="42">
        <f t="shared" si="538"/>
        <v>9</v>
      </c>
      <c r="P1212" s="42">
        <f t="shared" si="539"/>
        <v>2025</v>
      </c>
    </row>
    <row r="1213" spans="1:16" x14ac:dyDescent="0.25">
      <c r="A1213" s="21">
        <v>3000005510</v>
      </c>
      <c r="B1213" s="22">
        <v>45916</v>
      </c>
      <c r="C1213" s="20">
        <v>5982581.9000000004</v>
      </c>
      <c r="D1213" s="21" t="s">
        <v>663</v>
      </c>
      <c r="E1213" s="21">
        <v>1895</v>
      </c>
      <c r="F1213" s="20">
        <v>5982581.9000000004</v>
      </c>
      <c r="G1213" s="22">
        <v>45918</v>
      </c>
      <c r="H1213" t="s">
        <v>32</v>
      </c>
      <c r="I1213" s="40" t="str">
        <f>IFERROR(IF(VLOOKUP(E1213,extracto!C:C,1,FALSE)=E1213,"pagado","no pagado"),"no pagado")</f>
        <v>pagado</v>
      </c>
      <c r="J1213" s="41" t="str">
        <f t="shared" si="534"/>
        <v>pagado</v>
      </c>
      <c r="K1213" s="40" t="str">
        <f t="shared" ca="1" si="535"/>
        <v>excluir</v>
      </c>
      <c r="L1213" s="40" t="str">
        <f t="shared" ca="1" si="536"/>
        <v>no semana</v>
      </c>
      <c r="M1213" s="40" t="str">
        <f>IFERROR(VLOOKUP(E1213,'cheques a conf'!A:D,4,FALSE),"no clearing")</f>
        <v>no clearing</v>
      </c>
      <c r="N1213" s="40">
        <f t="shared" si="537"/>
        <v>38</v>
      </c>
      <c r="O1213" s="42">
        <f t="shared" si="538"/>
        <v>9</v>
      </c>
      <c r="P1213" s="42">
        <f t="shared" si="539"/>
        <v>2025</v>
      </c>
    </row>
    <row r="1214" spans="1:16" x14ac:dyDescent="0.25">
      <c r="A1214" s="21">
        <v>3000005511</v>
      </c>
      <c r="B1214" s="22">
        <v>45916</v>
      </c>
      <c r="C1214" s="20">
        <v>9688063.8300000001</v>
      </c>
      <c r="D1214" s="21" t="s">
        <v>703</v>
      </c>
      <c r="E1214" s="21">
        <v>1896</v>
      </c>
      <c r="F1214" s="20">
        <v>9688063.8300000001</v>
      </c>
      <c r="G1214" s="22">
        <v>45918</v>
      </c>
      <c r="H1214" t="s">
        <v>32</v>
      </c>
      <c r="I1214" s="40" t="str">
        <f>IFERROR(IF(VLOOKUP(E1214,extracto!C:C,1,FALSE)=E1214,"pagado","no pagado"),"no pagado")</f>
        <v>pagado</v>
      </c>
      <c r="J1214" s="41" t="str">
        <f t="shared" si="534"/>
        <v>pagado</v>
      </c>
      <c r="K1214" s="40" t="str">
        <f t="shared" ca="1" si="535"/>
        <v>excluir</v>
      </c>
      <c r="L1214" s="40" t="str">
        <f t="shared" ca="1" si="536"/>
        <v>no semana</v>
      </c>
      <c r="M1214" s="40" t="str">
        <f>IFERROR(VLOOKUP(E1214,'cheques a conf'!A:D,4,FALSE),"no clearing")</f>
        <v>no clearing</v>
      </c>
      <c r="N1214" s="40">
        <f t="shared" si="537"/>
        <v>38</v>
      </c>
      <c r="O1214" s="42">
        <f t="shared" si="538"/>
        <v>9</v>
      </c>
      <c r="P1214" s="42">
        <f t="shared" si="539"/>
        <v>2025</v>
      </c>
    </row>
    <row r="1215" spans="1:16" x14ac:dyDescent="0.25">
      <c r="A1215" s="21">
        <v>3000005512</v>
      </c>
      <c r="B1215" s="22">
        <v>45916</v>
      </c>
      <c r="C1215" s="20">
        <v>4614731.25</v>
      </c>
      <c r="D1215" s="21" t="s">
        <v>776</v>
      </c>
      <c r="E1215" s="21">
        <v>1897</v>
      </c>
      <c r="F1215" s="20">
        <v>4614731.25</v>
      </c>
      <c r="G1215" s="22">
        <v>45918</v>
      </c>
      <c r="H1215" t="s">
        <v>32</v>
      </c>
      <c r="I1215" s="40" t="str">
        <f>IFERROR(IF(VLOOKUP(E1215,extracto!C:C,1,FALSE)=E1215,"pagado","no pagado"),"no pagado")</f>
        <v>pagado</v>
      </c>
      <c r="J1215" s="41" t="str">
        <f t="shared" si="534"/>
        <v>pagado</v>
      </c>
      <c r="K1215" s="40" t="str">
        <f t="shared" ca="1" si="535"/>
        <v>excluir</v>
      </c>
      <c r="L1215" s="40" t="str">
        <f t="shared" ca="1" si="536"/>
        <v>no semana</v>
      </c>
      <c r="M1215" s="40" t="str">
        <f>IFERROR(VLOOKUP(E1215,'cheques a conf'!A:D,4,FALSE),"no clearing")</f>
        <v>no clearing</v>
      </c>
      <c r="N1215" s="40">
        <f t="shared" si="537"/>
        <v>38</v>
      </c>
      <c r="O1215" s="42">
        <f t="shared" si="538"/>
        <v>9</v>
      </c>
      <c r="P1215" s="42">
        <f t="shared" si="539"/>
        <v>2025</v>
      </c>
    </row>
    <row r="1216" spans="1:16" x14ac:dyDescent="0.25">
      <c r="A1216" s="21">
        <v>3000005513</v>
      </c>
      <c r="B1216" s="22">
        <v>45916</v>
      </c>
      <c r="C1216" s="20">
        <v>4121380.98</v>
      </c>
      <c r="D1216" s="21" t="s">
        <v>777</v>
      </c>
      <c r="E1216" s="21">
        <v>1898</v>
      </c>
      <c r="F1216" s="20">
        <v>4121380.98</v>
      </c>
      <c r="G1216" s="22">
        <v>45918</v>
      </c>
      <c r="H1216" t="s">
        <v>32</v>
      </c>
      <c r="I1216" s="40" t="str">
        <f>IFERROR(IF(VLOOKUP(E1216,extracto!C:C,1,FALSE)=E1216,"pagado","no pagado"),"no pagado")</f>
        <v>pagado</v>
      </c>
      <c r="J1216" s="41" t="str">
        <f t="shared" si="534"/>
        <v>pagado</v>
      </c>
      <c r="K1216" s="40" t="str">
        <f t="shared" ca="1" si="535"/>
        <v>excluir</v>
      </c>
      <c r="L1216" s="40" t="str">
        <f t="shared" ca="1" si="536"/>
        <v>no semana</v>
      </c>
      <c r="M1216" s="40" t="str">
        <f>IFERROR(VLOOKUP(E1216,'cheques a conf'!A:D,4,FALSE),"no clearing")</f>
        <v>no clearing</v>
      </c>
      <c r="N1216" s="40">
        <f t="shared" si="537"/>
        <v>38</v>
      </c>
      <c r="O1216" s="42">
        <f t="shared" si="538"/>
        <v>9</v>
      </c>
      <c r="P1216" s="42">
        <f t="shared" si="539"/>
        <v>2025</v>
      </c>
    </row>
    <row r="1217" spans="1:16" x14ac:dyDescent="0.25">
      <c r="A1217" s="21">
        <v>3000005514</v>
      </c>
      <c r="B1217" s="22">
        <v>45916</v>
      </c>
      <c r="C1217" s="20">
        <v>9847046.5199999996</v>
      </c>
      <c r="D1217" s="21" t="s">
        <v>689</v>
      </c>
      <c r="E1217" s="21">
        <v>1899</v>
      </c>
      <c r="F1217" s="20">
        <v>9847046.5199999996</v>
      </c>
      <c r="G1217" s="22">
        <v>45918</v>
      </c>
      <c r="H1217" t="s">
        <v>32</v>
      </c>
      <c r="I1217" s="40" t="str">
        <f>IFERROR(IF(VLOOKUP(E1217,extracto!C:C,1,FALSE)=E1217,"pagado","no pagado"),"no pagado")</f>
        <v>pagado</v>
      </c>
      <c r="J1217" s="41" t="str">
        <f t="shared" si="534"/>
        <v>pagado</v>
      </c>
      <c r="K1217" s="40" t="str">
        <f t="shared" ca="1" si="535"/>
        <v>excluir</v>
      </c>
      <c r="L1217" s="40" t="str">
        <f t="shared" ca="1" si="536"/>
        <v>no semana</v>
      </c>
      <c r="M1217" s="40" t="str">
        <f>IFERROR(VLOOKUP(E1217,'cheques a conf'!A:D,4,FALSE),"no clearing")</f>
        <v>no clearing</v>
      </c>
      <c r="N1217" s="40">
        <f t="shared" si="537"/>
        <v>38</v>
      </c>
      <c r="O1217" s="42">
        <f t="shared" si="538"/>
        <v>9</v>
      </c>
      <c r="P1217" s="42">
        <f t="shared" si="539"/>
        <v>2025</v>
      </c>
    </row>
    <row r="1218" spans="1:16" x14ac:dyDescent="0.25">
      <c r="A1218" s="21">
        <v>3000005515</v>
      </c>
      <c r="B1218" s="22">
        <v>45916</v>
      </c>
      <c r="C1218" s="20">
        <v>5835884.9500000002</v>
      </c>
      <c r="D1218" s="21" t="s">
        <v>78</v>
      </c>
      <c r="E1218" s="21">
        <v>1900</v>
      </c>
      <c r="F1218" s="20">
        <v>5835884.9500000002</v>
      </c>
      <c r="G1218" s="22">
        <v>45918</v>
      </c>
      <c r="H1218" t="s">
        <v>32</v>
      </c>
      <c r="I1218" s="40" t="str">
        <f>IFERROR(IF(VLOOKUP(E1218,extracto!C:C,1,FALSE)=E1218,"pagado","no pagado"),"no pagado")</f>
        <v>pagado</v>
      </c>
      <c r="J1218" s="41" t="str">
        <f t="shared" ref="J1218:J1227" si="540">IF(I1218="pagado","pagado",IF(G1218&lt;$V$1-30,"fuera de fecha","en periodo de pago"))</f>
        <v>pagado</v>
      </c>
      <c r="K1218" s="40" t="str">
        <f t="shared" ref="K1218:K1227" ca="1" si="541">+IF(B1218&gt;$V$1,"excluir",IF(J1218="en periodo de pago",IF($V$1&gt;G1218,"a pagar","proximo a vencer"),"excluir"))</f>
        <v>excluir</v>
      </c>
      <c r="L1218" s="40" t="str">
        <f t="shared" ref="L1218:L1227" ca="1" si="542">+IF(K1218="proximo a vencer",IF($V$1+5&gt;G1218,"para la semana","no semana"),"no semana")</f>
        <v>no semana</v>
      </c>
      <c r="M1218" s="40" t="str">
        <f>IFERROR(VLOOKUP(E1218,'cheques a conf'!A:D,4,FALSE),"no clearing")</f>
        <v>no clearing</v>
      </c>
      <c r="N1218" s="40">
        <f t="shared" ref="N1218:N1227" si="543">+WEEKNUM(G1218,2)</f>
        <v>38</v>
      </c>
      <c r="O1218" s="42">
        <f t="shared" ref="O1218:O1227" si="544">+MONTH(G1218)</f>
        <v>9</v>
      </c>
      <c r="P1218" s="42">
        <f t="shared" ref="P1218:P1227" si="545">+YEAR(G1218)</f>
        <v>2025</v>
      </c>
    </row>
    <row r="1219" spans="1:16" x14ac:dyDescent="0.25">
      <c r="A1219" s="21">
        <v>3000005516</v>
      </c>
      <c r="B1219" s="22">
        <v>45916</v>
      </c>
      <c r="C1219" s="20">
        <v>12234810</v>
      </c>
      <c r="D1219" s="21" t="s">
        <v>587</v>
      </c>
      <c r="E1219" s="21">
        <v>1901</v>
      </c>
      <c r="F1219" s="20">
        <v>12234810</v>
      </c>
      <c r="G1219" s="22">
        <v>45918</v>
      </c>
      <c r="H1219" t="s">
        <v>32</v>
      </c>
      <c r="I1219" s="40" t="str">
        <f>IFERROR(IF(VLOOKUP(E1219,extracto!C:C,1,FALSE)=E1219,"pagado","no pagado"),"no pagado")</f>
        <v>pagado</v>
      </c>
      <c r="J1219" s="41" t="str">
        <f t="shared" si="540"/>
        <v>pagado</v>
      </c>
      <c r="K1219" s="40" t="str">
        <f t="shared" ca="1" si="541"/>
        <v>excluir</v>
      </c>
      <c r="L1219" s="40" t="str">
        <f t="shared" ca="1" si="542"/>
        <v>no semana</v>
      </c>
      <c r="M1219" s="40" t="str">
        <f>IFERROR(VLOOKUP(E1219,'cheques a conf'!A:D,4,FALSE),"no clearing")</f>
        <v>no clearing</v>
      </c>
      <c r="N1219" s="40">
        <f t="shared" si="543"/>
        <v>38</v>
      </c>
      <c r="O1219" s="42">
        <f t="shared" si="544"/>
        <v>9</v>
      </c>
      <c r="P1219" s="42">
        <f t="shared" si="545"/>
        <v>2025</v>
      </c>
    </row>
    <row r="1220" spans="1:16" x14ac:dyDescent="0.25">
      <c r="A1220" s="21">
        <v>3000005517</v>
      </c>
      <c r="B1220" s="22">
        <v>45916</v>
      </c>
      <c r="C1220" s="20">
        <v>8738855</v>
      </c>
      <c r="D1220" s="21" t="s">
        <v>778</v>
      </c>
      <c r="E1220" s="21">
        <v>1902</v>
      </c>
      <c r="F1220" s="20">
        <v>8738855</v>
      </c>
      <c r="G1220" s="22">
        <v>45918</v>
      </c>
      <c r="H1220" t="s">
        <v>32</v>
      </c>
      <c r="I1220" s="40" t="str">
        <f>IFERROR(IF(VLOOKUP(E1220,extracto!C:C,1,FALSE)=E1220,"pagado","no pagado"),"no pagado")</f>
        <v>pagado</v>
      </c>
      <c r="J1220" s="41" t="str">
        <f t="shared" si="540"/>
        <v>pagado</v>
      </c>
      <c r="K1220" s="40" t="str">
        <f t="shared" ca="1" si="541"/>
        <v>excluir</v>
      </c>
      <c r="L1220" s="40" t="str">
        <f t="shared" ca="1" si="542"/>
        <v>no semana</v>
      </c>
      <c r="M1220" s="40" t="str">
        <f>IFERROR(VLOOKUP(E1220,'cheques a conf'!A:D,4,FALSE),"no clearing")</f>
        <v>no clearing</v>
      </c>
      <c r="N1220" s="40">
        <f t="shared" si="543"/>
        <v>38</v>
      </c>
      <c r="O1220" s="42">
        <f t="shared" si="544"/>
        <v>9</v>
      </c>
      <c r="P1220" s="42">
        <f t="shared" si="545"/>
        <v>2025</v>
      </c>
    </row>
    <row r="1221" spans="1:16" x14ac:dyDescent="0.25">
      <c r="A1221" s="21">
        <v>3000005518</v>
      </c>
      <c r="B1221" s="22">
        <v>45916</v>
      </c>
      <c r="C1221" s="20">
        <v>9526924.4600000009</v>
      </c>
      <c r="D1221" s="21" t="s">
        <v>779</v>
      </c>
      <c r="E1221" s="21">
        <v>1903</v>
      </c>
      <c r="F1221" s="20">
        <v>9526924.4600000009</v>
      </c>
      <c r="G1221" s="22">
        <v>45918</v>
      </c>
      <c r="H1221" t="s">
        <v>32</v>
      </c>
      <c r="I1221" s="40" t="str">
        <f>IFERROR(IF(VLOOKUP(E1221,extracto!C:C,1,FALSE)=E1221,"pagado","no pagado"),"no pagado")</f>
        <v>pagado</v>
      </c>
      <c r="J1221" s="41" t="str">
        <f t="shared" si="540"/>
        <v>pagado</v>
      </c>
      <c r="K1221" s="40" t="str">
        <f t="shared" ca="1" si="541"/>
        <v>excluir</v>
      </c>
      <c r="L1221" s="40" t="str">
        <f t="shared" ca="1" si="542"/>
        <v>no semana</v>
      </c>
      <c r="M1221" s="40" t="str">
        <f>IFERROR(VLOOKUP(E1221,'cheques a conf'!A:D,4,FALSE),"no clearing")</f>
        <v>no clearing</v>
      </c>
      <c r="N1221" s="40">
        <f t="shared" si="543"/>
        <v>38</v>
      </c>
      <c r="O1221" s="42">
        <f t="shared" si="544"/>
        <v>9</v>
      </c>
      <c r="P1221" s="42">
        <f t="shared" si="545"/>
        <v>2025</v>
      </c>
    </row>
    <row r="1222" spans="1:16" x14ac:dyDescent="0.25">
      <c r="A1222" s="21">
        <v>3000005519</v>
      </c>
      <c r="B1222" s="22">
        <v>45916</v>
      </c>
      <c r="C1222" s="20">
        <v>12411341.130000001</v>
      </c>
      <c r="D1222" s="21" t="s">
        <v>717</v>
      </c>
      <c r="E1222" s="21">
        <v>1904</v>
      </c>
      <c r="F1222" s="20">
        <v>12411341.130000001</v>
      </c>
      <c r="G1222" s="22">
        <v>45919</v>
      </c>
      <c r="H1222" t="s">
        <v>32</v>
      </c>
      <c r="I1222" s="40" t="str">
        <f>IFERROR(IF(VLOOKUP(E1222,extracto!C:C,1,FALSE)=E1222,"pagado","no pagado"),"no pagado")</f>
        <v>pagado</v>
      </c>
      <c r="J1222" s="41" t="str">
        <f t="shared" si="540"/>
        <v>pagado</v>
      </c>
      <c r="K1222" s="40" t="str">
        <f t="shared" ca="1" si="541"/>
        <v>excluir</v>
      </c>
      <c r="L1222" s="40" t="str">
        <f t="shared" ca="1" si="542"/>
        <v>no semana</v>
      </c>
      <c r="M1222" s="40" t="str">
        <f>IFERROR(VLOOKUP(E1222,'cheques a conf'!A:D,4,FALSE),"no clearing")</f>
        <v>no clearing</v>
      </c>
      <c r="N1222" s="40">
        <f t="shared" si="543"/>
        <v>38</v>
      </c>
      <c r="O1222" s="42">
        <f t="shared" si="544"/>
        <v>9</v>
      </c>
      <c r="P1222" s="42">
        <f t="shared" si="545"/>
        <v>2025</v>
      </c>
    </row>
    <row r="1223" spans="1:16" x14ac:dyDescent="0.25">
      <c r="A1223" s="21">
        <v>3000005520</v>
      </c>
      <c r="B1223" s="22">
        <v>45916</v>
      </c>
      <c r="C1223" s="20">
        <v>21677198.129999999</v>
      </c>
      <c r="D1223" s="21" t="s">
        <v>580</v>
      </c>
      <c r="E1223" s="21">
        <v>1905</v>
      </c>
      <c r="F1223" s="20">
        <v>21677198.129999999</v>
      </c>
      <c r="G1223" s="22">
        <v>45919</v>
      </c>
      <c r="H1223" t="s">
        <v>32</v>
      </c>
      <c r="I1223" s="40" t="str">
        <f>IFERROR(IF(VLOOKUP(E1223,extracto!C:C,1,FALSE)=E1223,"pagado","no pagado"),"no pagado")</f>
        <v>pagado</v>
      </c>
      <c r="J1223" s="41" t="str">
        <f t="shared" si="540"/>
        <v>pagado</v>
      </c>
      <c r="K1223" s="40" t="str">
        <f t="shared" ca="1" si="541"/>
        <v>excluir</v>
      </c>
      <c r="L1223" s="40" t="str">
        <f t="shared" ca="1" si="542"/>
        <v>no semana</v>
      </c>
      <c r="M1223" s="40" t="str">
        <f>IFERROR(VLOOKUP(E1223,'cheques a conf'!A:D,4,FALSE),"no clearing")</f>
        <v>no clearing</v>
      </c>
      <c r="N1223" s="40">
        <f t="shared" si="543"/>
        <v>38</v>
      </c>
      <c r="O1223" s="42">
        <f t="shared" si="544"/>
        <v>9</v>
      </c>
      <c r="P1223" s="42">
        <f t="shared" si="545"/>
        <v>2025</v>
      </c>
    </row>
    <row r="1224" spans="1:16" x14ac:dyDescent="0.25">
      <c r="A1224" s="21">
        <v>3000005521</v>
      </c>
      <c r="B1224" s="22">
        <v>45916</v>
      </c>
      <c r="C1224" s="20">
        <v>14298958.300000001</v>
      </c>
      <c r="D1224" s="21" t="s">
        <v>708</v>
      </c>
      <c r="E1224" s="21">
        <v>1906</v>
      </c>
      <c r="F1224" s="20">
        <v>14298958.300000001</v>
      </c>
      <c r="G1224" s="22">
        <v>45918</v>
      </c>
      <c r="H1224" t="s">
        <v>32</v>
      </c>
      <c r="I1224" s="40" t="str">
        <f>IFERROR(IF(VLOOKUP(E1224,extracto!C:C,1,FALSE)=E1224,"pagado","no pagado"),"no pagado")</f>
        <v>pagado</v>
      </c>
      <c r="J1224" s="41" t="str">
        <f t="shared" si="540"/>
        <v>pagado</v>
      </c>
      <c r="K1224" s="40" t="str">
        <f t="shared" ca="1" si="541"/>
        <v>excluir</v>
      </c>
      <c r="L1224" s="40" t="str">
        <f t="shared" ca="1" si="542"/>
        <v>no semana</v>
      </c>
      <c r="M1224" s="40" t="str">
        <f>IFERROR(VLOOKUP(E1224,'cheques a conf'!A:D,4,FALSE),"no clearing")</f>
        <v>no clearing</v>
      </c>
      <c r="N1224" s="40">
        <f t="shared" si="543"/>
        <v>38</v>
      </c>
      <c r="O1224" s="42">
        <f t="shared" si="544"/>
        <v>9</v>
      </c>
      <c r="P1224" s="42">
        <f t="shared" si="545"/>
        <v>2025</v>
      </c>
    </row>
    <row r="1225" spans="1:16" x14ac:dyDescent="0.25">
      <c r="A1225" s="21">
        <v>3000005522</v>
      </c>
      <c r="B1225" s="22">
        <v>45916</v>
      </c>
      <c r="C1225" s="20">
        <v>31409789.780000001</v>
      </c>
      <c r="D1225" s="21" t="s">
        <v>649</v>
      </c>
      <c r="E1225" s="21">
        <v>1907</v>
      </c>
      <c r="F1225" s="20">
        <v>31409789.780000001</v>
      </c>
      <c r="G1225" s="22">
        <v>45919</v>
      </c>
      <c r="H1225" t="s">
        <v>32</v>
      </c>
      <c r="I1225" s="40" t="str">
        <f>IFERROR(IF(VLOOKUP(E1225,extracto!C:C,1,FALSE)=E1225,"pagado","no pagado"),"no pagado")</f>
        <v>pagado</v>
      </c>
      <c r="J1225" s="41" t="str">
        <f t="shared" si="540"/>
        <v>pagado</v>
      </c>
      <c r="K1225" s="40" t="str">
        <f t="shared" ca="1" si="541"/>
        <v>excluir</v>
      </c>
      <c r="L1225" s="40" t="str">
        <f t="shared" ca="1" si="542"/>
        <v>no semana</v>
      </c>
      <c r="M1225" s="40" t="str">
        <f>IFERROR(VLOOKUP(E1225,'cheques a conf'!A:D,4,FALSE),"no clearing")</f>
        <v>no clearing</v>
      </c>
      <c r="N1225" s="40">
        <f t="shared" si="543"/>
        <v>38</v>
      </c>
      <c r="O1225" s="42">
        <f t="shared" si="544"/>
        <v>9</v>
      </c>
      <c r="P1225" s="42">
        <f t="shared" si="545"/>
        <v>2025</v>
      </c>
    </row>
    <row r="1226" spans="1:16" x14ac:dyDescent="0.25">
      <c r="A1226" s="21">
        <v>3000005523</v>
      </c>
      <c r="B1226" s="22">
        <v>45916</v>
      </c>
      <c r="C1226" s="20">
        <v>17999651.25</v>
      </c>
      <c r="D1226" s="21" t="s">
        <v>658</v>
      </c>
      <c r="E1226" s="21">
        <v>1908</v>
      </c>
      <c r="F1226" s="20">
        <v>17999651.25</v>
      </c>
      <c r="G1226" s="22">
        <v>45919</v>
      </c>
      <c r="H1226" t="s">
        <v>32</v>
      </c>
      <c r="I1226" s="40" t="str">
        <f>IFERROR(IF(VLOOKUP(E1226,extracto!C:C,1,FALSE)=E1226,"pagado","no pagado"),"no pagado")</f>
        <v>pagado</v>
      </c>
      <c r="J1226" s="41" t="str">
        <f t="shared" si="540"/>
        <v>pagado</v>
      </c>
      <c r="K1226" s="40" t="str">
        <f t="shared" ca="1" si="541"/>
        <v>excluir</v>
      </c>
      <c r="L1226" s="40" t="str">
        <f t="shared" ca="1" si="542"/>
        <v>no semana</v>
      </c>
      <c r="M1226" s="40" t="str">
        <f>IFERROR(VLOOKUP(E1226,'cheques a conf'!A:D,4,FALSE),"no clearing")</f>
        <v>no clearing</v>
      </c>
      <c r="N1226" s="40">
        <f t="shared" si="543"/>
        <v>38</v>
      </c>
      <c r="O1226" s="42">
        <f t="shared" si="544"/>
        <v>9</v>
      </c>
      <c r="P1226" s="42">
        <f t="shared" si="545"/>
        <v>2025</v>
      </c>
    </row>
    <row r="1227" spans="1:16" x14ac:dyDescent="0.25">
      <c r="A1227" s="21">
        <v>3000005526</v>
      </c>
      <c r="B1227" s="22">
        <v>45916</v>
      </c>
      <c r="C1227" s="20">
        <v>42698510</v>
      </c>
      <c r="D1227" s="21" t="s">
        <v>25</v>
      </c>
      <c r="E1227" s="21">
        <v>1909</v>
      </c>
      <c r="F1227" s="20">
        <v>42698510</v>
      </c>
      <c r="G1227" s="22">
        <v>45919</v>
      </c>
      <c r="H1227" t="s">
        <v>32</v>
      </c>
      <c r="I1227" s="40" t="str">
        <f>IFERROR(IF(VLOOKUP(E1227,extracto!C:C,1,FALSE)=E1227,"pagado","no pagado"),"no pagado")</f>
        <v>pagado</v>
      </c>
      <c r="J1227" s="41" t="str">
        <f t="shared" si="540"/>
        <v>pagado</v>
      </c>
      <c r="K1227" s="40" t="str">
        <f t="shared" ca="1" si="541"/>
        <v>excluir</v>
      </c>
      <c r="L1227" s="40" t="str">
        <f t="shared" ca="1" si="542"/>
        <v>no semana</v>
      </c>
      <c r="M1227" s="40" t="str">
        <f>IFERROR(VLOOKUP(E1227,'cheques a conf'!A:D,4,FALSE),"no clearing")</f>
        <v>no clearing</v>
      </c>
      <c r="N1227" s="40">
        <f t="shared" si="543"/>
        <v>38</v>
      </c>
      <c r="O1227" s="42">
        <f t="shared" si="544"/>
        <v>9</v>
      </c>
      <c r="P1227" s="42">
        <f t="shared" si="545"/>
        <v>2025</v>
      </c>
    </row>
    <row r="1228" spans="1:16" x14ac:dyDescent="0.25">
      <c r="A1228" s="21">
        <v>3000005524</v>
      </c>
      <c r="B1228" s="22">
        <v>45915</v>
      </c>
      <c r="C1228" s="20">
        <v>3411180.16</v>
      </c>
      <c r="D1228" s="21" t="s">
        <v>659</v>
      </c>
      <c r="E1228" s="21">
        <v>40272990</v>
      </c>
      <c r="F1228" s="20">
        <v>3411180.16</v>
      </c>
      <c r="G1228" s="22">
        <v>45917</v>
      </c>
      <c r="H1228" t="s">
        <v>79</v>
      </c>
      <c r="I1228" s="40" t="str">
        <f>IFERROR(IF(VLOOKUP(E1228,extracto!C:C,1,FALSE)=E1228,"pagado","no pagado"),"no pagado")</f>
        <v>pagado</v>
      </c>
      <c r="J1228" s="41" t="str">
        <f t="shared" ref="J1228" si="546">IF(I1228="pagado","pagado",IF(G1228&lt;$V$1-30,"fuera de fecha","en periodo de pago"))</f>
        <v>pagado</v>
      </c>
      <c r="K1228" s="40" t="str">
        <f t="shared" ref="K1228" ca="1" si="547">+IF(B1228&gt;$V$1,"excluir",IF(J1228="en periodo de pago",IF($V$1&gt;G1228,"a pagar","proximo a vencer"),"excluir"))</f>
        <v>excluir</v>
      </c>
      <c r="L1228" s="40" t="str">
        <f t="shared" ref="L1228" ca="1" si="548">+IF(K1228="proximo a vencer",IF($V$1+5&gt;G1228,"para la semana","no semana"),"no semana")</f>
        <v>no semana</v>
      </c>
      <c r="M1228" s="40" t="str">
        <f>IFERROR(VLOOKUP(E1228,'cheques a conf'!A:D,4,FALSE),"no clearing")</f>
        <v>no clearing</v>
      </c>
      <c r="N1228" s="40">
        <f t="shared" ref="N1228" si="549">+WEEKNUM(G1228,2)</f>
        <v>38</v>
      </c>
      <c r="O1228" s="42">
        <f t="shared" ref="O1228" si="550">+MONTH(G1228)</f>
        <v>9</v>
      </c>
      <c r="P1228" s="42">
        <f t="shared" ref="P1228" si="551">+YEAR(G1228)</f>
        <v>2025</v>
      </c>
    </row>
    <row r="1229" spans="1:16" x14ac:dyDescent="0.25">
      <c r="A1229" s="21">
        <v>3000005525</v>
      </c>
      <c r="B1229" s="22">
        <v>45915</v>
      </c>
      <c r="C1229" s="20">
        <v>560000</v>
      </c>
      <c r="D1229" s="21" t="s">
        <v>780</v>
      </c>
      <c r="E1229" s="21">
        <v>40272991</v>
      </c>
      <c r="F1229" s="20">
        <v>560000</v>
      </c>
      <c r="G1229" s="22">
        <v>45917</v>
      </c>
      <c r="H1229" t="s">
        <v>79</v>
      </c>
      <c r="I1229" s="40" t="str">
        <f>IFERROR(IF(VLOOKUP(E1229,extracto!C:C,1,FALSE)=E1229,"pagado","no pagado"),"no pagado")</f>
        <v>pagado</v>
      </c>
      <c r="J1229" s="41" t="str">
        <f t="shared" ref="J1229" si="552">IF(I1229="pagado","pagado",IF(G1229&lt;$V$1-30,"fuera de fecha","en periodo de pago"))</f>
        <v>pagado</v>
      </c>
      <c r="K1229" s="40" t="str">
        <f t="shared" ref="K1229" ca="1" si="553">+IF(B1229&gt;$V$1,"excluir",IF(J1229="en periodo de pago",IF($V$1&gt;G1229,"a pagar","proximo a vencer"),"excluir"))</f>
        <v>excluir</v>
      </c>
      <c r="L1229" s="40" t="str">
        <f t="shared" ref="L1229" ca="1" si="554">+IF(K1229="proximo a vencer",IF($V$1+5&gt;G1229,"para la semana","no semana"),"no semana")</f>
        <v>no semana</v>
      </c>
      <c r="M1229" s="40" t="str">
        <f>IFERROR(VLOOKUP(E1229,'cheques a conf'!A:D,4,FALSE),"no clearing")</f>
        <v>no clearing</v>
      </c>
      <c r="N1229" s="40">
        <f t="shared" ref="N1229" si="555">+WEEKNUM(G1229,2)</f>
        <v>38</v>
      </c>
      <c r="O1229" s="42">
        <f t="shared" ref="O1229" si="556">+MONTH(G1229)</f>
        <v>9</v>
      </c>
      <c r="P1229" s="42">
        <f t="shared" ref="P1229" si="557">+YEAR(G1229)</f>
        <v>2025</v>
      </c>
    </row>
    <row r="1230" spans="1:16" x14ac:dyDescent="0.25">
      <c r="A1230" s="21">
        <v>3000005547</v>
      </c>
      <c r="B1230" s="22">
        <v>45916</v>
      </c>
      <c r="C1230" s="20">
        <v>7912006.8200000003</v>
      </c>
      <c r="D1230" s="21" t="s">
        <v>662</v>
      </c>
      <c r="E1230" s="21">
        <v>91002562</v>
      </c>
      <c r="F1230" s="20">
        <v>7912006.8200000003</v>
      </c>
      <c r="G1230" s="22">
        <v>45923</v>
      </c>
      <c r="H1230" t="s">
        <v>79</v>
      </c>
      <c r="I1230" s="40" t="str">
        <f>IFERROR(IF(VLOOKUP(E1230,extracto!C:C,1,FALSE)=E1230,"pagado","no pagado"),"no pagado")</f>
        <v>pagado</v>
      </c>
      <c r="J1230" s="41" t="str">
        <f t="shared" ref="J1230:J1252" si="558">IF(I1230="pagado","pagado",IF(G1230&lt;$V$1-30,"fuera de fecha","en periodo de pago"))</f>
        <v>pagado</v>
      </c>
      <c r="K1230" s="40" t="str">
        <f t="shared" ref="K1230:K1252" ca="1" si="559">+IF(B1230&gt;$V$1,"excluir",IF(J1230="en periodo de pago",IF($V$1&gt;G1230,"a pagar","proximo a vencer"),"excluir"))</f>
        <v>excluir</v>
      </c>
      <c r="L1230" s="40" t="str">
        <f t="shared" ref="L1230:L1252" ca="1" si="560">+IF(K1230="proximo a vencer",IF($V$1+5&gt;G1230,"para la semana","no semana"),"no semana")</f>
        <v>no semana</v>
      </c>
      <c r="M1230" s="40" t="str">
        <f>IFERROR(VLOOKUP(E1230,'cheques a conf'!A:D,4,FALSE),"no clearing")</f>
        <v>no clearing</v>
      </c>
      <c r="N1230" s="40">
        <f t="shared" ref="N1230:N1252" si="561">+WEEKNUM(G1230,2)</f>
        <v>39</v>
      </c>
      <c r="O1230" s="42">
        <f t="shared" ref="O1230:O1252" si="562">+MONTH(G1230)</f>
        <v>9</v>
      </c>
      <c r="P1230" s="42">
        <f t="shared" ref="P1230:P1252" si="563">+YEAR(G1230)</f>
        <v>2025</v>
      </c>
    </row>
    <row r="1231" spans="1:16" x14ac:dyDescent="0.25">
      <c r="A1231" s="21">
        <v>3000005548</v>
      </c>
      <c r="B1231" s="22">
        <v>45916</v>
      </c>
      <c r="C1231" s="20">
        <v>11059275.869999999</v>
      </c>
      <c r="D1231" s="21" t="s">
        <v>781</v>
      </c>
      <c r="E1231" s="21">
        <v>91002563</v>
      </c>
      <c r="F1231" s="20">
        <v>11059275.869999999</v>
      </c>
      <c r="G1231" s="22">
        <v>45923</v>
      </c>
      <c r="H1231" t="s">
        <v>79</v>
      </c>
      <c r="I1231" s="40" t="str">
        <f>IFERROR(IF(VLOOKUP(E1231,extracto!C:C,1,FALSE)=E1231,"pagado","no pagado"),"no pagado")</f>
        <v>pagado</v>
      </c>
      <c r="J1231" s="41" t="str">
        <f t="shared" si="558"/>
        <v>pagado</v>
      </c>
      <c r="K1231" s="40" t="str">
        <f t="shared" ca="1" si="559"/>
        <v>excluir</v>
      </c>
      <c r="L1231" s="40" t="str">
        <f t="shared" ca="1" si="560"/>
        <v>no semana</v>
      </c>
      <c r="M1231" s="40" t="str">
        <f>IFERROR(VLOOKUP(E1231,'cheques a conf'!A:D,4,FALSE),"no clearing")</f>
        <v>no clearing</v>
      </c>
      <c r="N1231" s="40">
        <f t="shared" si="561"/>
        <v>39</v>
      </c>
      <c r="O1231" s="42">
        <f t="shared" si="562"/>
        <v>9</v>
      </c>
      <c r="P1231" s="42">
        <f t="shared" si="563"/>
        <v>2025</v>
      </c>
    </row>
    <row r="1232" spans="1:16" x14ac:dyDescent="0.25">
      <c r="A1232" s="21">
        <v>3000005549</v>
      </c>
      <c r="B1232" s="22">
        <v>45916</v>
      </c>
      <c r="C1232" s="20">
        <v>9990532.3399999999</v>
      </c>
      <c r="D1232" s="21" t="s">
        <v>85</v>
      </c>
      <c r="E1232" s="21">
        <v>91002564</v>
      </c>
      <c r="F1232" s="20">
        <v>9990532.3399999999</v>
      </c>
      <c r="G1232" s="22">
        <v>45923</v>
      </c>
      <c r="H1232" t="s">
        <v>79</v>
      </c>
      <c r="I1232" s="40" t="str">
        <f>IFERROR(IF(VLOOKUP(E1232,extracto!C:C,1,FALSE)=E1232,"pagado","no pagado"),"no pagado")</f>
        <v>pagado</v>
      </c>
      <c r="J1232" s="41" t="str">
        <f t="shared" si="558"/>
        <v>pagado</v>
      </c>
      <c r="K1232" s="40" t="str">
        <f t="shared" ca="1" si="559"/>
        <v>excluir</v>
      </c>
      <c r="L1232" s="40" t="str">
        <f t="shared" ca="1" si="560"/>
        <v>no semana</v>
      </c>
      <c r="M1232" s="40" t="str">
        <f>IFERROR(VLOOKUP(E1232,'cheques a conf'!A:D,4,FALSE),"no clearing")</f>
        <v>no clearing</v>
      </c>
      <c r="N1232" s="40">
        <f t="shared" si="561"/>
        <v>39</v>
      </c>
      <c r="O1232" s="42">
        <f t="shared" si="562"/>
        <v>9</v>
      </c>
      <c r="P1232" s="42">
        <f t="shared" si="563"/>
        <v>2025</v>
      </c>
    </row>
    <row r="1233" spans="1:16" x14ac:dyDescent="0.25">
      <c r="A1233" s="21">
        <v>3000005550</v>
      </c>
      <c r="B1233" s="22">
        <v>45916</v>
      </c>
      <c r="C1233" s="20">
        <v>20750079.300000001</v>
      </c>
      <c r="D1233" s="21" t="s">
        <v>593</v>
      </c>
      <c r="E1233" s="21">
        <v>91002565</v>
      </c>
      <c r="F1233" s="20">
        <v>20750079.300000001</v>
      </c>
      <c r="G1233" s="22">
        <v>45923</v>
      </c>
      <c r="H1233" t="s">
        <v>79</v>
      </c>
      <c r="I1233" s="40" t="str">
        <f>IFERROR(IF(VLOOKUP(E1233,extracto!C:C,1,FALSE)=E1233,"pagado","no pagado"),"no pagado")</f>
        <v>pagado</v>
      </c>
      <c r="J1233" s="41" t="str">
        <f t="shared" si="558"/>
        <v>pagado</v>
      </c>
      <c r="K1233" s="40" t="str">
        <f t="shared" ca="1" si="559"/>
        <v>excluir</v>
      </c>
      <c r="L1233" s="40" t="str">
        <f t="shared" ca="1" si="560"/>
        <v>no semana</v>
      </c>
      <c r="M1233" s="40" t="str">
        <f>IFERROR(VLOOKUP(E1233,'cheques a conf'!A:D,4,FALSE),"no clearing")</f>
        <v>no clearing</v>
      </c>
      <c r="N1233" s="40">
        <f t="shared" si="561"/>
        <v>39</v>
      </c>
      <c r="O1233" s="42">
        <f t="shared" si="562"/>
        <v>9</v>
      </c>
      <c r="P1233" s="42">
        <f t="shared" si="563"/>
        <v>2025</v>
      </c>
    </row>
    <row r="1234" spans="1:16" x14ac:dyDescent="0.25">
      <c r="A1234" s="21">
        <v>3000005551</v>
      </c>
      <c r="B1234" s="22">
        <v>45916</v>
      </c>
      <c r="C1234" s="20">
        <v>6469841.8899999997</v>
      </c>
      <c r="D1234" s="21" t="s">
        <v>619</v>
      </c>
      <c r="E1234" s="21">
        <v>91002566</v>
      </c>
      <c r="F1234" s="20">
        <v>6469841.8899999997</v>
      </c>
      <c r="G1234" s="22">
        <v>45923</v>
      </c>
      <c r="H1234" t="s">
        <v>79</v>
      </c>
      <c r="I1234" s="40" t="str">
        <f>IFERROR(IF(VLOOKUP(E1234,extracto!C:C,1,FALSE)=E1234,"pagado","no pagado"),"no pagado")</f>
        <v>pagado</v>
      </c>
      <c r="J1234" s="41" t="str">
        <f t="shared" si="558"/>
        <v>pagado</v>
      </c>
      <c r="K1234" s="40" t="str">
        <f t="shared" ca="1" si="559"/>
        <v>excluir</v>
      </c>
      <c r="L1234" s="40" t="str">
        <f t="shared" ca="1" si="560"/>
        <v>no semana</v>
      </c>
      <c r="M1234" s="40" t="str">
        <f>IFERROR(VLOOKUP(E1234,'cheques a conf'!A:D,4,FALSE),"no clearing")</f>
        <v>no clearing</v>
      </c>
      <c r="N1234" s="40">
        <f t="shared" si="561"/>
        <v>39</v>
      </c>
      <c r="O1234" s="42">
        <f t="shared" si="562"/>
        <v>9</v>
      </c>
      <c r="P1234" s="42">
        <f t="shared" si="563"/>
        <v>2025</v>
      </c>
    </row>
    <row r="1235" spans="1:16" x14ac:dyDescent="0.25">
      <c r="A1235" s="21">
        <v>3000005552</v>
      </c>
      <c r="B1235" s="22">
        <v>45916</v>
      </c>
      <c r="C1235" s="20">
        <v>39674680.590000004</v>
      </c>
      <c r="D1235" s="21" t="s">
        <v>618</v>
      </c>
      <c r="E1235" s="21">
        <v>91002567</v>
      </c>
      <c r="F1235" s="20">
        <v>39674680.590000004</v>
      </c>
      <c r="G1235" s="22">
        <v>45923</v>
      </c>
      <c r="H1235" t="s">
        <v>79</v>
      </c>
      <c r="I1235" s="40" t="str">
        <f>IFERROR(IF(VLOOKUP(E1235,extracto!C:C,1,FALSE)=E1235,"pagado","no pagado"),"no pagado")</f>
        <v>pagado</v>
      </c>
      <c r="J1235" s="41" t="str">
        <f t="shared" si="558"/>
        <v>pagado</v>
      </c>
      <c r="K1235" s="40" t="str">
        <f t="shared" ca="1" si="559"/>
        <v>excluir</v>
      </c>
      <c r="L1235" s="40" t="str">
        <f t="shared" ca="1" si="560"/>
        <v>no semana</v>
      </c>
      <c r="M1235" s="40" t="str">
        <f>IFERROR(VLOOKUP(E1235,'cheques a conf'!A:D,4,FALSE),"no clearing")</f>
        <v>no clearing</v>
      </c>
      <c r="N1235" s="40">
        <f t="shared" si="561"/>
        <v>39</v>
      </c>
      <c r="O1235" s="42">
        <f t="shared" si="562"/>
        <v>9</v>
      </c>
      <c r="P1235" s="42">
        <f t="shared" si="563"/>
        <v>2025</v>
      </c>
    </row>
    <row r="1236" spans="1:16" x14ac:dyDescent="0.25">
      <c r="A1236" s="21">
        <v>3000005553</v>
      </c>
      <c r="B1236" s="22">
        <v>45916</v>
      </c>
      <c r="C1236" s="20">
        <v>40522417.560000002</v>
      </c>
      <c r="D1236" s="21" t="s">
        <v>613</v>
      </c>
      <c r="E1236" s="21">
        <v>91002568</v>
      </c>
      <c r="F1236" s="20">
        <v>40522417.560000002</v>
      </c>
      <c r="G1236" s="22">
        <v>45923</v>
      </c>
      <c r="H1236" t="s">
        <v>79</v>
      </c>
      <c r="I1236" s="40" t="str">
        <f>IFERROR(IF(VLOOKUP(E1236,extracto!C:C,1,FALSE)=E1236,"pagado","no pagado"),"no pagado")</f>
        <v>pagado</v>
      </c>
      <c r="J1236" s="41" t="str">
        <f t="shared" si="558"/>
        <v>pagado</v>
      </c>
      <c r="K1236" s="40" t="str">
        <f t="shared" ca="1" si="559"/>
        <v>excluir</v>
      </c>
      <c r="L1236" s="40" t="str">
        <f t="shared" ca="1" si="560"/>
        <v>no semana</v>
      </c>
      <c r="M1236" s="40" t="str">
        <f>IFERROR(VLOOKUP(E1236,'cheques a conf'!A:D,4,FALSE),"no clearing")</f>
        <v>no clearing</v>
      </c>
      <c r="N1236" s="40">
        <f t="shared" si="561"/>
        <v>39</v>
      </c>
      <c r="O1236" s="42">
        <f t="shared" si="562"/>
        <v>9</v>
      </c>
      <c r="P1236" s="42">
        <f t="shared" si="563"/>
        <v>2025</v>
      </c>
    </row>
    <row r="1237" spans="1:16" x14ac:dyDescent="0.25">
      <c r="A1237" s="21">
        <v>3000005554</v>
      </c>
      <c r="B1237" s="22">
        <v>45916</v>
      </c>
      <c r="C1237" s="20">
        <v>27642956.039999999</v>
      </c>
      <c r="D1237" s="21" t="s">
        <v>642</v>
      </c>
      <c r="E1237" s="21">
        <v>91002569</v>
      </c>
      <c r="F1237" s="20">
        <v>27642956.039999999</v>
      </c>
      <c r="G1237" s="22">
        <v>45923</v>
      </c>
      <c r="H1237" t="s">
        <v>79</v>
      </c>
      <c r="I1237" s="40" t="str">
        <f>IFERROR(IF(VLOOKUP(E1237,extracto!C:C,1,FALSE)=E1237,"pagado","no pagado"),"no pagado")</f>
        <v>pagado</v>
      </c>
      <c r="J1237" s="41" t="str">
        <f t="shared" si="558"/>
        <v>pagado</v>
      </c>
      <c r="K1237" s="40" t="str">
        <f t="shared" ca="1" si="559"/>
        <v>excluir</v>
      </c>
      <c r="L1237" s="40" t="str">
        <f t="shared" ca="1" si="560"/>
        <v>no semana</v>
      </c>
      <c r="M1237" s="40" t="str">
        <f>IFERROR(VLOOKUP(E1237,'cheques a conf'!A:D,4,FALSE),"no clearing")</f>
        <v>no clearing</v>
      </c>
      <c r="N1237" s="40">
        <f t="shared" si="561"/>
        <v>39</v>
      </c>
      <c r="O1237" s="42">
        <f t="shared" si="562"/>
        <v>9</v>
      </c>
      <c r="P1237" s="42">
        <f t="shared" si="563"/>
        <v>2025</v>
      </c>
    </row>
    <row r="1238" spans="1:16" x14ac:dyDescent="0.25">
      <c r="A1238" s="21">
        <v>3000005592</v>
      </c>
      <c r="B1238" s="22">
        <v>45917</v>
      </c>
      <c r="C1238" s="4">
        <v>1019239.5</v>
      </c>
      <c r="D1238" t="s">
        <v>611</v>
      </c>
      <c r="E1238">
        <v>40272992</v>
      </c>
      <c r="F1238" s="4">
        <v>1019239.5</v>
      </c>
      <c r="G1238" s="22">
        <v>45919</v>
      </c>
      <c r="H1238" t="s">
        <v>79</v>
      </c>
      <c r="I1238" s="40" t="str">
        <f>IFERROR(IF(VLOOKUP(E1238,extracto!C:C,1,FALSE)=E1238,"pagado","no pagado"),"no pagado")</f>
        <v>pagado</v>
      </c>
      <c r="J1238" s="41" t="str">
        <f t="shared" si="558"/>
        <v>pagado</v>
      </c>
      <c r="K1238" s="40" t="str">
        <f t="shared" ca="1" si="559"/>
        <v>excluir</v>
      </c>
      <c r="L1238" s="40" t="str">
        <f t="shared" ca="1" si="560"/>
        <v>no semana</v>
      </c>
      <c r="M1238" s="40" t="str">
        <f>IFERROR(VLOOKUP(E1238,'cheques a conf'!A:D,4,FALSE),"no clearing")</f>
        <v>no clearing</v>
      </c>
      <c r="N1238" s="40">
        <f t="shared" si="561"/>
        <v>38</v>
      </c>
      <c r="O1238" s="42">
        <f t="shared" si="562"/>
        <v>9</v>
      </c>
      <c r="P1238" s="42">
        <f t="shared" si="563"/>
        <v>2025</v>
      </c>
    </row>
    <row r="1239" spans="1:16" x14ac:dyDescent="0.25">
      <c r="A1239" s="21">
        <v>3000005672</v>
      </c>
      <c r="B1239" s="22">
        <v>45922</v>
      </c>
      <c r="C1239" s="20">
        <v>242843650</v>
      </c>
      <c r="D1239" s="21" t="s">
        <v>25</v>
      </c>
      <c r="E1239" s="21">
        <v>1910</v>
      </c>
      <c r="F1239" s="20">
        <v>242843650</v>
      </c>
      <c r="G1239" s="22">
        <v>45923</v>
      </c>
      <c r="H1239" t="s">
        <v>32</v>
      </c>
      <c r="I1239" s="40" t="str">
        <f>IFERROR(IF(VLOOKUP(E1239,extracto!C:C,1,FALSE)=E1239,"pagado","no pagado"),"no pagado")</f>
        <v>pagado</v>
      </c>
      <c r="J1239" s="41" t="str">
        <f t="shared" si="558"/>
        <v>pagado</v>
      </c>
      <c r="K1239" s="40" t="str">
        <f t="shared" ca="1" si="559"/>
        <v>excluir</v>
      </c>
      <c r="L1239" s="40" t="str">
        <f t="shared" ca="1" si="560"/>
        <v>no semana</v>
      </c>
      <c r="M1239" s="40" t="str">
        <f>IFERROR(VLOOKUP(E1239,'cheques a conf'!A:D,4,FALSE),"no clearing")</f>
        <v>no clearing</v>
      </c>
      <c r="N1239" s="40">
        <f t="shared" si="561"/>
        <v>39</v>
      </c>
      <c r="O1239" s="42">
        <f t="shared" si="562"/>
        <v>9</v>
      </c>
      <c r="P1239" s="42">
        <f t="shared" si="563"/>
        <v>2025</v>
      </c>
    </row>
    <row r="1240" spans="1:16" x14ac:dyDescent="0.25">
      <c r="A1240" s="21">
        <v>3000005673</v>
      </c>
      <c r="B1240" s="22">
        <v>45922</v>
      </c>
      <c r="C1240" s="20">
        <v>32420399.239999998</v>
      </c>
      <c r="D1240" s="21" t="s">
        <v>631</v>
      </c>
      <c r="E1240" s="21">
        <v>1911</v>
      </c>
      <c r="F1240" s="20">
        <v>32420399.239999998</v>
      </c>
      <c r="G1240" s="22">
        <v>45925</v>
      </c>
      <c r="H1240" t="s">
        <v>32</v>
      </c>
      <c r="I1240" s="40" t="str">
        <f>IFERROR(IF(VLOOKUP(E1240,extracto!C:C,1,FALSE)=E1240,"pagado","no pagado"),"no pagado")</f>
        <v>pagado</v>
      </c>
      <c r="J1240" s="41" t="str">
        <f t="shared" si="558"/>
        <v>pagado</v>
      </c>
      <c r="K1240" s="40" t="str">
        <f t="shared" ca="1" si="559"/>
        <v>excluir</v>
      </c>
      <c r="L1240" s="40" t="str">
        <f t="shared" ca="1" si="560"/>
        <v>no semana</v>
      </c>
      <c r="M1240" s="40" t="str">
        <f>IFERROR(VLOOKUP(E1240,'cheques a conf'!A:D,4,FALSE),"no clearing")</f>
        <v>no clearing</v>
      </c>
      <c r="N1240" s="40">
        <f t="shared" si="561"/>
        <v>39</v>
      </c>
      <c r="O1240" s="42">
        <f t="shared" si="562"/>
        <v>9</v>
      </c>
      <c r="P1240" s="42">
        <f t="shared" si="563"/>
        <v>2025</v>
      </c>
    </row>
    <row r="1241" spans="1:16" x14ac:dyDescent="0.25">
      <c r="A1241" s="21">
        <v>3000005674</v>
      </c>
      <c r="B1241" s="22">
        <v>45922</v>
      </c>
      <c r="C1241" s="20">
        <v>9933870.9199999999</v>
      </c>
      <c r="D1241" s="21" t="s">
        <v>626</v>
      </c>
      <c r="E1241" s="21">
        <v>1912</v>
      </c>
      <c r="F1241" s="20">
        <v>9933870.9199999999</v>
      </c>
      <c r="G1241" s="22">
        <v>45925</v>
      </c>
      <c r="H1241" t="s">
        <v>32</v>
      </c>
      <c r="I1241" s="40" t="str">
        <f>IFERROR(IF(VLOOKUP(E1241,extracto!C:C,1,FALSE)=E1241,"pagado","no pagado"),"no pagado")</f>
        <v>pagado</v>
      </c>
      <c r="J1241" s="41" t="str">
        <f t="shared" si="558"/>
        <v>pagado</v>
      </c>
      <c r="K1241" s="40" t="str">
        <f t="shared" ca="1" si="559"/>
        <v>excluir</v>
      </c>
      <c r="L1241" s="40" t="str">
        <f t="shared" ca="1" si="560"/>
        <v>no semana</v>
      </c>
      <c r="M1241" s="40" t="str">
        <f>IFERROR(VLOOKUP(E1241,'cheques a conf'!A:D,4,FALSE),"no clearing")</f>
        <v>no clearing</v>
      </c>
      <c r="N1241" s="40">
        <f t="shared" si="561"/>
        <v>39</v>
      </c>
      <c r="O1241" s="42">
        <f t="shared" si="562"/>
        <v>9</v>
      </c>
      <c r="P1241" s="42">
        <f t="shared" si="563"/>
        <v>2025</v>
      </c>
    </row>
    <row r="1242" spans="1:16" x14ac:dyDescent="0.25">
      <c r="A1242" s="21">
        <v>3000005675</v>
      </c>
      <c r="B1242" s="22">
        <v>45922</v>
      </c>
      <c r="C1242" s="20">
        <v>5000000</v>
      </c>
      <c r="D1242" s="21" t="s">
        <v>595</v>
      </c>
      <c r="E1242" s="21">
        <v>1913</v>
      </c>
      <c r="F1242" s="20">
        <v>5000000</v>
      </c>
      <c r="G1242" s="22">
        <v>45925</v>
      </c>
      <c r="H1242" t="s">
        <v>32</v>
      </c>
      <c r="I1242" s="40" t="str">
        <f>IFERROR(IF(VLOOKUP(E1242,extracto!C:C,1,FALSE)=E1242,"pagado","no pagado"),"no pagado")</f>
        <v>pagado</v>
      </c>
      <c r="J1242" s="41" t="str">
        <f t="shared" si="558"/>
        <v>pagado</v>
      </c>
      <c r="K1242" s="40" t="str">
        <f t="shared" ca="1" si="559"/>
        <v>excluir</v>
      </c>
      <c r="L1242" s="40" t="str">
        <f t="shared" ca="1" si="560"/>
        <v>no semana</v>
      </c>
      <c r="M1242" s="40" t="str">
        <f>IFERROR(VLOOKUP(E1242,'cheques a conf'!A:D,4,FALSE),"no clearing")</f>
        <v>no clearing</v>
      </c>
      <c r="N1242" s="40">
        <f t="shared" si="561"/>
        <v>39</v>
      </c>
      <c r="O1242" s="42">
        <f t="shared" si="562"/>
        <v>9</v>
      </c>
      <c r="P1242" s="42">
        <f t="shared" si="563"/>
        <v>2025</v>
      </c>
    </row>
    <row r="1243" spans="1:16" x14ac:dyDescent="0.25">
      <c r="A1243" s="21">
        <v>3000005675</v>
      </c>
      <c r="B1243" s="22">
        <v>45922</v>
      </c>
      <c r="C1243" s="20">
        <v>5115362.1100000003</v>
      </c>
      <c r="D1243" s="21" t="s">
        <v>595</v>
      </c>
      <c r="E1243" s="21">
        <v>1914</v>
      </c>
      <c r="F1243" s="20">
        <v>5115362.1100000003</v>
      </c>
      <c r="G1243" s="22">
        <v>45925</v>
      </c>
      <c r="H1243" t="s">
        <v>32</v>
      </c>
      <c r="I1243" s="40" t="str">
        <f>IFERROR(IF(VLOOKUP(E1243,extracto!C:C,1,FALSE)=E1243,"pagado","no pagado"),"no pagado")</f>
        <v>pagado</v>
      </c>
      <c r="J1243" s="41" t="str">
        <f t="shared" si="558"/>
        <v>pagado</v>
      </c>
      <c r="K1243" s="40" t="str">
        <f t="shared" ca="1" si="559"/>
        <v>excluir</v>
      </c>
      <c r="L1243" s="40" t="str">
        <f t="shared" ca="1" si="560"/>
        <v>no semana</v>
      </c>
      <c r="M1243" s="40" t="str">
        <f>IFERROR(VLOOKUP(E1243,'cheques a conf'!A:D,4,FALSE),"no clearing")</f>
        <v>no clearing</v>
      </c>
      <c r="N1243" s="40">
        <f t="shared" si="561"/>
        <v>39</v>
      </c>
      <c r="O1243" s="42">
        <f t="shared" si="562"/>
        <v>9</v>
      </c>
      <c r="P1243" s="42">
        <f t="shared" si="563"/>
        <v>2025</v>
      </c>
    </row>
    <row r="1244" spans="1:16" x14ac:dyDescent="0.25">
      <c r="A1244" s="21">
        <v>3000005676</v>
      </c>
      <c r="B1244" s="22">
        <v>45922</v>
      </c>
      <c r="C1244" s="20">
        <v>4817716.3600000003</v>
      </c>
      <c r="D1244" s="21" t="s">
        <v>782</v>
      </c>
      <c r="E1244" s="21">
        <v>1915</v>
      </c>
      <c r="F1244" s="20">
        <v>4817716.3600000003</v>
      </c>
      <c r="G1244" s="22">
        <v>45925</v>
      </c>
      <c r="H1244" t="s">
        <v>32</v>
      </c>
      <c r="I1244" s="40" t="str">
        <f>IFERROR(IF(VLOOKUP(E1244,extracto!C:C,1,FALSE)=E1244,"pagado","no pagado"),"no pagado")</f>
        <v>pagado</v>
      </c>
      <c r="J1244" s="41" t="str">
        <f t="shared" si="558"/>
        <v>pagado</v>
      </c>
      <c r="K1244" s="40" t="str">
        <f t="shared" ca="1" si="559"/>
        <v>excluir</v>
      </c>
      <c r="L1244" s="40" t="str">
        <f t="shared" ca="1" si="560"/>
        <v>no semana</v>
      </c>
      <c r="M1244" s="40" t="str">
        <f>IFERROR(VLOOKUP(E1244,'cheques a conf'!A:D,4,FALSE),"no clearing")</f>
        <v>no clearing</v>
      </c>
      <c r="N1244" s="40">
        <f t="shared" si="561"/>
        <v>39</v>
      </c>
      <c r="O1244" s="42">
        <f t="shared" si="562"/>
        <v>9</v>
      </c>
      <c r="P1244" s="42">
        <f t="shared" si="563"/>
        <v>2025</v>
      </c>
    </row>
    <row r="1245" spans="1:16" x14ac:dyDescent="0.25">
      <c r="A1245" s="21">
        <v>3000005677</v>
      </c>
      <c r="B1245" s="22">
        <v>45922</v>
      </c>
      <c r="C1245" s="20">
        <v>26497240.32</v>
      </c>
      <c r="D1245" s="21" t="s">
        <v>600</v>
      </c>
      <c r="E1245" s="21">
        <v>1916</v>
      </c>
      <c r="F1245" s="20">
        <v>26497240.32</v>
      </c>
      <c r="G1245" s="22">
        <v>45925</v>
      </c>
      <c r="H1245" t="s">
        <v>32</v>
      </c>
      <c r="I1245" s="40" t="str">
        <f>IFERROR(IF(VLOOKUP(E1245,extracto!C:C,1,FALSE)=E1245,"pagado","no pagado"),"no pagado")</f>
        <v>pagado</v>
      </c>
      <c r="J1245" s="41" t="str">
        <f t="shared" si="558"/>
        <v>pagado</v>
      </c>
      <c r="K1245" s="40" t="str">
        <f t="shared" ca="1" si="559"/>
        <v>excluir</v>
      </c>
      <c r="L1245" s="40" t="str">
        <f t="shared" ca="1" si="560"/>
        <v>no semana</v>
      </c>
      <c r="M1245" s="40" t="str">
        <f>IFERROR(VLOOKUP(E1245,'cheques a conf'!A:D,4,FALSE),"no clearing")</f>
        <v>no clearing</v>
      </c>
      <c r="N1245" s="40">
        <f t="shared" si="561"/>
        <v>39</v>
      </c>
      <c r="O1245" s="42">
        <f t="shared" si="562"/>
        <v>9</v>
      </c>
      <c r="P1245" s="42">
        <f t="shared" si="563"/>
        <v>2025</v>
      </c>
    </row>
    <row r="1246" spans="1:16" x14ac:dyDescent="0.25">
      <c r="A1246" s="21">
        <v>3000005678</v>
      </c>
      <c r="B1246" s="22">
        <v>45922</v>
      </c>
      <c r="C1246" s="20">
        <v>5064378.8</v>
      </c>
      <c r="D1246" s="21" t="s">
        <v>783</v>
      </c>
      <c r="E1246" s="21">
        <v>1917</v>
      </c>
      <c r="F1246" s="20">
        <v>5064378.8</v>
      </c>
      <c r="G1246" s="22">
        <v>45925</v>
      </c>
      <c r="H1246" t="s">
        <v>32</v>
      </c>
      <c r="I1246" s="40" t="str">
        <f>IFERROR(IF(VLOOKUP(E1246,extracto!C:C,1,FALSE)=E1246,"pagado","no pagado"),"no pagado")</f>
        <v>pagado</v>
      </c>
      <c r="J1246" s="41" t="str">
        <f t="shared" si="558"/>
        <v>pagado</v>
      </c>
      <c r="K1246" s="40" t="str">
        <f t="shared" ca="1" si="559"/>
        <v>excluir</v>
      </c>
      <c r="L1246" s="40" t="str">
        <f t="shared" ca="1" si="560"/>
        <v>no semana</v>
      </c>
      <c r="M1246" s="40" t="str">
        <f>IFERROR(VLOOKUP(E1246,'cheques a conf'!A:D,4,FALSE),"no clearing")</f>
        <v>no clearing</v>
      </c>
      <c r="N1246" s="40">
        <f t="shared" si="561"/>
        <v>39</v>
      </c>
      <c r="O1246" s="42">
        <f t="shared" si="562"/>
        <v>9</v>
      </c>
      <c r="P1246" s="42">
        <f t="shared" si="563"/>
        <v>2025</v>
      </c>
    </row>
    <row r="1247" spans="1:16" x14ac:dyDescent="0.25">
      <c r="A1247" s="21">
        <v>3000005679</v>
      </c>
      <c r="B1247" s="22">
        <v>45922</v>
      </c>
      <c r="C1247" s="20">
        <v>7126916.9500000002</v>
      </c>
      <c r="D1247" s="21" t="s">
        <v>71</v>
      </c>
      <c r="E1247" s="21">
        <v>1918</v>
      </c>
      <c r="F1247" s="20">
        <v>7126916.9500000002</v>
      </c>
      <c r="G1247" s="22">
        <v>45925</v>
      </c>
      <c r="H1247" t="s">
        <v>32</v>
      </c>
      <c r="I1247" s="40" t="str">
        <f>IFERROR(IF(VLOOKUP(E1247,extracto!C:C,1,FALSE)=E1247,"pagado","no pagado"),"no pagado")</f>
        <v>pagado</v>
      </c>
      <c r="J1247" s="41" t="str">
        <f t="shared" si="558"/>
        <v>pagado</v>
      </c>
      <c r="K1247" s="40" t="str">
        <f t="shared" ca="1" si="559"/>
        <v>excluir</v>
      </c>
      <c r="L1247" s="40" t="str">
        <f t="shared" ca="1" si="560"/>
        <v>no semana</v>
      </c>
      <c r="M1247" s="40" t="str">
        <f>IFERROR(VLOOKUP(E1247,'cheques a conf'!A:D,4,FALSE),"no clearing")</f>
        <v>no clearing</v>
      </c>
      <c r="N1247" s="40">
        <f t="shared" si="561"/>
        <v>39</v>
      </c>
      <c r="O1247" s="42">
        <f t="shared" si="562"/>
        <v>9</v>
      </c>
      <c r="P1247" s="42">
        <f t="shared" si="563"/>
        <v>2025</v>
      </c>
    </row>
    <row r="1248" spans="1:16" x14ac:dyDescent="0.25">
      <c r="A1248" s="21">
        <v>3000005680</v>
      </c>
      <c r="B1248" s="22">
        <v>45922</v>
      </c>
      <c r="C1248" s="20">
        <v>1770060</v>
      </c>
      <c r="D1248" s="21" t="s">
        <v>25</v>
      </c>
      <c r="E1248" s="21">
        <v>1919</v>
      </c>
      <c r="F1248" s="20">
        <v>1770060</v>
      </c>
      <c r="G1248" s="22">
        <v>45925</v>
      </c>
      <c r="H1248" t="s">
        <v>32</v>
      </c>
      <c r="I1248" s="40" t="str">
        <f>IFERROR(IF(VLOOKUP(E1248,extracto!C:C,1,FALSE)=E1248,"pagado","no pagado"),"no pagado")</f>
        <v>pagado</v>
      </c>
      <c r="J1248" s="41" t="str">
        <f t="shared" si="558"/>
        <v>pagado</v>
      </c>
      <c r="K1248" s="40" t="str">
        <f t="shared" ca="1" si="559"/>
        <v>excluir</v>
      </c>
      <c r="L1248" s="40" t="str">
        <f t="shared" ca="1" si="560"/>
        <v>no semana</v>
      </c>
      <c r="M1248" s="40" t="str">
        <f>IFERROR(VLOOKUP(E1248,'cheques a conf'!A:D,4,FALSE),"no clearing")</f>
        <v>no clearing</v>
      </c>
      <c r="N1248" s="40">
        <f t="shared" si="561"/>
        <v>39</v>
      </c>
      <c r="O1248" s="42">
        <f t="shared" si="562"/>
        <v>9</v>
      </c>
      <c r="P1248" s="42">
        <f t="shared" si="563"/>
        <v>2025</v>
      </c>
    </row>
    <row r="1249" spans="1:16" x14ac:dyDescent="0.25">
      <c r="A1249" s="21">
        <v>3000005681</v>
      </c>
      <c r="B1249" s="22">
        <v>45922</v>
      </c>
      <c r="C1249" s="20">
        <v>6536406.8399999999</v>
      </c>
      <c r="D1249" s="21" t="s">
        <v>31</v>
      </c>
      <c r="E1249" s="21">
        <v>1920</v>
      </c>
      <c r="F1249" s="20">
        <v>6536406.8399999999</v>
      </c>
      <c r="G1249" s="22">
        <v>45926</v>
      </c>
      <c r="H1249" t="s">
        <v>32</v>
      </c>
      <c r="I1249" s="40" t="str">
        <f>IFERROR(IF(VLOOKUP(E1249,extracto!C:C,1,FALSE)=E1249,"pagado","no pagado"),"no pagado")</f>
        <v>pagado</v>
      </c>
      <c r="J1249" s="41" t="str">
        <f t="shared" si="558"/>
        <v>pagado</v>
      </c>
      <c r="K1249" s="40" t="str">
        <f t="shared" ca="1" si="559"/>
        <v>excluir</v>
      </c>
      <c r="L1249" s="40" t="str">
        <f t="shared" ca="1" si="560"/>
        <v>no semana</v>
      </c>
      <c r="M1249" s="40" t="str">
        <f>IFERROR(VLOOKUP(E1249,'cheques a conf'!A:D,4,FALSE),"no clearing")</f>
        <v>no clearing</v>
      </c>
      <c r="N1249" s="40">
        <f t="shared" si="561"/>
        <v>39</v>
      </c>
      <c r="O1249" s="42">
        <f t="shared" si="562"/>
        <v>9</v>
      </c>
      <c r="P1249" s="42">
        <f t="shared" si="563"/>
        <v>2025</v>
      </c>
    </row>
    <row r="1250" spans="1:16" x14ac:dyDescent="0.25">
      <c r="A1250" s="21">
        <v>3000005682</v>
      </c>
      <c r="B1250" s="22">
        <v>45922</v>
      </c>
      <c r="C1250" s="20">
        <v>3534056.23</v>
      </c>
      <c r="D1250" s="21" t="s">
        <v>679</v>
      </c>
      <c r="E1250" s="21">
        <v>1921</v>
      </c>
      <c r="F1250" s="20">
        <v>3534056.23</v>
      </c>
      <c r="G1250" s="22">
        <v>45926</v>
      </c>
      <c r="H1250" t="s">
        <v>32</v>
      </c>
      <c r="I1250" s="40" t="str">
        <f>IFERROR(IF(VLOOKUP(E1250,extracto!C:C,1,FALSE)=E1250,"pagado","no pagado"),"no pagado")</f>
        <v>pagado</v>
      </c>
      <c r="J1250" s="41" t="str">
        <f t="shared" si="558"/>
        <v>pagado</v>
      </c>
      <c r="K1250" s="40" t="str">
        <f t="shared" ca="1" si="559"/>
        <v>excluir</v>
      </c>
      <c r="L1250" s="40" t="str">
        <f t="shared" ca="1" si="560"/>
        <v>no semana</v>
      </c>
      <c r="M1250" s="40" t="str">
        <f>IFERROR(VLOOKUP(E1250,'cheques a conf'!A:D,4,FALSE),"no clearing")</f>
        <v>no clearing</v>
      </c>
      <c r="N1250" s="40">
        <f t="shared" si="561"/>
        <v>39</v>
      </c>
      <c r="O1250" s="42">
        <f t="shared" si="562"/>
        <v>9</v>
      </c>
      <c r="P1250" s="42">
        <f t="shared" si="563"/>
        <v>2025</v>
      </c>
    </row>
    <row r="1251" spans="1:16" x14ac:dyDescent="0.25">
      <c r="A1251" s="21">
        <v>3000005683</v>
      </c>
      <c r="B1251" s="22">
        <v>45922</v>
      </c>
      <c r="C1251" s="20">
        <v>3217507.5</v>
      </c>
      <c r="D1251" s="21" t="s">
        <v>667</v>
      </c>
      <c r="E1251" s="21">
        <v>1922</v>
      </c>
      <c r="F1251" s="20">
        <v>3217507.5</v>
      </c>
      <c r="G1251" s="22">
        <v>45926</v>
      </c>
      <c r="H1251" t="s">
        <v>32</v>
      </c>
      <c r="I1251" s="40" t="str">
        <f>IFERROR(IF(VLOOKUP(E1251,extracto!C:C,1,FALSE)=E1251,"pagado","no pagado"),"no pagado")</f>
        <v>pagado</v>
      </c>
      <c r="J1251" s="41" t="str">
        <f t="shared" si="558"/>
        <v>pagado</v>
      </c>
      <c r="K1251" s="40" t="str">
        <f t="shared" ca="1" si="559"/>
        <v>excluir</v>
      </c>
      <c r="L1251" s="40" t="str">
        <f t="shared" ca="1" si="560"/>
        <v>no semana</v>
      </c>
      <c r="M1251" s="40" t="str">
        <f>IFERROR(VLOOKUP(E1251,'cheques a conf'!A:D,4,FALSE),"no clearing")</f>
        <v>no clearing</v>
      </c>
      <c r="N1251" s="40">
        <f t="shared" si="561"/>
        <v>39</v>
      </c>
      <c r="O1251" s="42">
        <f t="shared" si="562"/>
        <v>9</v>
      </c>
      <c r="P1251" s="42">
        <f t="shared" si="563"/>
        <v>2025</v>
      </c>
    </row>
    <row r="1252" spans="1:16" x14ac:dyDescent="0.25">
      <c r="A1252" s="21">
        <v>3000005684</v>
      </c>
      <c r="B1252" s="22">
        <v>45922</v>
      </c>
      <c r="C1252" s="20">
        <v>5426927.2000000002</v>
      </c>
      <c r="D1252" s="21" t="s">
        <v>733</v>
      </c>
      <c r="E1252" s="21">
        <v>1923</v>
      </c>
      <c r="F1252" s="20">
        <v>5426927.2000000002</v>
      </c>
      <c r="G1252" s="22">
        <v>45926</v>
      </c>
      <c r="H1252" t="s">
        <v>32</v>
      </c>
      <c r="I1252" s="40" t="str">
        <f>IFERROR(IF(VLOOKUP(E1252,extracto!C:C,1,FALSE)=E1252,"pagado","no pagado"),"no pagado")</f>
        <v>pagado</v>
      </c>
      <c r="J1252" s="41" t="str">
        <f t="shared" si="558"/>
        <v>pagado</v>
      </c>
      <c r="K1252" s="40" t="str">
        <f t="shared" ca="1" si="559"/>
        <v>excluir</v>
      </c>
      <c r="L1252" s="40" t="str">
        <f t="shared" ca="1" si="560"/>
        <v>no semana</v>
      </c>
      <c r="M1252" s="40" t="str">
        <f>IFERROR(VLOOKUP(E1252,'cheques a conf'!A:D,4,FALSE),"no clearing")</f>
        <v>no clearing</v>
      </c>
      <c r="N1252" s="40">
        <f t="shared" si="561"/>
        <v>39</v>
      </c>
      <c r="O1252" s="42">
        <f t="shared" si="562"/>
        <v>9</v>
      </c>
      <c r="P1252" s="42">
        <f t="shared" si="563"/>
        <v>2025</v>
      </c>
    </row>
    <row r="1253" spans="1:16" x14ac:dyDescent="0.25">
      <c r="A1253" s="21">
        <v>3000005685</v>
      </c>
      <c r="B1253" s="22">
        <v>45922</v>
      </c>
      <c r="C1253" s="20">
        <v>9614647.4900000002</v>
      </c>
      <c r="D1253" s="21" t="s">
        <v>695</v>
      </c>
      <c r="E1253" s="21">
        <v>1924</v>
      </c>
      <c r="F1253" s="20">
        <v>9614647.4900000002</v>
      </c>
      <c r="G1253" s="22">
        <v>45926</v>
      </c>
      <c r="H1253" t="s">
        <v>32</v>
      </c>
      <c r="I1253" s="40" t="str">
        <f>IFERROR(IF(VLOOKUP(E1253,extracto!C:C,1,FALSE)=E1253,"pagado","no pagado"),"no pagado")</f>
        <v>pagado</v>
      </c>
      <c r="J1253" s="41" t="str">
        <f t="shared" ref="J1253" si="564">IF(I1253="pagado","pagado",IF(G1253&lt;$V$1-30,"fuera de fecha","en periodo de pago"))</f>
        <v>pagado</v>
      </c>
      <c r="K1253" s="40" t="str">
        <f t="shared" ref="K1253" ca="1" si="565">+IF(B1253&gt;$V$1,"excluir",IF(J1253="en periodo de pago",IF($V$1&gt;G1253,"a pagar","proximo a vencer"),"excluir"))</f>
        <v>excluir</v>
      </c>
      <c r="L1253" s="40" t="str">
        <f t="shared" ref="L1253" ca="1" si="566">+IF(K1253="proximo a vencer",IF($V$1+5&gt;G1253,"para la semana","no semana"),"no semana")</f>
        <v>no semana</v>
      </c>
      <c r="M1253" s="40" t="str">
        <f>IFERROR(VLOOKUP(E1253,'cheques a conf'!A:D,4,FALSE),"no clearing")</f>
        <v>no clearing</v>
      </c>
      <c r="N1253" s="40">
        <f t="shared" ref="N1253" si="567">+WEEKNUM(G1253,2)</f>
        <v>39</v>
      </c>
      <c r="O1253" s="42">
        <f t="shared" ref="O1253" si="568">+MONTH(G1253)</f>
        <v>9</v>
      </c>
      <c r="P1253" s="42">
        <f t="shared" ref="P1253" si="569">+YEAR(G1253)</f>
        <v>2025</v>
      </c>
    </row>
    <row r="1254" spans="1:16" x14ac:dyDescent="0.25">
      <c r="A1254" s="21">
        <v>3000005686</v>
      </c>
      <c r="B1254" s="22">
        <v>45922</v>
      </c>
      <c r="C1254" s="20">
        <v>4817398.68</v>
      </c>
      <c r="D1254" s="21" t="s">
        <v>640</v>
      </c>
      <c r="E1254" s="21">
        <v>1925</v>
      </c>
      <c r="F1254" s="20">
        <v>4817398.68</v>
      </c>
      <c r="G1254" s="22">
        <v>45926</v>
      </c>
      <c r="H1254" t="s">
        <v>32</v>
      </c>
      <c r="I1254" s="40" t="str">
        <f>IFERROR(IF(VLOOKUP(E1254,extracto!C:C,1,FALSE)=E1254,"pagado","no pagado"),"no pagado")</f>
        <v>pagado</v>
      </c>
      <c r="J1254" s="41" t="str">
        <f t="shared" ref="J1254:J1264" si="570">IF(I1254="pagado","pagado",IF(G1254&lt;$V$1-30,"fuera de fecha","en periodo de pago"))</f>
        <v>pagado</v>
      </c>
      <c r="K1254" s="40" t="str">
        <f t="shared" ref="K1254:K1264" ca="1" si="571">+IF(B1254&gt;$V$1,"excluir",IF(J1254="en periodo de pago",IF($V$1&gt;G1254,"a pagar","proximo a vencer"),"excluir"))</f>
        <v>excluir</v>
      </c>
      <c r="L1254" s="40" t="str">
        <f t="shared" ref="L1254:L1264" ca="1" si="572">+IF(K1254="proximo a vencer",IF($V$1+5&gt;G1254,"para la semana","no semana"),"no semana")</f>
        <v>no semana</v>
      </c>
      <c r="M1254" s="40" t="str">
        <f>IFERROR(VLOOKUP(E1254,'cheques a conf'!A:D,4,FALSE),"no clearing")</f>
        <v>no clearing</v>
      </c>
      <c r="N1254" s="40">
        <f t="shared" ref="N1254:N1264" si="573">+WEEKNUM(G1254,2)</f>
        <v>39</v>
      </c>
      <c r="O1254" s="42">
        <f t="shared" ref="O1254:O1264" si="574">+MONTH(G1254)</f>
        <v>9</v>
      </c>
      <c r="P1254" s="42">
        <f t="shared" ref="P1254:P1264" si="575">+YEAR(G1254)</f>
        <v>2025</v>
      </c>
    </row>
    <row r="1255" spans="1:16" x14ac:dyDescent="0.25">
      <c r="A1255" s="21">
        <v>3000005687</v>
      </c>
      <c r="B1255" s="22">
        <v>45922</v>
      </c>
      <c r="C1255" s="20">
        <v>9395488.7400000002</v>
      </c>
      <c r="D1255" s="21" t="s">
        <v>626</v>
      </c>
      <c r="E1255" s="21">
        <v>1926</v>
      </c>
      <c r="F1255" s="20">
        <v>9395488.7400000002</v>
      </c>
      <c r="G1255" s="22">
        <v>45926</v>
      </c>
      <c r="H1255" t="s">
        <v>32</v>
      </c>
      <c r="I1255" s="40" t="str">
        <f>IFERROR(IF(VLOOKUP(E1255,extracto!C:C,1,FALSE)=E1255,"pagado","no pagado"),"no pagado")</f>
        <v>pagado</v>
      </c>
      <c r="J1255" s="41" t="str">
        <f t="shared" si="570"/>
        <v>pagado</v>
      </c>
      <c r="K1255" s="40" t="str">
        <f t="shared" ca="1" si="571"/>
        <v>excluir</v>
      </c>
      <c r="L1255" s="40" t="str">
        <f t="shared" ca="1" si="572"/>
        <v>no semana</v>
      </c>
      <c r="M1255" s="40" t="str">
        <f>IFERROR(VLOOKUP(E1255,'cheques a conf'!A:D,4,FALSE),"no clearing")</f>
        <v>no clearing</v>
      </c>
      <c r="N1255" s="40">
        <f t="shared" si="573"/>
        <v>39</v>
      </c>
      <c r="O1255" s="42">
        <f t="shared" si="574"/>
        <v>9</v>
      </c>
      <c r="P1255" s="42">
        <f t="shared" si="575"/>
        <v>2025</v>
      </c>
    </row>
    <row r="1256" spans="1:16" x14ac:dyDescent="0.25">
      <c r="A1256" s="21">
        <v>3000005688</v>
      </c>
      <c r="B1256" s="22">
        <v>45922</v>
      </c>
      <c r="C1256" s="20">
        <v>23236477.52</v>
      </c>
      <c r="D1256" s="21" t="s">
        <v>631</v>
      </c>
      <c r="E1256" s="21">
        <v>1927</v>
      </c>
      <c r="F1256" s="20">
        <v>23236477.52</v>
      </c>
      <c r="G1256" s="22">
        <v>45926</v>
      </c>
      <c r="H1256" t="s">
        <v>32</v>
      </c>
      <c r="I1256" s="40" t="str">
        <f>IFERROR(IF(VLOOKUP(E1256,extracto!C:C,1,FALSE)=E1256,"pagado","no pagado"),"no pagado")</f>
        <v>pagado</v>
      </c>
      <c r="J1256" s="41" t="str">
        <f t="shared" si="570"/>
        <v>pagado</v>
      </c>
      <c r="K1256" s="40" t="str">
        <f t="shared" ca="1" si="571"/>
        <v>excluir</v>
      </c>
      <c r="L1256" s="40" t="str">
        <f t="shared" ca="1" si="572"/>
        <v>no semana</v>
      </c>
      <c r="M1256" s="40" t="str">
        <f>IFERROR(VLOOKUP(E1256,'cheques a conf'!A:D,4,FALSE),"no clearing")</f>
        <v>no clearing</v>
      </c>
      <c r="N1256" s="40">
        <f t="shared" si="573"/>
        <v>39</v>
      </c>
      <c r="O1256" s="42">
        <f t="shared" si="574"/>
        <v>9</v>
      </c>
      <c r="P1256" s="42">
        <f t="shared" si="575"/>
        <v>2025</v>
      </c>
    </row>
    <row r="1257" spans="1:16" x14ac:dyDescent="0.25">
      <c r="A1257" s="21">
        <v>3000005689</v>
      </c>
      <c r="B1257" s="22">
        <v>45922</v>
      </c>
      <c r="C1257" s="20">
        <v>33739733.549999997</v>
      </c>
      <c r="D1257" s="21" t="s">
        <v>595</v>
      </c>
      <c r="E1257" s="21">
        <v>1928</v>
      </c>
      <c r="F1257" s="20">
        <v>33739733.549999997</v>
      </c>
      <c r="G1257" s="22">
        <v>45926</v>
      </c>
      <c r="H1257" t="s">
        <v>32</v>
      </c>
      <c r="I1257" s="40" t="str">
        <f>IFERROR(IF(VLOOKUP(E1257,extracto!C:C,1,FALSE)=E1257,"pagado","no pagado"),"no pagado")</f>
        <v>pagado</v>
      </c>
      <c r="J1257" s="41" t="str">
        <f t="shared" si="570"/>
        <v>pagado</v>
      </c>
      <c r="K1257" s="40" t="str">
        <f t="shared" ca="1" si="571"/>
        <v>excluir</v>
      </c>
      <c r="L1257" s="40" t="str">
        <f t="shared" ca="1" si="572"/>
        <v>no semana</v>
      </c>
      <c r="M1257" s="40" t="str">
        <f>IFERROR(VLOOKUP(E1257,'cheques a conf'!A:D,4,FALSE),"no clearing")</f>
        <v>no clearing</v>
      </c>
      <c r="N1257" s="40">
        <f t="shared" si="573"/>
        <v>39</v>
      </c>
      <c r="O1257" s="42">
        <f t="shared" si="574"/>
        <v>9</v>
      </c>
      <c r="P1257" s="42">
        <f t="shared" si="575"/>
        <v>2025</v>
      </c>
    </row>
    <row r="1258" spans="1:16" x14ac:dyDescent="0.25">
      <c r="A1258" s="21">
        <v>3000005690</v>
      </c>
      <c r="B1258" s="22">
        <v>45922</v>
      </c>
      <c r="C1258" s="20">
        <v>32086562.510000002</v>
      </c>
      <c r="D1258" s="21" t="s">
        <v>644</v>
      </c>
      <c r="E1258" s="21">
        <v>1929</v>
      </c>
      <c r="F1258" s="20">
        <v>32086562.510000002</v>
      </c>
      <c r="G1258" s="22">
        <v>45926</v>
      </c>
      <c r="H1258" t="s">
        <v>32</v>
      </c>
      <c r="I1258" s="40" t="str">
        <f>IFERROR(IF(VLOOKUP(E1258,extracto!C:C,1,FALSE)=E1258,"pagado","no pagado"),"no pagado")</f>
        <v>pagado</v>
      </c>
      <c r="J1258" s="41" t="str">
        <f t="shared" si="570"/>
        <v>pagado</v>
      </c>
      <c r="K1258" s="40" t="str">
        <f t="shared" ca="1" si="571"/>
        <v>excluir</v>
      </c>
      <c r="L1258" s="40" t="str">
        <f t="shared" ca="1" si="572"/>
        <v>no semana</v>
      </c>
      <c r="M1258" s="40" t="str">
        <f>IFERROR(VLOOKUP(E1258,'cheques a conf'!A:D,4,FALSE),"no clearing")</f>
        <v>no clearing</v>
      </c>
      <c r="N1258" s="40">
        <f t="shared" si="573"/>
        <v>39</v>
      </c>
      <c r="O1258" s="42">
        <f t="shared" si="574"/>
        <v>9</v>
      </c>
      <c r="P1258" s="42">
        <f t="shared" si="575"/>
        <v>2025</v>
      </c>
    </row>
    <row r="1259" spans="1:16" x14ac:dyDescent="0.25">
      <c r="A1259" s="21">
        <v>3000005691</v>
      </c>
      <c r="B1259" s="22">
        <v>45922</v>
      </c>
      <c r="C1259" s="20">
        <v>3726540</v>
      </c>
      <c r="D1259" s="21" t="s">
        <v>746</v>
      </c>
      <c r="E1259" s="21">
        <v>1930</v>
      </c>
      <c r="F1259" s="20">
        <v>3726540</v>
      </c>
      <c r="G1259" s="22">
        <v>45926</v>
      </c>
      <c r="H1259" t="s">
        <v>32</v>
      </c>
      <c r="I1259" s="40" t="str">
        <f>IFERROR(IF(VLOOKUP(E1259,extracto!C:C,1,FALSE)=E1259,"pagado","no pagado"),"no pagado")</f>
        <v>pagado</v>
      </c>
      <c r="J1259" s="41" t="str">
        <f t="shared" si="570"/>
        <v>pagado</v>
      </c>
      <c r="K1259" s="40" t="str">
        <f t="shared" ca="1" si="571"/>
        <v>excluir</v>
      </c>
      <c r="L1259" s="40" t="str">
        <f t="shared" ca="1" si="572"/>
        <v>no semana</v>
      </c>
      <c r="M1259" s="40" t="str">
        <f>IFERROR(VLOOKUP(E1259,'cheques a conf'!A:D,4,FALSE),"no clearing")</f>
        <v>no clearing</v>
      </c>
      <c r="N1259" s="40">
        <f t="shared" si="573"/>
        <v>39</v>
      </c>
      <c r="O1259" s="42">
        <f t="shared" si="574"/>
        <v>9</v>
      </c>
      <c r="P1259" s="42">
        <f t="shared" si="575"/>
        <v>2025</v>
      </c>
    </row>
    <row r="1260" spans="1:16" x14ac:dyDescent="0.25">
      <c r="A1260" s="21">
        <v>3000005692</v>
      </c>
      <c r="B1260" s="22">
        <v>45922</v>
      </c>
      <c r="C1260" s="20">
        <v>4818493.51</v>
      </c>
      <c r="D1260" s="21" t="s">
        <v>723</v>
      </c>
      <c r="E1260" s="21">
        <v>1931</v>
      </c>
      <c r="F1260" s="20">
        <v>4818493.51</v>
      </c>
      <c r="G1260" s="22">
        <v>45926</v>
      </c>
      <c r="H1260" t="s">
        <v>32</v>
      </c>
      <c r="I1260" s="40" t="str">
        <f>IFERROR(IF(VLOOKUP(E1260,extracto!C:C,1,FALSE)=E1260,"pagado","no pagado"),"no pagado")</f>
        <v>pagado</v>
      </c>
      <c r="J1260" s="41" t="str">
        <f t="shared" si="570"/>
        <v>pagado</v>
      </c>
      <c r="K1260" s="40" t="str">
        <f t="shared" ca="1" si="571"/>
        <v>excluir</v>
      </c>
      <c r="L1260" s="40" t="str">
        <f t="shared" ca="1" si="572"/>
        <v>no semana</v>
      </c>
      <c r="M1260" s="40" t="str">
        <f>IFERROR(VLOOKUP(E1260,'cheques a conf'!A:D,4,FALSE),"no clearing")</f>
        <v>no clearing</v>
      </c>
      <c r="N1260" s="40">
        <f t="shared" si="573"/>
        <v>39</v>
      </c>
      <c r="O1260" s="42">
        <f t="shared" si="574"/>
        <v>9</v>
      </c>
      <c r="P1260" s="42">
        <f t="shared" si="575"/>
        <v>2025</v>
      </c>
    </row>
    <row r="1261" spans="1:16" x14ac:dyDescent="0.25">
      <c r="A1261" s="21">
        <v>3000005693</v>
      </c>
      <c r="B1261" s="22">
        <v>45922</v>
      </c>
      <c r="C1261" s="20">
        <v>4198880.12</v>
      </c>
      <c r="D1261" s="21" t="s">
        <v>33</v>
      </c>
      <c r="E1261" s="21">
        <v>1932</v>
      </c>
      <c r="F1261" s="20">
        <v>4198880.12</v>
      </c>
      <c r="G1261" s="22">
        <v>45926</v>
      </c>
      <c r="H1261" t="s">
        <v>32</v>
      </c>
      <c r="I1261" s="40" t="str">
        <f>IFERROR(IF(VLOOKUP(E1261,extracto!C:C,1,FALSE)=E1261,"pagado","no pagado"),"no pagado")</f>
        <v>pagado</v>
      </c>
      <c r="J1261" s="41" t="str">
        <f t="shared" si="570"/>
        <v>pagado</v>
      </c>
      <c r="K1261" s="40" t="str">
        <f t="shared" ca="1" si="571"/>
        <v>excluir</v>
      </c>
      <c r="L1261" s="40" t="str">
        <f t="shared" ca="1" si="572"/>
        <v>no semana</v>
      </c>
      <c r="M1261" s="40" t="str">
        <f>IFERROR(VLOOKUP(E1261,'cheques a conf'!A:D,4,FALSE),"no clearing")</f>
        <v>no clearing</v>
      </c>
      <c r="N1261" s="40">
        <f t="shared" si="573"/>
        <v>39</v>
      </c>
      <c r="O1261" s="42">
        <f t="shared" si="574"/>
        <v>9</v>
      </c>
      <c r="P1261" s="42">
        <f t="shared" si="575"/>
        <v>2025</v>
      </c>
    </row>
    <row r="1262" spans="1:16" x14ac:dyDescent="0.25">
      <c r="A1262" s="21">
        <v>3000005694</v>
      </c>
      <c r="B1262" s="22">
        <v>45922</v>
      </c>
      <c r="C1262" s="20">
        <v>6269531.9000000004</v>
      </c>
      <c r="D1262" s="21" t="s">
        <v>163</v>
      </c>
      <c r="E1262" s="21">
        <v>1933</v>
      </c>
      <c r="F1262" s="20">
        <v>6269531.9000000004</v>
      </c>
      <c r="G1262" s="22">
        <v>45926</v>
      </c>
      <c r="H1262" t="s">
        <v>32</v>
      </c>
      <c r="I1262" s="40" t="str">
        <f>IFERROR(IF(VLOOKUP(E1262,extracto!C:C,1,FALSE)=E1262,"pagado","no pagado"),"no pagado")</f>
        <v>pagado</v>
      </c>
      <c r="J1262" s="41" t="str">
        <f t="shared" si="570"/>
        <v>pagado</v>
      </c>
      <c r="K1262" s="40" t="str">
        <f t="shared" ca="1" si="571"/>
        <v>excluir</v>
      </c>
      <c r="L1262" s="40" t="str">
        <f t="shared" ca="1" si="572"/>
        <v>no semana</v>
      </c>
      <c r="M1262" s="40" t="str">
        <f>IFERROR(VLOOKUP(E1262,'cheques a conf'!A:D,4,FALSE),"no clearing")</f>
        <v>no clearing</v>
      </c>
      <c r="N1262" s="40">
        <f t="shared" si="573"/>
        <v>39</v>
      </c>
      <c r="O1262" s="42">
        <f t="shared" si="574"/>
        <v>9</v>
      </c>
      <c r="P1262" s="42">
        <f t="shared" si="575"/>
        <v>2025</v>
      </c>
    </row>
    <row r="1263" spans="1:16" x14ac:dyDescent="0.25">
      <c r="A1263" s="21">
        <v>3000005779</v>
      </c>
      <c r="B1263" s="22">
        <v>45925</v>
      </c>
      <c r="C1263" s="20">
        <v>1257492.74</v>
      </c>
      <c r="D1263" s="21" t="s">
        <v>784</v>
      </c>
      <c r="E1263" s="21">
        <v>40272993</v>
      </c>
      <c r="F1263" s="20">
        <v>1257492.74</v>
      </c>
      <c r="G1263" s="22">
        <v>45930</v>
      </c>
      <c r="H1263" t="s">
        <v>79</v>
      </c>
      <c r="I1263" s="40" t="str">
        <f>IFERROR(IF(VLOOKUP(E1263,extracto!C:C,1,FALSE)=E1263,"pagado","no pagado"),"no pagado")</f>
        <v>pagado</v>
      </c>
      <c r="J1263" s="41" t="str">
        <f t="shared" si="570"/>
        <v>pagado</v>
      </c>
      <c r="K1263" s="40" t="str">
        <f t="shared" ca="1" si="571"/>
        <v>excluir</v>
      </c>
      <c r="L1263" s="40" t="str">
        <f t="shared" ca="1" si="572"/>
        <v>no semana</v>
      </c>
      <c r="M1263" s="40" t="str">
        <f>IFERROR(VLOOKUP(E1263,'cheques a conf'!A:D,4,FALSE),"no clearing")</f>
        <v>no clearing</v>
      </c>
      <c r="N1263" s="40">
        <f t="shared" si="573"/>
        <v>40</v>
      </c>
      <c r="O1263" s="42">
        <f t="shared" si="574"/>
        <v>9</v>
      </c>
      <c r="P1263" s="42">
        <f t="shared" si="575"/>
        <v>2025</v>
      </c>
    </row>
    <row r="1264" spans="1:16" x14ac:dyDescent="0.25">
      <c r="A1264" s="21">
        <v>3000005737</v>
      </c>
      <c r="B1264" s="22">
        <v>45923</v>
      </c>
      <c r="C1264" s="20">
        <v>9471982.5299999993</v>
      </c>
      <c r="D1264" s="21" t="s">
        <v>785</v>
      </c>
      <c r="E1264" s="21">
        <v>91002570</v>
      </c>
      <c r="F1264" s="20">
        <v>9471982.5299999993</v>
      </c>
      <c r="G1264" s="22">
        <v>45926</v>
      </c>
      <c r="H1264" t="s">
        <v>79</v>
      </c>
      <c r="I1264" s="40" t="str">
        <f>IFERROR(IF(VLOOKUP(E1264,extracto!C:C,1,FALSE)=E1264,"pagado","no pagado"),"no pagado")</f>
        <v>pagado</v>
      </c>
      <c r="J1264" s="41" t="str">
        <f t="shared" si="570"/>
        <v>pagado</v>
      </c>
      <c r="K1264" s="40" t="str">
        <f t="shared" ca="1" si="571"/>
        <v>excluir</v>
      </c>
      <c r="L1264" s="40" t="str">
        <f t="shared" ca="1" si="572"/>
        <v>no semana</v>
      </c>
      <c r="M1264" s="40" t="str">
        <f>IFERROR(VLOOKUP(E1264,'cheques a conf'!A:D,4,FALSE),"no clearing")</f>
        <v>no clearing</v>
      </c>
      <c r="N1264" s="40">
        <f t="shared" si="573"/>
        <v>39</v>
      </c>
      <c r="O1264" s="42">
        <f t="shared" si="574"/>
        <v>9</v>
      </c>
      <c r="P1264" s="42">
        <f t="shared" si="575"/>
        <v>2025</v>
      </c>
    </row>
    <row r="1265" spans="1:16" x14ac:dyDescent="0.25">
      <c r="A1265" s="21">
        <v>3000005738</v>
      </c>
      <c r="B1265" s="22">
        <v>45923</v>
      </c>
      <c r="C1265" s="20">
        <v>10000000</v>
      </c>
      <c r="D1265" s="21" t="s">
        <v>593</v>
      </c>
      <c r="E1265" s="21">
        <v>91002571</v>
      </c>
      <c r="F1265" s="20">
        <v>10000000</v>
      </c>
      <c r="G1265" s="22">
        <v>45926</v>
      </c>
      <c r="H1265" t="s">
        <v>79</v>
      </c>
      <c r="I1265" s="40" t="str">
        <f>IFERROR(IF(VLOOKUP(E1265,extracto!C:C,1,FALSE)=E1265,"pagado","no pagado"),"no pagado")</f>
        <v>pagado</v>
      </c>
      <c r="J1265" s="41" t="str">
        <f t="shared" ref="J1265:J1267" si="576">IF(I1265="pagado","pagado",IF(G1265&lt;$V$1-30,"fuera de fecha","en periodo de pago"))</f>
        <v>pagado</v>
      </c>
      <c r="K1265" s="40" t="str">
        <f t="shared" ref="K1265:K1267" ca="1" si="577">+IF(B1265&gt;$V$1,"excluir",IF(J1265="en periodo de pago",IF($V$1&gt;G1265,"a pagar","proximo a vencer"),"excluir"))</f>
        <v>excluir</v>
      </c>
      <c r="L1265" s="40" t="str">
        <f t="shared" ref="L1265:L1267" ca="1" si="578">+IF(K1265="proximo a vencer",IF($V$1+5&gt;G1265,"para la semana","no semana"),"no semana")</f>
        <v>no semana</v>
      </c>
      <c r="M1265" s="40" t="str">
        <f>IFERROR(VLOOKUP(E1265,'cheques a conf'!A:D,4,FALSE),"no clearing")</f>
        <v>no clearing</v>
      </c>
      <c r="N1265" s="40">
        <f t="shared" ref="N1265:N1267" si="579">+WEEKNUM(G1265,2)</f>
        <v>39</v>
      </c>
      <c r="O1265" s="42">
        <f t="shared" ref="O1265:O1267" si="580">+MONTH(G1265)</f>
        <v>9</v>
      </c>
      <c r="P1265" s="42">
        <f t="shared" ref="P1265:P1267" si="581">+YEAR(G1265)</f>
        <v>2025</v>
      </c>
    </row>
    <row r="1266" spans="1:16" x14ac:dyDescent="0.25">
      <c r="A1266" s="21">
        <v>3000005738</v>
      </c>
      <c r="B1266" s="22">
        <v>45923</v>
      </c>
      <c r="C1266" s="20">
        <v>9581257.5700000003</v>
      </c>
      <c r="D1266" s="21" t="s">
        <v>593</v>
      </c>
      <c r="E1266" s="21">
        <v>91002572</v>
      </c>
      <c r="F1266" s="20">
        <v>9581257.5700000003</v>
      </c>
      <c r="G1266" s="22">
        <v>45929</v>
      </c>
      <c r="H1266" t="s">
        <v>79</v>
      </c>
      <c r="I1266" s="40" t="str">
        <f>IFERROR(IF(VLOOKUP(E1266,extracto!C:C,1,FALSE)=E1266,"pagado","no pagado"),"no pagado")</f>
        <v>pagado</v>
      </c>
      <c r="J1266" s="41" t="str">
        <f t="shared" si="576"/>
        <v>pagado</v>
      </c>
      <c r="K1266" s="40" t="str">
        <f t="shared" ca="1" si="577"/>
        <v>excluir</v>
      </c>
      <c r="L1266" s="40" t="str">
        <f t="shared" ca="1" si="578"/>
        <v>no semana</v>
      </c>
      <c r="M1266" s="40" t="str">
        <f>IFERROR(VLOOKUP(E1266,'cheques a conf'!A:D,4,FALSE),"no clearing")</f>
        <v>no clearing</v>
      </c>
      <c r="N1266" s="40">
        <f t="shared" si="579"/>
        <v>40</v>
      </c>
      <c r="O1266" s="42">
        <f t="shared" si="580"/>
        <v>9</v>
      </c>
      <c r="P1266" s="42">
        <f t="shared" si="581"/>
        <v>2025</v>
      </c>
    </row>
    <row r="1267" spans="1:16" x14ac:dyDescent="0.25">
      <c r="A1267" s="21">
        <v>3000005739</v>
      </c>
      <c r="B1267" s="22">
        <v>45923</v>
      </c>
      <c r="C1267" s="20">
        <v>20000000</v>
      </c>
      <c r="D1267" s="21" t="s">
        <v>634</v>
      </c>
      <c r="E1267" s="21">
        <v>91002573</v>
      </c>
      <c r="F1267" s="20">
        <v>20000000</v>
      </c>
      <c r="G1267" s="22">
        <v>45926</v>
      </c>
      <c r="H1267" t="s">
        <v>79</v>
      </c>
      <c r="I1267" s="40" t="str">
        <f>IFERROR(IF(VLOOKUP(E1267,extracto!C:C,1,FALSE)=E1267,"pagado","no pagado"),"no pagado")</f>
        <v>pagado</v>
      </c>
      <c r="J1267" s="41" t="str">
        <f t="shared" si="576"/>
        <v>pagado</v>
      </c>
      <c r="K1267" s="40" t="str">
        <f t="shared" ca="1" si="577"/>
        <v>excluir</v>
      </c>
      <c r="L1267" s="40" t="str">
        <f t="shared" ca="1" si="578"/>
        <v>no semana</v>
      </c>
      <c r="M1267" s="40" t="str">
        <f>IFERROR(VLOOKUP(E1267,'cheques a conf'!A:D,4,FALSE),"no clearing")</f>
        <v>no clearing</v>
      </c>
      <c r="N1267" s="40">
        <f t="shared" si="579"/>
        <v>39</v>
      </c>
      <c r="O1267" s="42">
        <f t="shared" si="580"/>
        <v>9</v>
      </c>
      <c r="P1267" s="42">
        <f t="shared" si="581"/>
        <v>2025</v>
      </c>
    </row>
    <row r="1268" spans="1:16" x14ac:dyDescent="0.25">
      <c r="A1268" s="21">
        <v>3000005739</v>
      </c>
      <c r="B1268" s="22">
        <v>45923</v>
      </c>
      <c r="C1268" s="20">
        <v>17856629.920000002</v>
      </c>
      <c r="D1268" s="21" t="s">
        <v>634</v>
      </c>
      <c r="E1268" s="21">
        <v>91002574</v>
      </c>
      <c r="F1268" s="20">
        <v>17856629.920000002</v>
      </c>
      <c r="G1268" s="22">
        <v>45929</v>
      </c>
      <c r="H1268" t="s">
        <v>79</v>
      </c>
      <c r="I1268" s="40" t="str">
        <f>IFERROR(IF(VLOOKUP(E1268,extracto!C:C,1,FALSE)=E1268,"pagado","no pagado"),"no pagado")</f>
        <v>pagado</v>
      </c>
      <c r="J1268" s="41" t="str">
        <f t="shared" ref="J1268:J1275" si="582">IF(I1268="pagado","pagado",IF(G1268&lt;$V$1-30,"fuera de fecha","en periodo de pago"))</f>
        <v>pagado</v>
      </c>
      <c r="K1268" s="40" t="str">
        <f t="shared" ref="K1268:K1275" ca="1" si="583">+IF(B1268&gt;$V$1,"excluir",IF(J1268="en periodo de pago",IF($V$1&gt;G1268,"a pagar","proximo a vencer"),"excluir"))</f>
        <v>excluir</v>
      </c>
      <c r="L1268" s="40" t="str">
        <f t="shared" ref="L1268:L1275" ca="1" si="584">+IF(K1268="proximo a vencer",IF($V$1+5&gt;G1268,"para la semana","no semana"),"no semana")</f>
        <v>no semana</v>
      </c>
      <c r="M1268" s="40" t="str">
        <f>IFERROR(VLOOKUP(E1268,'cheques a conf'!A:D,4,FALSE),"no clearing")</f>
        <v>no clearing</v>
      </c>
      <c r="N1268" s="40">
        <f t="shared" ref="N1268:N1275" si="585">+WEEKNUM(G1268,2)</f>
        <v>40</v>
      </c>
      <c r="O1268" s="42">
        <f t="shared" ref="O1268:O1275" si="586">+MONTH(G1268)</f>
        <v>9</v>
      </c>
      <c r="P1268" s="42">
        <f t="shared" ref="P1268:P1275" si="587">+YEAR(G1268)</f>
        <v>2025</v>
      </c>
    </row>
    <row r="1269" spans="1:16" x14ac:dyDescent="0.25">
      <c r="A1269" s="21">
        <v>3000005740</v>
      </c>
      <c r="B1269" s="22">
        <v>45923</v>
      </c>
      <c r="C1269" s="20">
        <v>20000000</v>
      </c>
      <c r="D1269" s="21" t="s">
        <v>592</v>
      </c>
      <c r="E1269" s="21">
        <v>91002575</v>
      </c>
      <c r="F1269" s="20">
        <v>20000000</v>
      </c>
      <c r="G1269" s="22">
        <v>45926</v>
      </c>
      <c r="H1269" t="s">
        <v>79</v>
      </c>
      <c r="I1269" s="40" t="str">
        <f>IFERROR(IF(VLOOKUP(E1269,extracto!C:C,1,FALSE)=E1269,"pagado","no pagado"),"no pagado")</f>
        <v>pagado</v>
      </c>
      <c r="J1269" s="41" t="str">
        <f t="shared" si="582"/>
        <v>pagado</v>
      </c>
      <c r="K1269" s="40" t="str">
        <f t="shared" ca="1" si="583"/>
        <v>excluir</v>
      </c>
      <c r="L1269" s="40" t="str">
        <f t="shared" ca="1" si="584"/>
        <v>no semana</v>
      </c>
      <c r="M1269" s="40" t="str">
        <f>IFERROR(VLOOKUP(E1269,'cheques a conf'!A:D,4,FALSE),"no clearing")</f>
        <v>no clearing</v>
      </c>
      <c r="N1269" s="40">
        <f t="shared" si="585"/>
        <v>39</v>
      </c>
      <c r="O1269" s="42">
        <f t="shared" si="586"/>
        <v>9</v>
      </c>
      <c r="P1269" s="42">
        <f t="shared" si="587"/>
        <v>2025</v>
      </c>
    </row>
    <row r="1270" spans="1:16" x14ac:dyDescent="0.25">
      <c r="A1270" s="21">
        <v>3000005740</v>
      </c>
      <c r="B1270" s="22">
        <v>45923</v>
      </c>
      <c r="C1270" s="20">
        <v>18258717.920000002</v>
      </c>
      <c r="D1270" s="21" t="s">
        <v>592</v>
      </c>
      <c r="E1270" s="21">
        <v>91002576</v>
      </c>
      <c r="F1270" s="20">
        <v>18258717.920000002</v>
      </c>
      <c r="G1270" s="22">
        <v>45929</v>
      </c>
      <c r="H1270" t="s">
        <v>79</v>
      </c>
      <c r="I1270" s="40" t="str">
        <f>IFERROR(IF(VLOOKUP(E1270,extracto!C:C,1,FALSE)=E1270,"pagado","no pagado"),"no pagado")</f>
        <v>pagado</v>
      </c>
      <c r="J1270" s="41" t="str">
        <f t="shared" si="582"/>
        <v>pagado</v>
      </c>
      <c r="K1270" s="40" t="str">
        <f t="shared" ca="1" si="583"/>
        <v>excluir</v>
      </c>
      <c r="L1270" s="40" t="str">
        <f t="shared" ca="1" si="584"/>
        <v>no semana</v>
      </c>
      <c r="M1270" s="40" t="str">
        <f>IFERROR(VLOOKUP(E1270,'cheques a conf'!A:D,4,FALSE),"no clearing")</f>
        <v>no clearing</v>
      </c>
      <c r="N1270" s="40">
        <f t="shared" si="585"/>
        <v>40</v>
      </c>
      <c r="O1270" s="42">
        <f t="shared" si="586"/>
        <v>9</v>
      </c>
      <c r="P1270" s="42">
        <f t="shared" si="587"/>
        <v>2025</v>
      </c>
    </row>
    <row r="1271" spans="1:16" x14ac:dyDescent="0.25">
      <c r="A1271" s="21">
        <v>3000005741</v>
      </c>
      <c r="B1271" s="22">
        <v>45923</v>
      </c>
      <c r="C1271" s="20">
        <v>8663282.2799999993</v>
      </c>
      <c r="D1271" s="21" t="s">
        <v>613</v>
      </c>
      <c r="E1271" s="21">
        <v>91002577</v>
      </c>
      <c r="F1271" s="20">
        <v>8663282.2799999993</v>
      </c>
      <c r="G1271" s="22">
        <v>45926</v>
      </c>
      <c r="H1271" t="s">
        <v>79</v>
      </c>
      <c r="I1271" s="40" t="str">
        <f>IFERROR(IF(VLOOKUP(E1271,extracto!C:C,1,FALSE)=E1271,"pagado","no pagado"),"no pagado")</f>
        <v>pagado</v>
      </c>
      <c r="J1271" s="41" t="str">
        <f t="shared" si="582"/>
        <v>pagado</v>
      </c>
      <c r="K1271" s="40" t="str">
        <f t="shared" ca="1" si="583"/>
        <v>excluir</v>
      </c>
      <c r="L1271" s="40" t="str">
        <f t="shared" ca="1" si="584"/>
        <v>no semana</v>
      </c>
      <c r="M1271" s="40" t="str">
        <f>IFERROR(VLOOKUP(E1271,'cheques a conf'!A:D,4,FALSE),"no clearing")</f>
        <v>no clearing</v>
      </c>
      <c r="N1271" s="40">
        <f t="shared" si="585"/>
        <v>39</v>
      </c>
      <c r="O1271" s="42">
        <f t="shared" si="586"/>
        <v>9</v>
      </c>
      <c r="P1271" s="42">
        <f t="shared" si="587"/>
        <v>2025</v>
      </c>
    </row>
    <row r="1272" spans="1:16" x14ac:dyDescent="0.25">
      <c r="A1272" s="21">
        <v>3000005742</v>
      </c>
      <c r="B1272" s="22">
        <v>45923</v>
      </c>
      <c r="C1272" s="20">
        <v>6389914.7300000004</v>
      </c>
      <c r="D1272" s="21" t="s">
        <v>642</v>
      </c>
      <c r="E1272" s="21">
        <v>91002578</v>
      </c>
      <c r="F1272" s="20">
        <v>6389914.7300000004</v>
      </c>
      <c r="G1272" s="22">
        <v>45926</v>
      </c>
      <c r="H1272" t="s">
        <v>79</v>
      </c>
      <c r="I1272" s="40" t="str">
        <f>IFERROR(IF(VLOOKUP(E1272,extracto!C:C,1,FALSE)=E1272,"pagado","no pagado"),"no pagado")</f>
        <v>pagado</v>
      </c>
      <c r="J1272" s="41" t="str">
        <f t="shared" si="582"/>
        <v>pagado</v>
      </c>
      <c r="K1272" s="40" t="str">
        <f t="shared" ca="1" si="583"/>
        <v>excluir</v>
      </c>
      <c r="L1272" s="40" t="str">
        <f t="shared" ca="1" si="584"/>
        <v>no semana</v>
      </c>
      <c r="M1272" s="40" t="str">
        <f>IFERROR(VLOOKUP(E1272,'cheques a conf'!A:D,4,FALSE),"no clearing")</f>
        <v>no clearing</v>
      </c>
      <c r="N1272" s="40">
        <f t="shared" si="585"/>
        <v>39</v>
      </c>
      <c r="O1272" s="42">
        <f t="shared" si="586"/>
        <v>9</v>
      </c>
      <c r="P1272" s="42">
        <f t="shared" si="587"/>
        <v>2025</v>
      </c>
    </row>
    <row r="1273" spans="1:16" x14ac:dyDescent="0.25">
      <c r="A1273" s="21">
        <v>3000005743</v>
      </c>
      <c r="B1273" s="22">
        <v>45923</v>
      </c>
      <c r="C1273" s="20">
        <v>4233015.58</v>
      </c>
      <c r="D1273" s="21" t="s">
        <v>619</v>
      </c>
      <c r="E1273" s="21">
        <v>91002579</v>
      </c>
      <c r="F1273" s="20">
        <v>4233015.58</v>
      </c>
      <c r="G1273" s="22">
        <v>45926</v>
      </c>
      <c r="H1273" t="s">
        <v>79</v>
      </c>
      <c r="I1273" s="40" t="str">
        <f>IFERROR(IF(VLOOKUP(E1273,extracto!C:C,1,FALSE)=E1273,"pagado","no pagado"),"no pagado")</f>
        <v>pagado</v>
      </c>
      <c r="J1273" s="41" t="str">
        <f t="shared" si="582"/>
        <v>pagado</v>
      </c>
      <c r="K1273" s="40" t="str">
        <f t="shared" ca="1" si="583"/>
        <v>excluir</v>
      </c>
      <c r="L1273" s="40" t="str">
        <f t="shared" ca="1" si="584"/>
        <v>no semana</v>
      </c>
      <c r="M1273" s="40" t="str">
        <f>IFERROR(VLOOKUP(E1273,'cheques a conf'!A:D,4,FALSE),"no clearing")</f>
        <v>no clearing</v>
      </c>
      <c r="N1273" s="40">
        <f t="shared" si="585"/>
        <v>39</v>
      </c>
      <c r="O1273" s="42">
        <f t="shared" si="586"/>
        <v>9</v>
      </c>
      <c r="P1273" s="42">
        <f t="shared" si="587"/>
        <v>2025</v>
      </c>
    </row>
    <row r="1274" spans="1:16" x14ac:dyDescent="0.25">
      <c r="A1274" s="21">
        <v>3000005744</v>
      </c>
      <c r="B1274" s="22">
        <v>45923</v>
      </c>
      <c r="C1274" s="20">
        <v>4259943.16</v>
      </c>
      <c r="D1274" s="21" t="s">
        <v>612</v>
      </c>
      <c r="E1274" s="21">
        <v>91002580</v>
      </c>
      <c r="F1274" s="20">
        <v>4259943.16</v>
      </c>
      <c r="G1274" s="22">
        <v>45926</v>
      </c>
      <c r="H1274" t="s">
        <v>79</v>
      </c>
      <c r="I1274" s="40" t="str">
        <f>IFERROR(IF(VLOOKUP(E1274,extracto!C:C,1,FALSE)=E1274,"pagado","no pagado"),"no pagado")</f>
        <v>pagado</v>
      </c>
      <c r="J1274" s="41" t="str">
        <f t="shared" si="582"/>
        <v>pagado</v>
      </c>
      <c r="K1274" s="40" t="str">
        <f t="shared" ca="1" si="583"/>
        <v>excluir</v>
      </c>
      <c r="L1274" s="40" t="str">
        <f t="shared" ca="1" si="584"/>
        <v>no semana</v>
      </c>
      <c r="M1274" s="40" t="str">
        <f>IFERROR(VLOOKUP(E1274,'cheques a conf'!A:D,4,FALSE),"no clearing")</f>
        <v>no clearing</v>
      </c>
      <c r="N1274" s="40">
        <f t="shared" si="585"/>
        <v>39</v>
      </c>
      <c r="O1274" s="42">
        <f t="shared" si="586"/>
        <v>9</v>
      </c>
      <c r="P1274" s="42">
        <f t="shared" si="587"/>
        <v>2025</v>
      </c>
    </row>
    <row r="1275" spans="1:16" x14ac:dyDescent="0.25">
      <c r="A1275" s="21">
        <v>3000005814</v>
      </c>
      <c r="B1275" s="22">
        <v>45926</v>
      </c>
      <c r="C1275" s="20">
        <v>32600000</v>
      </c>
      <c r="D1275" s="21" t="s">
        <v>786</v>
      </c>
      <c r="E1275" s="21">
        <v>40272994</v>
      </c>
      <c r="F1275" s="20">
        <v>32600000</v>
      </c>
      <c r="G1275" s="22">
        <v>45957</v>
      </c>
      <c r="H1275" t="s">
        <v>79</v>
      </c>
      <c r="I1275" s="40" t="str">
        <f>IFERROR(IF(VLOOKUP(E1275,extracto!C:C,1,FALSE)=E1275,"pagado","no pagado"),"no pagado")</f>
        <v>pagado</v>
      </c>
      <c r="J1275" s="41" t="str">
        <f t="shared" si="582"/>
        <v>pagado</v>
      </c>
      <c r="K1275" s="40" t="str">
        <f t="shared" ca="1" si="583"/>
        <v>excluir</v>
      </c>
      <c r="L1275" s="40" t="str">
        <f t="shared" ca="1" si="584"/>
        <v>no semana</v>
      </c>
      <c r="M1275" s="40" t="str">
        <f>IFERROR(VLOOKUP(E1275,'cheques a conf'!A:D,4,FALSE),"no clearing")</f>
        <v>no clearing</v>
      </c>
      <c r="N1275" s="40">
        <f t="shared" si="585"/>
        <v>44</v>
      </c>
      <c r="O1275" s="42">
        <f t="shared" si="586"/>
        <v>10</v>
      </c>
      <c r="P1275" s="42">
        <f t="shared" si="587"/>
        <v>2025</v>
      </c>
    </row>
    <row r="1276" spans="1:16" x14ac:dyDescent="0.25">
      <c r="A1276" s="21">
        <v>3000005814</v>
      </c>
      <c r="B1276" s="22">
        <v>45926</v>
      </c>
      <c r="C1276" s="20">
        <v>32799830</v>
      </c>
      <c r="D1276" s="21" t="s">
        <v>786</v>
      </c>
      <c r="E1276" s="21">
        <v>40272995</v>
      </c>
      <c r="F1276" s="20">
        <v>32799830</v>
      </c>
      <c r="G1276" s="22">
        <v>45986</v>
      </c>
      <c r="H1276" t="s">
        <v>79</v>
      </c>
      <c r="I1276" s="40" t="str">
        <f>IFERROR(IF(VLOOKUP(E1276,extracto!C:C,1,FALSE)=E1276,"pagado","no pagado"),"no pagado")</f>
        <v>pagado</v>
      </c>
      <c r="J1276" s="41" t="str">
        <f t="shared" ref="J1276:J1290" si="588">IF(I1276="pagado","pagado",IF(G1276&lt;$V$1-30,"fuera de fecha","en periodo de pago"))</f>
        <v>pagado</v>
      </c>
      <c r="K1276" s="40" t="str">
        <f t="shared" ref="K1276:K1290" ca="1" si="589">+IF(B1276&gt;$V$1,"excluir",IF(J1276="en periodo de pago",IF($V$1&gt;G1276,"a pagar","proximo a vencer"),"excluir"))</f>
        <v>excluir</v>
      </c>
      <c r="L1276" s="40" t="str">
        <f t="shared" ref="L1276:L1290" ca="1" si="590">+IF(K1276="proximo a vencer",IF($V$1+5&gt;G1276,"para la semana","no semana"),"no semana")</f>
        <v>no semana</v>
      </c>
      <c r="M1276" s="40" t="str">
        <f>IFERROR(VLOOKUP(E1276,'cheques a conf'!A:D,4,FALSE),"no clearing")</f>
        <v>no clearing</v>
      </c>
      <c r="N1276" s="40">
        <f t="shared" ref="N1276:N1290" si="591">+WEEKNUM(G1276,2)</f>
        <v>48</v>
      </c>
      <c r="O1276" s="42">
        <f t="shared" ref="O1276:O1290" si="592">+MONTH(G1276)</f>
        <v>11</v>
      </c>
      <c r="P1276" s="42">
        <f t="shared" ref="P1276:P1290" si="593">+YEAR(G1276)</f>
        <v>2025</v>
      </c>
    </row>
    <row r="1277" spans="1:16" x14ac:dyDescent="0.25">
      <c r="A1277" s="21">
        <v>3000005876</v>
      </c>
      <c r="B1277" s="22">
        <v>45930</v>
      </c>
      <c r="C1277" s="20">
        <v>4259943.16</v>
      </c>
      <c r="D1277" s="21" t="s">
        <v>642</v>
      </c>
      <c r="E1277" s="21">
        <v>91002581</v>
      </c>
      <c r="F1277" s="20">
        <v>4259943.16</v>
      </c>
      <c r="G1277" s="22">
        <v>45933</v>
      </c>
      <c r="H1277" t="s">
        <v>79</v>
      </c>
      <c r="I1277" s="40" t="str">
        <f>IFERROR(IF(VLOOKUP(E1277,extracto!C:C,1,FALSE)=E1277,"pagado","no pagado"),"no pagado")</f>
        <v>pagado</v>
      </c>
      <c r="J1277" s="41" t="str">
        <f t="shared" si="588"/>
        <v>pagado</v>
      </c>
      <c r="K1277" s="40" t="str">
        <f t="shared" ca="1" si="589"/>
        <v>excluir</v>
      </c>
      <c r="L1277" s="40" t="str">
        <f t="shared" ca="1" si="590"/>
        <v>no semana</v>
      </c>
      <c r="M1277" s="40" t="str">
        <f>IFERROR(VLOOKUP(E1277,'cheques a conf'!A:D,4,FALSE),"no clearing")</f>
        <v>no clearing</v>
      </c>
      <c r="N1277" s="40">
        <f t="shared" si="591"/>
        <v>40</v>
      </c>
      <c r="O1277" s="42">
        <f t="shared" si="592"/>
        <v>10</v>
      </c>
      <c r="P1277" s="42">
        <f t="shared" si="593"/>
        <v>2025</v>
      </c>
    </row>
    <row r="1278" spans="1:16" x14ac:dyDescent="0.25">
      <c r="A1278" s="21">
        <v>3000005877</v>
      </c>
      <c r="B1278" s="22">
        <v>45930</v>
      </c>
      <c r="C1278" s="20">
        <v>26088934.899999999</v>
      </c>
      <c r="D1278" s="21" t="s">
        <v>613</v>
      </c>
      <c r="E1278" s="21">
        <v>91002582</v>
      </c>
      <c r="F1278" s="20">
        <v>26088934.899999999</v>
      </c>
      <c r="G1278" s="22">
        <v>45933</v>
      </c>
      <c r="H1278" t="s">
        <v>79</v>
      </c>
      <c r="I1278" s="40" t="str">
        <f>IFERROR(IF(VLOOKUP(E1278,extracto!C:C,1,FALSE)=E1278,"pagado","no pagado"),"no pagado")</f>
        <v>pagado</v>
      </c>
      <c r="J1278" s="41" t="str">
        <f t="shared" si="588"/>
        <v>pagado</v>
      </c>
      <c r="K1278" s="40" t="str">
        <f t="shared" ca="1" si="589"/>
        <v>excluir</v>
      </c>
      <c r="L1278" s="40" t="str">
        <f t="shared" ca="1" si="590"/>
        <v>no semana</v>
      </c>
      <c r="M1278" s="40" t="str">
        <f>IFERROR(VLOOKUP(E1278,'cheques a conf'!A:D,4,FALSE),"no clearing")</f>
        <v>no clearing</v>
      </c>
      <c r="N1278" s="40">
        <f t="shared" si="591"/>
        <v>40</v>
      </c>
      <c r="O1278" s="42">
        <f t="shared" si="592"/>
        <v>10</v>
      </c>
      <c r="P1278" s="42">
        <f t="shared" si="593"/>
        <v>2025</v>
      </c>
    </row>
    <row r="1279" spans="1:16" x14ac:dyDescent="0.25">
      <c r="A1279" s="21">
        <v>3000005878</v>
      </c>
      <c r="B1279" s="22">
        <v>45930</v>
      </c>
      <c r="C1279" s="20">
        <v>13044234.859999999</v>
      </c>
      <c r="D1279" s="21" t="s">
        <v>675</v>
      </c>
      <c r="E1279" s="21">
        <v>91002583</v>
      </c>
      <c r="F1279" s="20">
        <v>13044234.859999999</v>
      </c>
      <c r="G1279" s="22">
        <v>45933</v>
      </c>
      <c r="H1279" t="s">
        <v>79</v>
      </c>
      <c r="I1279" s="40" t="str">
        <f>IFERROR(IF(VLOOKUP(E1279,extracto!C:C,1,FALSE)=E1279,"pagado","no pagado"),"no pagado")</f>
        <v>pagado</v>
      </c>
      <c r="J1279" s="41" t="str">
        <f t="shared" si="588"/>
        <v>pagado</v>
      </c>
      <c r="K1279" s="40" t="str">
        <f t="shared" ca="1" si="589"/>
        <v>excluir</v>
      </c>
      <c r="L1279" s="40" t="str">
        <f t="shared" ca="1" si="590"/>
        <v>no semana</v>
      </c>
      <c r="M1279" s="40" t="str">
        <f>IFERROR(VLOOKUP(E1279,'cheques a conf'!A:D,4,FALSE),"no clearing")</f>
        <v>no clearing</v>
      </c>
      <c r="N1279" s="40">
        <f t="shared" si="591"/>
        <v>40</v>
      </c>
      <c r="O1279" s="42">
        <f t="shared" si="592"/>
        <v>10</v>
      </c>
      <c r="P1279" s="42">
        <f t="shared" si="593"/>
        <v>2025</v>
      </c>
    </row>
    <row r="1280" spans="1:16" x14ac:dyDescent="0.25">
      <c r="A1280" s="21">
        <v>3000005879</v>
      </c>
      <c r="B1280" s="22">
        <v>45930</v>
      </c>
      <c r="C1280" s="20">
        <v>6888474.1399999997</v>
      </c>
      <c r="D1280" s="21" t="s">
        <v>657</v>
      </c>
      <c r="E1280" s="21">
        <v>91002584</v>
      </c>
      <c r="F1280" s="20">
        <v>6888474.1399999997</v>
      </c>
      <c r="G1280" s="22">
        <v>45933</v>
      </c>
      <c r="H1280" t="s">
        <v>79</v>
      </c>
      <c r="I1280" s="40" t="str">
        <f>IFERROR(IF(VLOOKUP(E1280,extracto!C:C,1,FALSE)=E1280,"pagado","no pagado"),"no pagado")</f>
        <v>pagado</v>
      </c>
      <c r="J1280" s="41" t="str">
        <f t="shared" si="588"/>
        <v>pagado</v>
      </c>
      <c r="K1280" s="40" t="str">
        <f t="shared" ca="1" si="589"/>
        <v>excluir</v>
      </c>
      <c r="L1280" s="40" t="str">
        <f t="shared" ca="1" si="590"/>
        <v>no semana</v>
      </c>
      <c r="M1280" s="40" t="str">
        <f>IFERROR(VLOOKUP(E1280,'cheques a conf'!A:D,4,FALSE),"no clearing")</f>
        <v>no clearing</v>
      </c>
      <c r="N1280" s="40">
        <f t="shared" si="591"/>
        <v>40</v>
      </c>
      <c r="O1280" s="42">
        <f t="shared" si="592"/>
        <v>10</v>
      </c>
      <c r="P1280" s="42">
        <f t="shared" si="593"/>
        <v>2025</v>
      </c>
    </row>
    <row r="1281" spans="1:16" x14ac:dyDescent="0.25">
      <c r="A1281" s="21">
        <v>3000005880</v>
      </c>
      <c r="B1281" s="22">
        <v>45930</v>
      </c>
      <c r="C1281" s="20">
        <v>7116719.2800000003</v>
      </c>
      <c r="D1281" s="21" t="s">
        <v>680</v>
      </c>
      <c r="E1281" s="21">
        <v>91002585</v>
      </c>
      <c r="F1281" s="20">
        <v>7116719.2800000003</v>
      </c>
      <c r="G1281" s="22">
        <v>45933</v>
      </c>
      <c r="H1281" t="s">
        <v>79</v>
      </c>
      <c r="I1281" s="40" t="str">
        <f>IFERROR(IF(VLOOKUP(E1281,extracto!C:C,1,FALSE)=E1281,"pagado","no pagado"),"no pagado")</f>
        <v>pagado</v>
      </c>
      <c r="J1281" s="41" t="str">
        <f t="shared" si="588"/>
        <v>pagado</v>
      </c>
      <c r="K1281" s="40" t="str">
        <f t="shared" ca="1" si="589"/>
        <v>excluir</v>
      </c>
      <c r="L1281" s="40" t="str">
        <f t="shared" ca="1" si="590"/>
        <v>no semana</v>
      </c>
      <c r="M1281" s="40" t="str">
        <f>IFERROR(VLOOKUP(E1281,'cheques a conf'!A:D,4,FALSE),"no clearing")</f>
        <v>no clearing</v>
      </c>
      <c r="N1281" s="40">
        <f t="shared" si="591"/>
        <v>40</v>
      </c>
      <c r="O1281" s="42">
        <f t="shared" si="592"/>
        <v>10</v>
      </c>
      <c r="P1281" s="42">
        <f t="shared" si="593"/>
        <v>2025</v>
      </c>
    </row>
    <row r="1282" spans="1:16" x14ac:dyDescent="0.25">
      <c r="A1282" s="21">
        <v>3000005881</v>
      </c>
      <c r="B1282" s="22">
        <v>45930</v>
      </c>
      <c r="C1282" s="20">
        <v>11890892.92</v>
      </c>
      <c r="D1282" s="21" t="s">
        <v>787</v>
      </c>
      <c r="E1282" s="21">
        <v>91002586</v>
      </c>
      <c r="F1282" s="20">
        <v>11890892.92</v>
      </c>
      <c r="G1282" s="22">
        <v>45933</v>
      </c>
      <c r="H1282" t="s">
        <v>79</v>
      </c>
      <c r="I1282" s="40" t="str">
        <f>IFERROR(IF(VLOOKUP(E1282,extracto!C:C,1,FALSE)=E1282,"pagado","no pagado"),"no pagado")</f>
        <v>pagado</v>
      </c>
      <c r="J1282" s="41" t="str">
        <f t="shared" si="588"/>
        <v>pagado</v>
      </c>
      <c r="K1282" s="40" t="str">
        <f t="shared" ca="1" si="589"/>
        <v>excluir</v>
      </c>
      <c r="L1282" s="40" t="str">
        <f t="shared" ca="1" si="590"/>
        <v>no semana</v>
      </c>
      <c r="M1282" s="40" t="str">
        <f>IFERROR(VLOOKUP(E1282,'cheques a conf'!A:D,4,FALSE),"no clearing")</f>
        <v>no clearing</v>
      </c>
      <c r="N1282" s="40">
        <f t="shared" si="591"/>
        <v>40</v>
      </c>
      <c r="O1282" s="42">
        <f t="shared" si="592"/>
        <v>10</v>
      </c>
      <c r="P1282" s="42">
        <f t="shared" si="593"/>
        <v>2025</v>
      </c>
    </row>
    <row r="1283" spans="1:16" x14ac:dyDescent="0.25">
      <c r="A1283" s="21">
        <v>3000005882</v>
      </c>
      <c r="B1283" s="22">
        <v>45930</v>
      </c>
      <c r="C1283" s="20">
        <v>14246830</v>
      </c>
      <c r="D1283" s="21" t="s">
        <v>593</v>
      </c>
      <c r="E1283" s="21">
        <v>91002587</v>
      </c>
      <c r="F1283" s="20">
        <v>14246830</v>
      </c>
      <c r="G1283" s="22">
        <v>45933</v>
      </c>
      <c r="H1283" t="s">
        <v>79</v>
      </c>
      <c r="I1283" s="40" t="str">
        <f>IFERROR(IF(VLOOKUP(E1283,extracto!C:C,1,FALSE)=E1283,"pagado","no pagado"),"no pagado")</f>
        <v>pagado</v>
      </c>
      <c r="J1283" s="41" t="str">
        <f t="shared" si="588"/>
        <v>pagado</v>
      </c>
      <c r="K1283" s="40" t="str">
        <f t="shared" ca="1" si="589"/>
        <v>excluir</v>
      </c>
      <c r="L1283" s="40" t="str">
        <f t="shared" ca="1" si="590"/>
        <v>no semana</v>
      </c>
      <c r="M1283" s="40" t="str">
        <f>IFERROR(VLOOKUP(E1283,'cheques a conf'!A:D,4,FALSE),"no clearing")</f>
        <v>no clearing</v>
      </c>
      <c r="N1283" s="40">
        <f t="shared" si="591"/>
        <v>40</v>
      </c>
      <c r="O1283" s="42">
        <f t="shared" si="592"/>
        <v>10</v>
      </c>
      <c r="P1283" s="42">
        <f t="shared" si="593"/>
        <v>2025</v>
      </c>
    </row>
    <row r="1284" spans="1:16" x14ac:dyDescent="0.25">
      <c r="A1284" s="21">
        <v>3000005883</v>
      </c>
      <c r="B1284" s="22">
        <v>45930</v>
      </c>
      <c r="C1284" s="20">
        <v>26696250</v>
      </c>
      <c r="D1284" s="21" t="s">
        <v>621</v>
      </c>
      <c r="E1284" s="21">
        <v>91002588</v>
      </c>
      <c r="F1284" s="20">
        <v>26696250</v>
      </c>
      <c r="G1284" s="22">
        <v>45933</v>
      </c>
      <c r="H1284" t="s">
        <v>79</v>
      </c>
      <c r="I1284" s="40" t="str">
        <f>IFERROR(IF(VLOOKUP(E1284,extracto!C:C,1,FALSE)=E1284,"pagado","no pagado"),"no pagado")</f>
        <v>pagado</v>
      </c>
      <c r="J1284" s="41" t="str">
        <f t="shared" si="588"/>
        <v>pagado</v>
      </c>
      <c r="K1284" s="40" t="str">
        <f t="shared" ca="1" si="589"/>
        <v>excluir</v>
      </c>
      <c r="L1284" s="40" t="str">
        <f t="shared" ca="1" si="590"/>
        <v>no semana</v>
      </c>
      <c r="M1284" s="40" t="str">
        <f>IFERROR(VLOOKUP(E1284,'cheques a conf'!A:D,4,FALSE),"no clearing")</f>
        <v>no clearing</v>
      </c>
      <c r="N1284" s="40">
        <f t="shared" si="591"/>
        <v>40</v>
      </c>
      <c r="O1284" s="42">
        <f t="shared" si="592"/>
        <v>10</v>
      </c>
      <c r="P1284" s="42">
        <f t="shared" si="593"/>
        <v>2025</v>
      </c>
    </row>
    <row r="1285" spans="1:16" x14ac:dyDescent="0.25">
      <c r="A1285" s="21">
        <v>3000005884</v>
      </c>
      <c r="B1285" s="22">
        <v>45930</v>
      </c>
      <c r="C1285" s="20">
        <v>5360525.8</v>
      </c>
      <c r="D1285" s="21" t="s">
        <v>788</v>
      </c>
      <c r="E1285" s="21">
        <v>91002589</v>
      </c>
      <c r="F1285" s="20">
        <v>5360525.8</v>
      </c>
      <c r="G1285" s="22">
        <v>45945</v>
      </c>
      <c r="H1285" t="s">
        <v>79</v>
      </c>
      <c r="I1285" s="40" t="str">
        <f>IFERROR(IF(VLOOKUP(E1285,extracto!C:C,1,FALSE)=E1285,"pagado","no pagado"),"no pagado")</f>
        <v>pagado</v>
      </c>
      <c r="J1285" s="41" t="str">
        <f t="shared" si="588"/>
        <v>pagado</v>
      </c>
      <c r="K1285" s="40" t="str">
        <f t="shared" ca="1" si="589"/>
        <v>excluir</v>
      </c>
      <c r="L1285" s="40" t="str">
        <f t="shared" ca="1" si="590"/>
        <v>no semana</v>
      </c>
      <c r="M1285" s="40" t="str">
        <f>IFERROR(VLOOKUP(E1285,'cheques a conf'!A:D,4,FALSE),"no clearing")</f>
        <v>no clearing</v>
      </c>
      <c r="N1285" s="40">
        <f t="shared" si="591"/>
        <v>42</v>
      </c>
      <c r="O1285" s="42">
        <f t="shared" si="592"/>
        <v>10</v>
      </c>
      <c r="P1285" s="42">
        <f t="shared" si="593"/>
        <v>2025</v>
      </c>
    </row>
    <row r="1286" spans="1:16" x14ac:dyDescent="0.25">
      <c r="A1286" s="21">
        <v>3000005839</v>
      </c>
      <c r="B1286" s="22">
        <v>45929</v>
      </c>
      <c r="C1286" s="20">
        <v>10784436.67</v>
      </c>
      <c r="D1286" s="21" t="s">
        <v>789</v>
      </c>
      <c r="E1286" s="21">
        <v>1934</v>
      </c>
      <c r="F1286" s="20">
        <v>10784436.67</v>
      </c>
      <c r="G1286" s="22">
        <v>45931</v>
      </c>
      <c r="H1286" t="s">
        <v>32</v>
      </c>
      <c r="I1286" s="40" t="str">
        <f>IFERROR(IF(VLOOKUP(E1286,extracto!C:C,1,FALSE)=E1286,"pagado","no pagado"),"no pagado")</f>
        <v>pagado</v>
      </c>
      <c r="J1286" s="41" t="str">
        <f t="shared" si="588"/>
        <v>pagado</v>
      </c>
      <c r="K1286" s="40" t="str">
        <f t="shared" ca="1" si="589"/>
        <v>excluir</v>
      </c>
      <c r="L1286" s="40" t="str">
        <f t="shared" ca="1" si="590"/>
        <v>no semana</v>
      </c>
      <c r="M1286" s="40" t="str">
        <f>IFERROR(VLOOKUP(E1286,'cheques a conf'!A:D,4,FALSE),"no clearing")</f>
        <v>no clearing</v>
      </c>
      <c r="N1286" s="40">
        <f t="shared" si="591"/>
        <v>40</v>
      </c>
      <c r="O1286" s="42">
        <f t="shared" si="592"/>
        <v>10</v>
      </c>
      <c r="P1286" s="42">
        <f t="shared" si="593"/>
        <v>2025</v>
      </c>
    </row>
    <row r="1287" spans="1:16" x14ac:dyDescent="0.25">
      <c r="A1287" s="21">
        <v>3000005840</v>
      </c>
      <c r="B1287" s="22">
        <v>45929</v>
      </c>
      <c r="C1287" s="20">
        <v>19456287.370000001</v>
      </c>
      <c r="D1287" s="21" t="s">
        <v>89</v>
      </c>
      <c r="E1287" s="21">
        <v>1935</v>
      </c>
      <c r="F1287" s="20">
        <v>19456287.370000001</v>
      </c>
      <c r="G1287" s="22">
        <v>45931</v>
      </c>
      <c r="H1287" t="s">
        <v>32</v>
      </c>
      <c r="I1287" s="40" t="str">
        <f>IFERROR(IF(VLOOKUP(E1287,extracto!C:C,1,FALSE)=E1287,"pagado","no pagado"),"no pagado")</f>
        <v>pagado</v>
      </c>
      <c r="J1287" s="41" t="str">
        <f t="shared" si="588"/>
        <v>pagado</v>
      </c>
      <c r="K1287" s="40" t="str">
        <f t="shared" ca="1" si="589"/>
        <v>excluir</v>
      </c>
      <c r="L1287" s="40" t="str">
        <f t="shared" ca="1" si="590"/>
        <v>no semana</v>
      </c>
      <c r="M1287" s="40" t="str">
        <f>IFERROR(VLOOKUP(E1287,'cheques a conf'!A:D,4,FALSE),"no clearing")</f>
        <v>no clearing</v>
      </c>
      <c r="N1287" s="40">
        <f t="shared" si="591"/>
        <v>40</v>
      </c>
      <c r="O1287" s="42">
        <f t="shared" si="592"/>
        <v>10</v>
      </c>
      <c r="P1287" s="42">
        <f t="shared" si="593"/>
        <v>2025</v>
      </c>
    </row>
    <row r="1288" spans="1:16" x14ac:dyDescent="0.25">
      <c r="A1288" s="21">
        <v>3000005841</v>
      </c>
      <c r="B1288" s="22">
        <v>45929</v>
      </c>
      <c r="C1288" s="20">
        <v>11165473.01</v>
      </c>
      <c r="D1288" s="21" t="s">
        <v>645</v>
      </c>
      <c r="E1288" s="21">
        <v>1936</v>
      </c>
      <c r="F1288" s="20">
        <v>11165473.01</v>
      </c>
      <c r="G1288" s="22">
        <v>45931</v>
      </c>
      <c r="H1288" t="s">
        <v>32</v>
      </c>
      <c r="I1288" s="40" t="str">
        <f>IFERROR(IF(VLOOKUP(E1288,extracto!C:C,1,FALSE)=E1288,"pagado","no pagado"),"no pagado")</f>
        <v>pagado</v>
      </c>
      <c r="J1288" s="41" t="str">
        <f t="shared" si="588"/>
        <v>pagado</v>
      </c>
      <c r="K1288" s="40" t="str">
        <f t="shared" ca="1" si="589"/>
        <v>excluir</v>
      </c>
      <c r="L1288" s="40" t="str">
        <f t="shared" ca="1" si="590"/>
        <v>no semana</v>
      </c>
      <c r="M1288" s="40" t="str">
        <f>IFERROR(VLOOKUP(E1288,'cheques a conf'!A:D,4,FALSE),"no clearing")</f>
        <v>no clearing</v>
      </c>
      <c r="N1288" s="40">
        <f t="shared" si="591"/>
        <v>40</v>
      </c>
      <c r="O1288" s="42">
        <f t="shared" si="592"/>
        <v>10</v>
      </c>
      <c r="P1288" s="42">
        <f t="shared" si="593"/>
        <v>2025</v>
      </c>
    </row>
    <row r="1289" spans="1:16" x14ac:dyDescent="0.25">
      <c r="A1289" s="21">
        <v>3000005842</v>
      </c>
      <c r="B1289" s="22">
        <v>45929</v>
      </c>
      <c r="C1289" s="20">
        <v>8286164.7400000002</v>
      </c>
      <c r="D1289" s="21" t="s">
        <v>739</v>
      </c>
      <c r="E1289" s="21">
        <v>1937</v>
      </c>
      <c r="F1289" s="20">
        <v>8286164.7400000002</v>
      </c>
      <c r="G1289" s="22">
        <v>45931</v>
      </c>
      <c r="H1289" t="s">
        <v>32</v>
      </c>
      <c r="I1289" s="40" t="str">
        <f>IFERROR(IF(VLOOKUP(E1289,extracto!C:C,1,FALSE)=E1289,"pagado","no pagado"),"no pagado")</f>
        <v>pagado</v>
      </c>
      <c r="J1289" s="41" t="str">
        <f t="shared" si="588"/>
        <v>pagado</v>
      </c>
      <c r="K1289" s="40" t="str">
        <f t="shared" ca="1" si="589"/>
        <v>excluir</v>
      </c>
      <c r="L1289" s="40" t="str">
        <f t="shared" ca="1" si="590"/>
        <v>no semana</v>
      </c>
      <c r="M1289" s="40" t="str">
        <f>IFERROR(VLOOKUP(E1289,'cheques a conf'!A:D,4,FALSE),"no clearing")</f>
        <v>no clearing</v>
      </c>
      <c r="N1289" s="40">
        <f t="shared" si="591"/>
        <v>40</v>
      </c>
      <c r="O1289" s="42">
        <f t="shared" si="592"/>
        <v>10</v>
      </c>
      <c r="P1289" s="42">
        <f t="shared" si="593"/>
        <v>2025</v>
      </c>
    </row>
    <row r="1290" spans="1:16" x14ac:dyDescent="0.25">
      <c r="A1290" s="21">
        <v>3000005843</v>
      </c>
      <c r="B1290" s="22">
        <v>45929</v>
      </c>
      <c r="C1290" s="20">
        <v>6061971.9100000001</v>
      </c>
      <c r="D1290" s="21" t="s">
        <v>628</v>
      </c>
      <c r="E1290" s="21">
        <v>1938</v>
      </c>
      <c r="F1290" s="20">
        <v>6061971.9100000001</v>
      </c>
      <c r="G1290" s="22">
        <v>45932</v>
      </c>
      <c r="H1290" t="s">
        <v>32</v>
      </c>
      <c r="I1290" s="40" t="str">
        <f>IFERROR(IF(VLOOKUP(E1290,extracto!C:C,1,FALSE)=E1290,"pagado","no pagado"),"no pagado")</f>
        <v>pagado</v>
      </c>
      <c r="J1290" s="41" t="str">
        <f t="shared" si="588"/>
        <v>pagado</v>
      </c>
      <c r="K1290" s="40" t="str">
        <f t="shared" ca="1" si="589"/>
        <v>excluir</v>
      </c>
      <c r="L1290" s="40" t="str">
        <f t="shared" ca="1" si="590"/>
        <v>no semana</v>
      </c>
      <c r="M1290" s="40" t="str">
        <f>IFERROR(VLOOKUP(E1290,'cheques a conf'!A:D,4,FALSE),"no clearing")</f>
        <v>no clearing</v>
      </c>
      <c r="N1290" s="40">
        <f t="shared" si="591"/>
        <v>40</v>
      </c>
      <c r="O1290" s="42">
        <f t="shared" si="592"/>
        <v>10</v>
      </c>
      <c r="P1290" s="42">
        <f t="shared" si="593"/>
        <v>2025</v>
      </c>
    </row>
    <row r="1291" spans="1:16" x14ac:dyDescent="0.25">
      <c r="A1291" s="21">
        <v>3000005844</v>
      </c>
      <c r="B1291" s="22">
        <v>45929</v>
      </c>
      <c r="C1291" s="20">
        <v>12533136.4</v>
      </c>
      <c r="D1291" s="21" t="s">
        <v>610</v>
      </c>
      <c r="E1291" s="21">
        <v>1939</v>
      </c>
      <c r="F1291" s="20">
        <v>12533136.4</v>
      </c>
      <c r="G1291" s="22">
        <v>45932</v>
      </c>
      <c r="H1291" t="s">
        <v>32</v>
      </c>
      <c r="I1291" s="40" t="str">
        <f>IFERROR(IF(VLOOKUP(E1291,extracto!C:C,1,FALSE)=E1291,"pagado","no pagado"),"no pagado")</f>
        <v>pagado</v>
      </c>
      <c r="J1291" s="41" t="str">
        <f t="shared" ref="J1291:J1327" si="594">IF(I1291="pagado","pagado",IF(G1291&lt;$V$1-30,"fuera de fecha","en periodo de pago"))</f>
        <v>pagado</v>
      </c>
      <c r="K1291" s="40" t="str">
        <f t="shared" ref="K1291:K1327" ca="1" si="595">+IF(B1291&gt;$V$1,"excluir",IF(J1291="en periodo de pago",IF($V$1&gt;G1291,"a pagar","proximo a vencer"),"excluir"))</f>
        <v>excluir</v>
      </c>
      <c r="L1291" s="40" t="str">
        <f t="shared" ref="L1291:L1327" ca="1" si="596">+IF(K1291="proximo a vencer",IF($V$1+5&gt;G1291,"para la semana","no semana"),"no semana")</f>
        <v>no semana</v>
      </c>
      <c r="M1291" s="40" t="str">
        <f>IFERROR(VLOOKUP(E1291,'cheques a conf'!A:D,4,FALSE),"no clearing")</f>
        <v>no clearing</v>
      </c>
      <c r="N1291" s="40">
        <f t="shared" ref="N1291:N1327" si="597">+WEEKNUM(G1291,2)</f>
        <v>40</v>
      </c>
      <c r="O1291" s="42">
        <f t="shared" ref="O1291:O1327" si="598">+MONTH(G1291)</f>
        <v>10</v>
      </c>
      <c r="P1291" s="42">
        <f t="shared" ref="P1291:P1327" si="599">+YEAR(G1291)</f>
        <v>2025</v>
      </c>
    </row>
    <row r="1292" spans="1:16" x14ac:dyDescent="0.25">
      <c r="A1292" s="21">
        <v>3000005845</v>
      </c>
      <c r="B1292" s="22">
        <v>45929</v>
      </c>
      <c r="C1292" s="20">
        <v>13187968.34</v>
      </c>
      <c r="D1292" s="21" t="s">
        <v>33</v>
      </c>
      <c r="E1292" s="21">
        <v>1940</v>
      </c>
      <c r="F1292" s="20">
        <v>13187968.34</v>
      </c>
      <c r="G1292" s="22">
        <v>45932</v>
      </c>
      <c r="H1292" t="s">
        <v>32</v>
      </c>
      <c r="I1292" s="40" t="str">
        <f>IFERROR(IF(VLOOKUP(E1292,extracto!C:C,1,FALSE)=E1292,"pagado","no pagado"),"no pagado")</f>
        <v>pagado</v>
      </c>
      <c r="J1292" s="41" t="str">
        <f t="shared" si="594"/>
        <v>pagado</v>
      </c>
      <c r="K1292" s="40" t="str">
        <f t="shared" ca="1" si="595"/>
        <v>excluir</v>
      </c>
      <c r="L1292" s="40" t="str">
        <f t="shared" ca="1" si="596"/>
        <v>no semana</v>
      </c>
      <c r="M1292" s="40" t="str">
        <f>IFERROR(VLOOKUP(E1292,'cheques a conf'!A:D,4,FALSE),"no clearing")</f>
        <v>no clearing</v>
      </c>
      <c r="N1292" s="40">
        <f t="shared" si="597"/>
        <v>40</v>
      </c>
      <c r="O1292" s="42">
        <f t="shared" si="598"/>
        <v>10</v>
      </c>
      <c r="P1292" s="42">
        <f t="shared" si="599"/>
        <v>2025</v>
      </c>
    </row>
    <row r="1293" spans="1:16" x14ac:dyDescent="0.25">
      <c r="A1293" s="21">
        <v>3000005846</v>
      </c>
      <c r="B1293" s="22">
        <v>45929</v>
      </c>
      <c r="C1293" s="20">
        <v>26342163.75</v>
      </c>
      <c r="D1293" s="21" t="s">
        <v>658</v>
      </c>
      <c r="E1293" s="21">
        <v>1941</v>
      </c>
      <c r="F1293" s="20">
        <v>26342163.75</v>
      </c>
      <c r="G1293" s="22">
        <v>45933</v>
      </c>
      <c r="H1293" t="s">
        <v>32</v>
      </c>
      <c r="I1293" s="40" t="str">
        <f>IFERROR(IF(VLOOKUP(E1293,extracto!C:C,1,FALSE)=E1293,"pagado","no pagado"),"no pagado")</f>
        <v>pagado</v>
      </c>
      <c r="J1293" s="41" t="str">
        <f t="shared" si="594"/>
        <v>pagado</v>
      </c>
      <c r="K1293" s="40" t="str">
        <f t="shared" ca="1" si="595"/>
        <v>excluir</v>
      </c>
      <c r="L1293" s="40" t="str">
        <f t="shared" ca="1" si="596"/>
        <v>no semana</v>
      </c>
      <c r="M1293" s="40" t="str">
        <f>IFERROR(VLOOKUP(E1293,'cheques a conf'!A:D,4,FALSE),"no clearing")</f>
        <v>no clearing</v>
      </c>
      <c r="N1293" s="40">
        <f t="shared" si="597"/>
        <v>40</v>
      </c>
      <c r="O1293" s="42">
        <f t="shared" si="598"/>
        <v>10</v>
      </c>
      <c r="P1293" s="42">
        <f t="shared" si="599"/>
        <v>2025</v>
      </c>
    </row>
    <row r="1294" spans="1:16" x14ac:dyDescent="0.25">
      <c r="A1294" s="21">
        <v>3000005913</v>
      </c>
      <c r="B1294" s="22">
        <v>45932</v>
      </c>
      <c r="C1294" s="20">
        <v>6367593.4000000004</v>
      </c>
      <c r="D1294" s="21" t="s">
        <v>790</v>
      </c>
      <c r="E1294" s="21">
        <v>91002590</v>
      </c>
      <c r="F1294" s="20">
        <v>6367593.4000000004</v>
      </c>
      <c r="G1294" s="22">
        <v>45936</v>
      </c>
      <c r="H1294" t="s">
        <v>79</v>
      </c>
      <c r="I1294" s="40" t="str">
        <f>IFERROR(IF(VLOOKUP(E1294,extracto!C:C,1,FALSE)=E1294,"pagado","no pagado"),"no pagado")</f>
        <v>pagado</v>
      </c>
      <c r="J1294" s="41" t="str">
        <f t="shared" si="594"/>
        <v>pagado</v>
      </c>
      <c r="K1294" s="40" t="str">
        <f t="shared" ca="1" si="595"/>
        <v>excluir</v>
      </c>
      <c r="L1294" s="40" t="str">
        <f t="shared" ca="1" si="596"/>
        <v>no semana</v>
      </c>
      <c r="M1294" s="40" t="str">
        <f>IFERROR(VLOOKUP(E1294,'cheques a conf'!A:D,4,FALSE),"no clearing")</f>
        <v>no clearing</v>
      </c>
      <c r="N1294" s="40">
        <f t="shared" si="597"/>
        <v>41</v>
      </c>
      <c r="O1294" s="42">
        <f t="shared" si="598"/>
        <v>10</v>
      </c>
      <c r="P1294" s="42">
        <f t="shared" si="599"/>
        <v>2025</v>
      </c>
    </row>
    <row r="1295" spans="1:16" x14ac:dyDescent="0.25">
      <c r="A1295" s="21">
        <v>3000005913</v>
      </c>
      <c r="B1295" s="22">
        <v>45932</v>
      </c>
      <c r="C1295" s="20">
        <v>6243170.75</v>
      </c>
      <c r="D1295" s="21" t="s">
        <v>790</v>
      </c>
      <c r="E1295" s="21">
        <v>91002591</v>
      </c>
      <c r="F1295" s="20">
        <v>6243170.75</v>
      </c>
      <c r="G1295" s="22">
        <v>45936</v>
      </c>
      <c r="H1295" t="s">
        <v>79</v>
      </c>
      <c r="I1295" s="40" t="str">
        <f>IFERROR(IF(VLOOKUP(E1295,extracto!C:C,1,FALSE)=E1295,"pagado","no pagado"),"no pagado")</f>
        <v>pagado</v>
      </c>
      <c r="J1295" s="41" t="str">
        <f t="shared" si="594"/>
        <v>pagado</v>
      </c>
      <c r="K1295" s="40" t="str">
        <f t="shared" ca="1" si="595"/>
        <v>excluir</v>
      </c>
      <c r="L1295" s="40" t="str">
        <f t="shared" ca="1" si="596"/>
        <v>no semana</v>
      </c>
      <c r="M1295" s="40" t="str">
        <f>IFERROR(VLOOKUP(E1295,'cheques a conf'!A:D,4,FALSE),"no clearing")</f>
        <v>no clearing</v>
      </c>
      <c r="N1295" s="40">
        <f t="shared" si="597"/>
        <v>41</v>
      </c>
      <c r="O1295" s="42">
        <f t="shared" si="598"/>
        <v>10</v>
      </c>
      <c r="P1295" s="42">
        <f t="shared" si="599"/>
        <v>2025</v>
      </c>
    </row>
    <row r="1296" spans="1:16" x14ac:dyDescent="0.25">
      <c r="A1296" s="21">
        <v>3000005913</v>
      </c>
      <c r="B1296" s="22">
        <v>45932</v>
      </c>
      <c r="C1296" s="20">
        <v>4948986.3600000003</v>
      </c>
      <c r="D1296" s="21" t="s">
        <v>790</v>
      </c>
      <c r="E1296" s="21">
        <v>91002592</v>
      </c>
      <c r="F1296" s="20">
        <v>4948986.3600000003</v>
      </c>
      <c r="G1296" s="22">
        <v>45936</v>
      </c>
      <c r="H1296" t="s">
        <v>79</v>
      </c>
      <c r="I1296" s="40" t="str">
        <f>IFERROR(IF(VLOOKUP(E1296,extracto!C:C,1,FALSE)=E1296,"pagado","no pagado"),"no pagado")</f>
        <v>pagado</v>
      </c>
      <c r="J1296" s="41" t="str">
        <f t="shared" si="594"/>
        <v>pagado</v>
      </c>
      <c r="K1296" s="40" t="str">
        <f t="shared" ca="1" si="595"/>
        <v>excluir</v>
      </c>
      <c r="L1296" s="40" t="str">
        <f t="shared" ca="1" si="596"/>
        <v>no semana</v>
      </c>
      <c r="M1296" s="40" t="str">
        <f>IFERROR(VLOOKUP(E1296,'cheques a conf'!A:D,4,FALSE),"no clearing")</f>
        <v>no clearing</v>
      </c>
      <c r="N1296" s="40">
        <f t="shared" si="597"/>
        <v>41</v>
      </c>
      <c r="O1296" s="42">
        <f t="shared" si="598"/>
        <v>10</v>
      </c>
      <c r="P1296" s="42">
        <f t="shared" si="599"/>
        <v>2025</v>
      </c>
    </row>
    <row r="1297" spans="1:16" x14ac:dyDescent="0.25">
      <c r="A1297" s="21">
        <v>3000005913</v>
      </c>
      <c r="B1297" s="22">
        <v>45932</v>
      </c>
      <c r="C1297" s="20">
        <v>371468.4</v>
      </c>
      <c r="D1297" s="21" t="s">
        <v>790</v>
      </c>
      <c r="E1297" s="21">
        <v>91002593</v>
      </c>
      <c r="F1297" s="20">
        <v>371468.4</v>
      </c>
      <c r="G1297" s="22">
        <v>45936</v>
      </c>
      <c r="H1297" t="s">
        <v>79</v>
      </c>
      <c r="I1297" s="40" t="str">
        <f>IFERROR(IF(VLOOKUP(E1297,extracto!C:C,1,FALSE)=E1297,"pagado","no pagado"),"no pagado")</f>
        <v>pagado</v>
      </c>
      <c r="J1297" s="41" t="str">
        <f t="shared" si="594"/>
        <v>pagado</v>
      </c>
      <c r="K1297" s="40" t="str">
        <f t="shared" ca="1" si="595"/>
        <v>excluir</v>
      </c>
      <c r="L1297" s="40" t="str">
        <f t="shared" ca="1" si="596"/>
        <v>no semana</v>
      </c>
      <c r="M1297" s="40" t="str">
        <f>IFERROR(VLOOKUP(E1297,'cheques a conf'!A:D,4,FALSE),"no clearing")</f>
        <v>no clearing</v>
      </c>
      <c r="N1297" s="40">
        <f t="shared" si="597"/>
        <v>41</v>
      </c>
      <c r="O1297" s="42">
        <f t="shared" si="598"/>
        <v>10</v>
      </c>
      <c r="P1297" s="42">
        <f t="shared" si="599"/>
        <v>2025</v>
      </c>
    </row>
    <row r="1298" spans="1:16" x14ac:dyDescent="0.25">
      <c r="A1298" s="21">
        <v>3000005913</v>
      </c>
      <c r="B1298" s="22">
        <v>45932</v>
      </c>
      <c r="C1298" s="20">
        <v>480143.4</v>
      </c>
      <c r="D1298" s="21" t="s">
        <v>790</v>
      </c>
      <c r="E1298" s="21">
        <v>91002594</v>
      </c>
      <c r="F1298" s="20">
        <v>480143.4</v>
      </c>
      <c r="G1298" s="22">
        <v>45936</v>
      </c>
      <c r="H1298" t="s">
        <v>79</v>
      </c>
      <c r="I1298" s="40" t="str">
        <f>IFERROR(IF(VLOOKUP(E1298,extracto!C:C,1,FALSE)=E1298,"pagado","no pagado"),"no pagado")</f>
        <v>pagado</v>
      </c>
      <c r="J1298" s="41" t="str">
        <f t="shared" si="594"/>
        <v>pagado</v>
      </c>
      <c r="K1298" s="40" t="str">
        <f t="shared" ca="1" si="595"/>
        <v>excluir</v>
      </c>
      <c r="L1298" s="40" t="str">
        <f t="shared" ca="1" si="596"/>
        <v>no semana</v>
      </c>
      <c r="M1298" s="40" t="str">
        <f>IFERROR(VLOOKUP(E1298,'cheques a conf'!A:D,4,FALSE),"no clearing")</f>
        <v>no clearing</v>
      </c>
      <c r="N1298" s="40">
        <f t="shared" si="597"/>
        <v>41</v>
      </c>
      <c r="O1298" s="42">
        <f t="shared" si="598"/>
        <v>10</v>
      </c>
      <c r="P1298" s="42">
        <f t="shared" si="599"/>
        <v>2025</v>
      </c>
    </row>
    <row r="1299" spans="1:16" x14ac:dyDescent="0.25">
      <c r="A1299" s="21">
        <v>3000005913</v>
      </c>
      <c r="B1299" s="22">
        <v>45932</v>
      </c>
      <c r="C1299" s="20">
        <v>42413652.060000002</v>
      </c>
      <c r="D1299" s="21" t="s">
        <v>790</v>
      </c>
      <c r="E1299" s="21">
        <v>91002595</v>
      </c>
      <c r="F1299" s="20">
        <v>42413652.060000002</v>
      </c>
      <c r="G1299" s="22">
        <v>45936</v>
      </c>
      <c r="H1299" t="s">
        <v>79</v>
      </c>
      <c r="I1299" s="40" t="str">
        <f>IFERROR(IF(VLOOKUP(E1299,extracto!C:C,1,FALSE)=E1299,"pagado","no pagado"),"no pagado")</f>
        <v>pagado</v>
      </c>
      <c r="J1299" s="41" t="str">
        <f t="shared" si="594"/>
        <v>pagado</v>
      </c>
      <c r="K1299" s="40" t="str">
        <f t="shared" ca="1" si="595"/>
        <v>excluir</v>
      </c>
      <c r="L1299" s="40" t="str">
        <f t="shared" ca="1" si="596"/>
        <v>no semana</v>
      </c>
      <c r="M1299" s="40" t="str">
        <f>IFERROR(VLOOKUP(E1299,'cheques a conf'!A:D,4,FALSE),"no clearing")</f>
        <v>no clearing</v>
      </c>
      <c r="N1299" s="40">
        <f t="shared" si="597"/>
        <v>41</v>
      </c>
      <c r="O1299" s="42">
        <f t="shared" si="598"/>
        <v>10</v>
      </c>
      <c r="P1299" s="42">
        <f t="shared" si="599"/>
        <v>2025</v>
      </c>
    </row>
    <row r="1300" spans="1:16" x14ac:dyDescent="0.25">
      <c r="A1300" s="21">
        <v>3000005913</v>
      </c>
      <c r="B1300" s="22">
        <v>45932</v>
      </c>
      <c r="C1300" s="20">
        <v>55919.96</v>
      </c>
      <c r="D1300" s="21" t="s">
        <v>790</v>
      </c>
      <c r="E1300" s="21">
        <v>91002596</v>
      </c>
      <c r="F1300" s="20">
        <v>55919.96</v>
      </c>
      <c r="G1300" s="22">
        <v>45936</v>
      </c>
      <c r="H1300" t="s">
        <v>79</v>
      </c>
      <c r="I1300" s="40" t="str">
        <f>IFERROR(IF(VLOOKUP(E1300,extracto!C:C,1,FALSE)=E1300,"pagado","no pagado"),"no pagado")</f>
        <v>pagado</v>
      </c>
      <c r="J1300" s="41" t="str">
        <f t="shared" si="594"/>
        <v>pagado</v>
      </c>
      <c r="K1300" s="40" t="str">
        <f t="shared" ca="1" si="595"/>
        <v>excluir</v>
      </c>
      <c r="L1300" s="40" t="str">
        <f t="shared" ca="1" si="596"/>
        <v>no semana</v>
      </c>
      <c r="M1300" s="40" t="str">
        <f>IFERROR(VLOOKUP(E1300,'cheques a conf'!A:D,4,FALSE),"no clearing")</f>
        <v>no clearing</v>
      </c>
      <c r="N1300" s="40">
        <f t="shared" si="597"/>
        <v>41</v>
      </c>
      <c r="O1300" s="42">
        <f t="shared" si="598"/>
        <v>10</v>
      </c>
      <c r="P1300" s="42">
        <f t="shared" si="599"/>
        <v>2025</v>
      </c>
    </row>
    <row r="1301" spans="1:16" x14ac:dyDescent="0.25">
      <c r="A1301" s="21">
        <v>3000005972</v>
      </c>
      <c r="B1301" s="22">
        <v>45936</v>
      </c>
      <c r="C1301" s="20">
        <v>11549825.25</v>
      </c>
      <c r="D1301" s="21" t="s">
        <v>676</v>
      </c>
      <c r="E1301" s="21">
        <v>1942</v>
      </c>
      <c r="F1301" s="20">
        <v>11549825.25</v>
      </c>
      <c r="G1301" s="22">
        <v>45938</v>
      </c>
      <c r="H1301" t="s">
        <v>32</v>
      </c>
      <c r="I1301" s="40" t="str">
        <f>IFERROR(IF(VLOOKUP(E1301,extracto!C:C,1,FALSE)=E1301,"pagado","no pagado"),"no pagado")</f>
        <v>pagado</v>
      </c>
      <c r="J1301" s="41" t="str">
        <f t="shared" si="594"/>
        <v>pagado</v>
      </c>
      <c r="K1301" s="40" t="str">
        <f t="shared" ca="1" si="595"/>
        <v>excluir</v>
      </c>
      <c r="L1301" s="40" t="str">
        <f t="shared" ca="1" si="596"/>
        <v>no semana</v>
      </c>
      <c r="M1301" s="40" t="str">
        <f>IFERROR(VLOOKUP(E1301,'cheques a conf'!A:D,4,FALSE),"no clearing")</f>
        <v>no clearing</v>
      </c>
      <c r="N1301" s="40">
        <f t="shared" si="597"/>
        <v>41</v>
      </c>
      <c r="O1301" s="42">
        <f t="shared" si="598"/>
        <v>10</v>
      </c>
      <c r="P1301" s="42">
        <f t="shared" si="599"/>
        <v>2025</v>
      </c>
    </row>
    <row r="1302" spans="1:16" x14ac:dyDescent="0.25">
      <c r="A1302" s="21">
        <v>3000005973</v>
      </c>
      <c r="B1302" s="22">
        <v>45936</v>
      </c>
      <c r="C1302" s="20">
        <v>4547779.1399999997</v>
      </c>
      <c r="D1302" s="21" t="s">
        <v>708</v>
      </c>
      <c r="E1302" s="21">
        <v>1943</v>
      </c>
      <c r="F1302" s="20">
        <v>4547779.1399999997</v>
      </c>
      <c r="G1302" s="22">
        <v>45938</v>
      </c>
      <c r="H1302" t="s">
        <v>32</v>
      </c>
      <c r="I1302" s="40" t="str">
        <f>IFERROR(IF(VLOOKUP(E1302,extracto!C:C,1,FALSE)=E1302,"pagado","no pagado"),"no pagado")</f>
        <v>pagado</v>
      </c>
      <c r="J1302" s="41" t="str">
        <f t="shared" si="594"/>
        <v>pagado</v>
      </c>
      <c r="K1302" s="40" t="str">
        <f t="shared" ca="1" si="595"/>
        <v>excluir</v>
      </c>
      <c r="L1302" s="40" t="str">
        <f t="shared" ca="1" si="596"/>
        <v>no semana</v>
      </c>
      <c r="M1302" s="40" t="str">
        <f>IFERROR(VLOOKUP(E1302,'cheques a conf'!A:D,4,FALSE),"no clearing")</f>
        <v>no clearing</v>
      </c>
      <c r="N1302" s="40">
        <f t="shared" si="597"/>
        <v>41</v>
      </c>
      <c r="O1302" s="42">
        <f t="shared" si="598"/>
        <v>10</v>
      </c>
      <c r="P1302" s="42">
        <f t="shared" si="599"/>
        <v>2025</v>
      </c>
    </row>
    <row r="1303" spans="1:16" x14ac:dyDescent="0.25">
      <c r="A1303" s="21">
        <v>3000005974</v>
      </c>
      <c r="B1303" s="22">
        <v>45936</v>
      </c>
      <c r="C1303" s="20">
        <v>10907109.949999999</v>
      </c>
      <c r="D1303" s="21" t="s">
        <v>791</v>
      </c>
      <c r="E1303" s="21">
        <v>1944</v>
      </c>
      <c r="F1303" s="20">
        <v>10907109.949999999</v>
      </c>
      <c r="G1303" s="22">
        <v>45938</v>
      </c>
      <c r="H1303" t="s">
        <v>32</v>
      </c>
      <c r="I1303" s="40" t="str">
        <f>IFERROR(IF(VLOOKUP(E1303,extracto!C:C,1,FALSE)=E1303,"pagado","no pagado"),"no pagado")</f>
        <v>pagado</v>
      </c>
      <c r="J1303" s="41" t="str">
        <f t="shared" si="594"/>
        <v>pagado</v>
      </c>
      <c r="K1303" s="40" t="str">
        <f t="shared" ca="1" si="595"/>
        <v>excluir</v>
      </c>
      <c r="L1303" s="40" t="str">
        <f t="shared" ca="1" si="596"/>
        <v>no semana</v>
      </c>
      <c r="M1303" s="40" t="str">
        <f>IFERROR(VLOOKUP(E1303,'cheques a conf'!A:D,4,FALSE),"no clearing")</f>
        <v>no clearing</v>
      </c>
      <c r="N1303" s="40">
        <f t="shared" si="597"/>
        <v>41</v>
      </c>
      <c r="O1303" s="42">
        <f t="shared" si="598"/>
        <v>10</v>
      </c>
      <c r="P1303" s="42">
        <f t="shared" si="599"/>
        <v>2025</v>
      </c>
    </row>
    <row r="1304" spans="1:16" x14ac:dyDescent="0.25">
      <c r="A1304" s="21">
        <v>3000005975</v>
      </c>
      <c r="B1304" s="22">
        <v>45936</v>
      </c>
      <c r="C1304" s="20">
        <v>3843006.39</v>
      </c>
      <c r="D1304" s="21" t="s">
        <v>239</v>
      </c>
      <c r="E1304" s="21">
        <v>1945</v>
      </c>
      <c r="F1304" s="20">
        <v>3843006.39</v>
      </c>
      <c r="G1304" s="22">
        <v>45938</v>
      </c>
      <c r="H1304" t="s">
        <v>32</v>
      </c>
      <c r="I1304" s="40" t="str">
        <f>IFERROR(IF(VLOOKUP(E1304,extracto!C:C,1,FALSE)=E1304,"pagado","no pagado"),"no pagado")</f>
        <v>pagado</v>
      </c>
      <c r="J1304" s="41" t="str">
        <f t="shared" si="594"/>
        <v>pagado</v>
      </c>
      <c r="K1304" s="40" t="str">
        <f t="shared" ca="1" si="595"/>
        <v>excluir</v>
      </c>
      <c r="L1304" s="40" t="str">
        <f t="shared" ca="1" si="596"/>
        <v>no semana</v>
      </c>
      <c r="M1304" s="40" t="str">
        <f>IFERROR(VLOOKUP(E1304,'cheques a conf'!A:D,4,FALSE),"no clearing")</f>
        <v>no clearing</v>
      </c>
      <c r="N1304" s="40">
        <f t="shared" si="597"/>
        <v>41</v>
      </c>
      <c r="O1304" s="42">
        <f t="shared" si="598"/>
        <v>10</v>
      </c>
      <c r="P1304" s="42">
        <f t="shared" si="599"/>
        <v>2025</v>
      </c>
    </row>
    <row r="1305" spans="1:16" x14ac:dyDescent="0.25">
      <c r="A1305" s="21">
        <v>3000005976</v>
      </c>
      <c r="B1305" s="22">
        <v>45936</v>
      </c>
      <c r="C1305" s="20">
        <v>4817233.17</v>
      </c>
      <c r="D1305" s="21" t="s">
        <v>792</v>
      </c>
      <c r="E1305" s="21">
        <v>1946</v>
      </c>
      <c r="F1305" s="20">
        <v>4817233.17</v>
      </c>
      <c r="G1305" s="22">
        <v>45938</v>
      </c>
      <c r="H1305" t="s">
        <v>32</v>
      </c>
      <c r="I1305" s="40" t="str">
        <f>IFERROR(IF(VLOOKUP(E1305,extracto!C:C,1,FALSE)=E1305,"pagado","no pagado"),"no pagado")</f>
        <v>pagado</v>
      </c>
      <c r="J1305" s="41" t="str">
        <f t="shared" si="594"/>
        <v>pagado</v>
      </c>
      <c r="K1305" s="40" t="str">
        <f t="shared" ca="1" si="595"/>
        <v>excluir</v>
      </c>
      <c r="L1305" s="40" t="str">
        <f t="shared" ca="1" si="596"/>
        <v>no semana</v>
      </c>
      <c r="M1305" s="40" t="str">
        <f>IFERROR(VLOOKUP(E1305,'cheques a conf'!A:D,4,FALSE),"no clearing")</f>
        <v>no clearing</v>
      </c>
      <c r="N1305" s="40">
        <f t="shared" si="597"/>
        <v>41</v>
      </c>
      <c r="O1305" s="42">
        <f t="shared" si="598"/>
        <v>10</v>
      </c>
      <c r="P1305" s="42">
        <f t="shared" si="599"/>
        <v>2025</v>
      </c>
    </row>
    <row r="1306" spans="1:16" x14ac:dyDescent="0.25">
      <c r="A1306" s="21">
        <v>3000005977</v>
      </c>
      <c r="B1306" s="22">
        <v>45936</v>
      </c>
      <c r="C1306" s="20">
        <v>4936330</v>
      </c>
      <c r="D1306" s="21" t="s">
        <v>658</v>
      </c>
      <c r="E1306" s="21">
        <v>1947</v>
      </c>
      <c r="F1306" s="20">
        <v>4936330</v>
      </c>
      <c r="G1306" s="22">
        <v>45938</v>
      </c>
      <c r="H1306" t="s">
        <v>32</v>
      </c>
      <c r="I1306" s="40" t="str">
        <f>IFERROR(IF(VLOOKUP(E1306,extracto!C:C,1,FALSE)=E1306,"pagado","no pagado"),"no pagado")</f>
        <v>pagado</v>
      </c>
      <c r="J1306" s="41" t="str">
        <f t="shared" si="594"/>
        <v>pagado</v>
      </c>
      <c r="K1306" s="40" t="str">
        <f t="shared" ca="1" si="595"/>
        <v>excluir</v>
      </c>
      <c r="L1306" s="40" t="str">
        <f t="shared" ca="1" si="596"/>
        <v>no semana</v>
      </c>
      <c r="M1306" s="40" t="str">
        <f>IFERROR(VLOOKUP(E1306,'cheques a conf'!A:D,4,FALSE),"no clearing")</f>
        <v>no clearing</v>
      </c>
      <c r="N1306" s="40">
        <f t="shared" si="597"/>
        <v>41</v>
      </c>
      <c r="O1306" s="42">
        <f t="shared" si="598"/>
        <v>10</v>
      </c>
      <c r="P1306" s="42">
        <f t="shared" si="599"/>
        <v>2025</v>
      </c>
    </row>
    <row r="1307" spans="1:16" x14ac:dyDescent="0.25">
      <c r="A1307" s="21">
        <v>3000005978</v>
      </c>
      <c r="B1307" s="22">
        <v>45936</v>
      </c>
      <c r="C1307" s="20">
        <v>6750125.0099999998</v>
      </c>
      <c r="D1307" s="21" t="s">
        <v>752</v>
      </c>
      <c r="E1307" s="21">
        <v>1948</v>
      </c>
      <c r="F1307" s="20">
        <v>6750125.0099999998</v>
      </c>
      <c r="G1307" s="22">
        <v>45938</v>
      </c>
      <c r="H1307" t="s">
        <v>32</v>
      </c>
      <c r="I1307" s="40" t="str">
        <f>IFERROR(IF(VLOOKUP(E1307,extracto!C:C,1,FALSE)=E1307,"pagado","no pagado"),"no pagado")</f>
        <v>pagado</v>
      </c>
      <c r="J1307" s="41" t="str">
        <f t="shared" si="594"/>
        <v>pagado</v>
      </c>
      <c r="K1307" s="40" t="str">
        <f t="shared" ca="1" si="595"/>
        <v>excluir</v>
      </c>
      <c r="L1307" s="40" t="str">
        <f t="shared" ca="1" si="596"/>
        <v>no semana</v>
      </c>
      <c r="M1307" s="40" t="str">
        <f>IFERROR(VLOOKUP(E1307,'cheques a conf'!A:D,4,FALSE),"no clearing")</f>
        <v>no clearing</v>
      </c>
      <c r="N1307" s="40">
        <f t="shared" si="597"/>
        <v>41</v>
      </c>
      <c r="O1307" s="42">
        <f t="shared" si="598"/>
        <v>10</v>
      </c>
      <c r="P1307" s="42">
        <f t="shared" si="599"/>
        <v>2025</v>
      </c>
    </row>
    <row r="1308" spans="1:16" x14ac:dyDescent="0.25">
      <c r="A1308" s="21">
        <v>3000005979</v>
      </c>
      <c r="B1308" s="22">
        <v>45936</v>
      </c>
      <c r="C1308" s="20">
        <v>4187118.4</v>
      </c>
      <c r="D1308" s="21" t="s">
        <v>610</v>
      </c>
      <c r="E1308" s="21">
        <v>1949</v>
      </c>
      <c r="F1308" s="20">
        <v>4187118.4</v>
      </c>
      <c r="G1308" s="22">
        <v>45938</v>
      </c>
      <c r="H1308" t="s">
        <v>32</v>
      </c>
      <c r="I1308" s="40" t="str">
        <f>IFERROR(IF(VLOOKUP(E1308,extracto!C:C,1,FALSE)=E1308,"pagado","no pagado"),"no pagado")</f>
        <v>pagado</v>
      </c>
      <c r="J1308" s="41" t="str">
        <f t="shared" si="594"/>
        <v>pagado</v>
      </c>
      <c r="K1308" s="40" t="str">
        <f t="shared" ca="1" si="595"/>
        <v>excluir</v>
      </c>
      <c r="L1308" s="40" t="str">
        <f t="shared" ca="1" si="596"/>
        <v>no semana</v>
      </c>
      <c r="M1308" s="40" t="str">
        <f>IFERROR(VLOOKUP(E1308,'cheques a conf'!A:D,4,FALSE),"no clearing")</f>
        <v>no clearing</v>
      </c>
      <c r="N1308" s="40">
        <f t="shared" si="597"/>
        <v>41</v>
      </c>
      <c r="O1308" s="42">
        <f t="shared" si="598"/>
        <v>10</v>
      </c>
      <c r="P1308" s="42">
        <f t="shared" si="599"/>
        <v>2025</v>
      </c>
    </row>
    <row r="1309" spans="1:16" x14ac:dyDescent="0.25">
      <c r="A1309" s="21">
        <v>3000005980</v>
      </c>
      <c r="B1309" s="22">
        <v>45936</v>
      </c>
      <c r="C1309" s="20">
        <v>2675827.6</v>
      </c>
      <c r="D1309" s="21" t="s">
        <v>69</v>
      </c>
      <c r="E1309" s="21">
        <v>1950</v>
      </c>
      <c r="F1309" s="20">
        <v>2675827.6</v>
      </c>
      <c r="G1309" s="22">
        <v>45939</v>
      </c>
      <c r="H1309" t="s">
        <v>32</v>
      </c>
      <c r="I1309" s="40" t="str">
        <f>IFERROR(IF(VLOOKUP(E1309,extracto!C:C,1,FALSE)=E1309,"pagado","no pagado"),"no pagado")</f>
        <v>pagado</v>
      </c>
      <c r="J1309" s="41" t="str">
        <f t="shared" si="594"/>
        <v>pagado</v>
      </c>
      <c r="K1309" s="40" t="str">
        <f t="shared" ca="1" si="595"/>
        <v>excluir</v>
      </c>
      <c r="L1309" s="40" t="str">
        <f t="shared" ca="1" si="596"/>
        <v>no semana</v>
      </c>
      <c r="M1309" s="40" t="str">
        <f>IFERROR(VLOOKUP(E1309,'cheques a conf'!A:D,4,FALSE),"no clearing")</f>
        <v>no clearing</v>
      </c>
      <c r="N1309" s="40">
        <f t="shared" si="597"/>
        <v>41</v>
      </c>
      <c r="O1309" s="42">
        <f t="shared" si="598"/>
        <v>10</v>
      </c>
      <c r="P1309" s="42">
        <f t="shared" si="599"/>
        <v>2025</v>
      </c>
    </row>
    <row r="1310" spans="1:16" x14ac:dyDescent="0.25">
      <c r="A1310" s="21">
        <v>3000005981</v>
      </c>
      <c r="B1310" s="22">
        <v>45936</v>
      </c>
      <c r="C1310" s="20">
        <v>8927455</v>
      </c>
      <c r="D1310" s="21" t="s">
        <v>727</v>
      </c>
      <c r="E1310" s="21">
        <v>1951</v>
      </c>
      <c r="F1310" s="20">
        <v>8927455</v>
      </c>
      <c r="G1310" s="22">
        <v>45939</v>
      </c>
      <c r="H1310" t="s">
        <v>32</v>
      </c>
      <c r="I1310" s="40" t="str">
        <f>IFERROR(IF(VLOOKUP(E1310,extracto!C:C,1,FALSE)=E1310,"pagado","no pagado"),"no pagado")</f>
        <v>pagado</v>
      </c>
      <c r="J1310" s="41" t="str">
        <f t="shared" si="594"/>
        <v>pagado</v>
      </c>
      <c r="K1310" s="40" t="str">
        <f t="shared" ca="1" si="595"/>
        <v>excluir</v>
      </c>
      <c r="L1310" s="40" t="str">
        <f t="shared" ca="1" si="596"/>
        <v>no semana</v>
      </c>
      <c r="M1310" s="40" t="str">
        <f>IFERROR(VLOOKUP(E1310,'cheques a conf'!A:D,4,FALSE),"no clearing")</f>
        <v>no clearing</v>
      </c>
      <c r="N1310" s="40">
        <f t="shared" si="597"/>
        <v>41</v>
      </c>
      <c r="O1310" s="42">
        <f t="shared" si="598"/>
        <v>10</v>
      </c>
      <c r="P1310" s="42">
        <f t="shared" si="599"/>
        <v>2025</v>
      </c>
    </row>
    <row r="1311" spans="1:16" x14ac:dyDescent="0.25">
      <c r="A1311" s="21">
        <v>3000005982</v>
      </c>
      <c r="B1311" s="22">
        <v>45936</v>
      </c>
      <c r="C1311" s="20">
        <v>6219540.96</v>
      </c>
      <c r="D1311" s="21" t="s">
        <v>628</v>
      </c>
      <c r="E1311" s="21">
        <v>1952</v>
      </c>
      <c r="F1311" s="20">
        <v>6219540.96</v>
      </c>
      <c r="G1311" s="22">
        <v>45939</v>
      </c>
      <c r="H1311" t="s">
        <v>32</v>
      </c>
      <c r="I1311" s="40" t="str">
        <f>IFERROR(IF(VLOOKUP(E1311,extracto!C:C,1,FALSE)=E1311,"pagado","no pagado"),"no pagado")</f>
        <v>pagado</v>
      </c>
      <c r="J1311" s="41" t="str">
        <f t="shared" si="594"/>
        <v>pagado</v>
      </c>
      <c r="K1311" s="40" t="str">
        <f t="shared" ca="1" si="595"/>
        <v>excluir</v>
      </c>
      <c r="L1311" s="40" t="str">
        <f t="shared" ca="1" si="596"/>
        <v>no semana</v>
      </c>
      <c r="M1311" s="40" t="str">
        <f>IFERROR(VLOOKUP(E1311,'cheques a conf'!A:D,4,FALSE),"no clearing")</f>
        <v>no clearing</v>
      </c>
      <c r="N1311" s="40">
        <f t="shared" si="597"/>
        <v>41</v>
      </c>
      <c r="O1311" s="42">
        <f t="shared" si="598"/>
        <v>10</v>
      </c>
      <c r="P1311" s="42">
        <f t="shared" si="599"/>
        <v>2025</v>
      </c>
    </row>
    <row r="1312" spans="1:16" x14ac:dyDescent="0.25">
      <c r="A1312" s="21">
        <v>3000005983</v>
      </c>
      <c r="B1312" s="22">
        <v>45936</v>
      </c>
      <c r="C1312" s="20">
        <v>3249241.17</v>
      </c>
      <c r="D1312" s="21" t="s">
        <v>793</v>
      </c>
      <c r="E1312" s="21">
        <v>1953</v>
      </c>
      <c r="F1312" s="20">
        <v>3249241.17</v>
      </c>
      <c r="G1312" s="22">
        <v>45939</v>
      </c>
      <c r="H1312" t="s">
        <v>32</v>
      </c>
      <c r="I1312" s="40" t="str">
        <f>IFERROR(IF(VLOOKUP(E1312,extracto!C:C,1,FALSE)=E1312,"pagado","no pagado"),"no pagado")</f>
        <v>pagado</v>
      </c>
      <c r="J1312" s="41" t="str">
        <f t="shared" si="594"/>
        <v>pagado</v>
      </c>
      <c r="K1312" s="40" t="str">
        <f t="shared" ca="1" si="595"/>
        <v>excluir</v>
      </c>
      <c r="L1312" s="40" t="str">
        <f t="shared" ca="1" si="596"/>
        <v>no semana</v>
      </c>
      <c r="M1312" s="40" t="str">
        <f>IFERROR(VLOOKUP(E1312,'cheques a conf'!A:D,4,FALSE),"no clearing")</f>
        <v>no clearing</v>
      </c>
      <c r="N1312" s="40">
        <f t="shared" si="597"/>
        <v>41</v>
      </c>
      <c r="O1312" s="42">
        <f t="shared" si="598"/>
        <v>10</v>
      </c>
      <c r="P1312" s="42">
        <f t="shared" si="599"/>
        <v>2025</v>
      </c>
    </row>
    <row r="1313" spans="1:16" x14ac:dyDescent="0.25">
      <c r="A1313" s="21">
        <v>3000005984</v>
      </c>
      <c r="B1313" s="22">
        <v>45936</v>
      </c>
      <c r="C1313" s="20">
        <v>5364410.82</v>
      </c>
      <c r="D1313" s="21" t="s">
        <v>773</v>
      </c>
      <c r="E1313" s="21">
        <v>1954</v>
      </c>
      <c r="F1313" s="20">
        <v>5364410.82</v>
      </c>
      <c r="G1313" s="22">
        <v>45939</v>
      </c>
      <c r="H1313" t="s">
        <v>32</v>
      </c>
      <c r="I1313" s="40" t="str">
        <f>IFERROR(IF(VLOOKUP(E1313,extracto!C:C,1,FALSE)=E1313,"pagado","no pagado"),"no pagado")</f>
        <v>pagado</v>
      </c>
      <c r="J1313" s="41" t="str">
        <f t="shared" si="594"/>
        <v>pagado</v>
      </c>
      <c r="K1313" s="40" t="str">
        <f t="shared" ca="1" si="595"/>
        <v>excluir</v>
      </c>
      <c r="L1313" s="40" t="str">
        <f t="shared" ca="1" si="596"/>
        <v>no semana</v>
      </c>
      <c r="M1313" s="40" t="str">
        <f>IFERROR(VLOOKUP(E1313,'cheques a conf'!A:D,4,FALSE),"no clearing")</f>
        <v>no clearing</v>
      </c>
      <c r="N1313" s="40">
        <f t="shared" si="597"/>
        <v>41</v>
      </c>
      <c r="O1313" s="42">
        <f t="shared" si="598"/>
        <v>10</v>
      </c>
      <c r="P1313" s="42">
        <f t="shared" si="599"/>
        <v>2025</v>
      </c>
    </row>
    <row r="1314" spans="1:16" x14ac:dyDescent="0.25">
      <c r="A1314" s="21">
        <v>3000005985</v>
      </c>
      <c r="B1314" s="22">
        <v>45936</v>
      </c>
      <c r="C1314" s="20">
        <v>15000000</v>
      </c>
      <c r="D1314" s="21" t="s">
        <v>748</v>
      </c>
      <c r="E1314" s="21">
        <v>1955</v>
      </c>
      <c r="F1314" s="20">
        <v>15000000</v>
      </c>
      <c r="G1314" s="22">
        <v>45938</v>
      </c>
      <c r="H1314" t="s">
        <v>32</v>
      </c>
      <c r="I1314" s="40" t="str">
        <f>IFERROR(IF(VLOOKUP(E1314,extracto!C:C,1,FALSE)=E1314,"pagado","no pagado"),"no pagado")</f>
        <v>pagado</v>
      </c>
      <c r="J1314" s="41" t="str">
        <f t="shared" si="594"/>
        <v>pagado</v>
      </c>
      <c r="K1314" s="40" t="str">
        <f t="shared" ca="1" si="595"/>
        <v>excluir</v>
      </c>
      <c r="L1314" s="40" t="str">
        <f t="shared" ca="1" si="596"/>
        <v>no semana</v>
      </c>
      <c r="M1314" s="40" t="str">
        <f>IFERROR(VLOOKUP(E1314,'cheques a conf'!A:D,4,FALSE),"no clearing")</f>
        <v>no clearing</v>
      </c>
      <c r="N1314" s="40">
        <f t="shared" si="597"/>
        <v>41</v>
      </c>
      <c r="O1314" s="42">
        <f t="shared" si="598"/>
        <v>10</v>
      </c>
      <c r="P1314" s="42">
        <f t="shared" si="599"/>
        <v>2025</v>
      </c>
    </row>
    <row r="1315" spans="1:16" x14ac:dyDescent="0.25">
      <c r="A1315" s="21">
        <v>3000005985</v>
      </c>
      <c r="B1315" s="22">
        <v>45936</v>
      </c>
      <c r="C1315" s="20">
        <v>16587377.57</v>
      </c>
      <c r="D1315" s="21" t="s">
        <v>748</v>
      </c>
      <c r="E1315" s="21">
        <v>1956</v>
      </c>
      <c r="F1315" s="20">
        <v>16587377.57</v>
      </c>
      <c r="G1315" s="22">
        <v>45939</v>
      </c>
      <c r="H1315" t="s">
        <v>32</v>
      </c>
      <c r="I1315" s="40" t="str">
        <f>IFERROR(IF(VLOOKUP(E1315,extracto!C:C,1,FALSE)=E1315,"pagado","no pagado"),"no pagado")</f>
        <v>pagado</v>
      </c>
      <c r="J1315" s="41" t="str">
        <f t="shared" si="594"/>
        <v>pagado</v>
      </c>
      <c r="K1315" s="40" t="str">
        <f t="shared" ca="1" si="595"/>
        <v>excluir</v>
      </c>
      <c r="L1315" s="40" t="str">
        <f t="shared" ca="1" si="596"/>
        <v>no semana</v>
      </c>
      <c r="M1315" s="40" t="str">
        <f>IFERROR(VLOOKUP(E1315,'cheques a conf'!A:D,4,FALSE),"no clearing")</f>
        <v>no clearing</v>
      </c>
      <c r="N1315" s="40">
        <f t="shared" si="597"/>
        <v>41</v>
      </c>
      <c r="O1315" s="42">
        <f t="shared" si="598"/>
        <v>10</v>
      </c>
      <c r="P1315" s="42">
        <f t="shared" si="599"/>
        <v>2025</v>
      </c>
    </row>
    <row r="1316" spans="1:16" x14ac:dyDescent="0.25">
      <c r="A1316" s="21">
        <v>3000006046</v>
      </c>
      <c r="B1316" s="22">
        <v>45937</v>
      </c>
      <c r="C1316" s="20">
        <v>1377457.24</v>
      </c>
      <c r="D1316" s="21" t="s">
        <v>659</v>
      </c>
      <c r="E1316" s="21">
        <v>40272996</v>
      </c>
      <c r="F1316" s="20">
        <v>1377457.24</v>
      </c>
      <c r="G1316" s="22">
        <v>45939</v>
      </c>
      <c r="H1316" t="s">
        <v>79</v>
      </c>
      <c r="I1316" s="40" t="str">
        <f>IFERROR(IF(VLOOKUP(E1316,extracto!C:C,1,FALSE)=E1316,"pagado","no pagado"),"no pagado")</f>
        <v>pagado</v>
      </c>
      <c r="J1316" s="41" t="str">
        <f t="shared" si="594"/>
        <v>pagado</v>
      </c>
      <c r="K1316" s="40" t="str">
        <f t="shared" ca="1" si="595"/>
        <v>excluir</v>
      </c>
      <c r="L1316" s="40" t="str">
        <f t="shared" ca="1" si="596"/>
        <v>no semana</v>
      </c>
      <c r="M1316" s="40" t="str">
        <f>IFERROR(VLOOKUP(E1316,'cheques a conf'!A:D,4,FALSE),"no clearing")</f>
        <v>no clearing</v>
      </c>
      <c r="N1316" s="40">
        <f t="shared" si="597"/>
        <v>41</v>
      </c>
      <c r="O1316" s="42">
        <f t="shared" si="598"/>
        <v>10</v>
      </c>
      <c r="P1316" s="42">
        <f t="shared" si="599"/>
        <v>2025</v>
      </c>
    </row>
    <row r="1317" spans="1:16" x14ac:dyDescent="0.25">
      <c r="A1317" s="21">
        <v>3000004998</v>
      </c>
      <c r="B1317" s="22">
        <v>45938</v>
      </c>
      <c r="C1317" s="20">
        <v>3373338.49</v>
      </c>
      <c r="D1317" s="21" t="s">
        <v>784</v>
      </c>
      <c r="E1317" s="21">
        <v>40272997</v>
      </c>
      <c r="F1317" s="20">
        <v>3373338.49</v>
      </c>
      <c r="G1317" s="22">
        <v>45943</v>
      </c>
      <c r="H1317" t="s">
        <v>79</v>
      </c>
      <c r="I1317" s="40" t="str">
        <f>IFERROR(IF(VLOOKUP(E1317,extracto!C:C,1,FALSE)=E1317,"pagado","no pagado"),"no pagado")</f>
        <v>pagado</v>
      </c>
      <c r="J1317" s="41" t="str">
        <f t="shared" si="594"/>
        <v>pagado</v>
      </c>
      <c r="K1317" s="40" t="str">
        <f t="shared" ca="1" si="595"/>
        <v>excluir</v>
      </c>
      <c r="L1317" s="40" t="str">
        <f t="shared" ca="1" si="596"/>
        <v>no semana</v>
      </c>
      <c r="M1317" s="40" t="str">
        <f>IFERROR(VLOOKUP(E1317,'cheques a conf'!A:D,4,FALSE),"no clearing")</f>
        <v>no clearing</v>
      </c>
      <c r="N1317" s="40">
        <f t="shared" si="597"/>
        <v>42</v>
      </c>
      <c r="O1317" s="42">
        <f t="shared" si="598"/>
        <v>10</v>
      </c>
      <c r="P1317" s="42">
        <f t="shared" si="599"/>
        <v>2025</v>
      </c>
    </row>
    <row r="1318" spans="1:16" x14ac:dyDescent="0.25">
      <c r="A1318" s="21">
        <v>3000006027</v>
      </c>
      <c r="B1318" s="22">
        <v>45937</v>
      </c>
      <c r="C1318" s="20">
        <v>13977893.039999999</v>
      </c>
      <c r="D1318" s="21" t="s">
        <v>672</v>
      </c>
      <c r="E1318" s="21">
        <v>91002597</v>
      </c>
      <c r="F1318" s="20">
        <v>13977893.039999999</v>
      </c>
      <c r="G1318" s="22">
        <v>45943</v>
      </c>
      <c r="H1318" t="s">
        <v>79</v>
      </c>
      <c r="I1318" s="40" t="str">
        <f>IFERROR(IF(VLOOKUP(E1318,extracto!C:C,1,FALSE)=E1318,"pagado","no pagado"),"no pagado")</f>
        <v>pagado</v>
      </c>
      <c r="J1318" s="41" t="str">
        <f t="shared" si="594"/>
        <v>pagado</v>
      </c>
      <c r="K1318" s="40" t="str">
        <f t="shared" ca="1" si="595"/>
        <v>excluir</v>
      </c>
      <c r="L1318" s="40" t="str">
        <f t="shared" ca="1" si="596"/>
        <v>no semana</v>
      </c>
      <c r="M1318" s="40" t="str">
        <f>IFERROR(VLOOKUP(E1318,'cheques a conf'!A:D,4,FALSE),"no clearing")</f>
        <v>no clearing</v>
      </c>
      <c r="N1318" s="40">
        <f t="shared" si="597"/>
        <v>42</v>
      </c>
      <c r="O1318" s="42">
        <f t="shared" si="598"/>
        <v>10</v>
      </c>
      <c r="P1318" s="42">
        <f t="shared" si="599"/>
        <v>2025</v>
      </c>
    </row>
    <row r="1319" spans="1:16" x14ac:dyDescent="0.25">
      <c r="A1319" s="21">
        <v>3000006028</v>
      </c>
      <c r="B1319" s="22">
        <v>45937</v>
      </c>
      <c r="C1319" s="20">
        <v>7154270.8200000003</v>
      </c>
      <c r="D1319" s="21" t="s">
        <v>689</v>
      </c>
      <c r="E1319" s="21">
        <v>91002598</v>
      </c>
      <c r="F1319" s="20">
        <v>7154270.8200000003</v>
      </c>
      <c r="G1319" s="22">
        <v>45943</v>
      </c>
      <c r="H1319" t="s">
        <v>79</v>
      </c>
      <c r="I1319" s="40" t="str">
        <f>IFERROR(IF(VLOOKUP(E1319,extracto!C:C,1,FALSE)=E1319,"pagado","no pagado"),"no pagado")</f>
        <v>pagado</v>
      </c>
      <c r="J1319" s="41" t="str">
        <f t="shared" si="594"/>
        <v>pagado</v>
      </c>
      <c r="K1319" s="40" t="str">
        <f t="shared" ca="1" si="595"/>
        <v>excluir</v>
      </c>
      <c r="L1319" s="40" t="str">
        <f t="shared" ca="1" si="596"/>
        <v>no semana</v>
      </c>
      <c r="M1319" s="40" t="str">
        <f>IFERROR(VLOOKUP(E1319,'cheques a conf'!A:D,4,FALSE),"no clearing")</f>
        <v>no clearing</v>
      </c>
      <c r="N1319" s="40">
        <f t="shared" si="597"/>
        <v>42</v>
      </c>
      <c r="O1319" s="42">
        <f t="shared" si="598"/>
        <v>10</v>
      </c>
      <c r="P1319" s="42">
        <f t="shared" si="599"/>
        <v>2025</v>
      </c>
    </row>
    <row r="1320" spans="1:16" x14ac:dyDescent="0.25">
      <c r="A1320" s="21">
        <v>3000006029</v>
      </c>
      <c r="B1320" s="22">
        <v>45937</v>
      </c>
      <c r="C1320" s="20">
        <v>4803648.68</v>
      </c>
      <c r="D1320" s="21" t="s">
        <v>717</v>
      </c>
      <c r="E1320" s="21">
        <v>91002599</v>
      </c>
      <c r="F1320" s="20">
        <v>4803648.68</v>
      </c>
      <c r="G1320" s="22">
        <v>45943</v>
      </c>
      <c r="H1320" t="s">
        <v>79</v>
      </c>
      <c r="I1320" s="40" t="str">
        <f>IFERROR(IF(VLOOKUP(E1320,extracto!C:C,1,FALSE)=E1320,"pagado","no pagado"),"no pagado")</f>
        <v>pagado</v>
      </c>
      <c r="J1320" s="41" t="str">
        <f t="shared" si="594"/>
        <v>pagado</v>
      </c>
      <c r="K1320" s="40" t="str">
        <f t="shared" ca="1" si="595"/>
        <v>excluir</v>
      </c>
      <c r="L1320" s="40" t="str">
        <f t="shared" ca="1" si="596"/>
        <v>no semana</v>
      </c>
      <c r="M1320" s="40" t="str">
        <f>IFERROR(VLOOKUP(E1320,'cheques a conf'!A:D,4,FALSE),"no clearing")</f>
        <v>no clearing</v>
      </c>
      <c r="N1320" s="40">
        <f t="shared" si="597"/>
        <v>42</v>
      </c>
      <c r="O1320" s="42">
        <f t="shared" si="598"/>
        <v>10</v>
      </c>
      <c r="P1320" s="42">
        <f t="shared" si="599"/>
        <v>2025</v>
      </c>
    </row>
    <row r="1321" spans="1:16" x14ac:dyDescent="0.25">
      <c r="A1321" s="21">
        <v>3000006030</v>
      </c>
      <c r="B1321" s="22">
        <v>45937</v>
      </c>
      <c r="C1321" s="20">
        <v>2488253.4</v>
      </c>
      <c r="D1321" s="21" t="s">
        <v>695</v>
      </c>
      <c r="E1321" s="21">
        <v>91002600</v>
      </c>
      <c r="F1321" s="20">
        <v>2488253.4</v>
      </c>
      <c r="G1321" s="22">
        <v>45943</v>
      </c>
      <c r="H1321" t="s">
        <v>79</v>
      </c>
      <c r="I1321" s="40" t="str">
        <f>IFERROR(IF(VLOOKUP(E1321,extracto!C:C,1,FALSE)=E1321,"pagado","no pagado"),"no pagado")</f>
        <v>pagado</v>
      </c>
      <c r="J1321" s="41" t="str">
        <f t="shared" si="594"/>
        <v>pagado</v>
      </c>
      <c r="K1321" s="40" t="str">
        <f t="shared" ca="1" si="595"/>
        <v>excluir</v>
      </c>
      <c r="L1321" s="40" t="str">
        <f t="shared" ca="1" si="596"/>
        <v>no semana</v>
      </c>
      <c r="M1321" s="40" t="str">
        <f>IFERROR(VLOOKUP(E1321,'cheques a conf'!A:D,4,FALSE),"no clearing")</f>
        <v>no clearing</v>
      </c>
      <c r="N1321" s="40">
        <f t="shared" si="597"/>
        <v>42</v>
      </c>
      <c r="O1321" s="42">
        <f t="shared" si="598"/>
        <v>10</v>
      </c>
      <c r="P1321" s="42">
        <f t="shared" si="599"/>
        <v>2025</v>
      </c>
    </row>
    <row r="1322" spans="1:16" x14ac:dyDescent="0.25">
      <c r="A1322" s="21">
        <v>3000006031</v>
      </c>
      <c r="B1322" s="22">
        <v>45937</v>
      </c>
      <c r="C1322" s="20">
        <v>2306666.87</v>
      </c>
      <c r="D1322" s="21" t="s">
        <v>663</v>
      </c>
      <c r="E1322" s="21">
        <v>91002601</v>
      </c>
      <c r="F1322" s="20">
        <v>2306666.87</v>
      </c>
      <c r="G1322" s="22">
        <v>45943</v>
      </c>
      <c r="H1322" t="s">
        <v>79</v>
      </c>
      <c r="I1322" s="40" t="str">
        <f>IFERROR(IF(VLOOKUP(E1322,extracto!C:C,1,FALSE)=E1322,"pagado","no pagado"),"no pagado")</f>
        <v>pagado</v>
      </c>
      <c r="J1322" s="41" t="str">
        <f t="shared" si="594"/>
        <v>pagado</v>
      </c>
      <c r="K1322" s="40" t="str">
        <f t="shared" ca="1" si="595"/>
        <v>excluir</v>
      </c>
      <c r="L1322" s="40" t="str">
        <f t="shared" ca="1" si="596"/>
        <v>no semana</v>
      </c>
      <c r="M1322" s="40" t="str">
        <f>IFERROR(VLOOKUP(E1322,'cheques a conf'!A:D,4,FALSE),"no clearing")</f>
        <v>no clearing</v>
      </c>
      <c r="N1322" s="40">
        <f t="shared" si="597"/>
        <v>42</v>
      </c>
      <c r="O1322" s="42">
        <f t="shared" si="598"/>
        <v>10</v>
      </c>
      <c r="P1322" s="42">
        <f t="shared" si="599"/>
        <v>2025</v>
      </c>
    </row>
    <row r="1323" spans="1:16" x14ac:dyDescent="0.25">
      <c r="A1323" s="21">
        <v>3000006032</v>
      </c>
      <c r="B1323" s="22">
        <v>45937</v>
      </c>
      <c r="C1323" s="20">
        <v>3295120.79</v>
      </c>
      <c r="D1323" s="21" t="s">
        <v>777</v>
      </c>
      <c r="E1323" s="21">
        <v>91002602</v>
      </c>
      <c r="F1323" s="20">
        <v>3295120.79</v>
      </c>
      <c r="G1323" s="22">
        <v>45943</v>
      </c>
      <c r="H1323" t="s">
        <v>79</v>
      </c>
      <c r="I1323" s="40" t="str">
        <f>IFERROR(IF(VLOOKUP(E1323,extracto!C:C,1,FALSE)=E1323,"pagado","no pagado"),"no pagado")</f>
        <v>pagado</v>
      </c>
      <c r="J1323" s="41" t="str">
        <f t="shared" si="594"/>
        <v>pagado</v>
      </c>
      <c r="K1323" s="40" t="str">
        <f t="shared" ca="1" si="595"/>
        <v>excluir</v>
      </c>
      <c r="L1323" s="40" t="str">
        <f t="shared" ca="1" si="596"/>
        <v>no semana</v>
      </c>
      <c r="M1323" s="40" t="str">
        <f>IFERROR(VLOOKUP(E1323,'cheques a conf'!A:D,4,FALSE),"no clearing")</f>
        <v>no clearing</v>
      </c>
      <c r="N1323" s="40">
        <f t="shared" si="597"/>
        <v>42</v>
      </c>
      <c r="O1323" s="42">
        <f t="shared" si="598"/>
        <v>10</v>
      </c>
      <c r="P1323" s="42">
        <f t="shared" si="599"/>
        <v>2025</v>
      </c>
    </row>
    <row r="1324" spans="1:16" x14ac:dyDescent="0.25">
      <c r="A1324" s="21">
        <v>3000006033</v>
      </c>
      <c r="B1324" s="22">
        <v>45937</v>
      </c>
      <c r="C1324" s="20">
        <v>6601836.8399999999</v>
      </c>
      <c r="D1324" s="21" t="s">
        <v>692</v>
      </c>
      <c r="E1324" s="21">
        <v>91002603</v>
      </c>
      <c r="F1324" s="20">
        <v>6601836.8399999999</v>
      </c>
      <c r="G1324" s="22">
        <v>45943</v>
      </c>
      <c r="H1324" t="s">
        <v>79</v>
      </c>
      <c r="I1324" s="40" t="str">
        <f>IFERROR(IF(VLOOKUP(E1324,extracto!C:C,1,FALSE)=E1324,"pagado","no pagado"),"no pagado")</f>
        <v>pagado</v>
      </c>
      <c r="J1324" s="41" t="str">
        <f t="shared" si="594"/>
        <v>pagado</v>
      </c>
      <c r="K1324" s="40" t="str">
        <f t="shared" ca="1" si="595"/>
        <v>excluir</v>
      </c>
      <c r="L1324" s="40" t="str">
        <f t="shared" ca="1" si="596"/>
        <v>no semana</v>
      </c>
      <c r="M1324" s="40" t="str">
        <f>IFERROR(VLOOKUP(E1324,'cheques a conf'!A:D,4,FALSE),"no clearing")</f>
        <v>no clearing</v>
      </c>
      <c r="N1324" s="40">
        <f t="shared" si="597"/>
        <v>42</v>
      </c>
      <c r="O1324" s="42">
        <f t="shared" si="598"/>
        <v>10</v>
      </c>
      <c r="P1324" s="42">
        <f t="shared" si="599"/>
        <v>2025</v>
      </c>
    </row>
    <row r="1325" spans="1:16" x14ac:dyDescent="0.25">
      <c r="A1325" s="21">
        <v>3000006034</v>
      </c>
      <c r="B1325" s="22">
        <v>45937</v>
      </c>
      <c r="C1325" s="20">
        <v>2454017.13</v>
      </c>
      <c r="D1325" s="21" t="s">
        <v>691</v>
      </c>
      <c r="E1325" s="21">
        <v>91002604</v>
      </c>
      <c r="F1325" s="20">
        <v>2454017.13</v>
      </c>
      <c r="G1325" s="22">
        <v>45943</v>
      </c>
      <c r="H1325" t="s">
        <v>79</v>
      </c>
      <c r="I1325" s="40" t="str">
        <f>IFERROR(IF(VLOOKUP(E1325,extracto!C:C,1,FALSE)=E1325,"pagado","no pagado"),"no pagado")</f>
        <v>pagado</v>
      </c>
      <c r="J1325" s="41" t="str">
        <f t="shared" si="594"/>
        <v>pagado</v>
      </c>
      <c r="K1325" s="40" t="str">
        <f t="shared" ca="1" si="595"/>
        <v>excluir</v>
      </c>
      <c r="L1325" s="40" t="str">
        <f t="shared" ca="1" si="596"/>
        <v>no semana</v>
      </c>
      <c r="M1325" s="40" t="str">
        <f>IFERROR(VLOOKUP(E1325,'cheques a conf'!A:D,4,FALSE),"no clearing")</f>
        <v>no clearing</v>
      </c>
      <c r="N1325" s="40">
        <f t="shared" si="597"/>
        <v>42</v>
      </c>
      <c r="O1325" s="42">
        <f t="shared" si="598"/>
        <v>10</v>
      </c>
      <c r="P1325" s="42">
        <f t="shared" si="599"/>
        <v>2025</v>
      </c>
    </row>
    <row r="1326" spans="1:16" x14ac:dyDescent="0.25">
      <c r="A1326" s="21">
        <v>3000006035</v>
      </c>
      <c r="B1326" s="22">
        <v>45937</v>
      </c>
      <c r="C1326" s="20">
        <v>2479667.54</v>
      </c>
      <c r="D1326" s="21" t="s">
        <v>618</v>
      </c>
      <c r="E1326" s="21">
        <v>91002605</v>
      </c>
      <c r="F1326" s="20">
        <v>2479667.54</v>
      </c>
      <c r="G1326" s="22">
        <v>45943</v>
      </c>
      <c r="H1326" t="s">
        <v>79</v>
      </c>
      <c r="I1326" s="40" t="str">
        <f>IFERROR(IF(VLOOKUP(E1326,extracto!C:C,1,FALSE)=E1326,"pagado","no pagado"),"no pagado")</f>
        <v>pagado</v>
      </c>
      <c r="J1326" s="41" t="str">
        <f t="shared" si="594"/>
        <v>pagado</v>
      </c>
      <c r="K1326" s="40" t="str">
        <f t="shared" ca="1" si="595"/>
        <v>excluir</v>
      </c>
      <c r="L1326" s="40" t="str">
        <f t="shared" ca="1" si="596"/>
        <v>no semana</v>
      </c>
      <c r="M1326" s="40" t="str">
        <f>IFERROR(VLOOKUP(E1326,'cheques a conf'!A:D,4,FALSE),"no clearing")</f>
        <v>no clearing</v>
      </c>
      <c r="N1326" s="40">
        <f t="shared" si="597"/>
        <v>42</v>
      </c>
      <c r="O1326" s="42">
        <f t="shared" si="598"/>
        <v>10</v>
      </c>
      <c r="P1326" s="42">
        <f t="shared" si="599"/>
        <v>2025</v>
      </c>
    </row>
    <row r="1327" spans="1:16" x14ac:dyDescent="0.25">
      <c r="A1327" s="21">
        <v>3000006036</v>
      </c>
      <c r="B1327" s="22">
        <v>45937</v>
      </c>
      <c r="C1327" s="20">
        <v>15560571.51</v>
      </c>
      <c r="D1327" s="21" t="s">
        <v>589</v>
      </c>
      <c r="E1327" s="21">
        <v>91002606</v>
      </c>
      <c r="F1327" s="20">
        <v>15560571.51</v>
      </c>
      <c r="G1327" s="22">
        <v>45943</v>
      </c>
      <c r="H1327" t="s">
        <v>79</v>
      </c>
      <c r="I1327" s="40" t="str">
        <f>IFERROR(IF(VLOOKUP(E1327,extracto!C:C,1,FALSE)=E1327,"pagado","no pagado"),"no pagado")</f>
        <v>pagado</v>
      </c>
      <c r="J1327" s="41" t="str">
        <f t="shared" si="594"/>
        <v>pagado</v>
      </c>
      <c r="K1327" s="40" t="str">
        <f t="shared" ca="1" si="595"/>
        <v>excluir</v>
      </c>
      <c r="L1327" s="40" t="str">
        <f t="shared" ca="1" si="596"/>
        <v>no semana</v>
      </c>
      <c r="M1327" s="40" t="str">
        <f>IFERROR(VLOOKUP(E1327,'cheques a conf'!A:D,4,FALSE),"no clearing")</f>
        <v>no clearing</v>
      </c>
      <c r="N1327" s="40">
        <f t="shared" si="597"/>
        <v>42</v>
      </c>
      <c r="O1327" s="42">
        <f t="shared" si="598"/>
        <v>10</v>
      </c>
      <c r="P1327" s="42">
        <f t="shared" si="599"/>
        <v>2025</v>
      </c>
    </row>
    <row r="1328" spans="1:16" x14ac:dyDescent="0.25">
      <c r="A1328" s="21">
        <v>3000006037</v>
      </c>
      <c r="B1328" s="22">
        <v>45937</v>
      </c>
      <c r="C1328" s="20">
        <v>4260111.08</v>
      </c>
      <c r="D1328" s="21" t="s">
        <v>612</v>
      </c>
      <c r="E1328" s="21">
        <v>91002607</v>
      </c>
      <c r="F1328" s="20">
        <v>4260111.08</v>
      </c>
      <c r="G1328" s="22">
        <v>45943</v>
      </c>
      <c r="H1328" t="s">
        <v>79</v>
      </c>
      <c r="I1328" s="40" t="str">
        <f>IFERROR(IF(VLOOKUP(E1328,extracto!C:C,1,FALSE)=E1328,"pagado","no pagado"),"no pagado")</f>
        <v>pagado</v>
      </c>
      <c r="J1328" s="41" t="str">
        <f t="shared" ref="J1328:J1329" si="600">IF(I1328="pagado","pagado",IF(G1328&lt;$V$1-30,"fuera de fecha","en periodo de pago"))</f>
        <v>pagado</v>
      </c>
      <c r="K1328" s="40" t="str">
        <f t="shared" ref="K1328:K1329" ca="1" si="601">+IF(B1328&gt;$V$1,"excluir",IF(J1328="en periodo de pago",IF($V$1&gt;G1328,"a pagar","proximo a vencer"),"excluir"))</f>
        <v>excluir</v>
      </c>
      <c r="L1328" s="40" t="str">
        <f t="shared" ref="L1328:L1329" ca="1" si="602">+IF(K1328="proximo a vencer",IF($V$1+5&gt;G1328,"para la semana","no semana"),"no semana")</f>
        <v>no semana</v>
      </c>
      <c r="M1328" s="40" t="str">
        <f>IFERROR(VLOOKUP(E1328,'cheques a conf'!A:D,4,FALSE),"no clearing")</f>
        <v>no clearing</v>
      </c>
      <c r="N1328" s="40">
        <f t="shared" ref="N1328:N1329" si="603">+WEEKNUM(G1328,2)</f>
        <v>42</v>
      </c>
      <c r="O1328" s="42">
        <f t="shared" ref="O1328:O1329" si="604">+MONTH(G1328)</f>
        <v>10</v>
      </c>
      <c r="P1328" s="42">
        <f t="shared" ref="P1328:P1329" si="605">+YEAR(G1328)</f>
        <v>2025</v>
      </c>
    </row>
    <row r="1329" spans="1:16" x14ac:dyDescent="0.25">
      <c r="A1329" s="21">
        <v>3000006038</v>
      </c>
      <c r="B1329" s="22">
        <v>45937</v>
      </c>
      <c r="C1329" s="20">
        <v>12806924.970000001</v>
      </c>
      <c r="D1329" s="21" t="s">
        <v>613</v>
      </c>
      <c r="E1329" s="21">
        <v>91002608</v>
      </c>
      <c r="F1329" s="20">
        <v>12806924.970000001</v>
      </c>
      <c r="G1329" s="22">
        <v>45943</v>
      </c>
      <c r="H1329" t="s">
        <v>79</v>
      </c>
      <c r="I1329" s="40" t="str">
        <f>IFERROR(IF(VLOOKUP(E1329,extracto!C:C,1,FALSE)=E1329,"pagado","no pagado"),"no pagado")</f>
        <v>pagado</v>
      </c>
      <c r="J1329" s="41" t="str">
        <f t="shared" si="600"/>
        <v>pagado</v>
      </c>
      <c r="K1329" s="40" t="str">
        <f t="shared" ca="1" si="601"/>
        <v>excluir</v>
      </c>
      <c r="L1329" s="40" t="str">
        <f t="shared" ca="1" si="602"/>
        <v>no semana</v>
      </c>
      <c r="M1329" s="40" t="str">
        <f>IFERROR(VLOOKUP(E1329,'cheques a conf'!A:D,4,FALSE),"no clearing")</f>
        <v>no clearing</v>
      </c>
      <c r="N1329" s="40">
        <f t="shared" si="603"/>
        <v>42</v>
      </c>
      <c r="O1329" s="42">
        <f t="shared" si="604"/>
        <v>10</v>
      </c>
      <c r="P1329" s="42">
        <f t="shared" si="605"/>
        <v>2025</v>
      </c>
    </row>
    <row r="1330" spans="1:16" x14ac:dyDescent="0.25">
      <c r="A1330" s="21">
        <v>3000006039</v>
      </c>
      <c r="B1330" s="22">
        <v>45937</v>
      </c>
      <c r="C1330" s="20">
        <v>2797047.83</v>
      </c>
      <c r="D1330" s="21" t="s">
        <v>580</v>
      </c>
      <c r="E1330" s="21">
        <v>91002609</v>
      </c>
      <c r="F1330" s="20">
        <v>2797047.83</v>
      </c>
      <c r="G1330" s="22">
        <v>45943</v>
      </c>
      <c r="H1330" t="s">
        <v>79</v>
      </c>
      <c r="I1330" s="40" t="str">
        <f>IFERROR(IF(VLOOKUP(E1330,extracto!C:C,1,FALSE)=E1330,"pagado","no pagado"),"no pagado")</f>
        <v>pagado</v>
      </c>
      <c r="J1330" s="41" t="str">
        <f t="shared" ref="J1330:J1353" si="606">IF(I1330="pagado","pagado",IF(G1330&lt;$V$1-30,"fuera de fecha","en periodo de pago"))</f>
        <v>pagado</v>
      </c>
      <c r="K1330" s="40" t="str">
        <f t="shared" ref="K1330:K1353" ca="1" si="607">+IF(B1330&gt;$V$1,"excluir",IF(J1330="en periodo de pago",IF($V$1&gt;G1330,"a pagar","proximo a vencer"),"excluir"))</f>
        <v>excluir</v>
      </c>
      <c r="L1330" s="40" t="str">
        <f t="shared" ref="L1330:L1353" ca="1" si="608">+IF(K1330="proximo a vencer",IF($V$1+5&gt;G1330,"para la semana","no semana"),"no semana")</f>
        <v>no semana</v>
      </c>
      <c r="M1330" s="40" t="str">
        <f>IFERROR(VLOOKUP(E1330,'cheques a conf'!A:D,4,FALSE),"no clearing")</f>
        <v>no clearing</v>
      </c>
      <c r="N1330" s="40">
        <f t="shared" ref="N1330:N1353" si="609">+WEEKNUM(G1330,2)</f>
        <v>42</v>
      </c>
      <c r="O1330" s="42">
        <f t="shared" ref="O1330:O1353" si="610">+MONTH(G1330)</f>
        <v>10</v>
      </c>
      <c r="P1330" s="42">
        <f t="shared" ref="P1330:P1353" si="611">+YEAR(G1330)</f>
        <v>2025</v>
      </c>
    </row>
    <row r="1331" spans="1:16" x14ac:dyDescent="0.25">
      <c r="A1331" s="21">
        <v>3000006039</v>
      </c>
      <c r="B1331" s="22">
        <v>45937</v>
      </c>
      <c r="C1331" s="20">
        <v>4653053.1500000004</v>
      </c>
      <c r="D1331" s="21" t="s">
        <v>580</v>
      </c>
      <c r="E1331" s="21">
        <v>91002610</v>
      </c>
      <c r="F1331" s="20">
        <v>4653053.1500000004</v>
      </c>
      <c r="G1331" s="22">
        <v>45944</v>
      </c>
      <c r="H1331" t="s">
        <v>79</v>
      </c>
      <c r="I1331" s="40" t="str">
        <f>IFERROR(IF(VLOOKUP(E1331,extracto!C:C,1,FALSE)=E1331,"pagado","no pagado"),"no pagado")</f>
        <v>pagado</v>
      </c>
      <c r="J1331" s="41" t="str">
        <f t="shared" si="606"/>
        <v>pagado</v>
      </c>
      <c r="K1331" s="40" t="str">
        <f t="shared" ca="1" si="607"/>
        <v>excluir</v>
      </c>
      <c r="L1331" s="40" t="str">
        <f t="shared" ca="1" si="608"/>
        <v>no semana</v>
      </c>
      <c r="M1331" s="40" t="str">
        <f>IFERROR(VLOOKUP(E1331,'cheques a conf'!A:D,4,FALSE),"no clearing")</f>
        <v>no clearing</v>
      </c>
      <c r="N1331" s="40">
        <f t="shared" si="609"/>
        <v>42</v>
      </c>
      <c r="O1331" s="42">
        <f t="shared" si="610"/>
        <v>10</v>
      </c>
      <c r="P1331" s="42">
        <f t="shared" si="611"/>
        <v>2025</v>
      </c>
    </row>
    <row r="1332" spans="1:16" x14ac:dyDescent="0.25">
      <c r="A1332" s="21">
        <v>3000006040</v>
      </c>
      <c r="B1332" s="22">
        <v>45937</v>
      </c>
      <c r="C1332" s="20">
        <v>4260111.08</v>
      </c>
      <c r="D1332" s="21" t="s">
        <v>642</v>
      </c>
      <c r="E1332" s="21">
        <v>91002611</v>
      </c>
      <c r="F1332" s="20">
        <v>4260111.08</v>
      </c>
      <c r="G1332" s="22">
        <v>45943</v>
      </c>
      <c r="H1332" t="s">
        <v>79</v>
      </c>
      <c r="I1332" s="40" t="str">
        <f>IFERROR(IF(VLOOKUP(E1332,extracto!C:C,1,FALSE)=E1332,"pagado","no pagado"),"no pagado")</f>
        <v>pagado</v>
      </c>
      <c r="J1332" s="41" t="str">
        <f t="shared" si="606"/>
        <v>pagado</v>
      </c>
      <c r="K1332" s="40" t="str">
        <f t="shared" ca="1" si="607"/>
        <v>excluir</v>
      </c>
      <c r="L1332" s="40" t="str">
        <f t="shared" ca="1" si="608"/>
        <v>no semana</v>
      </c>
      <c r="M1332" s="40" t="str">
        <f>IFERROR(VLOOKUP(E1332,'cheques a conf'!A:D,4,FALSE),"no clearing")</f>
        <v>no clearing</v>
      </c>
      <c r="N1332" s="40">
        <f t="shared" si="609"/>
        <v>42</v>
      </c>
      <c r="O1332" s="42">
        <f t="shared" si="610"/>
        <v>10</v>
      </c>
      <c r="P1332" s="42">
        <f t="shared" si="611"/>
        <v>2025</v>
      </c>
    </row>
    <row r="1333" spans="1:16" x14ac:dyDescent="0.25">
      <c r="A1333" s="21">
        <v>3000006041</v>
      </c>
      <c r="B1333" s="22">
        <v>45937</v>
      </c>
      <c r="C1333" s="20">
        <v>2005336.87</v>
      </c>
      <c r="D1333" s="21" t="s">
        <v>794</v>
      </c>
      <c r="E1333" s="21">
        <v>91002612</v>
      </c>
      <c r="F1333" s="20">
        <v>2005336.87</v>
      </c>
      <c r="G1333" s="22">
        <v>45943</v>
      </c>
      <c r="H1333" t="s">
        <v>79</v>
      </c>
      <c r="I1333" s="40" t="str">
        <f>IFERROR(IF(VLOOKUP(E1333,extracto!C:C,1,FALSE)=E1333,"pagado","no pagado"),"no pagado")</f>
        <v>pagado</v>
      </c>
      <c r="J1333" s="41" t="str">
        <f t="shared" si="606"/>
        <v>pagado</v>
      </c>
      <c r="K1333" s="40" t="str">
        <f t="shared" ca="1" si="607"/>
        <v>excluir</v>
      </c>
      <c r="L1333" s="40" t="str">
        <f t="shared" ca="1" si="608"/>
        <v>no semana</v>
      </c>
      <c r="M1333" s="40" t="str">
        <f>IFERROR(VLOOKUP(E1333,'cheques a conf'!A:D,4,FALSE),"no clearing")</f>
        <v>no clearing</v>
      </c>
      <c r="N1333" s="40">
        <f t="shared" si="609"/>
        <v>42</v>
      </c>
      <c r="O1333" s="42">
        <f t="shared" si="610"/>
        <v>10</v>
      </c>
      <c r="P1333" s="42">
        <f t="shared" si="611"/>
        <v>2025</v>
      </c>
    </row>
    <row r="1334" spans="1:16" x14ac:dyDescent="0.25">
      <c r="A1334" s="21">
        <v>3000006042</v>
      </c>
      <c r="B1334" s="22">
        <v>45937</v>
      </c>
      <c r="C1334" s="20">
        <v>4076730.07</v>
      </c>
      <c r="D1334" s="21" t="s">
        <v>624</v>
      </c>
      <c r="E1334" s="21">
        <v>91002613</v>
      </c>
      <c r="F1334" s="20">
        <v>4076730.07</v>
      </c>
      <c r="G1334" s="22">
        <v>45943</v>
      </c>
      <c r="H1334" t="s">
        <v>79</v>
      </c>
      <c r="I1334" s="40" t="str">
        <f>IFERROR(IF(VLOOKUP(E1334,extracto!C:C,1,FALSE)=E1334,"pagado","no pagado"),"no pagado")</f>
        <v>pagado</v>
      </c>
      <c r="J1334" s="41" t="str">
        <f t="shared" si="606"/>
        <v>pagado</v>
      </c>
      <c r="K1334" s="40" t="str">
        <f t="shared" ca="1" si="607"/>
        <v>excluir</v>
      </c>
      <c r="L1334" s="40" t="str">
        <f t="shared" ca="1" si="608"/>
        <v>no semana</v>
      </c>
      <c r="M1334" s="40" t="str">
        <f>IFERROR(VLOOKUP(E1334,'cheques a conf'!A:D,4,FALSE),"no clearing")</f>
        <v>no clearing</v>
      </c>
      <c r="N1334" s="40">
        <f t="shared" si="609"/>
        <v>42</v>
      </c>
      <c r="O1334" s="42">
        <f t="shared" si="610"/>
        <v>10</v>
      </c>
      <c r="P1334" s="42">
        <f t="shared" si="611"/>
        <v>2025</v>
      </c>
    </row>
    <row r="1335" spans="1:16" x14ac:dyDescent="0.25">
      <c r="A1335" s="21">
        <v>3000006043</v>
      </c>
      <c r="B1335" s="22">
        <v>45937</v>
      </c>
      <c r="C1335" s="20">
        <v>8054122.1399999997</v>
      </c>
      <c r="D1335" s="21" t="s">
        <v>619</v>
      </c>
      <c r="E1335" s="21">
        <v>91002614</v>
      </c>
      <c r="F1335" s="20">
        <v>8054122.1399999997</v>
      </c>
      <c r="G1335" s="22">
        <v>45943</v>
      </c>
      <c r="H1335" t="s">
        <v>79</v>
      </c>
      <c r="I1335" s="40" t="str">
        <f>IFERROR(IF(VLOOKUP(E1335,extracto!C:C,1,FALSE)=E1335,"pagado","no pagado"),"no pagado")</f>
        <v>pagado</v>
      </c>
      <c r="J1335" s="41" t="str">
        <f t="shared" si="606"/>
        <v>pagado</v>
      </c>
      <c r="K1335" s="40" t="str">
        <f t="shared" ca="1" si="607"/>
        <v>excluir</v>
      </c>
      <c r="L1335" s="40" t="str">
        <f t="shared" ca="1" si="608"/>
        <v>no semana</v>
      </c>
      <c r="M1335" s="40" t="str">
        <f>IFERROR(VLOOKUP(E1335,'cheques a conf'!A:D,4,FALSE),"no clearing")</f>
        <v>no clearing</v>
      </c>
      <c r="N1335" s="40">
        <f t="shared" si="609"/>
        <v>42</v>
      </c>
      <c r="O1335" s="42">
        <f t="shared" si="610"/>
        <v>10</v>
      </c>
      <c r="P1335" s="42">
        <f t="shared" si="611"/>
        <v>2025</v>
      </c>
    </row>
    <row r="1336" spans="1:16" x14ac:dyDescent="0.25">
      <c r="A1336" s="21">
        <v>3000006044</v>
      </c>
      <c r="B1336" s="22">
        <v>45937</v>
      </c>
      <c r="C1336" s="20">
        <v>4152917.92</v>
      </c>
      <c r="D1336" s="21" t="s">
        <v>621</v>
      </c>
      <c r="E1336" s="21">
        <v>91002615</v>
      </c>
      <c r="F1336" s="20">
        <v>4152917.92</v>
      </c>
      <c r="G1336" s="22">
        <v>45943</v>
      </c>
      <c r="H1336" t="s">
        <v>79</v>
      </c>
      <c r="I1336" s="40" t="str">
        <f>IFERROR(IF(VLOOKUP(E1336,extracto!C:C,1,FALSE)=E1336,"pagado","no pagado"),"no pagado")</f>
        <v>pagado</v>
      </c>
      <c r="J1336" s="41" t="str">
        <f t="shared" si="606"/>
        <v>pagado</v>
      </c>
      <c r="K1336" s="40" t="str">
        <f t="shared" ca="1" si="607"/>
        <v>excluir</v>
      </c>
      <c r="L1336" s="40" t="str">
        <f t="shared" ca="1" si="608"/>
        <v>no semana</v>
      </c>
      <c r="M1336" s="40" t="str">
        <f>IFERROR(VLOOKUP(E1336,'cheques a conf'!A:D,4,FALSE),"no clearing")</f>
        <v>no clearing</v>
      </c>
      <c r="N1336" s="40">
        <f t="shared" si="609"/>
        <v>42</v>
      </c>
      <c r="O1336" s="42">
        <f t="shared" si="610"/>
        <v>10</v>
      </c>
      <c r="P1336" s="42">
        <f t="shared" si="611"/>
        <v>2025</v>
      </c>
    </row>
    <row r="1337" spans="1:16" x14ac:dyDescent="0.25">
      <c r="A1337" s="21">
        <v>3000006045</v>
      </c>
      <c r="B1337" s="22">
        <v>45937</v>
      </c>
      <c r="C1337" s="20">
        <v>10395767</v>
      </c>
      <c r="D1337" s="21" t="s">
        <v>593</v>
      </c>
      <c r="E1337" s="21">
        <v>91002616</v>
      </c>
      <c r="F1337" s="20">
        <v>10395767</v>
      </c>
      <c r="G1337" s="22">
        <v>45943</v>
      </c>
      <c r="H1337" t="s">
        <v>79</v>
      </c>
      <c r="I1337" s="40" t="str">
        <f>IFERROR(IF(VLOOKUP(E1337,extracto!C:C,1,FALSE)=E1337,"pagado","no pagado"),"no pagado")</f>
        <v>pagado</v>
      </c>
      <c r="J1337" s="41" t="str">
        <f t="shared" si="606"/>
        <v>pagado</v>
      </c>
      <c r="K1337" s="40" t="str">
        <f t="shared" ca="1" si="607"/>
        <v>excluir</v>
      </c>
      <c r="L1337" s="40" t="str">
        <f t="shared" ca="1" si="608"/>
        <v>no semana</v>
      </c>
      <c r="M1337" s="40" t="str">
        <f>IFERROR(VLOOKUP(E1337,'cheques a conf'!A:D,4,FALSE),"no clearing")</f>
        <v>no clearing</v>
      </c>
      <c r="N1337" s="40">
        <f t="shared" si="609"/>
        <v>42</v>
      </c>
      <c r="O1337" s="42">
        <f t="shared" si="610"/>
        <v>10</v>
      </c>
      <c r="P1337" s="42">
        <f t="shared" si="611"/>
        <v>2025</v>
      </c>
    </row>
    <row r="1338" spans="1:16" x14ac:dyDescent="0.25">
      <c r="A1338" s="21">
        <v>3000005049</v>
      </c>
      <c r="B1338" s="22">
        <v>45944</v>
      </c>
      <c r="C1338" s="20">
        <v>2900000</v>
      </c>
      <c r="D1338" s="21" t="s">
        <v>595</v>
      </c>
      <c r="E1338" s="21">
        <v>1957</v>
      </c>
      <c r="F1338" s="20">
        <v>2900000</v>
      </c>
      <c r="G1338" s="22">
        <v>45947</v>
      </c>
      <c r="H1338" t="s">
        <v>32</v>
      </c>
      <c r="I1338" s="40" t="str">
        <f>IFERROR(IF(VLOOKUP(E1338,extracto!C:C,1,FALSE)=E1338,"pagado","no pagado"),"no pagado")</f>
        <v>pagado</v>
      </c>
      <c r="J1338" s="41" t="str">
        <f t="shared" si="606"/>
        <v>pagado</v>
      </c>
      <c r="K1338" s="40" t="str">
        <f t="shared" ca="1" si="607"/>
        <v>excluir</v>
      </c>
      <c r="L1338" s="40" t="str">
        <f t="shared" ca="1" si="608"/>
        <v>no semana</v>
      </c>
      <c r="M1338" s="40" t="str">
        <f>IFERROR(VLOOKUP(E1338,'cheques a conf'!A:D,4,FALSE),"no clearing")</f>
        <v>no clearing</v>
      </c>
      <c r="N1338" s="40">
        <f t="shared" si="609"/>
        <v>42</v>
      </c>
      <c r="O1338" s="42">
        <f t="shared" si="610"/>
        <v>10</v>
      </c>
      <c r="P1338" s="42">
        <f t="shared" si="611"/>
        <v>2025</v>
      </c>
    </row>
    <row r="1339" spans="1:16" x14ac:dyDescent="0.25">
      <c r="A1339" s="21">
        <v>3000006139</v>
      </c>
      <c r="B1339" s="22">
        <v>45943</v>
      </c>
      <c r="C1339" s="20">
        <v>6500000</v>
      </c>
      <c r="D1339" s="21" t="s">
        <v>754</v>
      </c>
      <c r="E1339" s="21">
        <v>40272998</v>
      </c>
      <c r="F1339" s="20">
        <v>6500000</v>
      </c>
      <c r="G1339" s="22">
        <v>45945</v>
      </c>
      <c r="H1339" t="s">
        <v>79</v>
      </c>
      <c r="I1339" s="40" t="str">
        <f>IFERROR(IF(VLOOKUP(E1339,extracto!C:C,1,FALSE)=E1339,"pagado","no pagado"),"no pagado")</f>
        <v>pagado</v>
      </c>
      <c r="J1339" s="41" t="str">
        <f t="shared" si="606"/>
        <v>pagado</v>
      </c>
      <c r="K1339" s="40" t="str">
        <f t="shared" ca="1" si="607"/>
        <v>excluir</v>
      </c>
      <c r="L1339" s="40" t="str">
        <f t="shared" ca="1" si="608"/>
        <v>no semana</v>
      </c>
      <c r="M1339" s="40" t="str">
        <f>IFERROR(VLOOKUP(E1339,'cheques a conf'!A:D,4,FALSE),"no clearing")</f>
        <v>no clearing</v>
      </c>
      <c r="N1339" s="40">
        <f t="shared" si="609"/>
        <v>42</v>
      </c>
      <c r="O1339" s="42">
        <f t="shared" si="610"/>
        <v>10</v>
      </c>
      <c r="P1339" s="42">
        <f t="shared" si="611"/>
        <v>2025</v>
      </c>
    </row>
    <row r="1340" spans="1:16" x14ac:dyDescent="0.25">
      <c r="A1340" s="21">
        <v>3000006139</v>
      </c>
      <c r="B1340" s="22">
        <v>45943</v>
      </c>
      <c r="C1340" s="20">
        <v>6500000</v>
      </c>
      <c r="D1340" s="21" t="s">
        <v>754</v>
      </c>
      <c r="E1340" s="21">
        <v>40272999</v>
      </c>
      <c r="F1340" s="20">
        <v>6500000</v>
      </c>
      <c r="G1340" s="22">
        <v>45945</v>
      </c>
      <c r="H1340" t="s">
        <v>79</v>
      </c>
      <c r="I1340" s="40" t="str">
        <f>IFERROR(IF(VLOOKUP(E1340,extracto!C:C,1,FALSE)=E1340,"pagado","no pagado"),"no pagado")</f>
        <v>pagado</v>
      </c>
      <c r="J1340" s="41" t="str">
        <f t="shared" si="606"/>
        <v>pagado</v>
      </c>
      <c r="K1340" s="40" t="str">
        <f t="shared" ca="1" si="607"/>
        <v>excluir</v>
      </c>
      <c r="L1340" s="40" t="str">
        <f t="shared" ca="1" si="608"/>
        <v>no semana</v>
      </c>
      <c r="M1340" s="40" t="str">
        <f>IFERROR(VLOOKUP(E1340,'cheques a conf'!A:D,4,FALSE),"no clearing")</f>
        <v>no clearing</v>
      </c>
      <c r="N1340" s="40">
        <f t="shared" si="609"/>
        <v>42</v>
      </c>
      <c r="O1340" s="42">
        <f t="shared" si="610"/>
        <v>10</v>
      </c>
      <c r="P1340" s="42">
        <f t="shared" si="611"/>
        <v>2025</v>
      </c>
    </row>
    <row r="1341" spans="1:16" x14ac:dyDescent="0.25">
      <c r="A1341" s="21">
        <v>3000006139</v>
      </c>
      <c r="B1341" s="22">
        <v>45943</v>
      </c>
      <c r="C1341" s="20">
        <v>6500000</v>
      </c>
      <c r="D1341" s="21" t="s">
        <v>754</v>
      </c>
      <c r="E1341" s="21">
        <v>40273000</v>
      </c>
      <c r="F1341" s="20">
        <v>6500000</v>
      </c>
      <c r="G1341" s="22">
        <v>45945</v>
      </c>
      <c r="H1341" t="s">
        <v>79</v>
      </c>
      <c r="I1341" s="40" t="str">
        <f>IFERROR(IF(VLOOKUP(E1341,extracto!C:C,1,FALSE)=E1341,"pagado","no pagado"),"no pagado")</f>
        <v>pagado</v>
      </c>
      <c r="J1341" s="41" t="str">
        <f t="shared" si="606"/>
        <v>pagado</v>
      </c>
      <c r="K1341" s="40" t="str">
        <f t="shared" ca="1" si="607"/>
        <v>excluir</v>
      </c>
      <c r="L1341" s="40" t="str">
        <f t="shared" ca="1" si="608"/>
        <v>no semana</v>
      </c>
      <c r="M1341" s="40" t="str">
        <f>IFERROR(VLOOKUP(E1341,'cheques a conf'!A:D,4,FALSE),"no clearing")</f>
        <v>no clearing</v>
      </c>
      <c r="N1341" s="40">
        <f t="shared" si="609"/>
        <v>42</v>
      </c>
      <c r="O1341" s="42">
        <f t="shared" si="610"/>
        <v>10</v>
      </c>
      <c r="P1341" s="42">
        <f t="shared" si="611"/>
        <v>2025</v>
      </c>
    </row>
    <row r="1342" spans="1:16" x14ac:dyDescent="0.25">
      <c r="A1342" s="21">
        <v>3000006139</v>
      </c>
      <c r="B1342" s="22">
        <v>45943</v>
      </c>
      <c r="C1342" s="20">
        <v>6500000</v>
      </c>
      <c r="D1342" s="21" t="s">
        <v>754</v>
      </c>
      <c r="E1342" s="21">
        <v>40273001</v>
      </c>
      <c r="F1342" s="20">
        <v>6500000</v>
      </c>
      <c r="G1342" s="22">
        <v>45946</v>
      </c>
      <c r="H1342" t="s">
        <v>79</v>
      </c>
      <c r="I1342" s="40" t="str">
        <f>IFERROR(IF(VLOOKUP(E1342,extracto!C:C,1,FALSE)=E1342,"pagado","no pagado"),"no pagado")</f>
        <v>pagado</v>
      </c>
      <c r="J1342" s="41" t="str">
        <f t="shared" si="606"/>
        <v>pagado</v>
      </c>
      <c r="K1342" s="40" t="str">
        <f t="shared" ca="1" si="607"/>
        <v>excluir</v>
      </c>
      <c r="L1342" s="40" t="str">
        <f t="shared" ca="1" si="608"/>
        <v>no semana</v>
      </c>
      <c r="M1342" s="40" t="str">
        <f>IFERROR(VLOOKUP(E1342,'cheques a conf'!A:D,4,FALSE),"no clearing")</f>
        <v>no clearing</v>
      </c>
      <c r="N1342" s="40">
        <f t="shared" si="609"/>
        <v>42</v>
      </c>
      <c r="O1342" s="42">
        <f t="shared" si="610"/>
        <v>10</v>
      </c>
      <c r="P1342" s="42">
        <f t="shared" si="611"/>
        <v>2025</v>
      </c>
    </row>
    <row r="1343" spans="1:16" x14ac:dyDescent="0.25">
      <c r="A1343" s="21">
        <v>3000006139</v>
      </c>
      <c r="B1343" s="22">
        <v>45943</v>
      </c>
      <c r="C1343" s="20">
        <v>6529021.4199999999</v>
      </c>
      <c r="D1343" s="21" t="s">
        <v>754</v>
      </c>
      <c r="E1343" s="21">
        <v>40273002</v>
      </c>
      <c r="F1343" s="20">
        <v>6529021.4199999999</v>
      </c>
      <c r="G1343" s="22">
        <v>45946</v>
      </c>
      <c r="H1343" t="s">
        <v>79</v>
      </c>
      <c r="I1343" s="40" t="str">
        <f>IFERROR(IF(VLOOKUP(E1343,extracto!C:C,1,FALSE)=E1343,"pagado","no pagado"),"no pagado")</f>
        <v>pagado</v>
      </c>
      <c r="J1343" s="41" t="str">
        <f t="shared" si="606"/>
        <v>pagado</v>
      </c>
      <c r="K1343" s="40" t="str">
        <f t="shared" ca="1" si="607"/>
        <v>excluir</v>
      </c>
      <c r="L1343" s="40" t="str">
        <f t="shared" ca="1" si="608"/>
        <v>no semana</v>
      </c>
      <c r="M1343" s="40" t="str">
        <f>IFERROR(VLOOKUP(E1343,'cheques a conf'!A:D,4,FALSE),"no clearing")</f>
        <v>no clearing</v>
      </c>
      <c r="N1343" s="40">
        <f t="shared" si="609"/>
        <v>42</v>
      </c>
      <c r="O1343" s="42">
        <f t="shared" si="610"/>
        <v>10</v>
      </c>
      <c r="P1343" s="42">
        <f t="shared" si="611"/>
        <v>2025</v>
      </c>
    </row>
    <row r="1344" spans="1:16" x14ac:dyDescent="0.25">
      <c r="A1344" s="21">
        <v>3000006143</v>
      </c>
      <c r="B1344" s="22">
        <v>45943</v>
      </c>
      <c r="C1344" s="20">
        <v>7033365.29</v>
      </c>
      <c r="D1344" s="21" t="s">
        <v>795</v>
      </c>
      <c r="E1344" s="21">
        <v>91002617</v>
      </c>
      <c r="F1344" s="20">
        <v>7033365.29</v>
      </c>
      <c r="G1344" s="22">
        <v>45946</v>
      </c>
      <c r="H1344" t="s">
        <v>79</v>
      </c>
      <c r="I1344" s="40" t="str">
        <f>IFERROR(IF(VLOOKUP(E1344,extracto!C:C,1,FALSE)=E1344,"pagado","no pagado"),"no pagado")</f>
        <v>pagado</v>
      </c>
      <c r="J1344" s="41" t="str">
        <f t="shared" si="606"/>
        <v>pagado</v>
      </c>
      <c r="K1344" s="40" t="str">
        <f t="shared" ca="1" si="607"/>
        <v>excluir</v>
      </c>
      <c r="L1344" s="40" t="str">
        <f t="shared" ca="1" si="608"/>
        <v>no semana</v>
      </c>
      <c r="M1344" s="40" t="str">
        <f>IFERROR(VLOOKUP(E1344,'cheques a conf'!A:D,4,FALSE),"no clearing")</f>
        <v>no clearing</v>
      </c>
      <c r="N1344" s="40">
        <f t="shared" si="609"/>
        <v>42</v>
      </c>
      <c r="O1344" s="42">
        <f t="shared" si="610"/>
        <v>10</v>
      </c>
      <c r="P1344" s="42">
        <f t="shared" si="611"/>
        <v>2025</v>
      </c>
    </row>
    <row r="1345" spans="1:16" x14ac:dyDescent="0.25">
      <c r="A1345" s="21">
        <v>3000006144</v>
      </c>
      <c r="B1345" s="22">
        <v>45943</v>
      </c>
      <c r="C1345" s="20">
        <v>11796116.9</v>
      </c>
      <c r="D1345" s="21" t="s">
        <v>752</v>
      </c>
      <c r="E1345" s="21">
        <v>91002618</v>
      </c>
      <c r="F1345" s="20">
        <v>11796116.9</v>
      </c>
      <c r="G1345" s="22">
        <v>45945</v>
      </c>
      <c r="H1345" t="s">
        <v>79</v>
      </c>
      <c r="I1345" s="40" t="str">
        <f>IFERROR(IF(VLOOKUP(E1345,extracto!C:C,1,FALSE)=E1345,"pagado","no pagado"),"no pagado")</f>
        <v>pagado</v>
      </c>
      <c r="J1345" s="41" t="str">
        <f t="shared" si="606"/>
        <v>pagado</v>
      </c>
      <c r="K1345" s="40" t="str">
        <f t="shared" ca="1" si="607"/>
        <v>excluir</v>
      </c>
      <c r="L1345" s="40" t="str">
        <f t="shared" ca="1" si="608"/>
        <v>no semana</v>
      </c>
      <c r="M1345" s="40" t="str">
        <f>IFERROR(VLOOKUP(E1345,'cheques a conf'!A:D,4,FALSE),"no clearing")</f>
        <v>no clearing</v>
      </c>
      <c r="N1345" s="40">
        <f t="shared" si="609"/>
        <v>42</v>
      </c>
      <c r="O1345" s="42">
        <f t="shared" si="610"/>
        <v>10</v>
      </c>
      <c r="P1345" s="42">
        <f t="shared" si="611"/>
        <v>2025</v>
      </c>
    </row>
    <row r="1346" spans="1:16" x14ac:dyDescent="0.25">
      <c r="A1346" s="21">
        <v>3000006145</v>
      </c>
      <c r="B1346" s="22">
        <v>45943</v>
      </c>
      <c r="C1346" s="20">
        <v>15448101.4</v>
      </c>
      <c r="D1346" s="21" t="s">
        <v>72</v>
      </c>
      <c r="E1346" s="21">
        <v>91002619</v>
      </c>
      <c r="F1346" s="20">
        <v>15448101.4</v>
      </c>
      <c r="G1346" s="22">
        <v>45945</v>
      </c>
      <c r="H1346" t="s">
        <v>79</v>
      </c>
      <c r="I1346" s="40" t="str">
        <f>IFERROR(IF(VLOOKUP(E1346,extracto!C:C,1,FALSE)=E1346,"pagado","no pagado"),"no pagado")</f>
        <v>pagado</v>
      </c>
      <c r="J1346" s="41" t="str">
        <f t="shared" si="606"/>
        <v>pagado</v>
      </c>
      <c r="K1346" s="40" t="str">
        <f t="shared" ca="1" si="607"/>
        <v>excluir</v>
      </c>
      <c r="L1346" s="40" t="str">
        <f t="shared" ca="1" si="608"/>
        <v>no semana</v>
      </c>
      <c r="M1346" s="40" t="str">
        <f>IFERROR(VLOOKUP(E1346,'cheques a conf'!A:D,4,FALSE),"no clearing")</f>
        <v>no clearing</v>
      </c>
      <c r="N1346" s="40">
        <f t="shared" si="609"/>
        <v>42</v>
      </c>
      <c r="O1346" s="42">
        <f t="shared" si="610"/>
        <v>10</v>
      </c>
      <c r="P1346" s="42">
        <f t="shared" si="611"/>
        <v>2025</v>
      </c>
    </row>
    <row r="1347" spans="1:16" x14ac:dyDescent="0.25">
      <c r="A1347" s="21">
        <v>3000006146</v>
      </c>
      <c r="B1347" s="22">
        <v>45943</v>
      </c>
      <c r="C1347" s="20">
        <v>4624515.1900000004</v>
      </c>
      <c r="D1347" s="21" t="s">
        <v>773</v>
      </c>
      <c r="E1347" s="21">
        <v>91002620</v>
      </c>
      <c r="F1347" s="20">
        <v>4624515.1900000004</v>
      </c>
      <c r="G1347" s="22">
        <v>45945</v>
      </c>
      <c r="H1347" t="s">
        <v>79</v>
      </c>
      <c r="I1347" s="40" t="str">
        <f>IFERROR(IF(VLOOKUP(E1347,extracto!C:C,1,FALSE)=E1347,"pagado","no pagado"),"no pagado")</f>
        <v>pagado</v>
      </c>
      <c r="J1347" s="41" t="str">
        <f t="shared" si="606"/>
        <v>pagado</v>
      </c>
      <c r="K1347" s="40" t="str">
        <f t="shared" ca="1" si="607"/>
        <v>excluir</v>
      </c>
      <c r="L1347" s="40" t="str">
        <f t="shared" ca="1" si="608"/>
        <v>no semana</v>
      </c>
      <c r="M1347" s="40" t="str">
        <f>IFERROR(VLOOKUP(E1347,'cheques a conf'!A:D,4,FALSE),"no clearing")</f>
        <v>no clearing</v>
      </c>
      <c r="N1347" s="40">
        <f t="shared" si="609"/>
        <v>42</v>
      </c>
      <c r="O1347" s="42">
        <f t="shared" si="610"/>
        <v>10</v>
      </c>
      <c r="P1347" s="42">
        <f t="shared" si="611"/>
        <v>2025</v>
      </c>
    </row>
    <row r="1348" spans="1:16" x14ac:dyDescent="0.25">
      <c r="A1348" s="21">
        <v>3000006147</v>
      </c>
      <c r="B1348" s="22">
        <v>45943</v>
      </c>
      <c r="C1348" s="20">
        <v>39545843.399999999</v>
      </c>
      <c r="D1348" s="21" t="s">
        <v>629</v>
      </c>
      <c r="E1348" s="21">
        <v>91002621</v>
      </c>
      <c r="F1348" s="20">
        <v>39545843.399999999</v>
      </c>
      <c r="G1348" s="22">
        <v>45945</v>
      </c>
      <c r="H1348" t="s">
        <v>79</v>
      </c>
      <c r="I1348" s="40" t="str">
        <f>IFERROR(IF(VLOOKUP(E1348,extracto!C:C,1,FALSE)=E1348,"pagado","no pagado"),"no pagado")</f>
        <v>pagado</v>
      </c>
      <c r="J1348" s="41" t="str">
        <f t="shared" si="606"/>
        <v>pagado</v>
      </c>
      <c r="K1348" s="40" t="str">
        <f t="shared" ca="1" si="607"/>
        <v>excluir</v>
      </c>
      <c r="L1348" s="40" t="str">
        <f t="shared" ca="1" si="608"/>
        <v>no semana</v>
      </c>
      <c r="M1348" s="40" t="str">
        <f>IFERROR(VLOOKUP(E1348,'cheques a conf'!A:D,4,FALSE),"no clearing")</f>
        <v>no clearing</v>
      </c>
      <c r="N1348" s="40">
        <f t="shared" si="609"/>
        <v>42</v>
      </c>
      <c r="O1348" s="42">
        <f t="shared" si="610"/>
        <v>10</v>
      </c>
      <c r="P1348" s="42">
        <f t="shared" si="611"/>
        <v>2025</v>
      </c>
    </row>
    <row r="1349" spans="1:16" x14ac:dyDescent="0.25">
      <c r="A1349" s="21">
        <v>3000006148</v>
      </c>
      <c r="B1349" s="22">
        <v>45943</v>
      </c>
      <c r="C1349" s="20">
        <v>5643710.7199999997</v>
      </c>
      <c r="D1349" s="21" t="s">
        <v>68</v>
      </c>
      <c r="E1349" s="21">
        <v>91002622</v>
      </c>
      <c r="F1349" s="20">
        <v>5643710.7199999997</v>
      </c>
      <c r="G1349" s="22">
        <v>45946</v>
      </c>
      <c r="H1349" t="s">
        <v>79</v>
      </c>
      <c r="I1349" s="40" t="str">
        <f>IFERROR(IF(VLOOKUP(E1349,extracto!C:C,1,FALSE)=E1349,"pagado","no pagado"),"no pagado")</f>
        <v>pagado</v>
      </c>
      <c r="J1349" s="41" t="str">
        <f t="shared" si="606"/>
        <v>pagado</v>
      </c>
      <c r="K1349" s="40" t="str">
        <f t="shared" ca="1" si="607"/>
        <v>excluir</v>
      </c>
      <c r="L1349" s="40" t="str">
        <f t="shared" ca="1" si="608"/>
        <v>no semana</v>
      </c>
      <c r="M1349" s="40" t="str">
        <f>IFERROR(VLOOKUP(E1349,'cheques a conf'!A:D,4,FALSE),"no clearing")</f>
        <v>no clearing</v>
      </c>
      <c r="N1349" s="40">
        <f t="shared" si="609"/>
        <v>42</v>
      </c>
      <c r="O1349" s="42">
        <f t="shared" si="610"/>
        <v>10</v>
      </c>
      <c r="P1349" s="42">
        <f t="shared" si="611"/>
        <v>2025</v>
      </c>
    </row>
    <row r="1350" spans="1:16" x14ac:dyDescent="0.25">
      <c r="A1350" s="21">
        <v>3000006149</v>
      </c>
      <c r="B1350" s="22">
        <v>45943</v>
      </c>
      <c r="C1350" s="20">
        <v>20564157.75</v>
      </c>
      <c r="D1350" s="21" t="s">
        <v>607</v>
      </c>
      <c r="E1350" s="21">
        <v>91002623</v>
      </c>
      <c r="F1350" s="20">
        <v>20564157.75</v>
      </c>
      <c r="G1350" s="22">
        <v>45945</v>
      </c>
      <c r="H1350" t="s">
        <v>79</v>
      </c>
      <c r="I1350" s="40" t="str">
        <f>IFERROR(IF(VLOOKUP(E1350,extracto!C:C,1,FALSE)=E1350,"pagado","no pagado"),"no pagado")</f>
        <v>pagado</v>
      </c>
      <c r="J1350" s="41" t="str">
        <f t="shared" si="606"/>
        <v>pagado</v>
      </c>
      <c r="K1350" s="40" t="str">
        <f t="shared" ca="1" si="607"/>
        <v>excluir</v>
      </c>
      <c r="L1350" s="40" t="str">
        <f t="shared" ca="1" si="608"/>
        <v>no semana</v>
      </c>
      <c r="M1350" s="40" t="str">
        <f>IFERROR(VLOOKUP(E1350,'cheques a conf'!A:D,4,FALSE),"no clearing")</f>
        <v>no clearing</v>
      </c>
      <c r="N1350" s="40">
        <f t="shared" si="609"/>
        <v>42</v>
      </c>
      <c r="O1350" s="42">
        <f t="shared" si="610"/>
        <v>10</v>
      </c>
      <c r="P1350" s="42">
        <f t="shared" si="611"/>
        <v>2025</v>
      </c>
    </row>
    <row r="1351" spans="1:16" x14ac:dyDescent="0.25">
      <c r="A1351" s="21">
        <v>3000006150</v>
      </c>
      <c r="B1351" s="22">
        <v>45943</v>
      </c>
      <c r="C1351" s="20">
        <v>11232013.4</v>
      </c>
      <c r="D1351" s="21" t="s">
        <v>87</v>
      </c>
      <c r="E1351" s="21">
        <v>91002624</v>
      </c>
      <c r="F1351" s="20">
        <v>11232013.4</v>
      </c>
      <c r="G1351" s="22">
        <v>45945</v>
      </c>
      <c r="H1351" t="s">
        <v>79</v>
      </c>
      <c r="I1351" s="40" t="str">
        <f>IFERROR(IF(VLOOKUP(E1351,extracto!C:C,1,FALSE)=E1351,"pagado","no pagado"),"no pagado")</f>
        <v>pagado</v>
      </c>
      <c r="J1351" s="41" t="str">
        <f t="shared" si="606"/>
        <v>pagado</v>
      </c>
      <c r="K1351" s="40" t="str">
        <f t="shared" ca="1" si="607"/>
        <v>excluir</v>
      </c>
      <c r="L1351" s="40" t="str">
        <f t="shared" ca="1" si="608"/>
        <v>no semana</v>
      </c>
      <c r="M1351" s="40" t="str">
        <f>IFERROR(VLOOKUP(E1351,'cheques a conf'!A:D,4,FALSE),"no clearing")</f>
        <v>no clearing</v>
      </c>
      <c r="N1351" s="40">
        <f t="shared" si="609"/>
        <v>42</v>
      </c>
      <c r="O1351" s="42">
        <f t="shared" si="610"/>
        <v>10</v>
      </c>
      <c r="P1351" s="42">
        <f t="shared" si="611"/>
        <v>2025</v>
      </c>
    </row>
    <row r="1352" spans="1:16" x14ac:dyDescent="0.25">
      <c r="A1352" s="21">
        <v>3000006151</v>
      </c>
      <c r="B1352" s="22">
        <v>45943</v>
      </c>
      <c r="C1352" s="20">
        <v>25000000</v>
      </c>
      <c r="D1352" s="21" t="s">
        <v>595</v>
      </c>
      <c r="E1352" s="21">
        <v>91002625</v>
      </c>
      <c r="F1352" s="20">
        <v>25000000</v>
      </c>
      <c r="G1352" s="22">
        <v>45945</v>
      </c>
      <c r="H1352" t="s">
        <v>79</v>
      </c>
      <c r="I1352" s="40" t="str">
        <f>IFERROR(IF(VLOOKUP(E1352,extracto!C:C,1,FALSE)=E1352,"pagado","no pagado"),"no pagado")</f>
        <v>pagado</v>
      </c>
      <c r="J1352" s="41" t="str">
        <f t="shared" si="606"/>
        <v>pagado</v>
      </c>
      <c r="K1352" s="40" t="str">
        <f t="shared" ca="1" si="607"/>
        <v>excluir</v>
      </c>
      <c r="L1352" s="40" t="str">
        <f t="shared" ca="1" si="608"/>
        <v>no semana</v>
      </c>
      <c r="M1352" s="40" t="str">
        <f>IFERROR(VLOOKUP(E1352,'cheques a conf'!A:D,4,FALSE),"no clearing")</f>
        <v>no clearing</v>
      </c>
      <c r="N1352" s="40">
        <f t="shared" si="609"/>
        <v>42</v>
      </c>
      <c r="O1352" s="42">
        <f t="shared" si="610"/>
        <v>10</v>
      </c>
      <c r="P1352" s="42">
        <f t="shared" si="611"/>
        <v>2025</v>
      </c>
    </row>
    <row r="1353" spans="1:16" x14ac:dyDescent="0.25">
      <c r="A1353" s="21">
        <v>3000006151</v>
      </c>
      <c r="B1353" s="22">
        <v>45943</v>
      </c>
      <c r="C1353" s="20">
        <v>7354847</v>
      </c>
      <c r="D1353" s="21" t="s">
        <v>595</v>
      </c>
      <c r="E1353" s="21">
        <v>91002626</v>
      </c>
      <c r="F1353" s="20">
        <v>7354847</v>
      </c>
      <c r="G1353" s="22">
        <v>45945</v>
      </c>
      <c r="H1353" t="s">
        <v>79</v>
      </c>
      <c r="I1353" s="40" t="str">
        <f>IFERROR(IF(VLOOKUP(E1353,extracto!C:C,1,FALSE)=E1353,"pagado","no pagado"),"no pagado")</f>
        <v>pagado</v>
      </c>
      <c r="J1353" s="41" t="str">
        <f t="shared" si="606"/>
        <v>pagado</v>
      </c>
      <c r="K1353" s="40" t="str">
        <f t="shared" ca="1" si="607"/>
        <v>excluir</v>
      </c>
      <c r="L1353" s="40" t="str">
        <f t="shared" ca="1" si="608"/>
        <v>no semana</v>
      </c>
      <c r="M1353" s="40" t="str">
        <f>IFERROR(VLOOKUP(E1353,'cheques a conf'!A:D,4,FALSE),"no clearing")</f>
        <v>no clearing</v>
      </c>
      <c r="N1353" s="40">
        <f t="shared" si="609"/>
        <v>42</v>
      </c>
      <c r="O1353" s="42">
        <f t="shared" si="610"/>
        <v>10</v>
      </c>
      <c r="P1353" s="42">
        <f t="shared" si="611"/>
        <v>2025</v>
      </c>
    </row>
    <row r="1354" spans="1:16" x14ac:dyDescent="0.25">
      <c r="A1354" s="21">
        <v>3000006151</v>
      </c>
      <c r="B1354" s="22">
        <v>45943</v>
      </c>
      <c r="C1354" s="20">
        <v>3522329</v>
      </c>
      <c r="D1354" s="21" t="s">
        <v>595</v>
      </c>
      <c r="E1354" s="21">
        <v>91002627</v>
      </c>
      <c r="F1354" s="20">
        <v>3522329</v>
      </c>
      <c r="G1354" s="22">
        <v>45946</v>
      </c>
      <c r="H1354" t="s">
        <v>79</v>
      </c>
      <c r="I1354" s="40" t="str">
        <f>IFERROR(IF(VLOOKUP(E1354,extracto!C:C,1,FALSE)=E1354,"pagado","no pagado"),"no pagado")</f>
        <v>pagado</v>
      </c>
      <c r="J1354" s="41" t="str">
        <f t="shared" ref="J1354:J1371" si="612">IF(I1354="pagado","pagado",IF(G1354&lt;$V$1-30,"fuera de fecha","en periodo de pago"))</f>
        <v>pagado</v>
      </c>
      <c r="K1354" s="40" t="str">
        <f t="shared" ref="K1354:K1371" ca="1" si="613">+IF(B1354&gt;$V$1,"excluir",IF(J1354="en periodo de pago",IF($V$1&gt;G1354,"a pagar","proximo a vencer"),"excluir"))</f>
        <v>excluir</v>
      </c>
      <c r="L1354" s="40" t="str">
        <f t="shared" ref="L1354:L1371" ca="1" si="614">+IF(K1354="proximo a vencer",IF($V$1+5&gt;G1354,"para la semana","no semana"),"no semana")</f>
        <v>no semana</v>
      </c>
      <c r="M1354" s="40" t="str">
        <f>IFERROR(VLOOKUP(E1354,'cheques a conf'!A:D,4,FALSE),"no clearing")</f>
        <v>no clearing</v>
      </c>
      <c r="N1354" s="40">
        <f t="shared" ref="N1354:N1371" si="615">+WEEKNUM(G1354,2)</f>
        <v>42</v>
      </c>
      <c r="O1354" s="42">
        <f t="shared" ref="O1354:O1371" si="616">+MONTH(G1354)</f>
        <v>10</v>
      </c>
      <c r="P1354" s="42">
        <f t="shared" ref="P1354:P1371" si="617">+YEAR(G1354)</f>
        <v>2025</v>
      </c>
    </row>
    <row r="1355" spans="1:16" x14ac:dyDescent="0.25">
      <c r="A1355" s="21">
        <v>3000006151</v>
      </c>
      <c r="B1355" s="22">
        <v>45943</v>
      </c>
      <c r="C1355" s="20">
        <v>2200000</v>
      </c>
      <c r="D1355" s="21" t="s">
        <v>595</v>
      </c>
      <c r="E1355" s="21">
        <v>91002628</v>
      </c>
      <c r="F1355" s="20">
        <v>2200000</v>
      </c>
      <c r="G1355" s="22">
        <v>45946</v>
      </c>
      <c r="H1355" t="s">
        <v>79</v>
      </c>
      <c r="I1355" s="40" t="str">
        <f>IFERROR(IF(VLOOKUP(E1355,extracto!C:C,1,FALSE)=E1355,"pagado","no pagado"),"no pagado")</f>
        <v>pagado</v>
      </c>
      <c r="J1355" s="41" t="str">
        <f t="shared" si="612"/>
        <v>pagado</v>
      </c>
      <c r="K1355" s="40" t="str">
        <f t="shared" ca="1" si="613"/>
        <v>excluir</v>
      </c>
      <c r="L1355" s="40" t="str">
        <f t="shared" ca="1" si="614"/>
        <v>no semana</v>
      </c>
      <c r="M1355" s="40" t="str">
        <f>IFERROR(VLOOKUP(E1355,'cheques a conf'!A:D,4,FALSE),"no clearing")</f>
        <v>no clearing</v>
      </c>
      <c r="N1355" s="40">
        <f t="shared" si="615"/>
        <v>42</v>
      </c>
      <c r="O1355" s="42">
        <f t="shared" si="616"/>
        <v>10</v>
      </c>
      <c r="P1355" s="42">
        <f t="shared" si="617"/>
        <v>2025</v>
      </c>
    </row>
    <row r="1356" spans="1:16" x14ac:dyDescent="0.25">
      <c r="A1356" s="21">
        <v>3000006151</v>
      </c>
      <c r="B1356" s="22">
        <v>45943</v>
      </c>
      <c r="C1356" s="20">
        <v>40000000</v>
      </c>
      <c r="D1356" s="21" t="s">
        <v>595</v>
      </c>
      <c r="E1356" s="21">
        <v>91002629</v>
      </c>
      <c r="F1356" s="20">
        <v>40000000</v>
      </c>
      <c r="G1356" s="22">
        <v>45946</v>
      </c>
      <c r="H1356" t="s">
        <v>79</v>
      </c>
      <c r="I1356" s="40" t="str">
        <f>IFERROR(IF(VLOOKUP(E1356,extracto!C:C,1,FALSE)=E1356,"pagado","no pagado"),"no pagado")</f>
        <v>pagado</v>
      </c>
      <c r="J1356" s="41" t="str">
        <f t="shared" si="612"/>
        <v>pagado</v>
      </c>
      <c r="K1356" s="40" t="str">
        <f t="shared" ca="1" si="613"/>
        <v>excluir</v>
      </c>
      <c r="L1356" s="40" t="str">
        <f t="shared" ca="1" si="614"/>
        <v>no semana</v>
      </c>
      <c r="M1356" s="40" t="str">
        <f>IFERROR(VLOOKUP(E1356,'cheques a conf'!A:D,4,FALSE),"no clearing")</f>
        <v>no clearing</v>
      </c>
      <c r="N1356" s="40">
        <f t="shared" si="615"/>
        <v>42</v>
      </c>
      <c r="O1356" s="42">
        <f t="shared" si="616"/>
        <v>10</v>
      </c>
      <c r="P1356" s="42">
        <f t="shared" si="617"/>
        <v>2025</v>
      </c>
    </row>
    <row r="1357" spans="1:16" x14ac:dyDescent="0.25">
      <c r="A1357" s="21">
        <v>3000006151</v>
      </c>
      <c r="B1357" s="22">
        <v>45943</v>
      </c>
      <c r="C1357" s="20">
        <v>43738239.719999999</v>
      </c>
      <c r="D1357" s="21" t="s">
        <v>595</v>
      </c>
      <c r="E1357" s="21">
        <v>91002630</v>
      </c>
      <c r="F1357" s="20">
        <v>43738239.719999999</v>
      </c>
      <c r="G1357" s="22">
        <v>45947</v>
      </c>
      <c r="H1357" t="s">
        <v>79</v>
      </c>
      <c r="I1357" s="40" t="str">
        <f>IFERROR(IF(VLOOKUP(E1357,extracto!C:C,1,FALSE)=E1357,"pagado","no pagado"),"no pagado")</f>
        <v>pagado</v>
      </c>
      <c r="J1357" s="41" t="str">
        <f t="shared" si="612"/>
        <v>pagado</v>
      </c>
      <c r="K1357" s="40" t="str">
        <f t="shared" ca="1" si="613"/>
        <v>excluir</v>
      </c>
      <c r="L1357" s="40" t="str">
        <f t="shared" ca="1" si="614"/>
        <v>no semana</v>
      </c>
      <c r="M1357" s="40" t="str">
        <f>IFERROR(VLOOKUP(E1357,'cheques a conf'!A:D,4,FALSE),"no clearing")</f>
        <v>no clearing</v>
      </c>
      <c r="N1357" s="40">
        <f t="shared" si="615"/>
        <v>42</v>
      </c>
      <c r="O1357" s="42">
        <f t="shared" si="616"/>
        <v>10</v>
      </c>
      <c r="P1357" s="42">
        <f t="shared" si="617"/>
        <v>2025</v>
      </c>
    </row>
    <row r="1358" spans="1:16" x14ac:dyDescent="0.25">
      <c r="A1358" s="21">
        <v>3000006152</v>
      </c>
      <c r="B1358" s="22">
        <v>45943</v>
      </c>
      <c r="C1358" s="20">
        <v>13452203.939999999</v>
      </c>
      <c r="D1358" s="21" t="s">
        <v>630</v>
      </c>
      <c r="E1358" s="21">
        <v>91002631</v>
      </c>
      <c r="F1358" s="20">
        <v>13452203.939999999</v>
      </c>
      <c r="G1358" s="22">
        <v>45946</v>
      </c>
      <c r="H1358" t="s">
        <v>79</v>
      </c>
      <c r="I1358" s="40" t="str">
        <f>IFERROR(IF(VLOOKUP(E1358,extracto!C:C,1,FALSE)=E1358,"pagado","no pagado"),"no pagado")</f>
        <v>pagado</v>
      </c>
      <c r="J1358" s="41" t="str">
        <f t="shared" si="612"/>
        <v>pagado</v>
      </c>
      <c r="K1358" s="40" t="str">
        <f t="shared" ca="1" si="613"/>
        <v>excluir</v>
      </c>
      <c r="L1358" s="40" t="str">
        <f t="shared" ca="1" si="614"/>
        <v>no semana</v>
      </c>
      <c r="M1358" s="40" t="str">
        <f>IFERROR(VLOOKUP(E1358,'cheques a conf'!A:D,4,FALSE),"no clearing")</f>
        <v>no clearing</v>
      </c>
      <c r="N1358" s="40">
        <f t="shared" si="615"/>
        <v>42</v>
      </c>
      <c r="O1358" s="42">
        <f t="shared" si="616"/>
        <v>10</v>
      </c>
      <c r="P1358" s="42">
        <f t="shared" si="617"/>
        <v>2025</v>
      </c>
    </row>
    <row r="1359" spans="1:16" x14ac:dyDescent="0.25">
      <c r="A1359" s="21">
        <v>3000006153</v>
      </c>
      <c r="B1359" s="22">
        <v>45943</v>
      </c>
      <c r="C1359" s="20">
        <v>19288256</v>
      </c>
      <c r="D1359" s="21" t="s">
        <v>74</v>
      </c>
      <c r="E1359" s="21">
        <v>91002632</v>
      </c>
      <c r="F1359" s="20">
        <v>19288256</v>
      </c>
      <c r="G1359" s="22">
        <v>45946</v>
      </c>
      <c r="H1359" t="s">
        <v>79</v>
      </c>
      <c r="I1359" s="40" t="str">
        <f>IFERROR(IF(VLOOKUP(E1359,extracto!C:C,1,FALSE)=E1359,"pagado","no pagado"),"no pagado")</f>
        <v>pagado</v>
      </c>
      <c r="J1359" s="41" t="str">
        <f t="shared" si="612"/>
        <v>pagado</v>
      </c>
      <c r="K1359" s="40" t="str">
        <f t="shared" ca="1" si="613"/>
        <v>excluir</v>
      </c>
      <c r="L1359" s="40" t="str">
        <f t="shared" ca="1" si="614"/>
        <v>no semana</v>
      </c>
      <c r="M1359" s="40" t="str">
        <f>IFERROR(VLOOKUP(E1359,'cheques a conf'!A:D,4,FALSE),"no clearing")</f>
        <v>no clearing</v>
      </c>
      <c r="N1359" s="40">
        <f t="shared" si="615"/>
        <v>42</v>
      </c>
      <c r="O1359" s="42">
        <f t="shared" si="616"/>
        <v>10</v>
      </c>
      <c r="P1359" s="42">
        <f t="shared" si="617"/>
        <v>2025</v>
      </c>
    </row>
    <row r="1360" spans="1:16" x14ac:dyDescent="0.25">
      <c r="A1360" s="21">
        <v>3000006154</v>
      </c>
      <c r="B1360" s="22">
        <v>45943</v>
      </c>
      <c r="C1360" s="20">
        <v>10000000</v>
      </c>
      <c r="D1360" s="21" t="s">
        <v>86</v>
      </c>
      <c r="E1360" s="21">
        <v>91002633</v>
      </c>
      <c r="F1360" s="20">
        <v>10000000</v>
      </c>
      <c r="G1360" s="22">
        <v>45945</v>
      </c>
      <c r="H1360" t="s">
        <v>79</v>
      </c>
      <c r="I1360" s="40" t="str">
        <f>IFERROR(IF(VLOOKUP(E1360,extracto!C:C,1,FALSE)=E1360,"pagado","no pagado"),"no pagado")</f>
        <v>pagado</v>
      </c>
      <c r="J1360" s="41" t="str">
        <f t="shared" si="612"/>
        <v>pagado</v>
      </c>
      <c r="K1360" s="40" t="str">
        <f t="shared" ca="1" si="613"/>
        <v>excluir</v>
      </c>
      <c r="L1360" s="40" t="str">
        <f t="shared" ca="1" si="614"/>
        <v>no semana</v>
      </c>
      <c r="M1360" s="40" t="str">
        <f>IFERROR(VLOOKUP(E1360,'cheques a conf'!A:D,4,FALSE),"no clearing")</f>
        <v>no clearing</v>
      </c>
      <c r="N1360" s="40">
        <f t="shared" si="615"/>
        <v>42</v>
      </c>
      <c r="O1360" s="42">
        <f t="shared" si="616"/>
        <v>10</v>
      </c>
      <c r="P1360" s="42">
        <f t="shared" si="617"/>
        <v>2025</v>
      </c>
    </row>
    <row r="1361" spans="1:16" x14ac:dyDescent="0.25">
      <c r="A1361" s="21">
        <v>3000006154</v>
      </c>
      <c r="B1361" s="22">
        <v>45943</v>
      </c>
      <c r="C1361" s="20">
        <v>9971314.4000000004</v>
      </c>
      <c r="D1361" s="21" t="s">
        <v>86</v>
      </c>
      <c r="E1361" s="21">
        <v>91002634</v>
      </c>
      <c r="F1361" s="20">
        <v>9971314.4000000004</v>
      </c>
      <c r="G1361" s="22">
        <v>45946</v>
      </c>
      <c r="H1361" t="s">
        <v>79</v>
      </c>
      <c r="I1361" s="40" t="str">
        <f>IFERROR(IF(VLOOKUP(E1361,extracto!C:C,1,FALSE)=E1361,"pagado","no pagado"),"no pagado")</f>
        <v>pagado</v>
      </c>
      <c r="J1361" s="41" t="str">
        <f t="shared" si="612"/>
        <v>pagado</v>
      </c>
      <c r="K1361" s="40" t="str">
        <f t="shared" ca="1" si="613"/>
        <v>excluir</v>
      </c>
      <c r="L1361" s="40" t="str">
        <f t="shared" ca="1" si="614"/>
        <v>no semana</v>
      </c>
      <c r="M1361" s="40" t="str">
        <f>IFERROR(VLOOKUP(E1361,'cheques a conf'!A:D,4,FALSE),"no clearing")</f>
        <v>no clearing</v>
      </c>
      <c r="N1361" s="40">
        <f t="shared" si="615"/>
        <v>42</v>
      </c>
      <c r="O1361" s="42">
        <f t="shared" si="616"/>
        <v>10</v>
      </c>
      <c r="P1361" s="42">
        <f t="shared" si="617"/>
        <v>2025</v>
      </c>
    </row>
    <row r="1362" spans="1:16" x14ac:dyDescent="0.25">
      <c r="A1362" s="21">
        <v>3000006155</v>
      </c>
      <c r="B1362" s="22">
        <v>45943</v>
      </c>
      <c r="C1362" s="20">
        <v>11569191.08</v>
      </c>
      <c r="D1362" s="21" t="s">
        <v>779</v>
      </c>
      <c r="E1362" s="21">
        <v>91002635</v>
      </c>
      <c r="F1362" s="20">
        <v>11569191.08</v>
      </c>
      <c r="G1362" s="22">
        <v>45945</v>
      </c>
      <c r="H1362" t="s">
        <v>79</v>
      </c>
      <c r="I1362" s="40" t="str">
        <f>IFERROR(IF(VLOOKUP(E1362,extracto!C:C,1,FALSE)=E1362,"pagado","no pagado"),"no pagado")</f>
        <v>pagado</v>
      </c>
      <c r="J1362" s="41" t="str">
        <f t="shared" si="612"/>
        <v>pagado</v>
      </c>
      <c r="K1362" s="40" t="str">
        <f t="shared" ca="1" si="613"/>
        <v>excluir</v>
      </c>
      <c r="L1362" s="40" t="str">
        <f t="shared" ca="1" si="614"/>
        <v>no semana</v>
      </c>
      <c r="M1362" s="40" t="str">
        <f>IFERROR(VLOOKUP(E1362,'cheques a conf'!A:D,4,FALSE),"no clearing")</f>
        <v>no clearing</v>
      </c>
      <c r="N1362" s="40">
        <f t="shared" si="615"/>
        <v>42</v>
      </c>
      <c r="O1362" s="42">
        <f t="shared" si="616"/>
        <v>10</v>
      </c>
      <c r="P1362" s="42">
        <f t="shared" si="617"/>
        <v>2025</v>
      </c>
    </row>
    <row r="1363" spans="1:16" x14ac:dyDescent="0.25">
      <c r="A1363" s="21">
        <v>3000006156</v>
      </c>
      <c r="B1363" s="22">
        <v>45943</v>
      </c>
      <c r="C1363" s="20">
        <v>4563271.5999999996</v>
      </c>
      <c r="D1363" s="21" t="s">
        <v>796</v>
      </c>
      <c r="E1363" s="21">
        <v>91002636</v>
      </c>
      <c r="F1363" s="20">
        <v>4563271.5999999996</v>
      </c>
      <c r="G1363" s="22">
        <v>45946</v>
      </c>
      <c r="H1363" t="s">
        <v>79</v>
      </c>
      <c r="I1363" s="40" t="str">
        <f>IFERROR(IF(VLOOKUP(E1363,extracto!C:C,1,FALSE)=E1363,"pagado","no pagado"),"no pagado")</f>
        <v>pagado</v>
      </c>
      <c r="J1363" s="41" t="str">
        <f t="shared" si="612"/>
        <v>pagado</v>
      </c>
      <c r="K1363" s="40" t="str">
        <f t="shared" ca="1" si="613"/>
        <v>excluir</v>
      </c>
      <c r="L1363" s="40" t="str">
        <f t="shared" ca="1" si="614"/>
        <v>no semana</v>
      </c>
      <c r="M1363" s="40" t="str">
        <f>IFERROR(VLOOKUP(E1363,'cheques a conf'!A:D,4,FALSE),"no clearing")</f>
        <v>no clearing</v>
      </c>
      <c r="N1363" s="40">
        <f t="shared" si="615"/>
        <v>42</v>
      </c>
      <c r="O1363" s="42">
        <f t="shared" si="616"/>
        <v>10</v>
      </c>
      <c r="P1363" s="42">
        <f t="shared" si="617"/>
        <v>2025</v>
      </c>
    </row>
    <row r="1364" spans="1:16" x14ac:dyDescent="0.25">
      <c r="A1364" s="21">
        <v>3000005049</v>
      </c>
      <c r="B1364" s="22">
        <v>45944</v>
      </c>
      <c r="C1364" s="20">
        <v>2900000</v>
      </c>
      <c r="D1364" s="21" t="s">
        <v>595</v>
      </c>
      <c r="E1364" s="21">
        <v>1957</v>
      </c>
      <c r="F1364" s="20">
        <v>2900000</v>
      </c>
      <c r="G1364" s="22">
        <v>45947</v>
      </c>
      <c r="H1364" t="s">
        <v>32</v>
      </c>
      <c r="I1364" s="40" t="str">
        <f>IFERROR(IF(VLOOKUP(E1364,extracto!C:C,1,FALSE)=E1364,"pagado","no pagado"),"no pagado")</f>
        <v>pagado</v>
      </c>
      <c r="J1364" s="41" t="str">
        <f t="shared" si="612"/>
        <v>pagado</v>
      </c>
      <c r="K1364" s="40" t="str">
        <f t="shared" ca="1" si="613"/>
        <v>excluir</v>
      </c>
      <c r="L1364" s="40" t="str">
        <f t="shared" ca="1" si="614"/>
        <v>no semana</v>
      </c>
      <c r="M1364" s="40" t="str">
        <f>IFERROR(VLOOKUP(E1364,'cheques a conf'!A:D,4,FALSE),"no clearing")</f>
        <v>no clearing</v>
      </c>
      <c r="N1364" s="40">
        <f t="shared" si="615"/>
        <v>42</v>
      </c>
      <c r="O1364" s="42">
        <f t="shared" si="616"/>
        <v>10</v>
      </c>
      <c r="P1364" s="42">
        <f t="shared" si="617"/>
        <v>2025</v>
      </c>
    </row>
    <row r="1365" spans="1:16" x14ac:dyDescent="0.25">
      <c r="A1365" s="21">
        <v>3000006198</v>
      </c>
      <c r="B1365" s="22">
        <v>45945</v>
      </c>
      <c r="C1365" s="20">
        <v>7068164.5099999998</v>
      </c>
      <c r="D1365" s="21" t="s">
        <v>693</v>
      </c>
      <c r="E1365" s="21">
        <v>1958</v>
      </c>
      <c r="F1365" s="20">
        <v>7068164.5099999998</v>
      </c>
      <c r="G1365" s="22">
        <v>45950</v>
      </c>
      <c r="H1365" t="s">
        <v>32</v>
      </c>
      <c r="I1365" s="40" t="str">
        <f>IFERROR(IF(VLOOKUP(E1365,extracto!C:C,1,FALSE)=E1365,"pagado","no pagado"),"no pagado")</f>
        <v>pagado</v>
      </c>
      <c r="J1365" s="41" t="str">
        <f t="shared" si="612"/>
        <v>pagado</v>
      </c>
      <c r="K1365" s="40" t="str">
        <f t="shared" ca="1" si="613"/>
        <v>excluir</v>
      </c>
      <c r="L1365" s="40" t="str">
        <f t="shared" ca="1" si="614"/>
        <v>no semana</v>
      </c>
      <c r="M1365" s="40" t="str">
        <f>IFERROR(VLOOKUP(E1365,'cheques a conf'!A:D,4,FALSE),"no clearing")</f>
        <v>no clearing</v>
      </c>
      <c r="N1365" s="40">
        <f t="shared" si="615"/>
        <v>43</v>
      </c>
      <c r="O1365" s="42">
        <f t="shared" si="616"/>
        <v>10</v>
      </c>
      <c r="P1365" s="42">
        <f t="shared" si="617"/>
        <v>2025</v>
      </c>
    </row>
    <row r="1366" spans="1:16" x14ac:dyDescent="0.25">
      <c r="A1366" s="21">
        <v>3000006199</v>
      </c>
      <c r="B1366" s="22">
        <v>45945</v>
      </c>
      <c r="C1366" s="20">
        <v>2845827.42</v>
      </c>
      <c r="D1366" s="21" t="s">
        <v>774</v>
      </c>
      <c r="E1366" s="21">
        <v>1959</v>
      </c>
      <c r="F1366" s="20">
        <v>2845827.42</v>
      </c>
      <c r="G1366" s="22">
        <v>45950</v>
      </c>
      <c r="H1366" t="s">
        <v>32</v>
      </c>
      <c r="I1366" s="40" t="str">
        <f>IFERROR(IF(VLOOKUP(E1366,extracto!C:C,1,FALSE)=E1366,"pagado","no pagado"),"no pagado")</f>
        <v>pagado</v>
      </c>
      <c r="J1366" s="41" t="str">
        <f t="shared" si="612"/>
        <v>pagado</v>
      </c>
      <c r="K1366" s="40" t="str">
        <f t="shared" ca="1" si="613"/>
        <v>excluir</v>
      </c>
      <c r="L1366" s="40" t="str">
        <f t="shared" ca="1" si="614"/>
        <v>no semana</v>
      </c>
      <c r="M1366" s="40" t="str">
        <f>IFERROR(VLOOKUP(E1366,'cheques a conf'!A:D,4,FALSE),"no clearing")</f>
        <v>no clearing</v>
      </c>
      <c r="N1366" s="40">
        <f t="shared" si="615"/>
        <v>43</v>
      </c>
      <c r="O1366" s="42">
        <f t="shared" si="616"/>
        <v>10</v>
      </c>
      <c r="P1366" s="42">
        <f t="shared" si="617"/>
        <v>2025</v>
      </c>
    </row>
    <row r="1367" spans="1:16" x14ac:dyDescent="0.25">
      <c r="A1367" s="21">
        <v>3000006200</v>
      </c>
      <c r="B1367" s="22">
        <v>45945</v>
      </c>
      <c r="C1367" s="20">
        <v>6514497.2400000002</v>
      </c>
      <c r="D1367" s="21" t="s">
        <v>642</v>
      </c>
      <c r="E1367" s="21">
        <v>1960</v>
      </c>
      <c r="F1367" s="20">
        <v>6514497.2400000002</v>
      </c>
      <c r="G1367" s="22">
        <v>45950</v>
      </c>
      <c r="H1367" t="s">
        <v>32</v>
      </c>
      <c r="I1367" s="40" t="str">
        <f>IFERROR(IF(VLOOKUP(E1367,extracto!C:C,1,FALSE)=E1367,"pagado","no pagado"),"no pagado")</f>
        <v>pagado</v>
      </c>
      <c r="J1367" s="41" t="str">
        <f t="shared" si="612"/>
        <v>pagado</v>
      </c>
      <c r="K1367" s="40" t="str">
        <f t="shared" ca="1" si="613"/>
        <v>excluir</v>
      </c>
      <c r="L1367" s="40" t="str">
        <f t="shared" ca="1" si="614"/>
        <v>no semana</v>
      </c>
      <c r="M1367" s="40" t="str">
        <f>IFERROR(VLOOKUP(E1367,'cheques a conf'!A:D,4,FALSE),"no clearing")</f>
        <v>no clearing</v>
      </c>
      <c r="N1367" s="40">
        <f t="shared" si="615"/>
        <v>43</v>
      </c>
      <c r="O1367" s="42">
        <f t="shared" si="616"/>
        <v>10</v>
      </c>
      <c r="P1367" s="42">
        <f t="shared" si="617"/>
        <v>2025</v>
      </c>
    </row>
    <row r="1368" spans="1:16" x14ac:dyDescent="0.25">
      <c r="A1368" s="21">
        <v>3000006201</v>
      </c>
      <c r="B1368" s="22">
        <v>45945</v>
      </c>
      <c r="C1368" s="20">
        <v>9581060.7699999996</v>
      </c>
      <c r="D1368" s="21" t="s">
        <v>654</v>
      </c>
      <c r="E1368" s="21">
        <v>1961</v>
      </c>
      <c r="F1368" s="20">
        <v>9581060.7699999996</v>
      </c>
      <c r="G1368" s="22">
        <v>45950</v>
      </c>
      <c r="H1368" t="s">
        <v>32</v>
      </c>
      <c r="I1368" s="40" t="str">
        <f>IFERROR(IF(VLOOKUP(E1368,extracto!C:C,1,FALSE)=E1368,"pagado","no pagado"),"no pagado")</f>
        <v>pagado</v>
      </c>
      <c r="J1368" s="41" t="str">
        <f t="shared" si="612"/>
        <v>pagado</v>
      </c>
      <c r="K1368" s="40" t="str">
        <f t="shared" ca="1" si="613"/>
        <v>excluir</v>
      </c>
      <c r="L1368" s="40" t="str">
        <f t="shared" ca="1" si="614"/>
        <v>no semana</v>
      </c>
      <c r="M1368" s="40" t="str">
        <f>IFERROR(VLOOKUP(E1368,'cheques a conf'!A:D,4,FALSE),"no clearing")</f>
        <v>no clearing</v>
      </c>
      <c r="N1368" s="40">
        <f t="shared" si="615"/>
        <v>43</v>
      </c>
      <c r="O1368" s="42">
        <f t="shared" si="616"/>
        <v>10</v>
      </c>
      <c r="P1368" s="42">
        <f t="shared" si="617"/>
        <v>2025</v>
      </c>
    </row>
    <row r="1369" spans="1:16" x14ac:dyDescent="0.25">
      <c r="A1369" s="21">
        <v>3000006202</v>
      </c>
      <c r="B1369" s="22">
        <v>45945</v>
      </c>
      <c r="C1369" s="20">
        <v>5352312.47</v>
      </c>
      <c r="D1369" s="21" t="s">
        <v>781</v>
      </c>
      <c r="E1369" s="21">
        <v>1962</v>
      </c>
      <c r="F1369" s="20">
        <v>5352312.47</v>
      </c>
      <c r="G1369" s="22">
        <v>45950</v>
      </c>
      <c r="H1369" t="s">
        <v>32</v>
      </c>
      <c r="I1369" s="40" t="str">
        <f>IFERROR(IF(VLOOKUP(E1369,extracto!C:C,1,FALSE)=E1369,"pagado","no pagado"),"no pagado")</f>
        <v>pagado</v>
      </c>
      <c r="J1369" s="41" t="str">
        <f t="shared" si="612"/>
        <v>pagado</v>
      </c>
      <c r="K1369" s="40" t="str">
        <f t="shared" ca="1" si="613"/>
        <v>excluir</v>
      </c>
      <c r="L1369" s="40" t="str">
        <f t="shared" ca="1" si="614"/>
        <v>no semana</v>
      </c>
      <c r="M1369" s="40" t="str">
        <f>IFERROR(VLOOKUP(E1369,'cheques a conf'!A:D,4,FALSE),"no clearing")</f>
        <v>no clearing</v>
      </c>
      <c r="N1369" s="40">
        <f t="shared" si="615"/>
        <v>43</v>
      </c>
      <c r="O1369" s="42">
        <f t="shared" si="616"/>
        <v>10</v>
      </c>
      <c r="P1369" s="42">
        <f t="shared" si="617"/>
        <v>2025</v>
      </c>
    </row>
    <row r="1370" spans="1:16" x14ac:dyDescent="0.25">
      <c r="A1370" s="21">
        <v>3000006203</v>
      </c>
      <c r="B1370" s="22">
        <v>45945</v>
      </c>
      <c r="C1370" s="20">
        <v>2798259.39</v>
      </c>
      <c r="D1370" s="21" t="s">
        <v>664</v>
      </c>
      <c r="E1370" s="21">
        <v>1963</v>
      </c>
      <c r="F1370" s="20">
        <v>2798259.39</v>
      </c>
      <c r="G1370" s="22">
        <v>45950</v>
      </c>
      <c r="H1370" t="s">
        <v>32</v>
      </c>
      <c r="I1370" s="40" t="str">
        <f>IFERROR(IF(VLOOKUP(E1370,extracto!C:C,1,FALSE)=E1370,"pagado","no pagado"),"no pagado")</f>
        <v>pagado</v>
      </c>
      <c r="J1370" s="41" t="str">
        <f t="shared" si="612"/>
        <v>pagado</v>
      </c>
      <c r="K1370" s="40" t="str">
        <f t="shared" ca="1" si="613"/>
        <v>excluir</v>
      </c>
      <c r="L1370" s="40" t="str">
        <f t="shared" ca="1" si="614"/>
        <v>no semana</v>
      </c>
      <c r="M1370" s="40" t="str">
        <f>IFERROR(VLOOKUP(E1370,'cheques a conf'!A:D,4,FALSE),"no clearing")</f>
        <v>no clearing</v>
      </c>
      <c r="N1370" s="40">
        <f t="shared" si="615"/>
        <v>43</v>
      </c>
      <c r="O1370" s="42">
        <f t="shared" si="616"/>
        <v>10</v>
      </c>
      <c r="P1370" s="42">
        <f t="shared" si="617"/>
        <v>2025</v>
      </c>
    </row>
    <row r="1371" spans="1:16" x14ac:dyDescent="0.25">
      <c r="A1371" s="21">
        <v>3000006204</v>
      </c>
      <c r="B1371" s="22">
        <v>45945</v>
      </c>
      <c r="C1371" s="20">
        <v>1797467.75</v>
      </c>
      <c r="D1371" s="21" t="s">
        <v>672</v>
      </c>
      <c r="E1371" s="21">
        <v>1964</v>
      </c>
      <c r="F1371" s="20">
        <v>1797467.75</v>
      </c>
      <c r="G1371" s="22">
        <v>45950</v>
      </c>
      <c r="H1371" t="s">
        <v>32</v>
      </c>
      <c r="I1371" s="40" t="str">
        <f>IFERROR(IF(VLOOKUP(E1371,extracto!C:C,1,FALSE)=E1371,"pagado","no pagado"),"no pagado")</f>
        <v>pagado</v>
      </c>
      <c r="J1371" s="41" t="str">
        <f t="shared" si="612"/>
        <v>pagado</v>
      </c>
      <c r="K1371" s="40" t="str">
        <f t="shared" ca="1" si="613"/>
        <v>excluir</v>
      </c>
      <c r="L1371" s="40" t="str">
        <f t="shared" ca="1" si="614"/>
        <v>no semana</v>
      </c>
      <c r="M1371" s="40" t="str">
        <f>IFERROR(VLOOKUP(E1371,'cheques a conf'!A:D,4,FALSE),"no clearing")</f>
        <v>no clearing</v>
      </c>
      <c r="N1371" s="40">
        <f t="shared" si="615"/>
        <v>43</v>
      </c>
      <c r="O1371" s="42">
        <f t="shared" si="616"/>
        <v>10</v>
      </c>
      <c r="P1371" s="42">
        <f t="shared" si="617"/>
        <v>2025</v>
      </c>
    </row>
    <row r="1372" spans="1:16" x14ac:dyDescent="0.25">
      <c r="A1372" s="21">
        <v>3000006205</v>
      </c>
      <c r="B1372" s="22">
        <v>45945</v>
      </c>
      <c r="C1372" s="20">
        <v>0</v>
      </c>
      <c r="D1372" s="21" t="s">
        <v>701</v>
      </c>
      <c r="E1372" s="21">
        <v>1965</v>
      </c>
      <c r="F1372" s="20">
        <v>0</v>
      </c>
      <c r="G1372" s="22">
        <v>45950</v>
      </c>
      <c r="H1372" t="s">
        <v>32</v>
      </c>
      <c r="I1372" s="40" t="str">
        <f>IFERROR(IF(VLOOKUP(E1372,extracto!C:C,1,FALSE)=E1372,"pagado","no pagado"),"no pagado")</f>
        <v>no pagado</v>
      </c>
      <c r="J1372" s="41" t="str">
        <f t="shared" ref="J1372" ca="1" si="618">IF(I1372="pagado","pagado",IF(G1372&lt;$V$1-30,"fuera de fecha","en periodo de pago"))</f>
        <v>fuera de fecha</v>
      </c>
      <c r="K1372" s="40" t="str">
        <f t="shared" ref="K1372" ca="1" si="619">+IF(B1372&gt;$V$1,"excluir",IF(J1372="en periodo de pago",IF($V$1&gt;G1372,"a pagar","proximo a vencer"),"excluir"))</f>
        <v>excluir</v>
      </c>
      <c r="L1372" s="40" t="str">
        <f t="shared" ref="L1372" ca="1" si="620">+IF(K1372="proximo a vencer",IF($V$1+5&gt;G1372,"para la semana","no semana"),"no semana")</f>
        <v>no semana</v>
      </c>
      <c r="M1372" s="40" t="str">
        <f>IFERROR(VLOOKUP(E1372,'cheques a conf'!A:D,4,FALSE),"no clearing")</f>
        <v>no clearing</v>
      </c>
      <c r="N1372" s="40">
        <f t="shared" ref="N1372" si="621">+WEEKNUM(G1372,2)</f>
        <v>43</v>
      </c>
      <c r="O1372" s="42">
        <f t="shared" ref="O1372" si="622">+MONTH(G1372)</f>
        <v>10</v>
      </c>
      <c r="P1372" s="42">
        <f t="shared" ref="P1372" si="623">+YEAR(G1372)</f>
        <v>2025</v>
      </c>
    </row>
    <row r="1373" spans="1:16" x14ac:dyDescent="0.25">
      <c r="A1373" s="21">
        <v>3000006206</v>
      </c>
      <c r="B1373" s="22">
        <v>45945</v>
      </c>
      <c r="C1373" s="20">
        <v>4259943.16</v>
      </c>
      <c r="D1373" s="21" t="s">
        <v>612</v>
      </c>
      <c r="E1373" s="21">
        <v>1966</v>
      </c>
      <c r="F1373" s="20">
        <v>4259943.16</v>
      </c>
      <c r="G1373" s="22">
        <v>45950</v>
      </c>
      <c r="H1373" t="s">
        <v>32</v>
      </c>
      <c r="I1373" s="51" t="str">
        <f>IFERROR(IF(VLOOKUP(E1373,extracto!C:C,1,FALSE)=E1373,"pagado","no pagado"),"no pagado")</f>
        <v>pagado</v>
      </c>
      <c r="J1373" s="52" t="str">
        <f t="shared" ref="J1373:J1386" si="624">IF(I1373="pagado","pagado",IF(G1373&lt;$V$1-30,"fuera de fecha","en periodo de pago"))</f>
        <v>pagado</v>
      </c>
      <c r="K1373" s="51" t="str">
        <f t="shared" ref="K1373:K1386" ca="1" si="625">+IF(B1373&gt;$V$1,"excluir",IF(J1373="en periodo de pago",IF($V$1&gt;G1373,"a pagar","proximo a vencer"),"excluir"))</f>
        <v>excluir</v>
      </c>
      <c r="L1373" s="51" t="str">
        <f t="shared" ref="L1373:L1386" ca="1" si="626">+IF(K1373="proximo a vencer",IF($V$1+5&gt;G1373,"para la semana","no semana"),"no semana")</f>
        <v>no semana</v>
      </c>
      <c r="M1373" s="51" t="str">
        <f>IFERROR(VLOOKUP(E1373,'cheques a conf'!A:D,4,FALSE),"no clearing")</f>
        <v>no clearing</v>
      </c>
      <c r="N1373" s="51">
        <f t="shared" ref="N1373:N1386" si="627">+WEEKNUM(G1373,2)</f>
        <v>43</v>
      </c>
      <c r="O1373" s="53">
        <f t="shared" ref="O1373:O1386" si="628">+MONTH(G1373)</f>
        <v>10</v>
      </c>
      <c r="P1373" s="53">
        <f t="shared" ref="P1373:P1386" si="629">+YEAR(G1373)</f>
        <v>2025</v>
      </c>
    </row>
    <row r="1374" spans="1:16" x14ac:dyDescent="0.25">
      <c r="A1374" s="21">
        <v>3000006207</v>
      </c>
      <c r="B1374" s="22">
        <v>45945</v>
      </c>
      <c r="C1374" s="20">
        <v>2116507.79</v>
      </c>
      <c r="D1374" s="21" t="s">
        <v>616</v>
      </c>
      <c r="E1374" s="21">
        <v>1967</v>
      </c>
      <c r="F1374" s="20">
        <v>2116507.79</v>
      </c>
      <c r="G1374" s="22">
        <v>45950</v>
      </c>
      <c r="H1374" t="s">
        <v>32</v>
      </c>
      <c r="I1374" s="51" t="str">
        <f>IFERROR(IF(VLOOKUP(E1374,extracto!C:C,1,FALSE)=E1374,"pagado","no pagado"),"no pagado")</f>
        <v>pagado</v>
      </c>
      <c r="J1374" s="52" t="str">
        <f t="shared" si="624"/>
        <v>pagado</v>
      </c>
      <c r="K1374" s="51" t="str">
        <f t="shared" ca="1" si="625"/>
        <v>excluir</v>
      </c>
      <c r="L1374" s="51" t="str">
        <f t="shared" ca="1" si="626"/>
        <v>no semana</v>
      </c>
      <c r="M1374" s="51" t="str">
        <f>IFERROR(VLOOKUP(E1374,'cheques a conf'!A:D,4,FALSE),"no clearing")</f>
        <v>no clearing</v>
      </c>
      <c r="N1374" s="51">
        <f t="shared" si="627"/>
        <v>43</v>
      </c>
      <c r="O1374" s="53">
        <f t="shared" si="628"/>
        <v>10</v>
      </c>
      <c r="P1374" s="53">
        <f t="shared" si="629"/>
        <v>2025</v>
      </c>
    </row>
    <row r="1375" spans="1:16" x14ac:dyDescent="0.25">
      <c r="A1375" s="21">
        <v>3000006208</v>
      </c>
      <c r="B1375" s="22">
        <v>45945</v>
      </c>
      <c r="C1375" s="20">
        <v>10672297.539999999</v>
      </c>
      <c r="D1375" s="21" t="s">
        <v>613</v>
      </c>
      <c r="E1375" s="21">
        <v>1968</v>
      </c>
      <c r="F1375" s="20">
        <v>10672297.539999999</v>
      </c>
      <c r="G1375" s="22">
        <v>45950</v>
      </c>
      <c r="H1375" t="s">
        <v>32</v>
      </c>
      <c r="I1375" s="51" t="str">
        <f>IFERROR(IF(VLOOKUP(E1375,extracto!C:C,1,FALSE)=E1375,"pagado","no pagado"),"no pagado")</f>
        <v>pagado</v>
      </c>
      <c r="J1375" s="52" t="str">
        <f t="shared" si="624"/>
        <v>pagado</v>
      </c>
      <c r="K1375" s="51" t="str">
        <f t="shared" ca="1" si="625"/>
        <v>excluir</v>
      </c>
      <c r="L1375" s="51" t="str">
        <f t="shared" ca="1" si="626"/>
        <v>no semana</v>
      </c>
      <c r="M1375" s="51" t="str">
        <f>IFERROR(VLOOKUP(E1375,'cheques a conf'!A:D,4,FALSE),"no clearing")</f>
        <v>no clearing</v>
      </c>
      <c r="N1375" s="51">
        <f t="shared" si="627"/>
        <v>43</v>
      </c>
      <c r="O1375" s="53">
        <f t="shared" si="628"/>
        <v>10</v>
      </c>
      <c r="P1375" s="53">
        <f t="shared" si="629"/>
        <v>2025</v>
      </c>
    </row>
    <row r="1376" spans="1:16" x14ac:dyDescent="0.25">
      <c r="A1376" s="21">
        <v>3000006209</v>
      </c>
      <c r="B1376" s="22">
        <v>45945</v>
      </c>
      <c r="C1376" s="20">
        <v>3623280.53</v>
      </c>
      <c r="D1376" s="21" t="s">
        <v>797</v>
      </c>
      <c r="E1376" s="21">
        <v>1969</v>
      </c>
      <c r="F1376" s="20">
        <v>3623280.53</v>
      </c>
      <c r="G1376" s="22">
        <v>45950</v>
      </c>
      <c r="H1376" t="s">
        <v>32</v>
      </c>
      <c r="I1376" s="51" t="str">
        <f>IFERROR(IF(VLOOKUP(E1376,extracto!C:C,1,FALSE)=E1376,"pagado","no pagado"),"no pagado")</f>
        <v>pagado</v>
      </c>
      <c r="J1376" s="52" t="str">
        <f t="shared" si="624"/>
        <v>pagado</v>
      </c>
      <c r="K1376" s="51" t="str">
        <f t="shared" ca="1" si="625"/>
        <v>excluir</v>
      </c>
      <c r="L1376" s="51" t="str">
        <f t="shared" ca="1" si="626"/>
        <v>no semana</v>
      </c>
      <c r="M1376" s="51" t="str">
        <f>IFERROR(VLOOKUP(E1376,'cheques a conf'!A:D,4,FALSE),"no clearing")</f>
        <v>no clearing</v>
      </c>
      <c r="N1376" s="51">
        <f t="shared" si="627"/>
        <v>43</v>
      </c>
      <c r="O1376" s="53">
        <f t="shared" si="628"/>
        <v>10</v>
      </c>
      <c r="P1376" s="53">
        <f t="shared" si="629"/>
        <v>2025</v>
      </c>
    </row>
    <row r="1377" spans="1:16" x14ac:dyDescent="0.25">
      <c r="A1377" s="21">
        <v>3000006244</v>
      </c>
      <c r="B1377" s="22">
        <v>45946</v>
      </c>
      <c r="C1377" s="20">
        <v>171839244.43000001</v>
      </c>
      <c r="D1377" s="21" t="s">
        <v>597</v>
      </c>
      <c r="E1377" s="21">
        <v>1970</v>
      </c>
      <c r="F1377" s="20">
        <v>171839244.43000001</v>
      </c>
      <c r="G1377" s="22">
        <v>45950</v>
      </c>
      <c r="H1377" t="s">
        <v>32</v>
      </c>
      <c r="I1377" s="51" t="str">
        <f>IFERROR(IF(VLOOKUP(E1377,extracto!C:C,1,FALSE)=E1377,"pagado","no pagado"),"no pagado")</f>
        <v>pagado</v>
      </c>
      <c r="J1377" s="52" t="str">
        <f t="shared" si="624"/>
        <v>pagado</v>
      </c>
      <c r="K1377" s="51" t="str">
        <f t="shared" ca="1" si="625"/>
        <v>excluir</v>
      </c>
      <c r="L1377" s="51" t="str">
        <f t="shared" ca="1" si="626"/>
        <v>no semana</v>
      </c>
      <c r="M1377" s="51" t="str">
        <f>IFERROR(VLOOKUP(E1377,'cheques a conf'!A:D,4,FALSE),"no clearing")</f>
        <v>no clearing</v>
      </c>
      <c r="N1377" s="51">
        <f t="shared" si="627"/>
        <v>43</v>
      </c>
      <c r="O1377" s="53">
        <f t="shared" si="628"/>
        <v>10</v>
      </c>
      <c r="P1377" s="53">
        <f t="shared" si="629"/>
        <v>2025</v>
      </c>
    </row>
    <row r="1378" spans="1:16" x14ac:dyDescent="0.25">
      <c r="A1378" s="21">
        <v>3000006245</v>
      </c>
      <c r="B1378" s="22">
        <v>45946</v>
      </c>
      <c r="C1378" s="20">
        <v>87931427.349999994</v>
      </c>
      <c r="D1378" s="21" t="s">
        <v>626</v>
      </c>
      <c r="E1378" s="21">
        <v>1971</v>
      </c>
      <c r="F1378" s="20">
        <v>87931427.349999994</v>
      </c>
      <c r="G1378" s="22">
        <v>45950</v>
      </c>
      <c r="H1378" t="s">
        <v>32</v>
      </c>
      <c r="I1378" s="51" t="str">
        <f>IFERROR(IF(VLOOKUP(E1378,extracto!C:C,1,FALSE)=E1378,"pagado","no pagado"),"no pagado")</f>
        <v>pagado</v>
      </c>
      <c r="J1378" s="52" t="str">
        <f t="shared" si="624"/>
        <v>pagado</v>
      </c>
      <c r="K1378" s="51" t="str">
        <f t="shared" ca="1" si="625"/>
        <v>excluir</v>
      </c>
      <c r="L1378" s="51" t="str">
        <f t="shared" ca="1" si="626"/>
        <v>no semana</v>
      </c>
      <c r="M1378" s="51" t="str">
        <f>IFERROR(VLOOKUP(E1378,'cheques a conf'!A:D,4,FALSE),"no clearing")</f>
        <v>no clearing</v>
      </c>
      <c r="N1378" s="51">
        <f t="shared" si="627"/>
        <v>43</v>
      </c>
      <c r="O1378" s="53">
        <f t="shared" si="628"/>
        <v>10</v>
      </c>
      <c r="P1378" s="53">
        <f t="shared" si="629"/>
        <v>2025</v>
      </c>
    </row>
    <row r="1379" spans="1:16" x14ac:dyDescent="0.25">
      <c r="A1379" s="21">
        <v>3000006246</v>
      </c>
      <c r="B1379" s="22">
        <v>45946</v>
      </c>
      <c r="C1379" s="20">
        <v>75061784.799999997</v>
      </c>
      <c r="D1379" s="21" t="s">
        <v>631</v>
      </c>
      <c r="E1379" s="21">
        <v>1972</v>
      </c>
      <c r="F1379" s="20">
        <v>75061784.799999997</v>
      </c>
      <c r="G1379" s="22">
        <v>45950</v>
      </c>
      <c r="H1379" t="s">
        <v>32</v>
      </c>
      <c r="I1379" s="51" t="str">
        <f>IFERROR(IF(VLOOKUP(E1379,extracto!C:C,1,FALSE)=E1379,"pagado","no pagado"),"no pagado")</f>
        <v>pagado</v>
      </c>
      <c r="J1379" s="52" t="str">
        <f t="shared" si="624"/>
        <v>pagado</v>
      </c>
      <c r="K1379" s="51" t="str">
        <f t="shared" ca="1" si="625"/>
        <v>excluir</v>
      </c>
      <c r="L1379" s="51" t="str">
        <f t="shared" ca="1" si="626"/>
        <v>no semana</v>
      </c>
      <c r="M1379" s="51" t="str">
        <f>IFERROR(VLOOKUP(E1379,'cheques a conf'!A:D,4,FALSE),"no clearing")</f>
        <v>no clearing</v>
      </c>
      <c r="N1379" s="51">
        <f t="shared" si="627"/>
        <v>43</v>
      </c>
      <c r="O1379" s="53">
        <f t="shared" si="628"/>
        <v>10</v>
      </c>
      <c r="P1379" s="53">
        <f t="shared" si="629"/>
        <v>2025</v>
      </c>
    </row>
    <row r="1380" spans="1:16" x14ac:dyDescent="0.25">
      <c r="A1380" s="21">
        <v>3000006247</v>
      </c>
      <c r="B1380" s="22">
        <v>45946</v>
      </c>
      <c r="C1380" s="20">
        <v>138632171.44</v>
      </c>
      <c r="D1380" s="21" t="s">
        <v>740</v>
      </c>
      <c r="E1380" s="21">
        <v>1973</v>
      </c>
      <c r="F1380" s="20">
        <v>138632171.44</v>
      </c>
      <c r="G1380" s="22">
        <v>45950</v>
      </c>
      <c r="H1380" t="s">
        <v>32</v>
      </c>
      <c r="I1380" s="51" t="str">
        <f>IFERROR(IF(VLOOKUP(E1380,extracto!C:C,1,FALSE)=E1380,"pagado","no pagado"),"no pagado")</f>
        <v>pagado</v>
      </c>
      <c r="J1380" s="52" t="str">
        <f t="shared" si="624"/>
        <v>pagado</v>
      </c>
      <c r="K1380" s="51" t="str">
        <f t="shared" ca="1" si="625"/>
        <v>excluir</v>
      </c>
      <c r="L1380" s="51" t="str">
        <f t="shared" ca="1" si="626"/>
        <v>no semana</v>
      </c>
      <c r="M1380" s="51" t="str">
        <f>IFERROR(VLOOKUP(E1380,'cheques a conf'!A:D,4,FALSE),"no clearing")</f>
        <v>no clearing</v>
      </c>
      <c r="N1380" s="51">
        <f t="shared" si="627"/>
        <v>43</v>
      </c>
      <c r="O1380" s="53">
        <f t="shared" si="628"/>
        <v>10</v>
      </c>
      <c r="P1380" s="53">
        <f t="shared" si="629"/>
        <v>2025</v>
      </c>
    </row>
    <row r="1381" spans="1:16" x14ac:dyDescent="0.25">
      <c r="A1381" s="21">
        <v>3000006248</v>
      </c>
      <c r="B1381" s="22">
        <v>45946</v>
      </c>
      <c r="C1381" s="20">
        <v>298086429.85000002</v>
      </c>
      <c r="D1381" s="21" t="s">
        <v>29</v>
      </c>
      <c r="E1381" s="21">
        <v>1974</v>
      </c>
      <c r="F1381" s="20">
        <v>298086429.85000002</v>
      </c>
      <c r="G1381" s="22">
        <v>45950</v>
      </c>
      <c r="H1381" t="s">
        <v>32</v>
      </c>
      <c r="I1381" s="51" t="str">
        <f>IFERROR(IF(VLOOKUP(E1381,extracto!C:C,1,FALSE)=E1381,"pagado","no pagado"),"no pagado")</f>
        <v>pagado</v>
      </c>
      <c r="J1381" s="52" t="str">
        <f t="shared" si="624"/>
        <v>pagado</v>
      </c>
      <c r="K1381" s="51" t="str">
        <f t="shared" ca="1" si="625"/>
        <v>excluir</v>
      </c>
      <c r="L1381" s="51" t="str">
        <f t="shared" ca="1" si="626"/>
        <v>no semana</v>
      </c>
      <c r="M1381" s="51" t="str">
        <f>IFERROR(VLOOKUP(E1381,'cheques a conf'!A:D,4,FALSE),"no clearing")</f>
        <v>no clearing</v>
      </c>
      <c r="N1381" s="51">
        <f t="shared" si="627"/>
        <v>43</v>
      </c>
      <c r="O1381" s="53">
        <f t="shared" si="628"/>
        <v>10</v>
      </c>
      <c r="P1381" s="53">
        <f t="shared" si="629"/>
        <v>2025</v>
      </c>
    </row>
    <row r="1382" spans="1:16" x14ac:dyDescent="0.25">
      <c r="A1382" s="21">
        <v>3000006273</v>
      </c>
      <c r="B1382" s="22">
        <v>45947</v>
      </c>
      <c r="C1382" s="20">
        <v>31694880</v>
      </c>
      <c r="D1382" s="21" t="s">
        <v>25</v>
      </c>
      <c r="E1382" s="21">
        <v>1975</v>
      </c>
      <c r="F1382" s="20">
        <v>31694880</v>
      </c>
      <c r="G1382" s="22">
        <v>45950</v>
      </c>
      <c r="H1382" t="s">
        <v>32</v>
      </c>
      <c r="I1382" s="51" t="str">
        <f>IFERROR(IF(VLOOKUP(E1382,extracto!C:C,1,FALSE)=E1382,"pagado","no pagado"),"no pagado")</f>
        <v>pagado</v>
      </c>
      <c r="J1382" s="52" t="str">
        <f t="shared" si="624"/>
        <v>pagado</v>
      </c>
      <c r="K1382" s="51" t="str">
        <f t="shared" ca="1" si="625"/>
        <v>excluir</v>
      </c>
      <c r="L1382" s="51" t="str">
        <f t="shared" ca="1" si="626"/>
        <v>no semana</v>
      </c>
      <c r="M1382" s="51" t="str">
        <f>IFERROR(VLOOKUP(E1382,'cheques a conf'!A:D,4,FALSE),"no clearing")</f>
        <v>no clearing</v>
      </c>
      <c r="N1382" s="51">
        <f t="shared" si="627"/>
        <v>43</v>
      </c>
      <c r="O1382" s="53">
        <f t="shared" si="628"/>
        <v>10</v>
      </c>
      <c r="P1382" s="53">
        <f t="shared" si="629"/>
        <v>2025</v>
      </c>
    </row>
    <row r="1383" spans="1:16" x14ac:dyDescent="0.25">
      <c r="A1383">
        <v>3000006304</v>
      </c>
      <c r="B1383" s="3">
        <v>45950</v>
      </c>
      <c r="C1383" s="4">
        <v>6000000</v>
      </c>
      <c r="D1383" t="s">
        <v>66</v>
      </c>
      <c r="E1383">
        <v>91002639</v>
      </c>
      <c r="F1383" s="4">
        <v>6000000</v>
      </c>
      <c r="G1383" s="3">
        <v>45968</v>
      </c>
      <c r="H1383" t="s">
        <v>79</v>
      </c>
      <c r="I1383" s="51" t="str">
        <f>IFERROR(IF(VLOOKUP(E1383,extracto!C:C,1,FALSE)=E1383,"pagado","no pagado"),"no pagado")</f>
        <v>pagado</v>
      </c>
      <c r="J1383" s="52" t="str">
        <f t="shared" si="624"/>
        <v>pagado</v>
      </c>
      <c r="K1383" s="51" t="str">
        <f t="shared" ca="1" si="625"/>
        <v>excluir</v>
      </c>
      <c r="L1383" s="51" t="str">
        <f t="shared" ca="1" si="626"/>
        <v>no semana</v>
      </c>
      <c r="M1383" s="51" t="str">
        <f>IFERROR(VLOOKUP(E1383,'cheques a conf'!A:D,4,FALSE),"no clearing")</f>
        <v>no clearing</v>
      </c>
      <c r="N1383" s="51">
        <f t="shared" si="627"/>
        <v>45</v>
      </c>
      <c r="O1383" s="53">
        <f t="shared" si="628"/>
        <v>11</v>
      </c>
      <c r="P1383" s="53">
        <f t="shared" si="629"/>
        <v>2025</v>
      </c>
    </row>
    <row r="1384" spans="1:16" x14ac:dyDescent="0.25">
      <c r="A1384">
        <v>3000006304</v>
      </c>
      <c r="B1384" s="3">
        <v>45950</v>
      </c>
      <c r="C1384" s="4">
        <v>5812371.8399999999</v>
      </c>
      <c r="D1384" t="s">
        <v>66</v>
      </c>
      <c r="E1384">
        <v>91002640</v>
      </c>
      <c r="F1384" s="4">
        <v>5812371.8399999999</v>
      </c>
      <c r="G1384" s="3">
        <v>45996</v>
      </c>
      <c r="H1384" t="s">
        <v>79</v>
      </c>
      <c r="I1384" s="51" t="str">
        <f>IFERROR(IF(VLOOKUP(E1384,extracto!C:C,1,FALSE)=E1384,"pagado","no pagado"),"no pagado")</f>
        <v>pagado</v>
      </c>
      <c r="J1384" s="52" t="str">
        <f t="shared" si="624"/>
        <v>pagado</v>
      </c>
      <c r="K1384" s="51" t="str">
        <f t="shared" ca="1" si="625"/>
        <v>excluir</v>
      </c>
      <c r="L1384" s="51" t="str">
        <f t="shared" ca="1" si="626"/>
        <v>no semana</v>
      </c>
      <c r="M1384" s="51" t="str">
        <f>IFERROR(VLOOKUP(E1384,'cheques a conf'!A:D,4,FALSE),"no clearing")</f>
        <v>no clearing</v>
      </c>
      <c r="N1384" s="51">
        <f t="shared" si="627"/>
        <v>49</v>
      </c>
      <c r="O1384" s="53">
        <f t="shared" si="628"/>
        <v>12</v>
      </c>
      <c r="P1384" s="53">
        <f t="shared" si="629"/>
        <v>2025</v>
      </c>
    </row>
    <row r="1385" spans="1:16" x14ac:dyDescent="0.25">
      <c r="A1385">
        <v>3000006302</v>
      </c>
      <c r="B1385" s="3">
        <v>45950</v>
      </c>
      <c r="C1385" s="4">
        <v>4744204.99</v>
      </c>
      <c r="D1385" t="s">
        <v>798</v>
      </c>
      <c r="E1385">
        <v>91002637</v>
      </c>
      <c r="F1385" s="4">
        <v>4744204.99</v>
      </c>
      <c r="G1385" s="3">
        <v>45952</v>
      </c>
      <c r="H1385" t="s">
        <v>79</v>
      </c>
      <c r="I1385" s="51" t="str">
        <f>IFERROR(IF(VLOOKUP(E1385,extracto!C:C,1,FALSE)=E1385,"pagado","no pagado"),"no pagado")</f>
        <v>pagado</v>
      </c>
      <c r="J1385" s="52" t="str">
        <f t="shared" si="624"/>
        <v>pagado</v>
      </c>
      <c r="K1385" s="51" t="str">
        <f t="shared" ca="1" si="625"/>
        <v>excluir</v>
      </c>
      <c r="L1385" s="51" t="str">
        <f t="shared" ca="1" si="626"/>
        <v>no semana</v>
      </c>
      <c r="M1385" s="51" t="str">
        <f>IFERROR(VLOOKUP(E1385,'cheques a conf'!A:D,4,FALSE),"no clearing")</f>
        <v>no clearing</v>
      </c>
      <c r="N1385" s="51">
        <f t="shared" si="627"/>
        <v>43</v>
      </c>
      <c r="O1385" s="53">
        <f t="shared" si="628"/>
        <v>10</v>
      </c>
      <c r="P1385" s="53">
        <f t="shared" si="629"/>
        <v>2025</v>
      </c>
    </row>
    <row r="1386" spans="1:16" x14ac:dyDescent="0.25">
      <c r="A1386">
        <v>3000006303</v>
      </c>
      <c r="B1386" s="3">
        <v>45950</v>
      </c>
      <c r="C1386" s="4">
        <v>14563011.199999999</v>
      </c>
      <c r="D1386" t="s">
        <v>633</v>
      </c>
      <c r="E1386">
        <v>91002638</v>
      </c>
      <c r="F1386" s="4">
        <v>14563011.199999999</v>
      </c>
      <c r="G1386" s="3">
        <v>45952</v>
      </c>
      <c r="H1386" t="s">
        <v>79</v>
      </c>
      <c r="I1386" s="51" t="str">
        <f>IFERROR(IF(VLOOKUP(E1386,extracto!C:C,1,FALSE)=E1386,"pagado","no pagado"),"no pagado")</f>
        <v>pagado</v>
      </c>
      <c r="J1386" s="52" t="str">
        <f t="shared" si="624"/>
        <v>pagado</v>
      </c>
      <c r="K1386" s="51" t="str">
        <f t="shared" ca="1" si="625"/>
        <v>excluir</v>
      </c>
      <c r="L1386" s="51" t="str">
        <f t="shared" ca="1" si="626"/>
        <v>no semana</v>
      </c>
      <c r="M1386" s="51" t="str">
        <f>IFERROR(VLOOKUP(E1386,'cheques a conf'!A:D,4,FALSE),"no clearing")</f>
        <v>no clearing</v>
      </c>
      <c r="N1386" s="51">
        <f t="shared" si="627"/>
        <v>43</v>
      </c>
      <c r="O1386" s="53">
        <f t="shared" si="628"/>
        <v>10</v>
      </c>
      <c r="P1386" s="53">
        <f t="shared" si="629"/>
        <v>2025</v>
      </c>
    </row>
    <row r="1387" spans="1:16" x14ac:dyDescent="0.25">
      <c r="A1387">
        <v>3000006305</v>
      </c>
      <c r="B1387" s="3">
        <v>45950</v>
      </c>
      <c r="C1387" s="4">
        <v>8203044.7800000003</v>
      </c>
      <c r="D1387" t="s">
        <v>749</v>
      </c>
      <c r="E1387">
        <v>91002641</v>
      </c>
      <c r="F1387" s="4">
        <v>8203044.7800000003</v>
      </c>
      <c r="G1387" s="3">
        <v>45952</v>
      </c>
      <c r="H1387" t="s">
        <v>79</v>
      </c>
      <c r="I1387" s="51" t="str">
        <f>IFERROR(IF(VLOOKUP(E1387,extracto!C:C,1,FALSE)=E1387,"pagado","no pagado"),"no pagado")</f>
        <v>pagado</v>
      </c>
      <c r="J1387" s="52" t="str">
        <f t="shared" ref="J1387:J1388" si="630">IF(I1387="pagado","pagado",IF(G1387&lt;$V$1-30,"fuera de fecha","en periodo de pago"))</f>
        <v>pagado</v>
      </c>
      <c r="K1387" s="51" t="str">
        <f t="shared" ref="K1387:K1388" ca="1" si="631">+IF(B1387&gt;$V$1,"excluir",IF(J1387="en periodo de pago",IF($V$1&gt;G1387,"a pagar","proximo a vencer"),"excluir"))</f>
        <v>excluir</v>
      </c>
      <c r="L1387" s="51" t="str">
        <f t="shared" ref="L1387:L1388" ca="1" si="632">+IF(K1387="proximo a vencer",IF($V$1+5&gt;G1387,"para la semana","no semana"),"no semana")</f>
        <v>no semana</v>
      </c>
      <c r="M1387" s="51" t="str">
        <f>IFERROR(VLOOKUP(E1387,'cheques a conf'!A:D,4,FALSE),"no clearing")</f>
        <v>no clearing</v>
      </c>
      <c r="N1387" s="51">
        <f t="shared" ref="N1387:N1388" si="633">+WEEKNUM(G1387,2)</f>
        <v>43</v>
      </c>
      <c r="O1387" s="53">
        <f t="shared" ref="O1387:O1388" si="634">+MONTH(G1387)</f>
        <v>10</v>
      </c>
      <c r="P1387" s="53">
        <f t="shared" ref="P1387:P1388" si="635">+YEAR(G1387)</f>
        <v>2025</v>
      </c>
    </row>
    <row r="1388" spans="1:16" x14ac:dyDescent="0.25">
      <c r="A1388">
        <v>3000006306</v>
      </c>
      <c r="B1388" s="3">
        <v>45950</v>
      </c>
      <c r="C1388" s="4">
        <v>6460059.4000000004</v>
      </c>
      <c r="D1388" t="s">
        <v>714</v>
      </c>
      <c r="E1388">
        <v>91002642</v>
      </c>
      <c r="F1388" s="4">
        <v>6460059.4000000004</v>
      </c>
      <c r="G1388" s="3">
        <v>45953</v>
      </c>
      <c r="H1388" t="s">
        <v>79</v>
      </c>
      <c r="I1388" s="51" t="str">
        <f>IFERROR(IF(VLOOKUP(E1388,extracto!C:C,1,FALSE)=E1388,"pagado","no pagado"),"no pagado")</f>
        <v>pagado</v>
      </c>
      <c r="J1388" s="52" t="str">
        <f t="shared" si="630"/>
        <v>pagado</v>
      </c>
      <c r="K1388" s="51" t="str">
        <f t="shared" ca="1" si="631"/>
        <v>excluir</v>
      </c>
      <c r="L1388" s="51" t="str">
        <f t="shared" ca="1" si="632"/>
        <v>no semana</v>
      </c>
      <c r="M1388" s="51" t="str">
        <f>IFERROR(VLOOKUP(E1388,'cheques a conf'!A:D,4,FALSE),"no clearing")</f>
        <v>no clearing</v>
      </c>
      <c r="N1388" s="51">
        <f t="shared" si="633"/>
        <v>43</v>
      </c>
      <c r="O1388" s="53">
        <f t="shared" si="634"/>
        <v>10</v>
      </c>
      <c r="P1388" s="53">
        <f t="shared" si="635"/>
        <v>2025</v>
      </c>
    </row>
    <row r="1389" spans="1:16" x14ac:dyDescent="0.25">
      <c r="A1389">
        <v>3000006307</v>
      </c>
      <c r="B1389" s="3">
        <v>45950</v>
      </c>
      <c r="C1389" s="4">
        <v>12677933.4</v>
      </c>
      <c r="D1389" t="s">
        <v>778</v>
      </c>
      <c r="E1389">
        <v>91002643</v>
      </c>
      <c r="F1389" s="4">
        <v>12677933.4</v>
      </c>
      <c r="G1389" s="3">
        <v>45952</v>
      </c>
      <c r="H1389" t="s">
        <v>79</v>
      </c>
      <c r="I1389" s="51" t="str">
        <f>IFERROR(IF(VLOOKUP(E1389,extracto!C:C,1,FALSE)=E1389,"pagado","no pagado"),"no pagado")</f>
        <v>pagado</v>
      </c>
      <c r="J1389" s="52" t="str">
        <f t="shared" ref="J1389:J1403" si="636">IF(I1389="pagado","pagado",IF(G1389&lt;$V$1-30,"fuera de fecha","en periodo de pago"))</f>
        <v>pagado</v>
      </c>
      <c r="K1389" s="51" t="str">
        <f t="shared" ref="K1389:K1403" ca="1" si="637">+IF(B1389&gt;$V$1,"excluir",IF(J1389="en periodo de pago",IF($V$1&gt;G1389,"a pagar","proximo a vencer"),"excluir"))</f>
        <v>excluir</v>
      </c>
      <c r="L1389" s="51" t="str">
        <f t="shared" ref="L1389:L1403" ca="1" si="638">+IF(K1389="proximo a vencer",IF($V$1+5&gt;G1389,"para la semana","no semana"),"no semana")</f>
        <v>no semana</v>
      </c>
      <c r="M1389" s="51" t="str">
        <f>IFERROR(VLOOKUP(E1389,'cheques a conf'!A:D,4,FALSE),"no clearing")</f>
        <v>no clearing</v>
      </c>
      <c r="N1389" s="51">
        <f t="shared" ref="N1389:N1403" si="639">+WEEKNUM(G1389,2)</f>
        <v>43</v>
      </c>
      <c r="O1389" s="53">
        <f t="shared" ref="O1389:O1403" si="640">+MONTH(G1389)</f>
        <v>10</v>
      </c>
      <c r="P1389" s="53">
        <f t="shared" ref="P1389:P1403" si="641">+YEAR(G1389)</f>
        <v>2025</v>
      </c>
    </row>
    <row r="1390" spans="1:16" x14ac:dyDescent="0.25">
      <c r="A1390">
        <v>3000006308</v>
      </c>
      <c r="B1390" s="3">
        <v>45950</v>
      </c>
      <c r="C1390" s="4">
        <v>3926463.35</v>
      </c>
      <c r="D1390" t="s">
        <v>799</v>
      </c>
      <c r="E1390">
        <v>91002644</v>
      </c>
      <c r="F1390" s="4">
        <v>3926463.35</v>
      </c>
      <c r="G1390" s="3">
        <v>45953</v>
      </c>
      <c r="H1390" t="s">
        <v>79</v>
      </c>
      <c r="I1390" s="51" t="str">
        <f>IFERROR(IF(VLOOKUP(E1390,extracto!C:C,1,FALSE)=E1390,"pagado","no pagado"),"no pagado")</f>
        <v>pagado</v>
      </c>
      <c r="J1390" s="52" t="str">
        <f t="shared" si="636"/>
        <v>pagado</v>
      </c>
      <c r="K1390" s="51" t="str">
        <f t="shared" ca="1" si="637"/>
        <v>excluir</v>
      </c>
      <c r="L1390" s="51" t="str">
        <f t="shared" ca="1" si="638"/>
        <v>no semana</v>
      </c>
      <c r="M1390" s="51" t="str">
        <f>IFERROR(VLOOKUP(E1390,'cheques a conf'!A:D,4,FALSE),"no clearing")</f>
        <v>no clearing</v>
      </c>
      <c r="N1390" s="51">
        <f t="shared" si="639"/>
        <v>43</v>
      </c>
      <c r="O1390" s="53">
        <f t="shared" si="640"/>
        <v>10</v>
      </c>
      <c r="P1390" s="53">
        <f t="shared" si="641"/>
        <v>2025</v>
      </c>
    </row>
    <row r="1391" spans="1:16" x14ac:dyDescent="0.25">
      <c r="A1391">
        <v>3000006309</v>
      </c>
      <c r="B1391" s="3">
        <v>45950</v>
      </c>
      <c r="C1391" s="4">
        <v>9110594</v>
      </c>
      <c r="D1391" t="s">
        <v>600</v>
      </c>
      <c r="E1391">
        <v>91002645</v>
      </c>
      <c r="F1391" s="4">
        <v>9110594</v>
      </c>
      <c r="G1391" s="3">
        <v>45954</v>
      </c>
      <c r="H1391" t="s">
        <v>79</v>
      </c>
      <c r="I1391" s="51" t="str">
        <f>IFERROR(IF(VLOOKUP(E1391,extracto!C:C,1,FALSE)=E1391,"pagado","no pagado"),"no pagado")</f>
        <v>pagado</v>
      </c>
      <c r="J1391" s="52" t="str">
        <f t="shared" si="636"/>
        <v>pagado</v>
      </c>
      <c r="K1391" s="51" t="str">
        <f t="shared" ca="1" si="637"/>
        <v>excluir</v>
      </c>
      <c r="L1391" s="51" t="str">
        <f t="shared" ca="1" si="638"/>
        <v>no semana</v>
      </c>
      <c r="M1391" s="51" t="str">
        <f>IFERROR(VLOOKUP(E1391,'cheques a conf'!A:D,4,FALSE),"no clearing")</f>
        <v>no clearing</v>
      </c>
      <c r="N1391" s="51">
        <f t="shared" si="639"/>
        <v>43</v>
      </c>
      <c r="O1391" s="53">
        <f t="shared" si="640"/>
        <v>10</v>
      </c>
      <c r="P1391" s="53">
        <f t="shared" si="641"/>
        <v>2025</v>
      </c>
    </row>
    <row r="1392" spans="1:16" x14ac:dyDescent="0.25">
      <c r="A1392">
        <v>3000006332</v>
      </c>
      <c r="B1392" s="3">
        <v>45951</v>
      </c>
      <c r="C1392" s="4">
        <v>6372777.7300000004</v>
      </c>
      <c r="D1392" t="s">
        <v>644</v>
      </c>
      <c r="E1392">
        <v>91002646</v>
      </c>
      <c r="F1392" s="4">
        <v>6372777.7300000004</v>
      </c>
      <c r="G1392" s="3">
        <v>45953</v>
      </c>
      <c r="H1392" t="s">
        <v>79</v>
      </c>
      <c r="I1392" s="51" t="str">
        <f>IFERROR(IF(VLOOKUP(E1392,extracto!C:C,1,FALSE)=E1392,"pagado","no pagado"),"no pagado")</f>
        <v>pagado</v>
      </c>
      <c r="J1392" s="52" t="str">
        <f t="shared" si="636"/>
        <v>pagado</v>
      </c>
      <c r="K1392" s="51" t="str">
        <f t="shared" ca="1" si="637"/>
        <v>excluir</v>
      </c>
      <c r="L1392" s="51" t="str">
        <f t="shared" ca="1" si="638"/>
        <v>no semana</v>
      </c>
      <c r="M1392" s="51" t="str">
        <f>IFERROR(VLOOKUP(E1392,'cheques a conf'!A:D,4,FALSE),"no clearing")</f>
        <v>no clearing</v>
      </c>
      <c r="N1392" s="51">
        <f t="shared" si="639"/>
        <v>43</v>
      </c>
      <c r="O1392" s="53">
        <f t="shared" si="640"/>
        <v>10</v>
      </c>
      <c r="P1392" s="53">
        <f t="shared" si="641"/>
        <v>2025</v>
      </c>
    </row>
    <row r="1393" spans="1:16" x14ac:dyDescent="0.25">
      <c r="A1393">
        <v>3000006333</v>
      </c>
      <c r="B1393" s="3">
        <v>45951</v>
      </c>
      <c r="C1393" s="4">
        <v>13682200</v>
      </c>
      <c r="D1393" t="s">
        <v>774</v>
      </c>
      <c r="E1393">
        <v>91002647</v>
      </c>
      <c r="F1393" s="4">
        <v>13682200</v>
      </c>
      <c r="G1393" s="3">
        <v>45954</v>
      </c>
      <c r="H1393" t="s">
        <v>79</v>
      </c>
      <c r="I1393" s="51" t="str">
        <f>IFERROR(IF(VLOOKUP(E1393,extracto!C:C,1,FALSE)=E1393,"pagado","no pagado"),"no pagado")</f>
        <v>pagado</v>
      </c>
      <c r="J1393" s="52" t="str">
        <f t="shared" si="636"/>
        <v>pagado</v>
      </c>
      <c r="K1393" s="51" t="str">
        <f t="shared" ca="1" si="637"/>
        <v>excluir</v>
      </c>
      <c r="L1393" s="51" t="str">
        <f t="shared" ca="1" si="638"/>
        <v>no semana</v>
      </c>
      <c r="M1393" s="51" t="str">
        <f>IFERROR(VLOOKUP(E1393,'cheques a conf'!A:D,4,FALSE),"no clearing")</f>
        <v>no clearing</v>
      </c>
      <c r="N1393" s="51">
        <f t="shared" si="639"/>
        <v>43</v>
      </c>
      <c r="O1393" s="53">
        <f t="shared" si="640"/>
        <v>10</v>
      </c>
      <c r="P1393" s="53">
        <f t="shared" si="641"/>
        <v>2025</v>
      </c>
    </row>
    <row r="1394" spans="1:16" x14ac:dyDescent="0.25">
      <c r="A1394">
        <v>3000006334</v>
      </c>
      <c r="B1394" s="3">
        <v>45951</v>
      </c>
      <c r="C1394" s="4">
        <v>3686155.2</v>
      </c>
      <c r="D1394" t="s">
        <v>593</v>
      </c>
      <c r="E1394">
        <v>91002648</v>
      </c>
      <c r="F1394" s="4">
        <v>3686155.2</v>
      </c>
      <c r="G1394" s="3">
        <v>45953</v>
      </c>
      <c r="H1394" t="s">
        <v>79</v>
      </c>
      <c r="I1394" s="51" t="str">
        <f>IFERROR(IF(VLOOKUP(E1394,extracto!C:C,1,FALSE)=E1394,"pagado","no pagado"),"no pagado")</f>
        <v>pagado</v>
      </c>
      <c r="J1394" s="52" t="str">
        <f t="shared" si="636"/>
        <v>pagado</v>
      </c>
      <c r="K1394" s="51" t="str">
        <f t="shared" ca="1" si="637"/>
        <v>excluir</v>
      </c>
      <c r="L1394" s="51" t="str">
        <f t="shared" ca="1" si="638"/>
        <v>no semana</v>
      </c>
      <c r="M1394" s="51" t="str">
        <f>IFERROR(VLOOKUP(E1394,'cheques a conf'!A:D,4,FALSE),"no clearing")</f>
        <v>no clearing</v>
      </c>
      <c r="N1394" s="51">
        <f t="shared" si="639"/>
        <v>43</v>
      </c>
      <c r="O1394" s="53">
        <f t="shared" si="640"/>
        <v>10</v>
      </c>
      <c r="P1394" s="53">
        <f t="shared" si="641"/>
        <v>2025</v>
      </c>
    </row>
    <row r="1395" spans="1:16" x14ac:dyDescent="0.25">
      <c r="A1395">
        <v>3000006335</v>
      </c>
      <c r="B1395" s="3">
        <v>45951</v>
      </c>
      <c r="C1395" s="4">
        <v>14360387.92</v>
      </c>
      <c r="D1395" t="s">
        <v>592</v>
      </c>
      <c r="E1395">
        <v>91002649</v>
      </c>
      <c r="F1395" s="4">
        <v>14360387.92</v>
      </c>
      <c r="G1395" s="3">
        <v>45954</v>
      </c>
      <c r="H1395" t="s">
        <v>79</v>
      </c>
      <c r="I1395" s="51" t="str">
        <f>IFERROR(IF(VLOOKUP(E1395,extracto!C:C,1,FALSE)=E1395,"pagado","no pagado"),"no pagado")</f>
        <v>pagado</v>
      </c>
      <c r="J1395" s="52" t="str">
        <f t="shared" si="636"/>
        <v>pagado</v>
      </c>
      <c r="K1395" s="51" t="str">
        <f t="shared" ca="1" si="637"/>
        <v>excluir</v>
      </c>
      <c r="L1395" s="51" t="str">
        <f t="shared" ca="1" si="638"/>
        <v>no semana</v>
      </c>
      <c r="M1395" s="51" t="str">
        <f>IFERROR(VLOOKUP(E1395,'cheques a conf'!A:D,4,FALSE),"no clearing")</f>
        <v>no clearing</v>
      </c>
      <c r="N1395" s="51">
        <f t="shared" si="639"/>
        <v>43</v>
      </c>
      <c r="O1395" s="53">
        <f t="shared" si="640"/>
        <v>10</v>
      </c>
      <c r="P1395" s="53">
        <f t="shared" si="641"/>
        <v>2025</v>
      </c>
    </row>
    <row r="1396" spans="1:16" x14ac:dyDescent="0.25">
      <c r="A1396">
        <v>3000006336</v>
      </c>
      <c r="B1396" s="3">
        <v>45951</v>
      </c>
      <c r="C1396" s="4">
        <v>10582538.939999999</v>
      </c>
      <c r="D1396" t="s">
        <v>619</v>
      </c>
      <c r="E1396">
        <v>91002650</v>
      </c>
      <c r="F1396" s="4">
        <v>10582538.939999999</v>
      </c>
      <c r="G1396" s="3">
        <v>45954</v>
      </c>
      <c r="H1396" t="s">
        <v>79</v>
      </c>
      <c r="I1396" s="51" t="str">
        <f>IFERROR(IF(VLOOKUP(E1396,extracto!C:C,1,FALSE)=E1396,"pagado","no pagado"),"no pagado")</f>
        <v>pagado</v>
      </c>
      <c r="J1396" s="52" t="str">
        <f t="shared" si="636"/>
        <v>pagado</v>
      </c>
      <c r="K1396" s="51" t="str">
        <f t="shared" ca="1" si="637"/>
        <v>excluir</v>
      </c>
      <c r="L1396" s="51" t="str">
        <f t="shared" ca="1" si="638"/>
        <v>no semana</v>
      </c>
      <c r="M1396" s="51" t="str">
        <f>IFERROR(VLOOKUP(E1396,'cheques a conf'!A:D,4,FALSE),"no clearing")</f>
        <v>no clearing</v>
      </c>
      <c r="N1396" s="51">
        <f t="shared" si="639"/>
        <v>43</v>
      </c>
      <c r="O1396" s="53">
        <f t="shared" si="640"/>
        <v>10</v>
      </c>
      <c r="P1396" s="53">
        <f t="shared" si="641"/>
        <v>2025</v>
      </c>
    </row>
    <row r="1397" spans="1:16" x14ac:dyDescent="0.25">
      <c r="A1397">
        <v>3000006371</v>
      </c>
      <c r="B1397" s="3">
        <v>45952</v>
      </c>
      <c r="C1397" s="4">
        <v>223592290</v>
      </c>
      <c r="D1397" t="s">
        <v>800</v>
      </c>
      <c r="E1397">
        <v>1976</v>
      </c>
      <c r="F1397" s="4">
        <v>223592290</v>
      </c>
      <c r="G1397" s="3">
        <v>45954</v>
      </c>
      <c r="H1397" t="s">
        <v>32</v>
      </c>
      <c r="I1397" s="51" t="str">
        <f>IFERROR(IF(VLOOKUP(E1397,extracto!C:C,1,FALSE)=E1397,"pagado","no pagado"),"no pagado")</f>
        <v>pagado</v>
      </c>
      <c r="J1397" s="52" t="str">
        <f t="shared" si="636"/>
        <v>pagado</v>
      </c>
      <c r="K1397" s="51" t="str">
        <f t="shared" ca="1" si="637"/>
        <v>excluir</v>
      </c>
      <c r="L1397" s="51" t="str">
        <f t="shared" ca="1" si="638"/>
        <v>no semana</v>
      </c>
      <c r="M1397" s="51" t="str">
        <f>IFERROR(VLOOKUP(E1397,'cheques a conf'!A:D,4,FALSE),"no clearing")</f>
        <v>no clearing</v>
      </c>
      <c r="N1397" s="51">
        <f t="shared" si="639"/>
        <v>43</v>
      </c>
      <c r="O1397" s="53">
        <f t="shared" si="640"/>
        <v>10</v>
      </c>
      <c r="P1397" s="53">
        <f t="shared" si="641"/>
        <v>2025</v>
      </c>
    </row>
    <row r="1398" spans="1:16" x14ac:dyDescent="0.25">
      <c r="A1398" s="21">
        <v>3000006432</v>
      </c>
      <c r="B1398" s="22">
        <v>45957</v>
      </c>
      <c r="C1398" s="20">
        <v>33959386.719999999</v>
      </c>
      <c r="D1398" s="21" t="s">
        <v>631</v>
      </c>
      <c r="E1398" s="21">
        <v>91002651</v>
      </c>
      <c r="F1398" s="20">
        <v>33959386.719999999</v>
      </c>
      <c r="G1398" s="22">
        <v>45960</v>
      </c>
      <c r="H1398" t="s">
        <v>79</v>
      </c>
      <c r="I1398" s="51" t="str">
        <f>IFERROR(IF(VLOOKUP(E1398,extracto!C:C,1,FALSE)=E1398,"pagado","no pagado"),"no pagado")</f>
        <v>pagado</v>
      </c>
      <c r="J1398" s="52" t="str">
        <f t="shared" si="636"/>
        <v>pagado</v>
      </c>
      <c r="K1398" s="51" t="str">
        <f t="shared" ca="1" si="637"/>
        <v>excluir</v>
      </c>
      <c r="L1398" s="51" t="str">
        <f t="shared" ca="1" si="638"/>
        <v>no semana</v>
      </c>
      <c r="M1398" s="51" t="str">
        <f>IFERROR(VLOOKUP(E1398,'cheques a conf'!A:D,4,FALSE),"no clearing")</f>
        <v>no clearing</v>
      </c>
      <c r="N1398" s="51">
        <f t="shared" si="639"/>
        <v>44</v>
      </c>
      <c r="O1398" s="53">
        <f t="shared" si="640"/>
        <v>10</v>
      </c>
      <c r="P1398" s="53">
        <f t="shared" si="641"/>
        <v>2025</v>
      </c>
    </row>
    <row r="1399" spans="1:16" x14ac:dyDescent="0.25">
      <c r="A1399" s="21">
        <v>3000006433</v>
      </c>
      <c r="B1399" s="22">
        <v>45957</v>
      </c>
      <c r="C1399" s="20">
        <v>5000000</v>
      </c>
      <c r="D1399" s="21" t="s">
        <v>595</v>
      </c>
      <c r="E1399" s="21">
        <v>91002652</v>
      </c>
      <c r="F1399" s="20">
        <v>5000000</v>
      </c>
      <c r="G1399" s="22">
        <v>45959</v>
      </c>
      <c r="H1399" t="s">
        <v>79</v>
      </c>
      <c r="I1399" s="51" t="str">
        <f>IFERROR(IF(VLOOKUP(E1399,extracto!C:C,1,FALSE)=E1399,"pagado","no pagado"),"no pagado")</f>
        <v>pagado</v>
      </c>
      <c r="J1399" s="52" t="str">
        <f t="shared" si="636"/>
        <v>pagado</v>
      </c>
      <c r="K1399" s="51" t="str">
        <f t="shared" ca="1" si="637"/>
        <v>excluir</v>
      </c>
      <c r="L1399" s="51" t="str">
        <f t="shared" ca="1" si="638"/>
        <v>no semana</v>
      </c>
      <c r="M1399" s="51" t="str">
        <f>IFERROR(VLOOKUP(E1399,'cheques a conf'!A:D,4,FALSE),"no clearing")</f>
        <v>no clearing</v>
      </c>
      <c r="N1399" s="51">
        <f t="shared" si="639"/>
        <v>44</v>
      </c>
      <c r="O1399" s="53">
        <f t="shared" si="640"/>
        <v>10</v>
      </c>
      <c r="P1399" s="53">
        <f t="shared" si="641"/>
        <v>2025</v>
      </c>
    </row>
    <row r="1400" spans="1:16" x14ac:dyDescent="0.25">
      <c r="A1400" s="21">
        <v>3000006433</v>
      </c>
      <c r="B1400" s="22">
        <v>45957</v>
      </c>
      <c r="C1400" s="20">
        <v>3656576.68</v>
      </c>
      <c r="D1400" s="21" t="s">
        <v>595</v>
      </c>
      <c r="E1400" s="21">
        <v>91002653</v>
      </c>
      <c r="F1400" s="20">
        <v>3656576.68</v>
      </c>
      <c r="G1400" s="22">
        <v>45960</v>
      </c>
      <c r="H1400" t="s">
        <v>79</v>
      </c>
      <c r="I1400" s="51" t="str">
        <f>IFERROR(IF(VLOOKUP(E1400,extracto!C:C,1,FALSE)=E1400,"pagado","no pagado"),"no pagado")</f>
        <v>pagado</v>
      </c>
      <c r="J1400" s="52" t="str">
        <f t="shared" si="636"/>
        <v>pagado</v>
      </c>
      <c r="K1400" s="51" t="str">
        <f t="shared" ca="1" si="637"/>
        <v>excluir</v>
      </c>
      <c r="L1400" s="51" t="str">
        <f t="shared" ca="1" si="638"/>
        <v>no semana</v>
      </c>
      <c r="M1400" s="51" t="str">
        <f>IFERROR(VLOOKUP(E1400,'cheques a conf'!A:D,4,FALSE),"no clearing")</f>
        <v>no clearing</v>
      </c>
      <c r="N1400" s="51">
        <f t="shared" si="639"/>
        <v>44</v>
      </c>
      <c r="O1400" s="53">
        <f t="shared" si="640"/>
        <v>10</v>
      </c>
      <c r="P1400" s="53">
        <f t="shared" si="641"/>
        <v>2025</v>
      </c>
    </row>
    <row r="1401" spans="1:16" x14ac:dyDescent="0.25">
      <c r="A1401" s="21">
        <v>3000006434</v>
      </c>
      <c r="B1401" s="22">
        <v>45957</v>
      </c>
      <c r="C1401" s="20">
        <v>28372980.059999999</v>
      </c>
      <c r="D1401" s="21" t="s">
        <v>597</v>
      </c>
      <c r="E1401" s="21">
        <v>91002654</v>
      </c>
      <c r="F1401" s="20">
        <v>28372980.059999999</v>
      </c>
      <c r="G1401" s="22">
        <v>45960</v>
      </c>
      <c r="H1401" t="s">
        <v>79</v>
      </c>
      <c r="I1401" s="51" t="str">
        <f>IFERROR(IF(VLOOKUP(E1401,extracto!C:C,1,FALSE)=E1401,"pagado","no pagado"),"no pagado")</f>
        <v>pagado</v>
      </c>
      <c r="J1401" s="52" t="str">
        <f t="shared" si="636"/>
        <v>pagado</v>
      </c>
      <c r="K1401" s="51" t="str">
        <f t="shared" ca="1" si="637"/>
        <v>excluir</v>
      </c>
      <c r="L1401" s="51" t="str">
        <f t="shared" ca="1" si="638"/>
        <v>no semana</v>
      </c>
      <c r="M1401" s="51" t="str">
        <f>IFERROR(VLOOKUP(E1401,'cheques a conf'!A:D,4,FALSE),"no clearing")</f>
        <v>no clearing</v>
      </c>
      <c r="N1401" s="51">
        <f t="shared" si="639"/>
        <v>44</v>
      </c>
      <c r="O1401" s="53">
        <f t="shared" si="640"/>
        <v>10</v>
      </c>
      <c r="P1401" s="53">
        <f t="shared" si="641"/>
        <v>2025</v>
      </c>
    </row>
    <row r="1402" spans="1:16" x14ac:dyDescent="0.25">
      <c r="A1402" s="21">
        <v>3000006435</v>
      </c>
      <c r="B1402" s="22">
        <v>45957</v>
      </c>
      <c r="C1402" s="20">
        <v>8863912.5</v>
      </c>
      <c r="D1402" s="21" t="s">
        <v>596</v>
      </c>
      <c r="E1402" s="21">
        <v>91002655</v>
      </c>
      <c r="F1402" s="20">
        <v>8863912.5</v>
      </c>
      <c r="G1402" s="22">
        <v>45959</v>
      </c>
      <c r="H1402" t="s">
        <v>79</v>
      </c>
      <c r="I1402" s="51" t="str">
        <f>IFERROR(IF(VLOOKUP(E1402,extracto!C:C,1,FALSE)=E1402,"pagado","no pagado"),"no pagado")</f>
        <v>pagado</v>
      </c>
      <c r="J1402" s="52" t="str">
        <f t="shared" si="636"/>
        <v>pagado</v>
      </c>
      <c r="K1402" s="51" t="str">
        <f t="shared" ca="1" si="637"/>
        <v>excluir</v>
      </c>
      <c r="L1402" s="51" t="str">
        <f t="shared" ca="1" si="638"/>
        <v>no semana</v>
      </c>
      <c r="M1402" s="51" t="str">
        <f>IFERROR(VLOOKUP(E1402,'cheques a conf'!A:D,4,FALSE),"no clearing")</f>
        <v>no clearing</v>
      </c>
      <c r="N1402" s="51">
        <f t="shared" si="639"/>
        <v>44</v>
      </c>
      <c r="O1402" s="53">
        <f t="shared" si="640"/>
        <v>10</v>
      </c>
      <c r="P1402" s="53">
        <f t="shared" si="641"/>
        <v>2025</v>
      </c>
    </row>
    <row r="1403" spans="1:16" x14ac:dyDescent="0.25">
      <c r="A1403" s="21">
        <v>3000006436</v>
      </c>
      <c r="B1403" s="22">
        <v>45957</v>
      </c>
      <c r="C1403" s="20">
        <v>24737036.289999999</v>
      </c>
      <c r="D1403" s="21" t="s">
        <v>756</v>
      </c>
      <c r="E1403" s="21">
        <v>91002656</v>
      </c>
      <c r="F1403" s="20">
        <v>24737036.289999999</v>
      </c>
      <c r="G1403" s="22">
        <v>45960</v>
      </c>
      <c r="H1403" t="s">
        <v>79</v>
      </c>
      <c r="I1403" s="51" t="str">
        <f>IFERROR(IF(VLOOKUP(E1403,extracto!C:C,1,FALSE)=E1403,"pagado","no pagado"),"no pagado")</f>
        <v>pagado</v>
      </c>
      <c r="J1403" s="52" t="str">
        <f t="shared" si="636"/>
        <v>pagado</v>
      </c>
      <c r="K1403" s="51" t="str">
        <f t="shared" ca="1" si="637"/>
        <v>excluir</v>
      </c>
      <c r="L1403" s="51" t="str">
        <f t="shared" ca="1" si="638"/>
        <v>no semana</v>
      </c>
      <c r="M1403" s="51" t="str">
        <f>IFERROR(VLOOKUP(E1403,'cheques a conf'!A:D,4,FALSE),"no clearing")</f>
        <v>no clearing</v>
      </c>
      <c r="N1403" s="51">
        <f t="shared" si="639"/>
        <v>44</v>
      </c>
      <c r="O1403" s="53">
        <f t="shared" si="640"/>
        <v>10</v>
      </c>
      <c r="P1403" s="53">
        <f t="shared" si="641"/>
        <v>2025</v>
      </c>
    </row>
    <row r="1404" spans="1:16" x14ac:dyDescent="0.25">
      <c r="A1404" s="21">
        <v>3000006437</v>
      </c>
      <c r="B1404" s="22">
        <v>45957</v>
      </c>
      <c r="C1404" s="20">
        <v>4606966.46</v>
      </c>
      <c r="D1404" s="21" t="s">
        <v>41</v>
      </c>
      <c r="E1404" s="21">
        <v>91002657</v>
      </c>
      <c r="F1404" s="20">
        <v>4606966.46</v>
      </c>
      <c r="G1404" s="22">
        <v>45959</v>
      </c>
      <c r="H1404" t="s">
        <v>79</v>
      </c>
      <c r="I1404" s="51" t="str">
        <f>IFERROR(IF(VLOOKUP(E1404,extracto!C:C,1,FALSE)=E1404,"pagado","no pagado"),"no pagado")</f>
        <v>pagado</v>
      </c>
      <c r="J1404" s="52" t="str">
        <f t="shared" ref="J1404" si="642">IF(I1404="pagado","pagado",IF(G1404&lt;$V$1-30,"fuera de fecha","en periodo de pago"))</f>
        <v>pagado</v>
      </c>
      <c r="K1404" s="51" t="str">
        <f t="shared" ref="K1404" ca="1" si="643">+IF(B1404&gt;$V$1,"excluir",IF(J1404="en periodo de pago",IF($V$1&gt;G1404,"a pagar","proximo a vencer"),"excluir"))</f>
        <v>excluir</v>
      </c>
      <c r="L1404" s="51" t="str">
        <f t="shared" ref="L1404" ca="1" si="644">+IF(K1404="proximo a vencer",IF($V$1+5&gt;G1404,"para la semana","no semana"),"no semana")</f>
        <v>no semana</v>
      </c>
      <c r="M1404" s="51" t="str">
        <f>IFERROR(VLOOKUP(E1404,'cheques a conf'!A:D,4,FALSE),"no clearing")</f>
        <v>no clearing</v>
      </c>
      <c r="N1404" s="51">
        <f t="shared" ref="N1404" si="645">+WEEKNUM(G1404,2)</f>
        <v>44</v>
      </c>
      <c r="O1404" s="53">
        <f t="shared" ref="O1404" si="646">+MONTH(G1404)</f>
        <v>10</v>
      </c>
      <c r="P1404" s="53">
        <f t="shared" ref="P1404" si="647">+YEAR(G1404)</f>
        <v>2025</v>
      </c>
    </row>
    <row r="1405" spans="1:16" x14ac:dyDescent="0.25">
      <c r="A1405" s="21">
        <v>3000006438</v>
      </c>
      <c r="B1405" s="22">
        <v>45957</v>
      </c>
      <c r="C1405" s="20">
        <v>6217907.2199999997</v>
      </c>
      <c r="D1405" s="21" t="s">
        <v>801</v>
      </c>
      <c r="E1405" s="21">
        <v>91002658</v>
      </c>
      <c r="F1405" s="20">
        <v>6217907.2199999997</v>
      </c>
      <c r="G1405" s="22">
        <v>45959</v>
      </c>
      <c r="H1405" t="s">
        <v>79</v>
      </c>
      <c r="I1405" s="51" t="str">
        <f>IFERROR(IF(VLOOKUP(E1405,extracto!C:C,1,FALSE)=E1405,"pagado","no pagado"),"no pagado")</f>
        <v>pagado</v>
      </c>
      <c r="J1405" s="52" t="str">
        <f t="shared" ref="J1405:J1419" si="648">IF(I1405="pagado","pagado",IF(G1405&lt;$V$1-30,"fuera de fecha","en periodo de pago"))</f>
        <v>pagado</v>
      </c>
      <c r="K1405" s="51" t="str">
        <f t="shared" ref="K1405:K1419" ca="1" si="649">+IF(B1405&gt;$V$1,"excluir",IF(J1405="en periodo de pago",IF($V$1&gt;G1405,"a pagar","proximo a vencer"),"excluir"))</f>
        <v>excluir</v>
      </c>
      <c r="L1405" s="51" t="str">
        <f t="shared" ref="L1405:L1419" ca="1" si="650">+IF(K1405="proximo a vencer",IF($V$1+5&gt;G1405,"para la semana","no semana"),"no semana")</f>
        <v>no semana</v>
      </c>
      <c r="M1405" s="51" t="str">
        <f>IFERROR(VLOOKUP(E1405,'cheques a conf'!A:D,4,FALSE),"no clearing")</f>
        <v>no clearing</v>
      </c>
      <c r="N1405" s="51">
        <f t="shared" ref="N1405:N1419" si="651">+WEEKNUM(G1405,2)</f>
        <v>44</v>
      </c>
      <c r="O1405" s="53">
        <f t="shared" ref="O1405:O1419" si="652">+MONTH(G1405)</f>
        <v>10</v>
      </c>
      <c r="P1405" s="53">
        <f t="shared" ref="P1405:P1419" si="653">+YEAR(G1405)</f>
        <v>2025</v>
      </c>
    </row>
    <row r="1406" spans="1:16" x14ac:dyDescent="0.25">
      <c r="A1406" s="21">
        <v>3000006439</v>
      </c>
      <c r="B1406" s="22">
        <v>45957</v>
      </c>
      <c r="C1406" s="20">
        <v>6547079.1799999997</v>
      </c>
      <c r="D1406" s="21" t="s">
        <v>802</v>
      </c>
      <c r="E1406" s="21">
        <v>91002659</v>
      </c>
      <c r="F1406" s="20">
        <v>6547079.1799999997</v>
      </c>
      <c r="G1406" s="22">
        <v>45959</v>
      </c>
      <c r="H1406" t="s">
        <v>79</v>
      </c>
      <c r="I1406" s="51" t="str">
        <f>IFERROR(IF(VLOOKUP(E1406,extracto!C:C,1,FALSE)=E1406,"pagado","no pagado"),"no pagado")</f>
        <v>pagado</v>
      </c>
      <c r="J1406" s="52" t="str">
        <f t="shared" si="648"/>
        <v>pagado</v>
      </c>
      <c r="K1406" s="51" t="str">
        <f t="shared" ca="1" si="649"/>
        <v>excluir</v>
      </c>
      <c r="L1406" s="51" t="str">
        <f t="shared" ca="1" si="650"/>
        <v>no semana</v>
      </c>
      <c r="M1406" s="51" t="str">
        <f>IFERROR(VLOOKUP(E1406,'cheques a conf'!A:D,4,FALSE),"no clearing")</f>
        <v>no clearing</v>
      </c>
      <c r="N1406" s="51">
        <f t="shared" si="651"/>
        <v>44</v>
      </c>
      <c r="O1406" s="53">
        <f t="shared" si="652"/>
        <v>10</v>
      </c>
      <c r="P1406" s="53">
        <f t="shared" si="653"/>
        <v>2025</v>
      </c>
    </row>
    <row r="1407" spans="1:16" x14ac:dyDescent="0.25">
      <c r="A1407" s="21">
        <v>3000006440</v>
      </c>
      <c r="B1407" s="22">
        <v>45957</v>
      </c>
      <c r="C1407" s="20">
        <v>20568691.829999998</v>
      </c>
      <c r="D1407" s="21" t="s">
        <v>626</v>
      </c>
      <c r="E1407" s="21">
        <v>91002660</v>
      </c>
      <c r="F1407" s="20">
        <v>20568691.829999998</v>
      </c>
      <c r="G1407" s="22">
        <v>45959</v>
      </c>
      <c r="H1407" t="s">
        <v>79</v>
      </c>
      <c r="I1407" s="51" t="str">
        <f>IFERROR(IF(VLOOKUP(E1407,extracto!C:C,1,FALSE)=E1407,"pagado","no pagado"),"no pagado")</f>
        <v>pagado</v>
      </c>
      <c r="J1407" s="52" t="str">
        <f t="shared" si="648"/>
        <v>pagado</v>
      </c>
      <c r="K1407" s="51" t="str">
        <f t="shared" ca="1" si="649"/>
        <v>excluir</v>
      </c>
      <c r="L1407" s="51" t="str">
        <f t="shared" ca="1" si="650"/>
        <v>no semana</v>
      </c>
      <c r="M1407" s="51" t="str">
        <f>IFERROR(VLOOKUP(E1407,'cheques a conf'!A:D,4,FALSE),"no clearing")</f>
        <v>no clearing</v>
      </c>
      <c r="N1407" s="51">
        <f t="shared" si="651"/>
        <v>44</v>
      </c>
      <c r="O1407" s="53">
        <f t="shared" si="652"/>
        <v>10</v>
      </c>
      <c r="P1407" s="53">
        <f t="shared" si="653"/>
        <v>2025</v>
      </c>
    </row>
    <row r="1408" spans="1:16" x14ac:dyDescent="0.25">
      <c r="A1408" s="21">
        <v>3000006441</v>
      </c>
      <c r="B1408" s="22">
        <v>45957</v>
      </c>
      <c r="C1408" s="20">
        <v>8236900</v>
      </c>
      <c r="D1408" s="21" t="s">
        <v>587</v>
      </c>
      <c r="E1408" s="21">
        <v>91002661</v>
      </c>
      <c r="F1408" s="20">
        <v>8236900</v>
      </c>
      <c r="G1408" s="22">
        <v>45959</v>
      </c>
      <c r="H1408" t="s">
        <v>79</v>
      </c>
      <c r="I1408" s="51" t="str">
        <f>IFERROR(IF(VLOOKUP(E1408,extracto!C:C,1,FALSE)=E1408,"pagado","no pagado"),"no pagado")</f>
        <v>pagado</v>
      </c>
      <c r="J1408" s="52" t="str">
        <f t="shared" si="648"/>
        <v>pagado</v>
      </c>
      <c r="K1408" s="51" t="str">
        <f t="shared" ca="1" si="649"/>
        <v>excluir</v>
      </c>
      <c r="L1408" s="51" t="str">
        <f t="shared" ca="1" si="650"/>
        <v>no semana</v>
      </c>
      <c r="M1408" s="51" t="str">
        <f>IFERROR(VLOOKUP(E1408,'cheques a conf'!A:D,4,FALSE),"no clearing")</f>
        <v>no clearing</v>
      </c>
      <c r="N1408" s="51">
        <f t="shared" si="651"/>
        <v>44</v>
      </c>
      <c r="O1408" s="53">
        <f t="shared" si="652"/>
        <v>10</v>
      </c>
      <c r="P1408" s="53">
        <f t="shared" si="653"/>
        <v>2025</v>
      </c>
    </row>
    <row r="1409" spans="1:16" x14ac:dyDescent="0.25">
      <c r="A1409" s="21">
        <v>3000006442</v>
      </c>
      <c r="B1409" s="22">
        <v>45957</v>
      </c>
      <c r="C1409" s="20">
        <v>10000000</v>
      </c>
      <c r="D1409" s="21" t="s">
        <v>86</v>
      </c>
      <c r="E1409" s="21">
        <v>91002662</v>
      </c>
      <c r="F1409" s="20">
        <v>10000000</v>
      </c>
      <c r="G1409" s="22">
        <v>45959</v>
      </c>
      <c r="H1409" t="s">
        <v>79</v>
      </c>
      <c r="I1409" s="51" t="str">
        <f>IFERROR(IF(VLOOKUP(E1409,extracto!C:C,1,FALSE)=E1409,"pagado","no pagado"),"no pagado")</f>
        <v>pagado</v>
      </c>
      <c r="J1409" s="52" t="str">
        <f t="shared" si="648"/>
        <v>pagado</v>
      </c>
      <c r="K1409" s="51" t="str">
        <f t="shared" ca="1" si="649"/>
        <v>excluir</v>
      </c>
      <c r="L1409" s="51" t="str">
        <f t="shared" ca="1" si="650"/>
        <v>no semana</v>
      </c>
      <c r="M1409" s="51" t="str">
        <f>IFERROR(VLOOKUP(E1409,'cheques a conf'!A:D,4,FALSE),"no clearing")</f>
        <v>no clearing</v>
      </c>
      <c r="N1409" s="51">
        <f t="shared" si="651"/>
        <v>44</v>
      </c>
      <c r="O1409" s="53">
        <f t="shared" si="652"/>
        <v>10</v>
      </c>
      <c r="P1409" s="53">
        <f t="shared" si="653"/>
        <v>2025</v>
      </c>
    </row>
    <row r="1410" spans="1:16" x14ac:dyDescent="0.25">
      <c r="A1410" s="21">
        <v>3000006442</v>
      </c>
      <c r="B1410" s="22">
        <v>45957</v>
      </c>
      <c r="C1410" s="20">
        <v>8284175</v>
      </c>
      <c r="D1410" s="21" t="s">
        <v>86</v>
      </c>
      <c r="E1410" s="21">
        <v>91002663</v>
      </c>
      <c r="F1410" s="20">
        <v>8284175</v>
      </c>
      <c r="G1410" s="22">
        <v>45960</v>
      </c>
      <c r="H1410" t="s">
        <v>79</v>
      </c>
      <c r="I1410" s="51" t="str">
        <f>IFERROR(IF(VLOOKUP(E1410,extracto!C:C,1,FALSE)=E1410,"pagado","no pagado"),"no pagado")</f>
        <v>pagado</v>
      </c>
      <c r="J1410" s="52" t="str">
        <f t="shared" si="648"/>
        <v>pagado</v>
      </c>
      <c r="K1410" s="51" t="str">
        <f t="shared" ca="1" si="649"/>
        <v>excluir</v>
      </c>
      <c r="L1410" s="51" t="str">
        <f t="shared" ca="1" si="650"/>
        <v>no semana</v>
      </c>
      <c r="M1410" s="51" t="str">
        <f>IFERROR(VLOOKUP(E1410,'cheques a conf'!A:D,4,FALSE),"no clearing")</f>
        <v>no clearing</v>
      </c>
      <c r="N1410" s="51">
        <f t="shared" si="651"/>
        <v>44</v>
      </c>
      <c r="O1410" s="53">
        <f t="shared" si="652"/>
        <v>10</v>
      </c>
      <c r="P1410" s="53">
        <f t="shared" si="653"/>
        <v>2025</v>
      </c>
    </row>
    <row r="1411" spans="1:16" x14ac:dyDescent="0.25">
      <c r="A1411" s="21">
        <v>3000006443</v>
      </c>
      <c r="B1411" s="22">
        <v>45957</v>
      </c>
      <c r="C1411" s="20">
        <v>38830372</v>
      </c>
      <c r="D1411" s="21" t="s">
        <v>803</v>
      </c>
      <c r="E1411" s="21">
        <v>91002664</v>
      </c>
      <c r="F1411" s="20">
        <v>38830372</v>
      </c>
      <c r="G1411" s="22">
        <v>45960</v>
      </c>
      <c r="H1411" t="s">
        <v>79</v>
      </c>
      <c r="I1411" s="51" t="str">
        <f>IFERROR(IF(VLOOKUP(E1411,extracto!C:C,1,FALSE)=E1411,"pagado","no pagado"),"no pagado")</f>
        <v>pagado</v>
      </c>
      <c r="J1411" s="52" t="str">
        <f t="shared" si="648"/>
        <v>pagado</v>
      </c>
      <c r="K1411" s="51" t="str">
        <f t="shared" ca="1" si="649"/>
        <v>excluir</v>
      </c>
      <c r="L1411" s="51" t="str">
        <f t="shared" ca="1" si="650"/>
        <v>no semana</v>
      </c>
      <c r="M1411" s="51" t="str">
        <f>IFERROR(VLOOKUP(E1411,'cheques a conf'!A:D,4,FALSE),"no clearing")</f>
        <v>no clearing</v>
      </c>
      <c r="N1411" s="51">
        <f t="shared" si="651"/>
        <v>44</v>
      </c>
      <c r="O1411" s="53">
        <f t="shared" si="652"/>
        <v>10</v>
      </c>
      <c r="P1411" s="53">
        <f t="shared" si="653"/>
        <v>2025</v>
      </c>
    </row>
    <row r="1412" spans="1:16" x14ac:dyDescent="0.25">
      <c r="A1412" s="21">
        <v>3000006444</v>
      </c>
      <c r="B1412" s="22">
        <v>45957</v>
      </c>
      <c r="C1412" s="20">
        <v>5129536.38</v>
      </c>
      <c r="D1412" s="21" t="s">
        <v>87</v>
      </c>
      <c r="E1412" s="21">
        <v>91002665</v>
      </c>
      <c r="F1412" s="20">
        <v>5129536.38</v>
      </c>
      <c r="G1412" s="22">
        <v>45959</v>
      </c>
      <c r="H1412" t="s">
        <v>79</v>
      </c>
      <c r="I1412" s="51" t="str">
        <f>IFERROR(IF(VLOOKUP(E1412,extracto!C:C,1,FALSE)=E1412,"pagado","no pagado"),"no pagado")</f>
        <v>pagado</v>
      </c>
      <c r="J1412" s="52" t="str">
        <f t="shared" si="648"/>
        <v>pagado</v>
      </c>
      <c r="K1412" s="51" t="str">
        <f t="shared" ca="1" si="649"/>
        <v>excluir</v>
      </c>
      <c r="L1412" s="51" t="str">
        <f t="shared" ca="1" si="650"/>
        <v>no semana</v>
      </c>
      <c r="M1412" s="51" t="str">
        <f>IFERROR(VLOOKUP(E1412,'cheques a conf'!A:D,4,FALSE),"no clearing")</f>
        <v>no clearing</v>
      </c>
      <c r="N1412" s="51">
        <f t="shared" si="651"/>
        <v>44</v>
      </c>
      <c r="O1412" s="53">
        <f t="shared" si="652"/>
        <v>10</v>
      </c>
      <c r="P1412" s="53">
        <f t="shared" si="653"/>
        <v>2025</v>
      </c>
    </row>
    <row r="1413" spans="1:16" x14ac:dyDescent="0.25">
      <c r="A1413" s="21">
        <v>3000006445</v>
      </c>
      <c r="B1413" s="22">
        <v>45957</v>
      </c>
      <c r="C1413" s="20">
        <v>269068089.81</v>
      </c>
      <c r="D1413" s="21" t="s">
        <v>29</v>
      </c>
      <c r="E1413" s="21">
        <v>91002666</v>
      </c>
      <c r="F1413" s="20">
        <v>269068089.81</v>
      </c>
      <c r="G1413" s="22">
        <v>45959</v>
      </c>
      <c r="H1413" t="s">
        <v>79</v>
      </c>
      <c r="I1413" s="51" t="str">
        <f>IFERROR(IF(VLOOKUP(E1413,extracto!C:C,1,FALSE)=E1413,"pagado","no pagado"),"no pagado")</f>
        <v>pagado</v>
      </c>
      <c r="J1413" s="52" t="str">
        <f t="shared" si="648"/>
        <v>pagado</v>
      </c>
      <c r="K1413" s="51" t="str">
        <f t="shared" ca="1" si="649"/>
        <v>excluir</v>
      </c>
      <c r="L1413" s="51" t="str">
        <f t="shared" ca="1" si="650"/>
        <v>no semana</v>
      </c>
      <c r="M1413" s="51" t="str">
        <f>IFERROR(VLOOKUP(E1413,'cheques a conf'!A:D,4,FALSE),"no clearing")</f>
        <v>no clearing</v>
      </c>
      <c r="N1413" s="51">
        <f t="shared" si="651"/>
        <v>44</v>
      </c>
      <c r="O1413" s="53">
        <f t="shared" si="652"/>
        <v>10</v>
      </c>
      <c r="P1413" s="53">
        <f t="shared" si="653"/>
        <v>2025</v>
      </c>
    </row>
    <row r="1414" spans="1:16" x14ac:dyDescent="0.25">
      <c r="A1414">
        <v>3000006523</v>
      </c>
      <c r="B1414" s="22">
        <v>45959</v>
      </c>
      <c r="C1414" s="4">
        <v>2604978.9500000002</v>
      </c>
      <c r="D1414" t="s">
        <v>611</v>
      </c>
      <c r="E1414">
        <v>40273003</v>
      </c>
      <c r="F1414" s="4">
        <v>2604978.9500000002</v>
      </c>
      <c r="G1414" s="22">
        <v>45961</v>
      </c>
      <c r="H1414" t="s">
        <v>79</v>
      </c>
      <c r="I1414" s="51" t="str">
        <f>IFERROR(IF(VLOOKUP(E1414,extracto!C:C,1,FALSE)=E1414,"pagado","no pagado"),"no pagado")</f>
        <v>pagado</v>
      </c>
      <c r="J1414" s="52" t="str">
        <f t="shared" si="648"/>
        <v>pagado</v>
      </c>
      <c r="K1414" s="51" t="str">
        <f t="shared" ca="1" si="649"/>
        <v>excluir</v>
      </c>
      <c r="L1414" s="51" t="str">
        <f t="shared" ca="1" si="650"/>
        <v>no semana</v>
      </c>
      <c r="M1414" s="51" t="str">
        <f>IFERROR(VLOOKUP(E1414,'cheques a conf'!A:D,4,FALSE),"no clearing")</f>
        <v>no clearing</v>
      </c>
      <c r="N1414" s="51">
        <f t="shared" si="651"/>
        <v>44</v>
      </c>
      <c r="O1414" s="53">
        <f t="shared" si="652"/>
        <v>10</v>
      </c>
      <c r="P1414" s="53">
        <f t="shared" si="653"/>
        <v>2025</v>
      </c>
    </row>
    <row r="1415" spans="1:16" x14ac:dyDescent="0.25">
      <c r="A1415">
        <v>3000006603</v>
      </c>
      <c r="B1415" s="22">
        <v>45964</v>
      </c>
      <c r="C1415" s="4">
        <v>4471244.1500000004</v>
      </c>
      <c r="D1415" t="s">
        <v>723</v>
      </c>
      <c r="E1415">
        <v>1977</v>
      </c>
      <c r="F1415" s="4">
        <v>4471244.1500000004</v>
      </c>
      <c r="G1415" s="22">
        <v>45968</v>
      </c>
      <c r="H1415" t="s">
        <v>32</v>
      </c>
      <c r="I1415" s="51" t="str">
        <f>IFERROR(IF(VLOOKUP(E1415,extracto!C:C,1,FALSE)=E1415,"pagado","no pagado"),"no pagado")</f>
        <v>pagado</v>
      </c>
      <c r="J1415" s="52" t="str">
        <f t="shared" si="648"/>
        <v>pagado</v>
      </c>
      <c r="K1415" s="51" t="str">
        <f t="shared" ca="1" si="649"/>
        <v>excluir</v>
      </c>
      <c r="L1415" s="51" t="str">
        <f t="shared" ca="1" si="650"/>
        <v>no semana</v>
      </c>
      <c r="M1415" s="51" t="str">
        <f>IFERROR(VLOOKUP(E1415,'cheques a conf'!A:D,4,FALSE),"no clearing")</f>
        <v>no clearing</v>
      </c>
      <c r="N1415" s="51">
        <f t="shared" si="651"/>
        <v>45</v>
      </c>
      <c r="O1415" s="53">
        <f t="shared" si="652"/>
        <v>11</v>
      </c>
      <c r="P1415" s="53">
        <f t="shared" si="653"/>
        <v>2025</v>
      </c>
    </row>
    <row r="1416" spans="1:16" x14ac:dyDescent="0.25">
      <c r="A1416">
        <v>3000006604</v>
      </c>
      <c r="B1416" s="22">
        <v>45964</v>
      </c>
      <c r="C1416" s="4">
        <v>5506197.9500000002</v>
      </c>
      <c r="D1416" t="s">
        <v>752</v>
      </c>
      <c r="E1416">
        <v>1978</v>
      </c>
      <c r="F1416" s="4">
        <v>5506197.9500000002</v>
      </c>
      <c r="G1416" s="22">
        <v>45968</v>
      </c>
      <c r="H1416" t="s">
        <v>32</v>
      </c>
      <c r="I1416" s="51" t="str">
        <f>IFERROR(IF(VLOOKUP(E1416,extracto!C:C,1,FALSE)=E1416,"pagado","no pagado"),"no pagado")</f>
        <v>pagado</v>
      </c>
      <c r="J1416" s="52" t="str">
        <f t="shared" si="648"/>
        <v>pagado</v>
      </c>
      <c r="K1416" s="51" t="str">
        <f t="shared" ca="1" si="649"/>
        <v>excluir</v>
      </c>
      <c r="L1416" s="51" t="str">
        <f t="shared" ca="1" si="650"/>
        <v>no semana</v>
      </c>
      <c r="M1416" s="51" t="str">
        <f>IFERROR(VLOOKUP(E1416,'cheques a conf'!A:D,4,FALSE),"no clearing")</f>
        <v>no clearing</v>
      </c>
      <c r="N1416" s="51">
        <f t="shared" si="651"/>
        <v>45</v>
      </c>
      <c r="O1416" s="53">
        <f t="shared" si="652"/>
        <v>11</v>
      </c>
      <c r="P1416" s="53">
        <f t="shared" si="653"/>
        <v>2025</v>
      </c>
    </row>
    <row r="1417" spans="1:16" x14ac:dyDescent="0.25">
      <c r="A1417">
        <v>3000006605</v>
      </c>
      <c r="B1417" s="22">
        <v>45964</v>
      </c>
      <c r="C1417" s="4">
        <v>38039625</v>
      </c>
      <c r="D1417" t="s">
        <v>804</v>
      </c>
      <c r="E1417">
        <v>1979</v>
      </c>
      <c r="F1417" s="4">
        <v>38039625</v>
      </c>
      <c r="G1417" s="22">
        <v>46014</v>
      </c>
      <c r="H1417" t="s">
        <v>32</v>
      </c>
      <c r="I1417" s="51" t="str">
        <f>IFERROR(IF(VLOOKUP(E1417,extracto!C:C,1,FALSE)=E1417,"pagado","no pagado"),"no pagado")</f>
        <v>pagado</v>
      </c>
      <c r="J1417" s="52" t="str">
        <f t="shared" si="648"/>
        <v>pagado</v>
      </c>
      <c r="K1417" s="51" t="str">
        <f t="shared" ca="1" si="649"/>
        <v>excluir</v>
      </c>
      <c r="L1417" s="51" t="str">
        <f t="shared" ca="1" si="650"/>
        <v>no semana</v>
      </c>
      <c r="M1417" s="51" t="str">
        <f>IFERROR(VLOOKUP(E1417,'cheques a conf'!A:D,4,FALSE),"no clearing")</f>
        <v>no clearing</v>
      </c>
      <c r="N1417" s="51">
        <f t="shared" si="651"/>
        <v>52</v>
      </c>
      <c r="O1417" s="53">
        <f t="shared" si="652"/>
        <v>12</v>
      </c>
      <c r="P1417" s="53">
        <f t="shared" si="653"/>
        <v>2025</v>
      </c>
    </row>
    <row r="1418" spans="1:16" x14ac:dyDescent="0.25">
      <c r="A1418">
        <v>3000006605</v>
      </c>
      <c r="B1418" s="22">
        <v>45964</v>
      </c>
      <c r="C1418" s="4">
        <v>38042804.490000002</v>
      </c>
      <c r="D1418" t="s">
        <v>804</v>
      </c>
      <c r="E1418">
        <v>1980</v>
      </c>
      <c r="F1418" s="4">
        <v>38042804.490000002</v>
      </c>
      <c r="G1418" s="22">
        <v>46045</v>
      </c>
      <c r="H1418" t="s">
        <v>32</v>
      </c>
      <c r="I1418" s="51" t="str">
        <f>IFERROR(IF(VLOOKUP(E1418,extracto!C:C,1,FALSE)=E1418,"pagado","no pagado"),"no pagado")</f>
        <v>pagado</v>
      </c>
      <c r="J1418" s="52" t="str">
        <f t="shared" si="648"/>
        <v>pagado</v>
      </c>
      <c r="K1418" s="51" t="str">
        <f t="shared" ca="1" si="649"/>
        <v>excluir</v>
      </c>
      <c r="L1418" s="51" t="str">
        <f t="shared" ca="1" si="650"/>
        <v>no semana</v>
      </c>
      <c r="M1418" s="51" t="str">
        <f>IFERROR(VLOOKUP(E1418,'cheques a conf'!A:D,4,FALSE),"no clearing")</f>
        <v>no clearing</v>
      </c>
      <c r="N1418" s="51">
        <f t="shared" si="651"/>
        <v>4</v>
      </c>
      <c r="O1418" s="53">
        <f t="shared" si="652"/>
        <v>1</v>
      </c>
      <c r="P1418" s="53">
        <f t="shared" si="653"/>
        <v>2026</v>
      </c>
    </row>
    <row r="1419" spans="1:16" x14ac:dyDescent="0.25">
      <c r="A1419" s="21">
        <v>3000006632</v>
      </c>
      <c r="B1419" s="22">
        <v>45965</v>
      </c>
      <c r="C1419" s="20">
        <v>9093781.1500000004</v>
      </c>
      <c r="D1419" s="21" t="s">
        <v>805</v>
      </c>
      <c r="E1419" s="21">
        <v>91002667</v>
      </c>
      <c r="F1419" s="20">
        <v>9093781.1500000004</v>
      </c>
      <c r="G1419" s="22">
        <v>45968</v>
      </c>
      <c r="H1419" t="s">
        <v>79</v>
      </c>
      <c r="I1419" s="51" t="str">
        <f>IFERROR(IF(VLOOKUP(E1419,extracto!C:C,1,FALSE)=E1419,"pagado","no pagado"),"no pagado")</f>
        <v>pagado</v>
      </c>
      <c r="J1419" s="52" t="str">
        <f t="shared" si="648"/>
        <v>pagado</v>
      </c>
      <c r="K1419" s="51" t="str">
        <f t="shared" ca="1" si="649"/>
        <v>excluir</v>
      </c>
      <c r="L1419" s="51" t="str">
        <f t="shared" ca="1" si="650"/>
        <v>no semana</v>
      </c>
      <c r="M1419" s="51" t="str">
        <f>IFERROR(VLOOKUP(E1419,'cheques a conf'!A:D,4,FALSE),"no clearing")</f>
        <v>no clearing</v>
      </c>
      <c r="N1419" s="51">
        <f t="shared" si="651"/>
        <v>45</v>
      </c>
      <c r="O1419" s="53">
        <f t="shared" si="652"/>
        <v>11</v>
      </c>
      <c r="P1419" s="53">
        <f t="shared" si="653"/>
        <v>2025</v>
      </c>
    </row>
    <row r="1420" spans="1:16" x14ac:dyDescent="0.25">
      <c r="A1420" s="21">
        <v>3000006633</v>
      </c>
      <c r="B1420" s="22">
        <v>45965</v>
      </c>
      <c r="C1420" s="20">
        <v>2281959.06</v>
      </c>
      <c r="D1420" s="21" t="s">
        <v>85</v>
      </c>
      <c r="E1420" s="21">
        <v>91002668</v>
      </c>
      <c r="F1420" s="20">
        <v>2281959.06</v>
      </c>
      <c r="G1420" s="22">
        <v>45971</v>
      </c>
      <c r="H1420" t="s">
        <v>79</v>
      </c>
      <c r="I1420" s="51" t="str">
        <f>IFERROR(IF(VLOOKUP(E1420,extracto!C:C,1,FALSE)=E1420,"pagado","no pagado"),"no pagado")</f>
        <v>pagado</v>
      </c>
      <c r="J1420" s="52" t="str">
        <f t="shared" ref="J1420:J1443" si="654">IF(I1420="pagado","pagado",IF(G1420&lt;$V$1-30,"fuera de fecha","en periodo de pago"))</f>
        <v>pagado</v>
      </c>
      <c r="K1420" s="51" t="str">
        <f t="shared" ref="K1420:K1443" ca="1" si="655">+IF(B1420&gt;$V$1,"excluir",IF(J1420="en periodo de pago",IF($V$1&gt;G1420,"a pagar","proximo a vencer"),"excluir"))</f>
        <v>excluir</v>
      </c>
      <c r="L1420" s="51" t="str">
        <f t="shared" ref="L1420:L1443" ca="1" si="656">+IF(K1420="proximo a vencer",IF($V$1+5&gt;G1420,"para la semana","no semana"),"no semana")</f>
        <v>no semana</v>
      </c>
      <c r="M1420" s="51" t="str">
        <f>IFERROR(VLOOKUP(E1420,'cheques a conf'!A:D,4,FALSE),"no clearing")</f>
        <v>no clearing</v>
      </c>
      <c r="N1420" s="51">
        <f t="shared" ref="N1420:N1443" si="657">+WEEKNUM(G1420,2)</f>
        <v>46</v>
      </c>
      <c r="O1420" s="53">
        <f t="shared" ref="O1420:O1443" si="658">+MONTH(G1420)</f>
        <v>11</v>
      </c>
      <c r="P1420" s="53">
        <f t="shared" ref="P1420:P1443" si="659">+YEAR(G1420)</f>
        <v>2025</v>
      </c>
    </row>
    <row r="1421" spans="1:16" x14ac:dyDescent="0.25">
      <c r="A1421" s="21">
        <v>3000006634</v>
      </c>
      <c r="B1421" s="22">
        <v>45965</v>
      </c>
      <c r="C1421" s="20">
        <v>1004615.39</v>
      </c>
      <c r="D1421" s="21" t="s">
        <v>695</v>
      </c>
      <c r="E1421" s="21">
        <v>91002669</v>
      </c>
      <c r="F1421" s="20">
        <v>1004615.39</v>
      </c>
      <c r="G1421" s="22">
        <v>45971</v>
      </c>
      <c r="H1421" t="s">
        <v>79</v>
      </c>
      <c r="I1421" s="51" t="str">
        <f>IFERROR(IF(VLOOKUP(E1421,extracto!C:C,1,FALSE)=E1421,"pagado","no pagado"),"no pagado")</f>
        <v>pagado</v>
      </c>
      <c r="J1421" s="52" t="str">
        <f t="shared" si="654"/>
        <v>pagado</v>
      </c>
      <c r="K1421" s="51" t="str">
        <f t="shared" ca="1" si="655"/>
        <v>excluir</v>
      </c>
      <c r="L1421" s="51" t="str">
        <f t="shared" ca="1" si="656"/>
        <v>no semana</v>
      </c>
      <c r="M1421" s="51" t="str">
        <f>IFERROR(VLOOKUP(E1421,'cheques a conf'!A:D,4,FALSE),"no clearing")</f>
        <v>no clearing</v>
      </c>
      <c r="N1421" s="51">
        <f t="shared" si="657"/>
        <v>46</v>
      </c>
      <c r="O1421" s="53">
        <f t="shared" si="658"/>
        <v>11</v>
      </c>
      <c r="P1421" s="53">
        <f t="shared" si="659"/>
        <v>2025</v>
      </c>
    </row>
    <row r="1422" spans="1:16" x14ac:dyDescent="0.25">
      <c r="A1422" s="21">
        <v>3000006635</v>
      </c>
      <c r="B1422" s="22">
        <v>45965</v>
      </c>
      <c r="C1422" s="20">
        <v>4260111.08</v>
      </c>
      <c r="D1422" s="21" t="s">
        <v>642</v>
      </c>
      <c r="E1422" s="21">
        <v>91002670</v>
      </c>
      <c r="F1422" s="20">
        <v>4260111.08</v>
      </c>
      <c r="G1422" s="22">
        <v>45971</v>
      </c>
      <c r="H1422" t="s">
        <v>79</v>
      </c>
      <c r="I1422" s="51" t="str">
        <f>IFERROR(IF(VLOOKUP(E1422,extracto!C:C,1,FALSE)=E1422,"pagado","no pagado"),"no pagado")</f>
        <v>pagado</v>
      </c>
      <c r="J1422" s="52" t="str">
        <f t="shared" si="654"/>
        <v>pagado</v>
      </c>
      <c r="K1422" s="51" t="str">
        <f t="shared" ca="1" si="655"/>
        <v>excluir</v>
      </c>
      <c r="L1422" s="51" t="str">
        <f t="shared" ca="1" si="656"/>
        <v>no semana</v>
      </c>
      <c r="M1422" s="51" t="str">
        <f>IFERROR(VLOOKUP(E1422,'cheques a conf'!A:D,4,FALSE),"no clearing")</f>
        <v>no clearing</v>
      </c>
      <c r="N1422" s="51">
        <f t="shared" si="657"/>
        <v>46</v>
      </c>
      <c r="O1422" s="53">
        <f t="shared" si="658"/>
        <v>11</v>
      </c>
      <c r="P1422" s="53">
        <f t="shared" si="659"/>
        <v>2025</v>
      </c>
    </row>
    <row r="1423" spans="1:16" x14ac:dyDescent="0.25">
      <c r="A1423" s="21">
        <v>3000006636</v>
      </c>
      <c r="B1423" s="22">
        <v>45965</v>
      </c>
      <c r="C1423" s="20">
        <v>10797909.710000001</v>
      </c>
      <c r="D1423" s="21" t="s">
        <v>613</v>
      </c>
      <c r="E1423" s="21">
        <v>91002671</v>
      </c>
      <c r="F1423" s="20">
        <v>10797909.710000001</v>
      </c>
      <c r="G1423" s="22">
        <v>45971</v>
      </c>
      <c r="H1423" t="s">
        <v>79</v>
      </c>
      <c r="I1423" s="51" t="str">
        <f>IFERROR(IF(VLOOKUP(E1423,extracto!C:C,1,FALSE)=E1423,"pagado","no pagado"),"no pagado")</f>
        <v>pagado</v>
      </c>
      <c r="J1423" s="52" t="str">
        <f t="shared" si="654"/>
        <v>pagado</v>
      </c>
      <c r="K1423" s="51" t="str">
        <f t="shared" ca="1" si="655"/>
        <v>excluir</v>
      </c>
      <c r="L1423" s="51" t="str">
        <f t="shared" ca="1" si="656"/>
        <v>no semana</v>
      </c>
      <c r="M1423" s="51" t="str">
        <f>IFERROR(VLOOKUP(E1423,'cheques a conf'!A:D,4,FALSE),"no clearing")</f>
        <v>no clearing</v>
      </c>
      <c r="N1423" s="51">
        <f t="shared" si="657"/>
        <v>46</v>
      </c>
      <c r="O1423" s="53">
        <f t="shared" si="658"/>
        <v>11</v>
      </c>
      <c r="P1423" s="53">
        <f t="shared" si="659"/>
        <v>2025</v>
      </c>
    </row>
    <row r="1424" spans="1:16" x14ac:dyDescent="0.25">
      <c r="A1424" s="21">
        <v>3000006637</v>
      </c>
      <c r="B1424" s="22">
        <v>45965</v>
      </c>
      <c r="C1424" s="20">
        <v>2116675.71</v>
      </c>
      <c r="D1424" s="21" t="s">
        <v>623</v>
      </c>
      <c r="E1424" s="21">
        <v>91002672</v>
      </c>
      <c r="F1424" s="20">
        <v>2116675.71</v>
      </c>
      <c r="G1424" s="22">
        <v>45971</v>
      </c>
      <c r="H1424" t="s">
        <v>79</v>
      </c>
      <c r="I1424" s="51" t="str">
        <f>IFERROR(IF(VLOOKUP(E1424,extracto!C:C,1,FALSE)=E1424,"pagado","no pagado"),"no pagado")</f>
        <v>pagado</v>
      </c>
      <c r="J1424" s="52" t="str">
        <f t="shared" si="654"/>
        <v>pagado</v>
      </c>
      <c r="K1424" s="51" t="str">
        <f t="shared" ca="1" si="655"/>
        <v>excluir</v>
      </c>
      <c r="L1424" s="51" t="str">
        <f t="shared" ca="1" si="656"/>
        <v>no semana</v>
      </c>
      <c r="M1424" s="51" t="str">
        <f>IFERROR(VLOOKUP(E1424,'cheques a conf'!A:D,4,FALSE),"no clearing")</f>
        <v>no clearing</v>
      </c>
      <c r="N1424" s="51">
        <f t="shared" si="657"/>
        <v>46</v>
      </c>
      <c r="O1424" s="53">
        <f t="shared" si="658"/>
        <v>11</v>
      </c>
      <c r="P1424" s="53">
        <f t="shared" si="659"/>
        <v>2025</v>
      </c>
    </row>
    <row r="1425" spans="1:16" x14ac:dyDescent="0.25">
      <c r="A1425" s="21">
        <v>3000006638</v>
      </c>
      <c r="B1425" s="22">
        <v>45965</v>
      </c>
      <c r="C1425" s="20">
        <v>2116675.71</v>
      </c>
      <c r="D1425" s="21" t="s">
        <v>619</v>
      </c>
      <c r="E1425" s="21">
        <v>91002673</v>
      </c>
      <c r="F1425" s="20">
        <v>2116675.71</v>
      </c>
      <c r="G1425" s="22">
        <v>45971</v>
      </c>
      <c r="H1425" t="s">
        <v>79</v>
      </c>
      <c r="I1425" s="51" t="str">
        <f>IFERROR(IF(VLOOKUP(E1425,extracto!C:C,1,FALSE)=E1425,"pagado","no pagado"),"no pagado")</f>
        <v>pagado</v>
      </c>
      <c r="J1425" s="52" t="str">
        <f t="shared" si="654"/>
        <v>pagado</v>
      </c>
      <c r="K1425" s="51" t="str">
        <f t="shared" ca="1" si="655"/>
        <v>excluir</v>
      </c>
      <c r="L1425" s="51" t="str">
        <f t="shared" ca="1" si="656"/>
        <v>no semana</v>
      </c>
      <c r="M1425" s="51" t="str">
        <f>IFERROR(VLOOKUP(E1425,'cheques a conf'!A:D,4,FALSE),"no clearing")</f>
        <v>no clearing</v>
      </c>
      <c r="N1425" s="51">
        <f t="shared" si="657"/>
        <v>46</v>
      </c>
      <c r="O1425" s="53">
        <f t="shared" si="658"/>
        <v>11</v>
      </c>
      <c r="P1425" s="53">
        <f t="shared" si="659"/>
        <v>2025</v>
      </c>
    </row>
    <row r="1426" spans="1:16" x14ac:dyDescent="0.25">
      <c r="A1426" s="21">
        <v>3000006639</v>
      </c>
      <c r="B1426" s="22">
        <v>45965</v>
      </c>
      <c r="C1426" s="20">
        <v>2130139.5</v>
      </c>
      <c r="D1426" s="21" t="s">
        <v>612</v>
      </c>
      <c r="E1426" s="21">
        <v>91002674</v>
      </c>
      <c r="F1426" s="20">
        <v>2130139.5</v>
      </c>
      <c r="G1426" s="22">
        <v>45971</v>
      </c>
      <c r="H1426" t="s">
        <v>79</v>
      </c>
      <c r="I1426" s="51" t="str">
        <f>IFERROR(IF(VLOOKUP(E1426,extracto!C:C,1,FALSE)=E1426,"pagado","no pagado"),"no pagado")</f>
        <v>pagado</v>
      </c>
      <c r="J1426" s="52" t="str">
        <f t="shared" si="654"/>
        <v>pagado</v>
      </c>
      <c r="K1426" s="51" t="str">
        <f t="shared" ca="1" si="655"/>
        <v>excluir</v>
      </c>
      <c r="L1426" s="51" t="str">
        <f t="shared" ca="1" si="656"/>
        <v>no semana</v>
      </c>
      <c r="M1426" s="51" t="str">
        <f>IFERROR(VLOOKUP(E1426,'cheques a conf'!A:D,4,FALSE),"no clearing")</f>
        <v>no clearing</v>
      </c>
      <c r="N1426" s="51">
        <f t="shared" si="657"/>
        <v>46</v>
      </c>
      <c r="O1426" s="53">
        <f t="shared" si="658"/>
        <v>11</v>
      </c>
      <c r="P1426" s="53">
        <f t="shared" si="659"/>
        <v>2025</v>
      </c>
    </row>
    <row r="1427" spans="1:16" x14ac:dyDescent="0.25">
      <c r="A1427" s="21">
        <v>3000006640</v>
      </c>
      <c r="B1427" s="22">
        <v>45965</v>
      </c>
      <c r="C1427" s="20">
        <v>2479835.46</v>
      </c>
      <c r="D1427" s="21" t="s">
        <v>618</v>
      </c>
      <c r="E1427" s="21">
        <v>91002675</v>
      </c>
      <c r="F1427" s="20">
        <v>2479835.46</v>
      </c>
      <c r="G1427" s="22">
        <v>45971</v>
      </c>
      <c r="H1427" t="s">
        <v>79</v>
      </c>
      <c r="I1427" s="51" t="str">
        <f>IFERROR(IF(VLOOKUP(E1427,extracto!C:C,1,FALSE)=E1427,"pagado","no pagado"),"no pagado")</f>
        <v>pagado</v>
      </c>
      <c r="J1427" s="52" t="str">
        <f t="shared" si="654"/>
        <v>pagado</v>
      </c>
      <c r="K1427" s="51" t="str">
        <f t="shared" ca="1" si="655"/>
        <v>excluir</v>
      </c>
      <c r="L1427" s="51" t="str">
        <f t="shared" ca="1" si="656"/>
        <v>no semana</v>
      </c>
      <c r="M1427" s="51" t="str">
        <f>IFERROR(VLOOKUP(E1427,'cheques a conf'!A:D,4,FALSE),"no clearing")</f>
        <v>no clearing</v>
      </c>
      <c r="N1427" s="51">
        <f t="shared" si="657"/>
        <v>46</v>
      </c>
      <c r="O1427" s="53">
        <f t="shared" si="658"/>
        <v>11</v>
      </c>
      <c r="P1427" s="53">
        <f t="shared" si="659"/>
        <v>2025</v>
      </c>
    </row>
    <row r="1428" spans="1:16" x14ac:dyDescent="0.25">
      <c r="A1428" s="21">
        <v>3000006641</v>
      </c>
      <c r="B1428" s="22">
        <v>45965</v>
      </c>
      <c r="C1428" s="20">
        <v>2817243.4</v>
      </c>
      <c r="D1428" s="21" t="s">
        <v>606</v>
      </c>
      <c r="E1428" s="21">
        <v>91002676</v>
      </c>
      <c r="F1428" s="20">
        <v>2817243.4</v>
      </c>
      <c r="G1428" s="22">
        <v>45971</v>
      </c>
      <c r="H1428" t="s">
        <v>79</v>
      </c>
      <c r="I1428" s="51" t="str">
        <f>IFERROR(IF(VLOOKUP(E1428,extracto!C:C,1,FALSE)=E1428,"pagado","no pagado"),"no pagado")</f>
        <v>pagado</v>
      </c>
      <c r="J1428" s="52" t="str">
        <f t="shared" si="654"/>
        <v>pagado</v>
      </c>
      <c r="K1428" s="51" t="str">
        <f t="shared" ca="1" si="655"/>
        <v>excluir</v>
      </c>
      <c r="L1428" s="51" t="str">
        <f t="shared" ca="1" si="656"/>
        <v>no semana</v>
      </c>
      <c r="M1428" s="51" t="str">
        <f>IFERROR(VLOOKUP(E1428,'cheques a conf'!A:D,4,FALSE),"no clearing")</f>
        <v>no clearing</v>
      </c>
      <c r="N1428" s="51">
        <f t="shared" si="657"/>
        <v>46</v>
      </c>
      <c r="O1428" s="53">
        <f t="shared" si="658"/>
        <v>11</v>
      </c>
      <c r="P1428" s="53">
        <f t="shared" si="659"/>
        <v>2025</v>
      </c>
    </row>
    <row r="1429" spans="1:16" x14ac:dyDescent="0.25">
      <c r="A1429" s="21">
        <v>3000006642</v>
      </c>
      <c r="B1429" s="22">
        <v>45966</v>
      </c>
      <c r="C1429" s="20">
        <v>531975.6</v>
      </c>
      <c r="D1429" s="21" t="s">
        <v>256</v>
      </c>
      <c r="E1429" s="21">
        <v>91002677</v>
      </c>
      <c r="F1429" s="20">
        <v>531975.6</v>
      </c>
      <c r="G1429" s="22">
        <v>45974</v>
      </c>
      <c r="H1429" t="s">
        <v>79</v>
      </c>
      <c r="I1429" s="51" t="str">
        <f>IFERROR(IF(VLOOKUP(E1429,extracto!C:C,1,FALSE)=E1429,"pagado","no pagado"),"no pagado")</f>
        <v>pagado</v>
      </c>
      <c r="J1429" s="52" t="str">
        <f t="shared" si="654"/>
        <v>pagado</v>
      </c>
      <c r="K1429" s="51" t="str">
        <f t="shared" ca="1" si="655"/>
        <v>excluir</v>
      </c>
      <c r="L1429" s="51" t="str">
        <f t="shared" ca="1" si="656"/>
        <v>no semana</v>
      </c>
      <c r="M1429" s="51" t="str">
        <f>IFERROR(VLOOKUP(E1429,'cheques a conf'!A:D,4,FALSE),"no clearing")</f>
        <v>no clearing</v>
      </c>
      <c r="N1429" s="51">
        <f t="shared" si="657"/>
        <v>46</v>
      </c>
      <c r="O1429" s="53">
        <f t="shared" si="658"/>
        <v>11</v>
      </c>
      <c r="P1429" s="53">
        <f t="shared" si="659"/>
        <v>2025</v>
      </c>
    </row>
    <row r="1430" spans="1:16" x14ac:dyDescent="0.25">
      <c r="A1430">
        <v>3000006737</v>
      </c>
      <c r="B1430" s="3">
        <v>45971</v>
      </c>
      <c r="C1430" s="4">
        <v>4389249.3</v>
      </c>
      <c r="D1430" t="s">
        <v>86</v>
      </c>
      <c r="E1430">
        <v>91002678</v>
      </c>
      <c r="F1430" s="4">
        <v>4389249.3</v>
      </c>
      <c r="G1430" s="3">
        <v>45974</v>
      </c>
      <c r="H1430" t="s">
        <v>79</v>
      </c>
      <c r="I1430" s="51" t="str">
        <f>IFERROR(IF(VLOOKUP(E1430,extracto!C:C,1,FALSE)=E1430,"pagado","no pagado"),"no pagado")</f>
        <v>pagado</v>
      </c>
      <c r="J1430" s="52" t="str">
        <f t="shared" si="654"/>
        <v>pagado</v>
      </c>
      <c r="K1430" s="51" t="str">
        <f t="shared" ca="1" si="655"/>
        <v>excluir</v>
      </c>
      <c r="L1430" s="51" t="str">
        <f t="shared" ca="1" si="656"/>
        <v>no semana</v>
      </c>
      <c r="M1430" s="51" t="str">
        <f>IFERROR(VLOOKUP(E1430,'cheques a conf'!A:D,4,FALSE),"no clearing")</f>
        <v>no clearing</v>
      </c>
      <c r="N1430" s="51">
        <f t="shared" si="657"/>
        <v>46</v>
      </c>
      <c r="O1430" s="53">
        <f t="shared" si="658"/>
        <v>11</v>
      </c>
      <c r="P1430" s="53">
        <f t="shared" si="659"/>
        <v>2025</v>
      </c>
    </row>
    <row r="1431" spans="1:16" x14ac:dyDescent="0.25">
      <c r="A1431">
        <v>3000006738</v>
      </c>
      <c r="B1431" s="3">
        <v>45971</v>
      </c>
      <c r="C1431" s="4">
        <v>21785811</v>
      </c>
      <c r="D1431" t="s">
        <v>74</v>
      </c>
      <c r="E1431">
        <v>91002679</v>
      </c>
      <c r="F1431" s="4">
        <v>21785811</v>
      </c>
      <c r="G1431" s="3">
        <v>45974</v>
      </c>
      <c r="H1431" t="s">
        <v>79</v>
      </c>
      <c r="I1431" s="51" t="str">
        <f>IFERROR(IF(VLOOKUP(E1431,extracto!C:C,1,FALSE)=E1431,"pagado","no pagado"),"no pagado")</f>
        <v>pagado</v>
      </c>
      <c r="J1431" s="52" t="str">
        <f t="shared" si="654"/>
        <v>pagado</v>
      </c>
      <c r="K1431" s="51" t="str">
        <f t="shared" ca="1" si="655"/>
        <v>excluir</v>
      </c>
      <c r="L1431" s="51" t="str">
        <f t="shared" ca="1" si="656"/>
        <v>no semana</v>
      </c>
      <c r="M1431" s="51" t="str">
        <f>IFERROR(VLOOKUP(E1431,'cheques a conf'!A:D,4,FALSE),"no clearing")</f>
        <v>no clearing</v>
      </c>
      <c r="N1431" s="51">
        <f t="shared" si="657"/>
        <v>46</v>
      </c>
      <c r="O1431" s="53">
        <f t="shared" si="658"/>
        <v>11</v>
      </c>
      <c r="P1431" s="53">
        <f t="shared" si="659"/>
        <v>2025</v>
      </c>
    </row>
    <row r="1432" spans="1:16" x14ac:dyDescent="0.25">
      <c r="A1432">
        <v>3000006739</v>
      </c>
      <c r="B1432" s="3">
        <v>45971</v>
      </c>
      <c r="C1432" s="4">
        <v>2009038.5</v>
      </c>
      <c r="D1432" t="s">
        <v>182</v>
      </c>
      <c r="E1432">
        <v>91002680</v>
      </c>
      <c r="F1432" s="4">
        <v>2009038.5</v>
      </c>
      <c r="G1432" s="3">
        <v>45974</v>
      </c>
      <c r="H1432" t="s">
        <v>79</v>
      </c>
      <c r="I1432" s="51" t="str">
        <f>IFERROR(IF(VLOOKUP(E1432,extracto!C:C,1,FALSE)=E1432,"pagado","no pagado"),"no pagado")</f>
        <v>pagado</v>
      </c>
      <c r="J1432" s="52" t="str">
        <f t="shared" si="654"/>
        <v>pagado</v>
      </c>
      <c r="K1432" s="51" t="str">
        <f t="shared" ca="1" si="655"/>
        <v>excluir</v>
      </c>
      <c r="L1432" s="51" t="str">
        <f t="shared" ca="1" si="656"/>
        <v>no semana</v>
      </c>
      <c r="M1432" s="51" t="str">
        <f>IFERROR(VLOOKUP(E1432,'cheques a conf'!A:D,4,FALSE),"no clearing")</f>
        <v>no clearing</v>
      </c>
      <c r="N1432" s="51">
        <f t="shared" si="657"/>
        <v>46</v>
      </c>
      <c r="O1432" s="53">
        <f t="shared" si="658"/>
        <v>11</v>
      </c>
      <c r="P1432" s="53">
        <f t="shared" si="659"/>
        <v>2025</v>
      </c>
    </row>
    <row r="1433" spans="1:16" x14ac:dyDescent="0.25">
      <c r="A1433">
        <v>3000006740</v>
      </c>
      <c r="B1433" s="3">
        <v>45971</v>
      </c>
      <c r="C1433" s="4">
        <v>39545843.399999999</v>
      </c>
      <c r="D1433" t="s">
        <v>629</v>
      </c>
      <c r="E1433">
        <v>91002681</v>
      </c>
      <c r="F1433" s="4">
        <v>39545843.399999999</v>
      </c>
      <c r="G1433" s="3">
        <v>45974</v>
      </c>
      <c r="H1433" t="s">
        <v>79</v>
      </c>
      <c r="I1433" s="51" t="str">
        <f>IFERROR(IF(VLOOKUP(E1433,extracto!C:C,1,FALSE)=E1433,"pagado","no pagado"),"no pagado")</f>
        <v>pagado</v>
      </c>
      <c r="J1433" s="52" t="str">
        <f t="shared" si="654"/>
        <v>pagado</v>
      </c>
      <c r="K1433" s="51" t="str">
        <f t="shared" ca="1" si="655"/>
        <v>excluir</v>
      </c>
      <c r="L1433" s="51" t="str">
        <f t="shared" ca="1" si="656"/>
        <v>no semana</v>
      </c>
      <c r="M1433" s="51" t="str">
        <f>IFERROR(VLOOKUP(E1433,'cheques a conf'!A:D,4,FALSE),"no clearing")</f>
        <v>no clearing</v>
      </c>
      <c r="N1433" s="51">
        <f t="shared" si="657"/>
        <v>46</v>
      </c>
      <c r="O1433" s="53">
        <f t="shared" si="658"/>
        <v>11</v>
      </c>
      <c r="P1433" s="53">
        <f t="shared" si="659"/>
        <v>2025</v>
      </c>
    </row>
    <row r="1434" spans="1:16" x14ac:dyDescent="0.25">
      <c r="A1434">
        <v>3000006741</v>
      </c>
      <c r="B1434" s="3">
        <v>45971</v>
      </c>
      <c r="C1434" s="4">
        <v>9920667.9900000002</v>
      </c>
      <c r="D1434" t="s">
        <v>681</v>
      </c>
      <c r="E1434">
        <v>91002682</v>
      </c>
      <c r="F1434" s="4">
        <v>9920667.9900000002</v>
      </c>
      <c r="G1434" s="3">
        <v>45974</v>
      </c>
      <c r="H1434" t="s">
        <v>79</v>
      </c>
      <c r="I1434" s="51" t="str">
        <f>IFERROR(IF(VLOOKUP(E1434,extracto!C:C,1,FALSE)=E1434,"pagado","no pagado"),"no pagado")</f>
        <v>pagado</v>
      </c>
      <c r="J1434" s="52" t="str">
        <f t="shared" si="654"/>
        <v>pagado</v>
      </c>
      <c r="K1434" s="51" t="str">
        <f t="shared" ca="1" si="655"/>
        <v>excluir</v>
      </c>
      <c r="L1434" s="51" t="str">
        <f t="shared" ca="1" si="656"/>
        <v>no semana</v>
      </c>
      <c r="M1434" s="51" t="str">
        <f>IFERROR(VLOOKUP(E1434,'cheques a conf'!A:D,4,FALSE),"no clearing")</f>
        <v>no clearing</v>
      </c>
      <c r="N1434" s="51">
        <f t="shared" si="657"/>
        <v>46</v>
      </c>
      <c r="O1434" s="53">
        <f t="shared" si="658"/>
        <v>11</v>
      </c>
      <c r="P1434" s="53">
        <f t="shared" si="659"/>
        <v>2025</v>
      </c>
    </row>
    <row r="1435" spans="1:16" x14ac:dyDescent="0.25">
      <c r="A1435">
        <v>3000006742</v>
      </c>
      <c r="B1435" s="3">
        <v>45971</v>
      </c>
      <c r="C1435" s="4">
        <v>6646368.8399999999</v>
      </c>
      <c r="D1435" t="s">
        <v>639</v>
      </c>
      <c r="E1435">
        <v>91002683</v>
      </c>
      <c r="F1435" s="4">
        <v>6646368.8399999999</v>
      </c>
      <c r="G1435" s="3">
        <v>45974</v>
      </c>
      <c r="H1435" t="s">
        <v>79</v>
      </c>
      <c r="I1435" s="51" t="str">
        <f>IFERROR(IF(VLOOKUP(E1435,extracto!C:C,1,FALSE)=E1435,"pagado","no pagado"),"no pagado")</f>
        <v>pagado</v>
      </c>
      <c r="J1435" s="52" t="str">
        <f t="shared" si="654"/>
        <v>pagado</v>
      </c>
      <c r="K1435" s="51" t="str">
        <f t="shared" ca="1" si="655"/>
        <v>excluir</v>
      </c>
      <c r="L1435" s="51" t="str">
        <f t="shared" ca="1" si="656"/>
        <v>no semana</v>
      </c>
      <c r="M1435" s="51" t="str">
        <f>IFERROR(VLOOKUP(E1435,'cheques a conf'!A:D,4,FALSE),"no clearing")</f>
        <v>no clearing</v>
      </c>
      <c r="N1435" s="51">
        <f t="shared" si="657"/>
        <v>46</v>
      </c>
      <c r="O1435" s="53">
        <f t="shared" si="658"/>
        <v>11</v>
      </c>
      <c r="P1435" s="53">
        <f t="shared" si="659"/>
        <v>2025</v>
      </c>
    </row>
    <row r="1436" spans="1:16" x14ac:dyDescent="0.25">
      <c r="A1436">
        <v>3000006743</v>
      </c>
      <c r="B1436" s="3">
        <v>45971</v>
      </c>
      <c r="C1436" s="4">
        <v>11332905.9</v>
      </c>
      <c r="D1436" t="s">
        <v>637</v>
      </c>
      <c r="E1436">
        <v>91002684</v>
      </c>
      <c r="F1436" s="4">
        <v>11332905.9</v>
      </c>
      <c r="G1436" s="3">
        <v>45974</v>
      </c>
      <c r="H1436" t="s">
        <v>79</v>
      </c>
      <c r="I1436" s="51" t="str">
        <f>IFERROR(IF(VLOOKUP(E1436,extracto!C:C,1,FALSE)=E1436,"pagado","no pagado"),"no pagado")</f>
        <v>pagado</v>
      </c>
      <c r="J1436" s="52" t="str">
        <f t="shared" si="654"/>
        <v>pagado</v>
      </c>
      <c r="K1436" s="51" t="str">
        <f t="shared" ca="1" si="655"/>
        <v>excluir</v>
      </c>
      <c r="L1436" s="51" t="str">
        <f t="shared" ca="1" si="656"/>
        <v>no semana</v>
      </c>
      <c r="M1436" s="51" t="str">
        <f>IFERROR(VLOOKUP(E1436,'cheques a conf'!A:D,4,FALSE),"no clearing")</f>
        <v>no clearing</v>
      </c>
      <c r="N1436" s="51">
        <f t="shared" si="657"/>
        <v>46</v>
      </c>
      <c r="O1436" s="53">
        <f t="shared" si="658"/>
        <v>11</v>
      </c>
      <c r="P1436" s="53">
        <f t="shared" si="659"/>
        <v>2025</v>
      </c>
    </row>
    <row r="1437" spans="1:16" x14ac:dyDescent="0.25">
      <c r="A1437">
        <v>3000006744</v>
      </c>
      <c r="B1437" s="3">
        <v>45971</v>
      </c>
      <c r="C1437" s="4">
        <v>257392138.49000001</v>
      </c>
      <c r="D1437" t="s">
        <v>29</v>
      </c>
      <c r="E1437">
        <v>91002685</v>
      </c>
      <c r="F1437" s="4">
        <v>257392138.49000001</v>
      </c>
      <c r="G1437" s="3">
        <v>45974</v>
      </c>
      <c r="H1437" t="s">
        <v>79</v>
      </c>
      <c r="I1437" s="51" t="str">
        <f>IFERROR(IF(VLOOKUP(E1437,extracto!C:C,1,FALSE)=E1437,"pagado","no pagado"),"no pagado")</f>
        <v>pagado</v>
      </c>
      <c r="J1437" s="52" t="str">
        <f t="shared" si="654"/>
        <v>pagado</v>
      </c>
      <c r="K1437" s="51" t="str">
        <f t="shared" ca="1" si="655"/>
        <v>excluir</v>
      </c>
      <c r="L1437" s="51" t="str">
        <f t="shared" ca="1" si="656"/>
        <v>no semana</v>
      </c>
      <c r="M1437" s="51" t="str">
        <f>IFERROR(VLOOKUP(E1437,'cheques a conf'!A:D,4,FALSE),"no clearing")</f>
        <v>no clearing</v>
      </c>
      <c r="N1437" s="51">
        <f t="shared" si="657"/>
        <v>46</v>
      </c>
      <c r="O1437" s="53">
        <f t="shared" si="658"/>
        <v>11</v>
      </c>
      <c r="P1437" s="53">
        <f t="shared" si="659"/>
        <v>2025</v>
      </c>
    </row>
    <row r="1438" spans="1:16" x14ac:dyDescent="0.25">
      <c r="A1438">
        <v>3000006765</v>
      </c>
      <c r="B1438" s="3">
        <v>45972</v>
      </c>
      <c r="C1438" s="4">
        <v>16617614.359999999</v>
      </c>
      <c r="D1438" t="s">
        <v>596</v>
      </c>
      <c r="E1438">
        <v>91002686</v>
      </c>
      <c r="F1438" s="4">
        <v>16617614.359999999</v>
      </c>
      <c r="G1438" s="3">
        <v>45975</v>
      </c>
      <c r="H1438" t="s">
        <v>79</v>
      </c>
      <c r="I1438" s="51" t="str">
        <f>IFERROR(IF(VLOOKUP(E1438,extracto!C:C,1,FALSE)=E1438,"pagado","no pagado"),"no pagado")</f>
        <v>pagado</v>
      </c>
      <c r="J1438" s="52" t="str">
        <f t="shared" si="654"/>
        <v>pagado</v>
      </c>
      <c r="K1438" s="51" t="str">
        <f t="shared" ca="1" si="655"/>
        <v>excluir</v>
      </c>
      <c r="L1438" s="51" t="str">
        <f t="shared" ca="1" si="656"/>
        <v>no semana</v>
      </c>
      <c r="M1438" s="51" t="str">
        <f>IFERROR(VLOOKUP(E1438,'cheques a conf'!A:D,4,FALSE),"no clearing")</f>
        <v>no clearing</v>
      </c>
      <c r="N1438" s="51">
        <f t="shared" si="657"/>
        <v>46</v>
      </c>
      <c r="O1438" s="53">
        <f t="shared" si="658"/>
        <v>11</v>
      </c>
      <c r="P1438" s="53">
        <f t="shared" si="659"/>
        <v>2025</v>
      </c>
    </row>
    <row r="1439" spans="1:16" x14ac:dyDescent="0.25">
      <c r="A1439">
        <v>3000006767</v>
      </c>
      <c r="B1439" s="3">
        <v>45972</v>
      </c>
      <c r="C1439" s="4">
        <v>30711064.57</v>
      </c>
      <c r="D1439" t="s">
        <v>597</v>
      </c>
      <c r="E1439">
        <v>91002687</v>
      </c>
      <c r="F1439" s="4">
        <v>30711064.57</v>
      </c>
      <c r="G1439" s="3">
        <v>45974</v>
      </c>
      <c r="H1439" t="s">
        <v>79</v>
      </c>
      <c r="I1439" s="51" t="str">
        <f>IFERROR(IF(VLOOKUP(E1439,extracto!C:C,1,FALSE)=E1439,"pagado","no pagado"),"no pagado")</f>
        <v>pagado</v>
      </c>
      <c r="J1439" s="52" t="str">
        <f t="shared" si="654"/>
        <v>pagado</v>
      </c>
      <c r="K1439" s="51" t="str">
        <f t="shared" ca="1" si="655"/>
        <v>excluir</v>
      </c>
      <c r="L1439" s="51" t="str">
        <f t="shared" ca="1" si="656"/>
        <v>no semana</v>
      </c>
      <c r="M1439" s="51" t="str">
        <f>IFERROR(VLOOKUP(E1439,'cheques a conf'!A:D,4,FALSE),"no clearing")</f>
        <v>no clearing</v>
      </c>
      <c r="N1439" s="51">
        <f t="shared" si="657"/>
        <v>46</v>
      </c>
      <c r="O1439" s="53">
        <f t="shared" si="658"/>
        <v>11</v>
      </c>
      <c r="P1439" s="53">
        <f t="shared" si="659"/>
        <v>2025</v>
      </c>
    </row>
    <row r="1440" spans="1:16" x14ac:dyDescent="0.25">
      <c r="A1440">
        <v>3000006768</v>
      </c>
      <c r="B1440" s="3">
        <v>45972</v>
      </c>
      <c r="C1440" s="4">
        <v>2064992.85</v>
      </c>
      <c r="D1440" t="s">
        <v>693</v>
      </c>
      <c r="E1440">
        <v>91002688</v>
      </c>
      <c r="F1440" s="4">
        <v>2064992.85</v>
      </c>
      <c r="G1440" s="3">
        <v>45975</v>
      </c>
      <c r="H1440" t="s">
        <v>79</v>
      </c>
      <c r="I1440" s="51" t="str">
        <f>IFERROR(IF(VLOOKUP(E1440,extracto!C:C,1,FALSE)=E1440,"pagado","no pagado"),"no pagado")</f>
        <v>pagado</v>
      </c>
      <c r="J1440" s="52" t="str">
        <f t="shared" si="654"/>
        <v>pagado</v>
      </c>
      <c r="K1440" s="51" t="str">
        <f t="shared" ca="1" si="655"/>
        <v>excluir</v>
      </c>
      <c r="L1440" s="51" t="str">
        <f t="shared" ca="1" si="656"/>
        <v>no semana</v>
      </c>
      <c r="M1440" s="51" t="str">
        <f>IFERROR(VLOOKUP(E1440,'cheques a conf'!A:D,4,FALSE),"no clearing")</f>
        <v>no clearing</v>
      </c>
      <c r="N1440" s="51">
        <f t="shared" si="657"/>
        <v>46</v>
      </c>
      <c r="O1440" s="53">
        <f t="shared" si="658"/>
        <v>11</v>
      </c>
      <c r="P1440" s="53">
        <f t="shared" si="659"/>
        <v>2025</v>
      </c>
    </row>
    <row r="1441" spans="1:16" x14ac:dyDescent="0.25">
      <c r="A1441">
        <v>3000006769</v>
      </c>
      <c r="B1441" s="3">
        <v>45972</v>
      </c>
      <c r="C1441" s="4">
        <v>2845626.36</v>
      </c>
      <c r="D1441" t="s">
        <v>662</v>
      </c>
      <c r="E1441">
        <v>91002689</v>
      </c>
      <c r="F1441" s="4">
        <v>2845626.36</v>
      </c>
      <c r="G1441" s="3">
        <v>45975</v>
      </c>
      <c r="H1441" t="s">
        <v>79</v>
      </c>
      <c r="I1441" s="51" t="str">
        <f>IFERROR(IF(VLOOKUP(E1441,extracto!C:C,1,FALSE)=E1441,"pagado","no pagado"),"no pagado")</f>
        <v>pagado</v>
      </c>
      <c r="J1441" s="52" t="str">
        <f t="shared" si="654"/>
        <v>pagado</v>
      </c>
      <c r="K1441" s="51" t="str">
        <f t="shared" ca="1" si="655"/>
        <v>excluir</v>
      </c>
      <c r="L1441" s="51" t="str">
        <f t="shared" ca="1" si="656"/>
        <v>no semana</v>
      </c>
      <c r="M1441" s="51" t="str">
        <f>IFERROR(VLOOKUP(E1441,'cheques a conf'!A:D,4,FALSE),"no clearing")</f>
        <v>no clearing</v>
      </c>
      <c r="N1441" s="51">
        <f t="shared" si="657"/>
        <v>46</v>
      </c>
      <c r="O1441" s="53">
        <f t="shared" si="658"/>
        <v>11</v>
      </c>
      <c r="P1441" s="53">
        <f t="shared" si="659"/>
        <v>2025</v>
      </c>
    </row>
    <row r="1442" spans="1:16" x14ac:dyDescent="0.25">
      <c r="A1442">
        <v>3000006770</v>
      </c>
      <c r="B1442" s="3">
        <v>45972</v>
      </c>
      <c r="C1442" s="4">
        <v>3121289.61</v>
      </c>
      <c r="D1442" t="s">
        <v>589</v>
      </c>
      <c r="E1442">
        <v>91002690</v>
      </c>
      <c r="F1442" s="4">
        <v>3121289.61</v>
      </c>
      <c r="G1442" s="3">
        <v>45975</v>
      </c>
      <c r="H1442" t="s">
        <v>79</v>
      </c>
      <c r="I1442" s="51" t="str">
        <f>IFERROR(IF(VLOOKUP(E1442,extracto!C:C,1,FALSE)=E1442,"pagado","no pagado"),"no pagado")</f>
        <v>pagado</v>
      </c>
      <c r="J1442" s="52" t="str">
        <f t="shared" si="654"/>
        <v>pagado</v>
      </c>
      <c r="K1442" s="51" t="str">
        <f t="shared" ca="1" si="655"/>
        <v>excluir</v>
      </c>
      <c r="L1442" s="51" t="str">
        <f t="shared" ca="1" si="656"/>
        <v>no semana</v>
      </c>
      <c r="M1442" s="51" t="str">
        <f>IFERROR(VLOOKUP(E1442,'cheques a conf'!A:D,4,FALSE),"no clearing")</f>
        <v>no clearing</v>
      </c>
      <c r="N1442" s="51">
        <f t="shared" si="657"/>
        <v>46</v>
      </c>
      <c r="O1442" s="53">
        <f t="shared" si="658"/>
        <v>11</v>
      </c>
      <c r="P1442" s="53">
        <f t="shared" si="659"/>
        <v>2025</v>
      </c>
    </row>
    <row r="1443" spans="1:16" x14ac:dyDescent="0.25">
      <c r="A1443">
        <v>3000006771</v>
      </c>
      <c r="B1443" s="3">
        <v>45972</v>
      </c>
      <c r="C1443" s="4">
        <v>2220197.81</v>
      </c>
      <c r="D1443" t="s">
        <v>753</v>
      </c>
      <c r="E1443">
        <v>91002691</v>
      </c>
      <c r="F1443" s="4">
        <v>2220197.81</v>
      </c>
      <c r="G1443" s="3">
        <v>45975</v>
      </c>
      <c r="H1443" t="s">
        <v>79</v>
      </c>
      <c r="I1443" s="51" t="str">
        <f>IFERROR(IF(VLOOKUP(E1443,extracto!C:C,1,FALSE)=E1443,"pagado","no pagado"),"no pagado")</f>
        <v>pagado</v>
      </c>
      <c r="J1443" s="52" t="str">
        <f t="shared" si="654"/>
        <v>pagado</v>
      </c>
      <c r="K1443" s="51" t="str">
        <f t="shared" ca="1" si="655"/>
        <v>excluir</v>
      </c>
      <c r="L1443" s="51" t="str">
        <f t="shared" ca="1" si="656"/>
        <v>no semana</v>
      </c>
      <c r="M1443" s="51" t="str">
        <f>IFERROR(VLOOKUP(E1443,'cheques a conf'!A:D,4,FALSE),"no clearing")</f>
        <v>no clearing</v>
      </c>
      <c r="N1443" s="51">
        <f t="shared" si="657"/>
        <v>46</v>
      </c>
      <c r="O1443" s="53">
        <f t="shared" si="658"/>
        <v>11</v>
      </c>
      <c r="P1443" s="53">
        <f t="shared" si="659"/>
        <v>2025</v>
      </c>
    </row>
    <row r="1444" spans="1:16" x14ac:dyDescent="0.25">
      <c r="A1444">
        <v>3000006772</v>
      </c>
      <c r="B1444" s="3">
        <v>45972</v>
      </c>
      <c r="C1444" s="4">
        <v>19048570.100000001</v>
      </c>
      <c r="D1444" t="s">
        <v>619</v>
      </c>
      <c r="E1444">
        <v>91002692</v>
      </c>
      <c r="F1444" s="4">
        <v>19048570.100000001</v>
      </c>
      <c r="G1444" s="3">
        <v>45975</v>
      </c>
      <c r="H1444" t="s">
        <v>79</v>
      </c>
      <c r="I1444" s="51" t="str">
        <f>IFERROR(IF(VLOOKUP(E1444,extracto!C:C,1,FALSE)=E1444,"pagado","no pagado"),"no pagado")</f>
        <v>pagado</v>
      </c>
      <c r="J1444" s="52" t="str">
        <f t="shared" ref="J1444:J1461" si="660">IF(I1444="pagado","pagado",IF(G1444&lt;$V$1-30,"fuera de fecha","en periodo de pago"))</f>
        <v>pagado</v>
      </c>
      <c r="K1444" s="51" t="str">
        <f t="shared" ref="K1444:K1461" ca="1" si="661">+IF(B1444&gt;$V$1,"excluir",IF(J1444="en periodo de pago",IF($V$1&gt;G1444,"a pagar","proximo a vencer"),"excluir"))</f>
        <v>excluir</v>
      </c>
      <c r="L1444" s="51" t="str">
        <f t="shared" ref="L1444:L1461" ca="1" si="662">+IF(K1444="proximo a vencer",IF($V$1+5&gt;G1444,"para la semana","no semana"),"no semana")</f>
        <v>no semana</v>
      </c>
      <c r="M1444" s="51" t="str">
        <f>IFERROR(VLOOKUP(E1444,'cheques a conf'!A:D,4,FALSE),"no clearing")</f>
        <v>no clearing</v>
      </c>
      <c r="N1444" s="51">
        <f t="shared" ref="N1444:N1461" si="663">+WEEKNUM(G1444,2)</f>
        <v>46</v>
      </c>
      <c r="O1444" s="53">
        <f t="shared" ref="O1444:O1461" si="664">+MONTH(G1444)</f>
        <v>11</v>
      </c>
      <c r="P1444" s="53">
        <f t="shared" ref="P1444:P1461" si="665">+YEAR(G1444)</f>
        <v>2025</v>
      </c>
    </row>
    <row r="1445" spans="1:16" x14ac:dyDescent="0.25">
      <c r="A1445">
        <v>3000006773</v>
      </c>
      <c r="B1445" s="3">
        <v>45972</v>
      </c>
      <c r="C1445" s="4">
        <v>2116507.79</v>
      </c>
      <c r="D1445" t="s">
        <v>623</v>
      </c>
      <c r="E1445">
        <v>91002693</v>
      </c>
      <c r="F1445" s="4">
        <v>2116507.79</v>
      </c>
      <c r="G1445" s="3">
        <v>45975</v>
      </c>
      <c r="H1445" t="s">
        <v>79</v>
      </c>
      <c r="I1445" s="51" t="str">
        <f>IFERROR(IF(VLOOKUP(E1445,extracto!C:C,1,FALSE)=E1445,"pagado","no pagado"),"no pagado")</f>
        <v>pagado</v>
      </c>
      <c r="J1445" s="52" t="str">
        <f t="shared" si="660"/>
        <v>pagado</v>
      </c>
      <c r="K1445" s="51" t="str">
        <f t="shared" ca="1" si="661"/>
        <v>excluir</v>
      </c>
      <c r="L1445" s="51" t="str">
        <f t="shared" ca="1" si="662"/>
        <v>no semana</v>
      </c>
      <c r="M1445" s="51" t="str">
        <f>IFERROR(VLOOKUP(E1445,'cheques a conf'!A:D,4,FALSE),"no clearing")</f>
        <v>no clearing</v>
      </c>
      <c r="N1445" s="51">
        <f t="shared" si="663"/>
        <v>46</v>
      </c>
      <c r="O1445" s="53">
        <f t="shared" si="664"/>
        <v>11</v>
      </c>
      <c r="P1445" s="53">
        <f t="shared" si="665"/>
        <v>2025</v>
      </c>
    </row>
    <row r="1446" spans="1:16" x14ac:dyDescent="0.25">
      <c r="A1446">
        <v>3000006774</v>
      </c>
      <c r="B1446" s="3">
        <v>45972</v>
      </c>
      <c r="C1446" s="4">
        <v>10649857.9</v>
      </c>
      <c r="D1446" t="s">
        <v>612</v>
      </c>
      <c r="E1446">
        <v>91002694</v>
      </c>
      <c r="F1446" s="4">
        <v>10649857.9</v>
      </c>
      <c r="G1446" s="3">
        <v>45975</v>
      </c>
      <c r="H1446" t="s">
        <v>79</v>
      </c>
      <c r="I1446" s="51" t="str">
        <f>IFERROR(IF(VLOOKUP(E1446,extracto!C:C,1,FALSE)=E1446,"pagado","no pagado"),"no pagado")</f>
        <v>pagado</v>
      </c>
      <c r="J1446" s="52" t="str">
        <f t="shared" si="660"/>
        <v>pagado</v>
      </c>
      <c r="K1446" s="51" t="str">
        <f t="shared" ca="1" si="661"/>
        <v>excluir</v>
      </c>
      <c r="L1446" s="51" t="str">
        <f t="shared" ca="1" si="662"/>
        <v>no semana</v>
      </c>
      <c r="M1446" s="51" t="str">
        <f>IFERROR(VLOOKUP(E1446,'cheques a conf'!A:D,4,FALSE),"no clearing")</f>
        <v>no clearing</v>
      </c>
      <c r="N1446" s="51">
        <f t="shared" si="663"/>
        <v>46</v>
      </c>
      <c r="O1446" s="53">
        <f t="shared" si="664"/>
        <v>11</v>
      </c>
      <c r="P1446" s="53">
        <f t="shared" si="665"/>
        <v>2025</v>
      </c>
    </row>
    <row r="1447" spans="1:16" x14ac:dyDescent="0.25">
      <c r="A1447">
        <v>3000006775</v>
      </c>
      <c r="B1447" s="3">
        <v>45972</v>
      </c>
      <c r="C1447" s="4">
        <v>2129971.58</v>
      </c>
      <c r="D1447" t="s">
        <v>642</v>
      </c>
      <c r="E1447">
        <v>91002695</v>
      </c>
      <c r="F1447" s="4">
        <v>2129971.58</v>
      </c>
      <c r="G1447" s="3">
        <v>45975</v>
      </c>
      <c r="H1447" t="s">
        <v>79</v>
      </c>
      <c r="I1447" s="51" t="str">
        <f>IFERROR(IF(VLOOKUP(E1447,extracto!C:C,1,FALSE)=E1447,"pagado","no pagado"),"no pagado")</f>
        <v>pagado</v>
      </c>
      <c r="J1447" s="52" t="str">
        <f t="shared" si="660"/>
        <v>pagado</v>
      </c>
      <c r="K1447" s="51" t="str">
        <f t="shared" ca="1" si="661"/>
        <v>excluir</v>
      </c>
      <c r="L1447" s="51" t="str">
        <f t="shared" ca="1" si="662"/>
        <v>no semana</v>
      </c>
      <c r="M1447" s="51" t="str">
        <f>IFERROR(VLOOKUP(E1447,'cheques a conf'!A:D,4,FALSE),"no clearing")</f>
        <v>no clearing</v>
      </c>
      <c r="N1447" s="51">
        <f t="shared" si="663"/>
        <v>46</v>
      </c>
      <c r="O1447" s="53">
        <f t="shared" si="664"/>
        <v>11</v>
      </c>
      <c r="P1447" s="53">
        <f t="shared" si="665"/>
        <v>2025</v>
      </c>
    </row>
    <row r="1448" spans="1:16" x14ac:dyDescent="0.25">
      <c r="A1448">
        <v>3000006776</v>
      </c>
      <c r="B1448" s="3">
        <v>45972</v>
      </c>
      <c r="C1448" s="4">
        <v>4190982.71</v>
      </c>
      <c r="D1448" t="s">
        <v>616</v>
      </c>
      <c r="E1448">
        <v>91002696</v>
      </c>
      <c r="F1448" s="4">
        <v>4190982.71</v>
      </c>
      <c r="G1448" s="3">
        <v>45975</v>
      </c>
      <c r="H1448" t="s">
        <v>79</v>
      </c>
      <c r="I1448" s="51" t="str">
        <f>IFERROR(IF(VLOOKUP(E1448,extracto!C:C,1,FALSE)=E1448,"pagado","no pagado"),"no pagado")</f>
        <v>pagado</v>
      </c>
      <c r="J1448" s="52" t="str">
        <f t="shared" si="660"/>
        <v>pagado</v>
      </c>
      <c r="K1448" s="51" t="str">
        <f t="shared" ca="1" si="661"/>
        <v>excluir</v>
      </c>
      <c r="L1448" s="51" t="str">
        <f t="shared" ca="1" si="662"/>
        <v>no semana</v>
      </c>
      <c r="M1448" s="51" t="str">
        <f>IFERROR(VLOOKUP(E1448,'cheques a conf'!A:D,4,FALSE),"no clearing")</f>
        <v>no clearing</v>
      </c>
      <c r="N1448" s="51">
        <f t="shared" si="663"/>
        <v>46</v>
      </c>
      <c r="O1448" s="53">
        <f t="shared" si="664"/>
        <v>11</v>
      </c>
      <c r="P1448" s="53">
        <f t="shared" si="665"/>
        <v>2025</v>
      </c>
    </row>
    <row r="1449" spans="1:16" x14ac:dyDescent="0.25">
      <c r="A1449">
        <v>3000006777</v>
      </c>
      <c r="B1449" s="3">
        <v>45972</v>
      </c>
      <c r="C1449" s="4">
        <v>8537838.0299999993</v>
      </c>
      <c r="D1449" t="s">
        <v>613</v>
      </c>
      <c r="E1449">
        <v>91002697</v>
      </c>
      <c r="F1449" s="4">
        <v>8537838.0299999993</v>
      </c>
      <c r="G1449" s="3">
        <v>45975</v>
      </c>
      <c r="H1449" t="s">
        <v>79</v>
      </c>
      <c r="I1449" s="51" t="str">
        <f>IFERROR(IF(VLOOKUP(E1449,extracto!C:C,1,FALSE)=E1449,"pagado","no pagado"),"no pagado")</f>
        <v>pagado</v>
      </c>
      <c r="J1449" s="52" t="str">
        <f t="shared" si="660"/>
        <v>pagado</v>
      </c>
      <c r="K1449" s="51" t="str">
        <f t="shared" ca="1" si="661"/>
        <v>excluir</v>
      </c>
      <c r="L1449" s="51" t="str">
        <f t="shared" ca="1" si="662"/>
        <v>no semana</v>
      </c>
      <c r="M1449" s="51" t="str">
        <f>IFERROR(VLOOKUP(E1449,'cheques a conf'!A:D,4,FALSE),"no clearing")</f>
        <v>no clearing</v>
      </c>
      <c r="N1449" s="51">
        <f t="shared" si="663"/>
        <v>46</v>
      </c>
      <c r="O1449" s="53">
        <f t="shared" si="664"/>
        <v>11</v>
      </c>
      <c r="P1449" s="53">
        <f t="shared" si="665"/>
        <v>2025</v>
      </c>
    </row>
    <row r="1450" spans="1:16" x14ac:dyDescent="0.25">
      <c r="A1450">
        <v>3000006778</v>
      </c>
      <c r="B1450" s="3">
        <v>45972</v>
      </c>
      <c r="C1450" s="4">
        <v>12521110.18</v>
      </c>
      <c r="D1450" t="s">
        <v>806</v>
      </c>
      <c r="E1450">
        <v>91002698</v>
      </c>
      <c r="F1450" s="4">
        <v>12521110.18</v>
      </c>
      <c r="G1450" s="3">
        <v>45975</v>
      </c>
      <c r="H1450" t="s">
        <v>79</v>
      </c>
      <c r="I1450" s="51" t="str">
        <f>IFERROR(IF(VLOOKUP(E1450,extracto!C:C,1,FALSE)=E1450,"pagado","no pagado"),"no pagado")</f>
        <v>pagado</v>
      </c>
      <c r="J1450" s="52" t="str">
        <f t="shared" si="660"/>
        <v>pagado</v>
      </c>
      <c r="K1450" s="51" t="str">
        <f t="shared" ca="1" si="661"/>
        <v>excluir</v>
      </c>
      <c r="L1450" s="51" t="str">
        <f t="shared" ca="1" si="662"/>
        <v>no semana</v>
      </c>
      <c r="M1450" s="51" t="str">
        <f>IFERROR(VLOOKUP(E1450,'cheques a conf'!A:D,4,FALSE),"no clearing")</f>
        <v>no clearing</v>
      </c>
      <c r="N1450" s="51">
        <f t="shared" si="663"/>
        <v>46</v>
      </c>
      <c r="O1450" s="53">
        <f t="shared" si="664"/>
        <v>11</v>
      </c>
      <c r="P1450" s="53">
        <f t="shared" si="665"/>
        <v>2025</v>
      </c>
    </row>
    <row r="1451" spans="1:16" x14ac:dyDescent="0.25">
      <c r="A1451">
        <v>3000006779</v>
      </c>
      <c r="B1451" s="3">
        <v>45972</v>
      </c>
      <c r="C1451" s="4">
        <v>1018807.64</v>
      </c>
      <c r="D1451" t="s">
        <v>631</v>
      </c>
      <c r="E1451">
        <v>91002699</v>
      </c>
      <c r="F1451" s="4">
        <v>1018807.64</v>
      </c>
      <c r="G1451" s="3">
        <v>45975</v>
      </c>
      <c r="H1451" t="s">
        <v>79</v>
      </c>
      <c r="I1451" s="51" t="str">
        <f>IFERROR(IF(VLOOKUP(E1451,extracto!C:C,1,FALSE)=E1451,"pagado","no pagado"),"no pagado")</f>
        <v>pagado</v>
      </c>
      <c r="J1451" s="52" t="str">
        <f t="shared" si="660"/>
        <v>pagado</v>
      </c>
      <c r="K1451" s="51" t="str">
        <f t="shared" ca="1" si="661"/>
        <v>excluir</v>
      </c>
      <c r="L1451" s="51" t="str">
        <f t="shared" ca="1" si="662"/>
        <v>no semana</v>
      </c>
      <c r="M1451" s="51" t="str">
        <f>IFERROR(VLOOKUP(E1451,'cheques a conf'!A:D,4,FALSE),"no clearing")</f>
        <v>no clearing</v>
      </c>
      <c r="N1451" s="51">
        <f t="shared" si="663"/>
        <v>46</v>
      </c>
      <c r="O1451" s="53">
        <f t="shared" si="664"/>
        <v>11</v>
      </c>
      <c r="P1451" s="53">
        <f t="shared" si="665"/>
        <v>2025</v>
      </c>
    </row>
    <row r="1452" spans="1:16" x14ac:dyDescent="0.25">
      <c r="A1452">
        <v>3000006780</v>
      </c>
      <c r="B1452" s="3">
        <v>45972</v>
      </c>
      <c r="C1452" s="4">
        <v>7994703.4400000004</v>
      </c>
      <c r="D1452" t="s">
        <v>640</v>
      </c>
      <c r="E1452">
        <v>91002700</v>
      </c>
      <c r="F1452" s="4">
        <v>7994703.4400000004</v>
      </c>
      <c r="G1452" s="3">
        <v>45975</v>
      </c>
      <c r="H1452" t="s">
        <v>79</v>
      </c>
      <c r="I1452" s="51" t="str">
        <f>IFERROR(IF(VLOOKUP(E1452,extracto!C:C,1,FALSE)=E1452,"pagado","no pagado"),"no pagado")</f>
        <v>pagado</v>
      </c>
      <c r="J1452" s="52" t="str">
        <f t="shared" si="660"/>
        <v>pagado</v>
      </c>
      <c r="K1452" s="51" t="str">
        <f t="shared" ca="1" si="661"/>
        <v>excluir</v>
      </c>
      <c r="L1452" s="51" t="str">
        <f t="shared" ca="1" si="662"/>
        <v>no semana</v>
      </c>
      <c r="M1452" s="51" t="str">
        <f>IFERROR(VLOOKUP(E1452,'cheques a conf'!A:D,4,FALSE),"no clearing")</f>
        <v>no clearing</v>
      </c>
      <c r="N1452" s="51">
        <f t="shared" si="663"/>
        <v>46</v>
      </c>
      <c r="O1452" s="53">
        <f t="shared" si="664"/>
        <v>11</v>
      </c>
      <c r="P1452" s="53">
        <f t="shared" si="665"/>
        <v>2025</v>
      </c>
    </row>
    <row r="1453" spans="1:16" x14ac:dyDescent="0.25">
      <c r="A1453">
        <v>3000006781</v>
      </c>
      <c r="B1453" s="3">
        <v>45972</v>
      </c>
      <c r="C1453" s="4">
        <v>1506749.02</v>
      </c>
      <c r="D1453" t="s">
        <v>659</v>
      </c>
      <c r="E1453">
        <v>40273004</v>
      </c>
      <c r="F1453" s="4">
        <v>1506749.02</v>
      </c>
      <c r="G1453" s="3">
        <v>45975</v>
      </c>
      <c r="H1453" t="s">
        <v>79</v>
      </c>
      <c r="I1453" s="51" t="str">
        <f>IFERROR(IF(VLOOKUP(E1453,extracto!C:C,1,FALSE)=E1453,"pagado","no pagado"),"no pagado")</f>
        <v>pagado</v>
      </c>
      <c r="J1453" s="52" t="str">
        <f t="shared" si="660"/>
        <v>pagado</v>
      </c>
      <c r="K1453" s="51" t="str">
        <f t="shared" ca="1" si="661"/>
        <v>excluir</v>
      </c>
      <c r="L1453" s="51" t="str">
        <f t="shared" ca="1" si="662"/>
        <v>no semana</v>
      </c>
      <c r="M1453" s="51" t="str">
        <f>IFERROR(VLOOKUP(E1453,'cheques a conf'!A:D,4,FALSE),"no clearing")</f>
        <v>no clearing</v>
      </c>
      <c r="N1453" s="51">
        <f t="shared" si="663"/>
        <v>46</v>
      </c>
      <c r="O1453" s="53">
        <f t="shared" si="664"/>
        <v>11</v>
      </c>
      <c r="P1453" s="53">
        <f t="shared" si="665"/>
        <v>2025</v>
      </c>
    </row>
    <row r="1454" spans="1:16" x14ac:dyDescent="0.25">
      <c r="A1454">
        <v>3000006861</v>
      </c>
      <c r="B1454" s="3">
        <v>45978</v>
      </c>
      <c r="C1454" s="4">
        <v>25981987.07</v>
      </c>
      <c r="D1454" t="s">
        <v>25</v>
      </c>
      <c r="E1454">
        <v>1981</v>
      </c>
      <c r="F1454" s="4">
        <v>25981987.07</v>
      </c>
      <c r="G1454" s="3">
        <v>45978</v>
      </c>
      <c r="H1454" t="s">
        <v>32</v>
      </c>
      <c r="I1454" s="51" t="str">
        <f>IFERROR(IF(VLOOKUP(E1454,extracto!C:C,1,FALSE)=E1454,"pagado","no pagado"),"no pagado")</f>
        <v>pagado</v>
      </c>
      <c r="J1454" s="52" t="str">
        <f t="shared" si="660"/>
        <v>pagado</v>
      </c>
      <c r="K1454" s="51" t="str">
        <f t="shared" ca="1" si="661"/>
        <v>excluir</v>
      </c>
      <c r="L1454" s="51" t="str">
        <f t="shared" ca="1" si="662"/>
        <v>no semana</v>
      </c>
      <c r="M1454" s="51" t="str">
        <f>IFERROR(VLOOKUP(E1454,'cheques a conf'!A:D,4,FALSE),"no clearing")</f>
        <v>no clearing</v>
      </c>
      <c r="N1454" s="51">
        <f t="shared" si="663"/>
        <v>47</v>
      </c>
      <c r="O1454" s="53">
        <f t="shared" si="664"/>
        <v>11</v>
      </c>
      <c r="P1454" s="53">
        <f t="shared" si="665"/>
        <v>2025</v>
      </c>
    </row>
    <row r="1455" spans="1:16" x14ac:dyDescent="0.25">
      <c r="A1455">
        <v>3000006892</v>
      </c>
      <c r="B1455" s="3">
        <v>45978</v>
      </c>
      <c r="C1455" s="4">
        <v>17748951.82</v>
      </c>
      <c r="D1455" t="s">
        <v>805</v>
      </c>
      <c r="E1455">
        <v>1982</v>
      </c>
      <c r="F1455" s="4">
        <v>17748951.82</v>
      </c>
      <c r="G1455" s="3">
        <v>45981</v>
      </c>
      <c r="H1455" t="s">
        <v>32</v>
      </c>
      <c r="I1455" s="51" t="str">
        <f>IFERROR(IF(VLOOKUP(E1455,extracto!C:C,1,FALSE)=E1455,"pagado","no pagado"),"no pagado")</f>
        <v>pagado</v>
      </c>
      <c r="J1455" s="52" t="str">
        <f t="shared" si="660"/>
        <v>pagado</v>
      </c>
      <c r="K1455" s="51" t="str">
        <f t="shared" ca="1" si="661"/>
        <v>excluir</v>
      </c>
      <c r="L1455" s="51" t="str">
        <f t="shared" ca="1" si="662"/>
        <v>no semana</v>
      </c>
      <c r="M1455" s="51" t="str">
        <f>IFERROR(VLOOKUP(E1455,'cheques a conf'!A:D,4,FALSE),"no clearing")</f>
        <v>no clearing</v>
      </c>
      <c r="N1455" s="51">
        <f t="shared" si="663"/>
        <v>47</v>
      </c>
      <c r="O1455" s="53">
        <f t="shared" si="664"/>
        <v>11</v>
      </c>
      <c r="P1455" s="53">
        <f t="shared" si="665"/>
        <v>2025</v>
      </c>
    </row>
    <row r="1456" spans="1:16" x14ac:dyDescent="0.25">
      <c r="A1456">
        <v>3000006893</v>
      </c>
      <c r="B1456" s="3">
        <v>45978</v>
      </c>
      <c r="C1456" s="4">
        <v>7473752</v>
      </c>
      <c r="D1456" t="s">
        <v>727</v>
      </c>
      <c r="E1456">
        <v>1983</v>
      </c>
      <c r="F1456" s="4">
        <v>7473752</v>
      </c>
      <c r="G1456" s="3">
        <v>45981</v>
      </c>
      <c r="H1456" t="s">
        <v>32</v>
      </c>
      <c r="I1456" s="51" t="str">
        <f>IFERROR(IF(VLOOKUP(E1456,extracto!C:C,1,FALSE)=E1456,"pagado","no pagado"),"no pagado")</f>
        <v>pagado</v>
      </c>
      <c r="J1456" s="52" t="str">
        <f t="shared" si="660"/>
        <v>pagado</v>
      </c>
      <c r="K1456" s="51" t="str">
        <f t="shared" ca="1" si="661"/>
        <v>excluir</v>
      </c>
      <c r="L1456" s="51" t="str">
        <f t="shared" ca="1" si="662"/>
        <v>no semana</v>
      </c>
      <c r="M1456" s="51" t="str">
        <f>IFERROR(VLOOKUP(E1456,'cheques a conf'!A:D,4,FALSE),"no clearing")</f>
        <v>no clearing</v>
      </c>
      <c r="N1456" s="51">
        <f t="shared" si="663"/>
        <v>47</v>
      </c>
      <c r="O1456" s="53">
        <f t="shared" si="664"/>
        <v>11</v>
      </c>
      <c r="P1456" s="53">
        <f t="shared" si="665"/>
        <v>2025</v>
      </c>
    </row>
    <row r="1457" spans="1:16" x14ac:dyDescent="0.25">
      <c r="A1457">
        <v>3000006894</v>
      </c>
      <c r="B1457" s="3">
        <v>45978</v>
      </c>
      <c r="C1457" s="4">
        <v>7169433.54</v>
      </c>
      <c r="D1457" t="s">
        <v>29</v>
      </c>
      <c r="E1457">
        <v>1984</v>
      </c>
      <c r="F1457" s="4">
        <v>7169433.54</v>
      </c>
      <c r="G1457" s="3">
        <v>45981</v>
      </c>
      <c r="H1457" t="s">
        <v>32</v>
      </c>
      <c r="I1457" s="51" t="str">
        <f>IFERROR(IF(VLOOKUP(E1457,extracto!C:C,1,FALSE)=E1457,"pagado","no pagado"),"no pagado")</f>
        <v>pagado</v>
      </c>
      <c r="J1457" s="52" t="str">
        <f t="shared" si="660"/>
        <v>pagado</v>
      </c>
      <c r="K1457" s="51" t="str">
        <f t="shared" ca="1" si="661"/>
        <v>excluir</v>
      </c>
      <c r="L1457" s="51" t="str">
        <f t="shared" ca="1" si="662"/>
        <v>no semana</v>
      </c>
      <c r="M1457" s="51" t="str">
        <f>IFERROR(VLOOKUP(E1457,'cheques a conf'!A:D,4,FALSE),"no clearing")</f>
        <v>no clearing</v>
      </c>
      <c r="N1457" s="51">
        <f t="shared" si="663"/>
        <v>47</v>
      </c>
      <c r="O1457" s="53">
        <f t="shared" si="664"/>
        <v>11</v>
      </c>
      <c r="P1457" s="53">
        <f t="shared" si="665"/>
        <v>2025</v>
      </c>
    </row>
    <row r="1458" spans="1:16" x14ac:dyDescent="0.25">
      <c r="A1458">
        <v>3000006895</v>
      </c>
      <c r="B1458" s="3">
        <v>45978</v>
      </c>
      <c r="C1458" s="4">
        <v>4643387.4000000004</v>
      </c>
      <c r="D1458" t="s">
        <v>807</v>
      </c>
      <c r="E1458">
        <v>1985</v>
      </c>
      <c r="F1458" s="4">
        <v>4643387.4000000004</v>
      </c>
      <c r="G1458" s="3">
        <v>45981</v>
      </c>
      <c r="H1458" t="s">
        <v>32</v>
      </c>
      <c r="I1458" s="51" t="str">
        <f>IFERROR(IF(VLOOKUP(E1458,extracto!C:C,1,FALSE)=E1458,"pagado","no pagado"),"no pagado")</f>
        <v>pagado</v>
      </c>
      <c r="J1458" s="52" t="str">
        <f t="shared" si="660"/>
        <v>pagado</v>
      </c>
      <c r="K1458" s="51" t="str">
        <f t="shared" ca="1" si="661"/>
        <v>excluir</v>
      </c>
      <c r="L1458" s="51" t="str">
        <f t="shared" ca="1" si="662"/>
        <v>no semana</v>
      </c>
      <c r="M1458" s="51" t="str">
        <f>IFERROR(VLOOKUP(E1458,'cheques a conf'!A:D,4,FALSE),"no clearing")</f>
        <v>no clearing</v>
      </c>
      <c r="N1458" s="51">
        <f t="shared" si="663"/>
        <v>47</v>
      </c>
      <c r="O1458" s="53">
        <f t="shared" si="664"/>
        <v>11</v>
      </c>
      <c r="P1458" s="53">
        <f t="shared" si="665"/>
        <v>2025</v>
      </c>
    </row>
    <row r="1459" spans="1:16" x14ac:dyDescent="0.25">
      <c r="A1459">
        <v>3000006896</v>
      </c>
      <c r="B1459" s="3">
        <v>45978</v>
      </c>
      <c r="C1459" s="4">
        <v>5790244.4900000002</v>
      </c>
      <c r="D1459" t="s">
        <v>641</v>
      </c>
      <c r="E1459">
        <v>1986</v>
      </c>
      <c r="F1459" s="4">
        <v>5790244.4900000002</v>
      </c>
      <c r="G1459" s="3">
        <v>45981</v>
      </c>
      <c r="H1459" t="s">
        <v>32</v>
      </c>
      <c r="I1459" s="51" t="str">
        <f>IFERROR(IF(VLOOKUP(E1459,extracto!C:C,1,FALSE)=E1459,"pagado","no pagado"),"no pagado")</f>
        <v>pagado</v>
      </c>
      <c r="J1459" s="52" t="str">
        <f t="shared" si="660"/>
        <v>pagado</v>
      </c>
      <c r="K1459" s="51" t="str">
        <f t="shared" ca="1" si="661"/>
        <v>excluir</v>
      </c>
      <c r="L1459" s="51" t="str">
        <f t="shared" ca="1" si="662"/>
        <v>no semana</v>
      </c>
      <c r="M1459" s="51" t="str">
        <f>IFERROR(VLOOKUP(E1459,'cheques a conf'!A:D,4,FALSE),"no clearing")</f>
        <v>no clearing</v>
      </c>
      <c r="N1459" s="51">
        <f t="shared" si="663"/>
        <v>47</v>
      </c>
      <c r="O1459" s="53">
        <f t="shared" si="664"/>
        <v>11</v>
      </c>
      <c r="P1459" s="53">
        <f t="shared" si="665"/>
        <v>2025</v>
      </c>
    </row>
    <row r="1460" spans="1:16" x14ac:dyDescent="0.25">
      <c r="A1460">
        <v>3000006897</v>
      </c>
      <c r="B1460" s="3">
        <v>45978</v>
      </c>
      <c r="C1460" s="4">
        <v>9646544.2400000002</v>
      </c>
      <c r="D1460" t="s">
        <v>260</v>
      </c>
      <c r="E1460">
        <v>1987</v>
      </c>
      <c r="F1460" s="4">
        <v>9646544.2400000002</v>
      </c>
      <c r="G1460" s="3">
        <v>45981</v>
      </c>
      <c r="H1460" t="s">
        <v>32</v>
      </c>
      <c r="I1460" s="51" t="str">
        <f>IFERROR(IF(VLOOKUP(E1460,extracto!C:C,1,FALSE)=E1460,"pagado","no pagado"),"no pagado")</f>
        <v>pagado</v>
      </c>
      <c r="J1460" s="52" t="str">
        <f t="shared" si="660"/>
        <v>pagado</v>
      </c>
      <c r="K1460" s="51" t="str">
        <f t="shared" ca="1" si="661"/>
        <v>excluir</v>
      </c>
      <c r="L1460" s="51" t="str">
        <f t="shared" ca="1" si="662"/>
        <v>no semana</v>
      </c>
      <c r="M1460" s="51" t="str">
        <f>IFERROR(VLOOKUP(E1460,'cheques a conf'!A:D,4,FALSE),"no clearing")</f>
        <v>no clearing</v>
      </c>
      <c r="N1460" s="51">
        <f t="shared" si="663"/>
        <v>47</v>
      </c>
      <c r="O1460" s="53">
        <f t="shared" si="664"/>
        <v>11</v>
      </c>
      <c r="P1460" s="53">
        <f t="shared" si="665"/>
        <v>2025</v>
      </c>
    </row>
    <row r="1461" spans="1:16" x14ac:dyDescent="0.25">
      <c r="A1461">
        <v>3000006923</v>
      </c>
      <c r="B1461" s="3">
        <v>45979</v>
      </c>
      <c r="C1461" s="4">
        <v>7000000</v>
      </c>
      <c r="D1461" t="s">
        <v>754</v>
      </c>
      <c r="E1461">
        <v>40273005</v>
      </c>
      <c r="F1461" s="4">
        <v>7000000</v>
      </c>
      <c r="G1461" s="3">
        <v>45981</v>
      </c>
      <c r="H1461" t="s">
        <v>79</v>
      </c>
      <c r="I1461" s="51" t="str">
        <f>IFERROR(IF(VLOOKUP(E1461,extracto!C:C,1,FALSE)=E1461,"pagado","no pagado"),"no pagado")</f>
        <v>pagado</v>
      </c>
      <c r="J1461" s="52" t="str">
        <f t="shared" si="660"/>
        <v>pagado</v>
      </c>
      <c r="K1461" s="51" t="str">
        <f t="shared" ca="1" si="661"/>
        <v>excluir</v>
      </c>
      <c r="L1461" s="51" t="str">
        <f t="shared" ca="1" si="662"/>
        <v>no semana</v>
      </c>
      <c r="M1461" s="51" t="str">
        <f>IFERROR(VLOOKUP(E1461,'cheques a conf'!A:D,4,FALSE),"no clearing")</f>
        <v>no clearing</v>
      </c>
      <c r="N1461" s="51">
        <f t="shared" si="663"/>
        <v>47</v>
      </c>
      <c r="O1461" s="53">
        <f t="shared" si="664"/>
        <v>11</v>
      </c>
      <c r="P1461" s="53">
        <f t="shared" si="665"/>
        <v>2025</v>
      </c>
    </row>
    <row r="1462" spans="1:16" x14ac:dyDescent="0.25">
      <c r="A1462">
        <v>3000006923</v>
      </c>
      <c r="B1462" s="3">
        <v>45979</v>
      </c>
      <c r="C1462" s="4">
        <v>7000000</v>
      </c>
      <c r="D1462" t="s">
        <v>754</v>
      </c>
      <c r="E1462">
        <v>40273006</v>
      </c>
      <c r="F1462" s="4">
        <v>7000000</v>
      </c>
      <c r="G1462" s="3">
        <v>45981</v>
      </c>
      <c r="H1462" t="s">
        <v>79</v>
      </c>
      <c r="I1462" s="51" t="str">
        <f>IFERROR(IF(VLOOKUP(E1462,extracto!C:C,1,FALSE)=E1462,"pagado","no pagado"),"no pagado")</f>
        <v>pagado</v>
      </c>
      <c r="J1462" s="52" t="str">
        <f t="shared" ref="J1462:J1485" si="666">IF(I1462="pagado","pagado",IF(G1462&lt;$V$1-30,"fuera de fecha","en periodo de pago"))</f>
        <v>pagado</v>
      </c>
      <c r="K1462" s="51" t="str">
        <f t="shared" ref="K1462:K1485" ca="1" si="667">+IF(B1462&gt;$V$1,"excluir",IF(J1462="en periodo de pago",IF($V$1&gt;G1462,"a pagar","proximo a vencer"),"excluir"))</f>
        <v>excluir</v>
      </c>
      <c r="L1462" s="51" t="str">
        <f t="shared" ref="L1462:L1485" ca="1" si="668">+IF(K1462="proximo a vencer",IF($V$1+5&gt;G1462,"para la semana","no semana"),"no semana")</f>
        <v>no semana</v>
      </c>
      <c r="M1462" s="51" t="str">
        <f>IFERROR(VLOOKUP(E1462,'cheques a conf'!A:D,4,FALSE),"no clearing")</f>
        <v>no clearing</v>
      </c>
      <c r="N1462" s="51">
        <f t="shared" ref="N1462:N1485" si="669">+WEEKNUM(G1462,2)</f>
        <v>47</v>
      </c>
      <c r="O1462" s="53">
        <f t="shared" ref="O1462:O1485" si="670">+MONTH(G1462)</f>
        <v>11</v>
      </c>
      <c r="P1462" s="53">
        <f t="shared" ref="P1462:P1485" si="671">+YEAR(G1462)</f>
        <v>2025</v>
      </c>
    </row>
    <row r="1463" spans="1:16" x14ac:dyDescent="0.25">
      <c r="A1463">
        <v>3000006923</v>
      </c>
      <c r="B1463" s="3">
        <v>45979</v>
      </c>
      <c r="C1463" s="4">
        <v>6794043.9699999997</v>
      </c>
      <c r="D1463" t="s">
        <v>754</v>
      </c>
      <c r="E1463">
        <v>40273007</v>
      </c>
      <c r="F1463" s="4">
        <v>6794043.9699999997</v>
      </c>
      <c r="G1463" s="3">
        <v>45981</v>
      </c>
      <c r="H1463" t="s">
        <v>79</v>
      </c>
      <c r="I1463" s="51" t="str">
        <f>IFERROR(IF(VLOOKUP(E1463,extracto!C:C,1,FALSE)=E1463,"pagado","no pagado"),"no pagado")</f>
        <v>pagado</v>
      </c>
      <c r="J1463" s="52" t="str">
        <f t="shared" si="666"/>
        <v>pagado</v>
      </c>
      <c r="K1463" s="51" t="str">
        <f t="shared" ca="1" si="667"/>
        <v>excluir</v>
      </c>
      <c r="L1463" s="51" t="str">
        <f t="shared" ca="1" si="668"/>
        <v>no semana</v>
      </c>
      <c r="M1463" s="51" t="str">
        <f>IFERROR(VLOOKUP(E1463,'cheques a conf'!A:D,4,FALSE),"no clearing")</f>
        <v>no clearing</v>
      </c>
      <c r="N1463" s="51">
        <f t="shared" si="669"/>
        <v>47</v>
      </c>
      <c r="O1463" s="53">
        <f t="shared" si="670"/>
        <v>11</v>
      </c>
      <c r="P1463" s="53">
        <f t="shared" si="671"/>
        <v>2025</v>
      </c>
    </row>
    <row r="1464" spans="1:16" x14ac:dyDescent="0.25">
      <c r="A1464">
        <v>3000006924</v>
      </c>
      <c r="B1464" s="3">
        <v>45979</v>
      </c>
      <c r="C1464" s="4">
        <v>12699046.73</v>
      </c>
      <c r="D1464" t="s">
        <v>619</v>
      </c>
      <c r="E1464">
        <v>91002701</v>
      </c>
      <c r="F1464" s="4">
        <v>12699046.73</v>
      </c>
      <c r="G1464" s="3">
        <v>45986</v>
      </c>
      <c r="H1464" t="s">
        <v>79</v>
      </c>
      <c r="I1464" s="51" t="str">
        <f>IFERROR(IF(VLOOKUP(E1464,extracto!C:C,1,FALSE)=E1464,"pagado","no pagado"),"no pagado")</f>
        <v>pagado</v>
      </c>
      <c r="J1464" s="52" t="str">
        <f t="shared" si="666"/>
        <v>pagado</v>
      </c>
      <c r="K1464" s="51" t="str">
        <f t="shared" ca="1" si="667"/>
        <v>excluir</v>
      </c>
      <c r="L1464" s="51" t="str">
        <f t="shared" ca="1" si="668"/>
        <v>no semana</v>
      </c>
      <c r="M1464" s="51" t="str">
        <f>IFERROR(VLOOKUP(E1464,'cheques a conf'!A:D,4,FALSE),"no clearing")</f>
        <v>no clearing</v>
      </c>
      <c r="N1464" s="51">
        <f t="shared" si="669"/>
        <v>48</v>
      </c>
      <c r="O1464" s="53">
        <f t="shared" si="670"/>
        <v>11</v>
      </c>
      <c r="P1464" s="53">
        <f t="shared" si="671"/>
        <v>2025</v>
      </c>
    </row>
    <row r="1465" spans="1:16" x14ac:dyDescent="0.25">
      <c r="A1465">
        <v>3000006925</v>
      </c>
      <c r="B1465" s="3">
        <v>45979</v>
      </c>
      <c r="C1465" s="4">
        <v>4259943.16</v>
      </c>
      <c r="D1465" t="s">
        <v>612</v>
      </c>
      <c r="E1465">
        <v>91002702</v>
      </c>
      <c r="F1465" s="4">
        <v>4259943.16</v>
      </c>
      <c r="G1465" s="3">
        <v>45986</v>
      </c>
      <c r="H1465" t="s">
        <v>79</v>
      </c>
      <c r="I1465" s="51" t="str">
        <f>IFERROR(IF(VLOOKUP(E1465,extracto!C:C,1,FALSE)=E1465,"pagado","no pagado"),"no pagado")</f>
        <v>pagado</v>
      </c>
      <c r="J1465" s="52" t="str">
        <f t="shared" si="666"/>
        <v>pagado</v>
      </c>
      <c r="K1465" s="51" t="str">
        <f t="shared" ca="1" si="667"/>
        <v>excluir</v>
      </c>
      <c r="L1465" s="51" t="str">
        <f t="shared" ca="1" si="668"/>
        <v>no semana</v>
      </c>
      <c r="M1465" s="51" t="str">
        <f>IFERROR(VLOOKUP(E1465,'cheques a conf'!A:D,4,FALSE),"no clearing")</f>
        <v>no clearing</v>
      </c>
      <c r="N1465" s="51">
        <f t="shared" si="669"/>
        <v>48</v>
      </c>
      <c r="O1465" s="53">
        <f t="shared" si="670"/>
        <v>11</v>
      </c>
      <c r="P1465" s="53">
        <f t="shared" si="671"/>
        <v>2025</v>
      </c>
    </row>
    <row r="1466" spans="1:16" x14ac:dyDescent="0.25">
      <c r="A1466">
        <v>3000006926</v>
      </c>
      <c r="B1466" s="3">
        <v>45979</v>
      </c>
      <c r="C1466" s="4">
        <v>4259943.16</v>
      </c>
      <c r="D1466" t="s">
        <v>642</v>
      </c>
      <c r="E1466">
        <v>91002703</v>
      </c>
      <c r="F1466" s="4">
        <v>4259943.16</v>
      </c>
      <c r="G1466" s="3">
        <v>45986</v>
      </c>
      <c r="H1466" t="s">
        <v>79</v>
      </c>
      <c r="I1466" s="51" t="str">
        <f>IFERROR(IF(VLOOKUP(E1466,extracto!C:C,1,FALSE)=E1466,"pagado","no pagado"),"no pagado")</f>
        <v>pagado</v>
      </c>
      <c r="J1466" s="52" t="str">
        <f t="shared" si="666"/>
        <v>pagado</v>
      </c>
      <c r="K1466" s="51" t="str">
        <f t="shared" ca="1" si="667"/>
        <v>excluir</v>
      </c>
      <c r="L1466" s="51" t="str">
        <f t="shared" ca="1" si="668"/>
        <v>no semana</v>
      </c>
      <c r="M1466" s="51" t="str">
        <f>IFERROR(VLOOKUP(E1466,'cheques a conf'!A:D,4,FALSE),"no clearing")</f>
        <v>no clearing</v>
      </c>
      <c r="N1466" s="51">
        <f t="shared" si="669"/>
        <v>48</v>
      </c>
      <c r="O1466" s="53">
        <f t="shared" si="670"/>
        <v>11</v>
      </c>
      <c r="P1466" s="53">
        <f t="shared" si="671"/>
        <v>2025</v>
      </c>
    </row>
    <row r="1467" spans="1:16" x14ac:dyDescent="0.25">
      <c r="A1467">
        <v>3000006927</v>
      </c>
      <c r="B1467" s="3">
        <v>45979</v>
      </c>
      <c r="C1467" s="4">
        <v>2116507.79</v>
      </c>
      <c r="D1467" t="s">
        <v>623</v>
      </c>
      <c r="E1467">
        <v>91002704</v>
      </c>
      <c r="F1467" s="4">
        <v>2116507.79</v>
      </c>
      <c r="G1467" s="3">
        <v>45986</v>
      </c>
      <c r="H1467" t="s">
        <v>79</v>
      </c>
      <c r="I1467" s="51" t="str">
        <f>IFERROR(IF(VLOOKUP(E1467,extracto!C:C,1,FALSE)=E1467,"pagado","no pagado"),"no pagado")</f>
        <v>pagado</v>
      </c>
      <c r="J1467" s="52" t="str">
        <f t="shared" si="666"/>
        <v>pagado</v>
      </c>
      <c r="K1467" s="51" t="str">
        <f t="shared" ca="1" si="667"/>
        <v>excluir</v>
      </c>
      <c r="L1467" s="51" t="str">
        <f t="shared" ca="1" si="668"/>
        <v>no semana</v>
      </c>
      <c r="M1467" s="51" t="str">
        <f>IFERROR(VLOOKUP(E1467,'cheques a conf'!A:D,4,FALSE),"no clearing")</f>
        <v>no clearing</v>
      </c>
      <c r="N1467" s="51">
        <f t="shared" si="669"/>
        <v>48</v>
      </c>
      <c r="O1467" s="53">
        <f t="shared" si="670"/>
        <v>11</v>
      </c>
      <c r="P1467" s="53">
        <f t="shared" si="671"/>
        <v>2025</v>
      </c>
    </row>
    <row r="1468" spans="1:16" x14ac:dyDescent="0.25">
      <c r="A1468">
        <v>3000006928</v>
      </c>
      <c r="B1468" s="3">
        <v>45979</v>
      </c>
      <c r="C1468" s="4">
        <v>12806757.050000001</v>
      </c>
      <c r="D1468" t="s">
        <v>613</v>
      </c>
      <c r="E1468">
        <v>91002705</v>
      </c>
      <c r="F1468" s="4">
        <v>12806757.050000001</v>
      </c>
      <c r="G1468" s="3">
        <v>45986</v>
      </c>
      <c r="H1468" t="s">
        <v>79</v>
      </c>
      <c r="I1468" s="51" t="str">
        <f>IFERROR(IF(VLOOKUP(E1468,extracto!C:C,1,FALSE)=E1468,"pagado","no pagado"),"no pagado")</f>
        <v>pagado</v>
      </c>
      <c r="J1468" s="52" t="str">
        <f t="shared" si="666"/>
        <v>pagado</v>
      </c>
      <c r="K1468" s="51" t="str">
        <f t="shared" ca="1" si="667"/>
        <v>excluir</v>
      </c>
      <c r="L1468" s="51" t="str">
        <f t="shared" ca="1" si="668"/>
        <v>no semana</v>
      </c>
      <c r="M1468" s="51" t="str">
        <f>IFERROR(VLOOKUP(E1468,'cheques a conf'!A:D,4,FALSE),"no clearing")</f>
        <v>no clearing</v>
      </c>
      <c r="N1468" s="51">
        <f t="shared" si="669"/>
        <v>48</v>
      </c>
      <c r="O1468" s="53">
        <f t="shared" si="670"/>
        <v>11</v>
      </c>
      <c r="P1468" s="53">
        <f t="shared" si="671"/>
        <v>2025</v>
      </c>
    </row>
    <row r="1469" spans="1:16" x14ac:dyDescent="0.25">
      <c r="A1469">
        <v>3000006929</v>
      </c>
      <c r="B1469" s="3">
        <v>45979</v>
      </c>
      <c r="C1469" s="4">
        <v>7214150.79</v>
      </c>
      <c r="D1469" t="s">
        <v>83</v>
      </c>
      <c r="E1469">
        <v>91002706</v>
      </c>
      <c r="F1469" s="4">
        <v>7214150.79</v>
      </c>
      <c r="G1469" s="3">
        <v>45986</v>
      </c>
      <c r="H1469" t="s">
        <v>79</v>
      </c>
      <c r="I1469" s="51" t="str">
        <f>IFERROR(IF(VLOOKUP(E1469,extracto!C:C,1,FALSE)=E1469,"pagado","no pagado"),"no pagado")</f>
        <v>pagado</v>
      </c>
      <c r="J1469" s="52" t="str">
        <f t="shared" si="666"/>
        <v>pagado</v>
      </c>
      <c r="K1469" s="51" t="str">
        <f t="shared" ca="1" si="667"/>
        <v>excluir</v>
      </c>
      <c r="L1469" s="51" t="str">
        <f t="shared" ca="1" si="668"/>
        <v>no semana</v>
      </c>
      <c r="M1469" s="51" t="str">
        <f>IFERROR(VLOOKUP(E1469,'cheques a conf'!A:D,4,FALSE),"no clearing")</f>
        <v>no clearing</v>
      </c>
      <c r="N1469" s="51">
        <f t="shared" si="669"/>
        <v>48</v>
      </c>
      <c r="O1469" s="53">
        <f t="shared" si="670"/>
        <v>11</v>
      </c>
      <c r="P1469" s="53">
        <f t="shared" si="671"/>
        <v>2025</v>
      </c>
    </row>
    <row r="1470" spans="1:16" x14ac:dyDescent="0.25">
      <c r="A1470">
        <v>3000006930</v>
      </c>
      <c r="B1470" s="3">
        <v>45979</v>
      </c>
      <c r="C1470" s="4">
        <v>13879757.4</v>
      </c>
      <c r="D1470" t="s">
        <v>593</v>
      </c>
      <c r="E1470">
        <v>91002707</v>
      </c>
      <c r="F1470" s="4">
        <v>13879757.4</v>
      </c>
      <c r="G1470" s="3">
        <v>45986</v>
      </c>
      <c r="H1470" t="s">
        <v>79</v>
      </c>
      <c r="I1470" s="51" t="str">
        <f>IFERROR(IF(VLOOKUP(E1470,extracto!C:C,1,FALSE)=E1470,"pagado","no pagado"),"no pagado")</f>
        <v>pagado</v>
      </c>
      <c r="J1470" s="52" t="str">
        <f t="shared" si="666"/>
        <v>pagado</v>
      </c>
      <c r="K1470" s="51" t="str">
        <f t="shared" ca="1" si="667"/>
        <v>excluir</v>
      </c>
      <c r="L1470" s="51" t="str">
        <f t="shared" ca="1" si="668"/>
        <v>no semana</v>
      </c>
      <c r="M1470" s="51" t="str">
        <f>IFERROR(VLOOKUP(E1470,'cheques a conf'!A:D,4,FALSE),"no clearing")</f>
        <v>no clearing</v>
      </c>
      <c r="N1470" s="51">
        <f t="shared" si="669"/>
        <v>48</v>
      </c>
      <c r="O1470" s="53">
        <f t="shared" si="670"/>
        <v>11</v>
      </c>
      <c r="P1470" s="53">
        <f t="shared" si="671"/>
        <v>2025</v>
      </c>
    </row>
    <row r="1471" spans="1:16" x14ac:dyDescent="0.25">
      <c r="A1471" s="21">
        <v>3000006962</v>
      </c>
      <c r="B1471" s="22">
        <v>45981</v>
      </c>
      <c r="C1471" s="20">
        <v>154825260</v>
      </c>
      <c r="D1471" s="21" t="s">
        <v>25</v>
      </c>
      <c r="E1471" s="21">
        <v>1988</v>
      </c>
      <c r="F1471" s="20">
        <v>154825260</v>
      </c>
      <c r="G1471" s="22">
        <v>45986</v>
      </c>
      <c r="H1471" t="s">
        <v>32</v>
      </c>
      <c r="I1471" s="51" t="str">
        <f>IFERROR(IF(VLOOKUP(E1471,extracto!C:C,1,FALSE)=E1471,"pagado","no pagado"),"no pagado")</f>
        <v>pagado</v>
      </c>
      <c r="J1471" s="52" t="str">
        <f t="shared" si="666"/>
        <v>pagado</v>
      </c>
      <c r="K1471" s="51" t="str">
        <f t="shared" ca="1" si="667"/>
        <v>excluir</v>
      </c>
      <c r="L1471" s="51" t="str">
        <f t="shared" ca="1" si="668"/>
        <v>no semana</v>
      </c>
      <c r="M1471" s="51" t="str">
        <f>IFERROR(VLOOKUP(E1471,'cheques a conf'!A:D,4,FALSE),"no clearing")</f>
        <v>no clearing</v>
      </c>
      <c r="N1471" s="51">
        <f t="shared" si="669"/>
        <v>48</v>
      </c>
      <c r="O1471" s="53">
        <f t="shared" si="670"/>
        <v>11</v>
      </c>
      <c r="P1471" s="53">
        <f t="shared" si="671"/>
        <v>2025</v>
      </c>
    </row>
    <row r="1472" spans="1:16" x14ac:dyDescent="0.25">
      <c r="A1472" s="21">
        <v>3000007007</v>
      </c>
      <c r="B1472" s="22">
        <v>45986</v>
      </c>
      <c r="C1472" s="20">
        <v>8939507.4000000004</v>
      </c>
      <c r="D1472" s="21" t="s">
        <v>610</v>
      </c>
      <c r="E1472" s="21">
        <v>1989</v>
      </c>
      <c r="F1472" s="20">
        <v>8939507.4000000004</v>
      </c>
      <c r="G1472" s="22">
        <v>45989</v>
      </c>
      <c r="H1472" t="s">
        <v>32</v>
      </c>
      <c r="I1472" s="51" t="str">
        <f>IFERROR(IF(VLOOKUP(E1472,extracto!C:C,1,FALSE)=E1472,"pagado","no pagado"),"no pagado")</f>
        <v>pagado</v>
      </c>
      <c r="J1472" s="52" t="str">
        <f t="shared" si="666"/>
        <v>pagado</v>
      </c>
      <c r="K1472" s="51" t="str">
        <f t="shared" ca="1" si="667"/>
        <v>excluir</v>
      </c>
      <c r="L1472" s="51" t="str">
        <f t="shared" ca="1" si="668"/>
        <v>no semana</v>
      </c>
      <c r="M1472" s="51" t="str">
        <f>IFERROR(VLOOKUP(E1472,'cheques a conf'!A:D,4,FALSE),"no clearing")</f>
        <v>no clearing</v>
      </c>
      <c r="N1472" s="51">
        <f t="shared" si="669"/>
        <v>48</v>
      </c>
      <c r="O1472" s="53">
        <f t="shared" si="670"/>
        <v>11</v>
      </c>
      <c r="P1472" s="53">
        <f t="shared" si="671"/>
        <v>2025</v>
      </c>
    </row>
    <row r="1473" spans="1:16" x14ac:dyDescent="0.25">
      <c r="A1473" s="21">
        <v>3000007008</v>
      </c>
      <c r="B1473" s="22">
        <v>45986</v>
      </c>
      <c r="C1473" s="20">
        <v>4249728</v>
      </c>
      <c r="D1473" s="21" t="s">
        <v>808</v>
      </c>
      <c r="E1473" s="21">
        <v>1990</v>
      </c>
      <c r="F1473" s="20">
        <v>4249728</v>
      </c>
      <c r="G1473" s="22">
        <v>45989</v>
      </c>
      <c r="H1473" t="s">
        <v>32</v>
      </c>
      <c r="I1473" s="51" t="str">
        <f>IFERROR(IF(VLOOKUP(E1473,extracto!C:C,1,FALSE)=E1473,"pagado","no pagado"),"no pagado")</f>
        <v>pagado</v>
      </c>
      <c r="J1473" s="52" t="str">
        <f t="shared" si="666"/>
        <v>pagado</v>
      </c>
      <c r="K1473" s="51" t="str">
        <f t="shared" ca="1" si="667"/>
        <v>excluir</v>
      </c>
      <c r="L1473" s="51" t="str">
        <f t="shared" ca="1" si="668"/>
        <v>no semana</v>
      </c>
      <c r="M1473" s="51" t="str">
        <f>IFERROR(VLOOKUP(E1473,'cheques a conf'!A:D,4,FALSE),"no clearing")</f>
        <v>no clearing</v>
      </c>
      <c r="N1473" s="51">
        <f t="shared" si="669"/>
        <v>48</v>
      </c>
      <c r="O1473" s="53">
        <f t="shared" si="670"/>
        <v>11</v>
      </c>
      <c r="P1473" s="53">
        <f t="shared" si="671"/>
        <v>2025</v>
      </c>
    </row>
    <row r="1474" spans="1:16" x14ac:dyDescent="0.25">
      <c r="A1474" s="21">
        <v>3000007009</v>
      </c>
      <c r="B1474" s="22">
        <v>45986</v>
      </c>
      <c r="C1474" s="20">
        <v>28490204.57</v>
      </c>
      <c r="D1474" s="21" t="s">
        <v>600</v>
      </c>
      <c r="E1474" s="21">
        <v>1991</v>
      </c>
      <c r="F1474" s="20">
        <v>28490204.57</v>
      </c>
      <c r="G1474" s="22">
        <v>45989</v>
      </c>
      <c r="H1474" t="s">
        <v>32</v>
      </c>
      <c r="I1474" s="51" t="str">
        <f>IFERROR(IF(VLOOKUP(E1474,extracto!C:C,1,FALSE)=E1474,"pagado","no pagado"),"no pagado")</f>
        <v>pagado</v>
      </c>
      <c r="J1474" s="52" t="str">
        <f t="shared" si="666"/>
        <v>pagado</v>
      </c>
      <c r="K1474" s="51" t="str">
        <f t="shared" ca="1" si="667"/>
        <v>excluir</v>
      </c>
      <c r="L1474" s="51" t="str">
        <f t="shared" ca="1" si="668"/>
        <v>no semana</v>
      </c>
      <c r="M1474" s="51" t="str">
        <f>IFERROR(VLOOKUP(E1474,'cheques a conf'!A:D,4,FALSE),"no clearing")</f>
        <v>no clearing</v>
      </c>
      <c r="N1474" s="51">
        <f t="shared" si="669"/>
        <v>48</v>
      </c>
      <c r="O1474" s="53">
        <f t="shared" si="670"/>
        <v>11</v>
      </c>
      <c r="P1474" s="53">
        <f t="shared" si="671"/>
        <v>2025</v>
      </c>
    </row>
    <row r="1475" spans="1:16" x14ac:dyDescent="0.25">
      <c r="A1475" s="21">
        <v>3000007010</v>
      </c>
      <c r="B1475" s="22">
        <v>45986</v>
      </c>
      <c r="C1475" s="20">
        <v>4190802</v>
      </c>
      <c r="D1475" s="21" t="s">
        <v>182</v>
      </c>
      <c r="E1475" s="21">
        <v>1992</v>
      </c>
      <c r="F1475" s="20">
        <v>4190802</v>
      </c>
      <c r="G1475" s="22">
        <v>45989</v>
      </c>
      <c r="H1475" t="s">
        <v>32</v>
      </c>
      <c r="I1475" s="51" t="str">
        <f>IFERROR(IF(VLOOKUP(E1475,extracto!C:C,1,FALSE)=E1475,"pagado","no pagado"),"no pagado")</f>
        <v>pagado</v>
      </c>
      <c r="J1475" s="52" t="str">
        <f t="shared" si="666"/>
        <v>pagado</v>
      </c>
      <c r="K1475" s="51" t="str">
        <f t="shared" ca="1" si="667"/>
        <v>excluir</v>
      </c>
      <c r="L1475" s="51" t="str">
        <f t="shared" ca="1" si="668"/>
        <v>no semana</v>
      </c>
      <c r="M1475" s="51" t="str">
        <f>IFERROR(VLOOKUP(E1475,'cheques a conf'!A:D,4,FALSE),"no clearing")</f>
        <v>no clearing</v>
      </c>
      <c r="N1475" s="51">
        <f t="shared" si="669"/>
        <v>48</v>
      </c>
      <c r="O1475" s="53">
        <f t="shared" si="670"/>
        <v>11</v>
      </c>
      <c r="P1475" s="53">
        <f t="shared" si="671"/>
        <v>2025</v>
      </c>
    </row>
    <row r="1476" spans="1:16" x14ac:dyDescent="0.25">
      <c r="A1476" s="21">
        <v>3000007011</v>
      </c>
      <c r="B1476" s="22">
        <v>45986</v>
      </c>
      <c r="C1476" s="20">
        <v>3964795.28</v>
      </c>
      <c r="D1476" s="21" t="s">
        <v>69</v>
      </c>
      <c r="E1476" s="21">
        <v>1993</v>
      </c>
      <c r="F1476" s="20">
        <v>3964795.28</v>
      </c>
      <c r="G1476" s="22">
        <v>45989</v>
      </c>
      <c r="H1476" t="s">
        <v>32</v>
      </c>
      <c r="I1476" s="51" t="str">
        <f>IFERROR(IF(VLOOKUP(E1476,extracto!C:C,1,FALSE)=E1476,"pagado","no pagado"),"no pagado")</f>
        <v>pagado</v>
      </c>
      <c r="J1476" s="52" t="str">
        <f t="shared" si="666"/>
        <v>pagado</v>
      </c>
      <c r="K1476" s="51" t="str">
        <f t="shared" ca="1" si="667"/>
        <v>excluir</v>
      </c>
      <c r="L1476" s="51" t="str">
        <f t="shared" ca="1" si="668"/>
        <v>no semana</v>
      </c>
      <c r="M1476" s="51" t="str">
        <f>IFERROR(VLOOKUP(E1476,'cheques a conf'!A:D,4,FALSE),"no clearing")</f>
        <v>no clearing</v>
      </c>
      <c r="N1476" s="51">
        <f t="shared" si="669"/>
        <v>48</v>
      </c>
      <c r="O1476" s="53">
        <f t="shared" si="670"/>
        <v>11</v>
      </c>
      <c r="P1476" s="53">
        <f t="shared" si="671"/>
        <v>2025</v>
      </c>
    </row>
    <row r="1477" spans="1:16" x14ac:dyDescent="0.25">
      <c r="A1477" s="21">
        <v>3000007012</v>
      </c>
      <c r="B1477" s="22">
        <v>45986</v>
      </c>
      <c r="C1477" s="20">
        <v>22019418.219999999</v>
      </c>
      <c r="D1477" s="21" t="s">
        <v>752</v>
      </c>
      <c r="E1477" s="21">
        <v>1994</v>
      </c>
      <c r="F1477" s="20">
        <v>22019418.219999999</v>
      </c>
      <c r="G1477" s="22">
        <v>45989</v>
      </c>
      <c r="H1477" t="s">
        <v>32</v>
      </c>
      <c r="I1477" s="51" t="str">
        <f>IFERROR(IF(VLOOKUP(E1477,extracto!C:C,1,FALSE)=E1477,"pagado","no pagado"),"no pagado")</f>
        <v>pagado</v>
      </c>
      <c r="J1477" s="52" t="str">
        <f t="shared" si="666"/>
        <v>pagado</v>
      </c>
      <c r="K1477" s="51" t="str">
        <f t="shared" ca="1" si="667"/>
        <v>excluir</v>
      </c>
      <c r="L1477" s="51" t="str">
        <f t="shared" ca="1" si="668"/>
        <v>no semana</v>
      </c>
      <c r="M1477" s="51" t="str">
        <f>IFERROR(VLOOKUP(E1477,'cheques a conf'!A:D,4,FALSE),"no clearing")</f>
        <v>no clearing</v>
      </c>
      <c r="N1477" s="51">
        <f t="shared" si="669"/>
        <v>48</v>
      </c>
      <c r="O1477" s="53">
        <f t="shared" si="670"/>
        <v>11</v>
      </c>
      <c r="P1477" s="53">
        <f t="shared" si="671"/>
        <v>2025</v>
      </c>
    </row>
    <row r="1478" spans="1:16" x14ac:dyDescent="0.25">
      <c r="A1478" s="21">
        <v>3000007013</v>
      </c>
      <c r="B1478" s="22">
        <v>45986</v>
      </c>
      <c r="C1478" s="20">
        <v>4977844.2</v>
      </c>
      <c r="D1478" s="21" t="s">
        <v>74</v>
      </c>
      <c r="E1478" s="21">
        <v>1995</v>
      </c>
      <c r="F1478" s="20">
        <v>4977844.2</v>
      </c>
      <c r="G1478" s="22">
        <v>45989</v>
      </c>
      <c r="H1478" t="s">
        <v>32</v>
      </c>
      <c r="I1478" s="51" t="str">
        <f>IFERROR(IF(VLOOKUP(E1478,extracto!C:C,1,FALSE)=E1478,"pagado","no pagado"),"no pagado")</f>
        <v>pagado</v>
      </c>
      <c r="J1478" s="52" t="str">
        <f t="shared" si="666"/>
        <v>pagado</v>
      </c>
      <c r="K1478" s="51" t="str">
        <f t="shared" ca="1" si="667"/>
        <v>excluir</v>
      </c>
      <c r="L1478" s="51" t="str">
        <f t="shared" ca="1" si="668"/>
        <v>no semana</v>
      </c>
      <c r="M1478" s="51" t="str">
        <f>IFERROR(VLOOKUP(E1478,'cheques a conf'!A:D,4,FALSE),"no clearing")</f>
        <v>no clearing</v>
      </c>
      <c r="N1478" s="51">
        <f t="shared" si="669"/>
        <v>48</v>
      </c>
      <c r="O1478" s="53">
        <f t="shared" si="670"/>
        <v>11</v>
      </c>
      <c r="P1478" s="53">
        <f t="shared" si="671"/>
        <v>2025</v>
      </c>
    </row>
    <row r="1479" spans="1:16" x14ac:dyDescent="0.25">
      <c r="A1479" s="21">
        <v>3000007014</v>
      </c>
      <c r="B1479" s="22">
        <v>45986</v>
      </c>
      <c r="C1479" s="20">
        <v>24394399.27</v>
      </c>
      <c r="D1479" s="21" t="s">
        <v>626</v>
      </c>
      <c r="E1479" s="21">
        <v>1996</v>
      </c>
      <c r="F1479" s="20">
        <v>24394399.27</v>
      </c>
      <c r="G1479" s="22">
        <v>45989</v>
      </c>
      <c r="H1479" t="s">
        <v>32</v>
      </c>
      <c r="I1479" s="51" t="str">
        <f>IFERROR(IF(VLOOKUP(E1479,extracto!C:C,1,FALSE)=E1479,"pagado","no pagado"),"no pagado")</f>
        <v>pagado</v>
      </c>
      <c r="J1479" s="52" t="str">
        <f t="shared" si="666"/>
        <v>pagado</v>
      </c>
      <c r="K1479" s="51" t="str">
        <f t="shared" ca="1" si="667"/>
        <v>excluir</v>
      </c>
      <c r="L1479" s="51" t="str">
        <f t="shared" ca="1" si="668"/>
        <v>no semana</v>
      </c>
      <c r="M1479" s="51" t="str">
        <f>IFERROR(VLOOKUP(E1479,'cheques a conf'!A:D,4,FALSE),"no clearing")</f>
        <v>no clearing</v>
      </c>
      <c r="N1479" s="51">
        <f t="shared" si="669"/>
        <v>48</v>
      </c>
      <c r="O1479" s="53">
        <f t="shared" si="670"/>
        <v>11</v>
      </c>
      <c r="P1479" s="53">
        <f t="shared" si="671"/>
        <v>2025</v>
      </c>
    </row>
    <row r="1480" spans="1:16" x14ac:dyDescent="0.25">
      <c r="A1480" s="21">
        <v>3000007015</v>
      </c>
      <c r="B1480" s="22">
        <v>45986</v>
      </c>
      <c r="C1480" s="20">
        <v>20035776.559999999</v>
      </c>
      <c r="D1480" s="21" t="s">
        <v>631</v>
      </c>
      <c r="E1480" s="21">
        <v>1997</v>
      </c>
      <c r="F1480" s="20">
        <v>20035776.559999999</v>
      </c>
      <c r="G1480" s="22">
        <v>45989</v>
      </c>
      <c r="H1480" t="s">
        <v>32</v>
      </c>
      <c r="I1480" s="51" t="str">
        <f>IFERROR(IF(VLOOKUP(E1480,extracto!C:C,1,FALSE)=E1480,"pagado","no pagado"),"no pagado")</f>
        <v>pagado</v>
      </c>
      <c r="J1480" s="52" t="str">
        <f t="shared" si="666"/>
        <v>pagado</v>
      </c>
      <c r="K1480" s="51" t="str">
        <f t="shared" ca="1" si="667"/>
        <v>excluir</v>
      </c>
      <c r="L1480" s="51" t="str">
        <f t="shared" ca="1" si="668"/>
        <v>no semana</v>
      </c>
      <c r="M1480" s="51" t="str">
        <f>IFERROR(VLOOKUP(E1480,'cheques a conf'!A:D,4,FALSE),"no clearing")</f>
        <v>no clearing</v>
      </c>
      <c r="N1480" s="51">
        <f t="shared" si="669"/>
        <v>48</v>
      </c>
      <c r="O1480" s="53">
        <f t="shared" si="670"/>
        <v>11</v>
      </c>
      <c r="P1480" s="53">
        <f t="shared" si="671"/>
        <v>2025</v>
      </c>
    </row>
    <row r="1481" spans="1:16" x14ac:dyDescent="0.25">
      <c r="A1481" s="21">
        <v>3000007016</v>
      </c>
      <c r="B1481" s="22">
        <v>45986</v>
      </c>
      <c r="C1481" s="20">
        <v>39490309.859999999</v>
      </c>
      <c r="D1481" s="21" t="s">
        <v>596</v>
      </c>
      <c r="E1481" s="21">
        <v>1998</v>
      </c>
      <c r="F1481" s="20">
        <v>39490309.859999999</v>
      </c>
      <c r="G1481" s="22">
        <v>45989</v>
      </c>
      <c r="H1481" t="s">
        <v>32</v>
      </c>
      <c r="I1481" s="51" t="str">
        <f>IFERROR(IF(VLOOKUP(E1481,extracto!C:C,1,FALSE)=E1481,"pagado","no pagado"),"no pagado")</f>
        <v>pagado</v>
      </c>
      <c r="J1481" s="52" t="str">
        <f t="shared" si="666"/>
        <v>pagado</v>
      </c>
      <c r="K1481" s="51" t="str">
        <f t="shared" ca="1" si="667"/>
        <v>excluir</v>
      </c>
      <c r="L1481" s="51" t="str">
        <f t="shared" ca="1" si="668"/>
        <v>no semana</v>
      </c>
      <c r="M1481" s="51" t="str">
        <f>IFERROR(VLOOKUP(E1481,'cheques a conf'!A:D,4,FALSE),"no clearing")</f>
        <v>no clearing</v>
      </c>
      <c r="N1481" s="51">
        <f t="shared" si="669"/>
        <v>48</v>
      </c>
      <c r="O1481" s="53">
        <f t="shared" si="670"/>
        <v>11</v>
      </c>
      <c r="P1481" s="53">
        <f t="shared" si="671"/>
        <v>2025</v>
      </c>
    </row>
    <row r="1482" spans="1:16" x14ac:dyDescent="0.25">
      <c r="A1482" s="21">
        <v>3000007017</v>
      </c>
      <c r="B1482" s="22">
        <v>45986</v>
      </c>
      <c r="C1482" s="20">
        <v>232695124.11000001</v>
      </c>
      <c r="D1482" s="21" t="s">
        <v>29</v>
      </c>
      <c r="E1482" s="21">
        <v>1999</v>
      </c>
      <c r="F1482" s="20">
        <v>232695124.11000001</v>
      </c>
      <c r="G1482" s="22">
        <v>45989</v>
      </c>
      <c r="H1482" t="s">
        <v>32</v>
      </c>
      <c r="I1482" s="51" t="str">
        <f>IFERROR(IF(VLOOKUP(E1482,extracto!C:C,1,FALSE)=E1482,"pagado","no pagado"),"no pagado")</f>
        <v>pagado</v>
      </c>
      <c r="J1482" s="52" t="str">
        <f t="shared" si="666"/>
        <v>pagado</v>
      </c>
      <c r="K1482" s="51" t="str">
        <f t="shared" ca="1" si="667"/>
        <v>excluir</v>
      </c>
      <c r="L1482" s="51" t="str">
        <f t="shared" ca="1" si="668"/>
        <v>no semana</v>
      </c>
      <c r="M1482" s="51" t="str">
        <f>IFERROR(VLOOKUP(E1482,'cheques a conf'!A:D,4,FALSE),"no clearing")</f>
        <v>no clearing</v>
      </c>
      <c r="N1482" s="51">
        <f t="shared" si="669"/>
        <v>48</v>
      </c>
      <c r="O1482" s="53">
        <f t="shared" si="670"/>
        <v>11</v>
      </c>
      <c r="P1482" s="53">
        <f t="shared" si="671"/>
        <v>2025</v>
      </c>
    </row>
    <row r="1483" spans="1:16" x14ac:dyDescent="0.25">
      <c r="A1483" s="21">
        <v>3000007018</v>
      </c>
      <c r="B1483" s="22">
        <v>45986</v>
      </c>
      <c r="C1483" s="20">
        <v>15915466.189999999</v>
      </c>
      <c r="D1483" s="21" t="s">
        <v>805</v>
      </c>
      <c r="E1483" s="21">
        <v>2000</v>
      </c>
      <c r="F1483" s="20">
        <v>15915466.189999999</v>
      </c>
      <c r="G1483" s="22">
        <v>46003</v>
      </c>
      <c r="H1483" t="s">
        <v>32</v>
      </c>
      <c r="I1483" s="51" t="str">
        <f>IFERROR(IF(VLOOKUP(E1483,extracto!C:C,1,FALSE)=E1483,"pagado","no pagado"),"no pagado")</f>
        <v>pagado</v>
      </c>
      <c r="J1483" s="52" t="str">
        <f t="shared" si="666"/>
        <v>pagado</v>
      </c>
      <c r="K1483" s="51" t="str">
        <f t="shared" ca="1" si="667"/>
        <v>excluir</v>
      </c>
      <c r="L1483" s="51" t="str">
        <f t="shared" ca="1" si="668"/>
        <v>no semana</v>
      </c>
      <c r="M1483" s="51" t="str">
        <f>IFERROR(VLOOKUP(E1483,'cheques a conf'!A:D,4,FALSE),"no clearing")</f>
        <v>no clearing</v>
      </c>
      <c r="N1483" s="51">
        <f t="shared" si="669"/>
        <v>50</v>
      </c>
      <c r="O1483" s="53">
        <f t="shared" si="670"/>
        <v>12</v>
      </c>
      <c r="P1483" s="53">
        <f t="shared" si="671"/>
        <v>2025</v>
      </c>
    </row>
    <row r="1484" spans="1:16" x14ac:dyDescent="0.25">
      <c r="A1484" s="21">
        <v>3000007019</v>
      </c>
      <c r="B1484" s="22">
        <v>45986</v>
      </c>
      <c r="C1484" s="20">
        <v>32131914.460000001</v>
      </c>
      <c r="D1484" s="21" t="s">
        <v>748</v>
      </c>
      <c r="E1484" s="21">
        <v>2001</v>
      </c>
      <c r="F1484" s="20">
        <v>32131914.460000001</v>
      </c>
      <c r="G1484" s="22">
        <v>45989</v>
      </c>
      <c r="H1484" t="s">
        <v>32</v>
      </c>
      <c r="I1484" s="51" t="str">
        <f>IFERROR(IF(VLOOKUP(E1484,extracto!C:C,1,FALSE)=E1484,"pagado","no pagado"),"no pagado")</f>
        <v>pagado</v>
      </c>
      <c r="J1484" s="52" t="str">
        <f t="shared" si="666"/>
        <v>pagado</v>
      </c>
      <c r="K1484" s="51" t="str">
        <f t="shared" ca="1" si="667"/>
        <v>excluir</v>
      </c>
      <c r="L1484" s="51" t="str">
        <f t="shared" ca="1" si="668"/>
        <v>no semana</v>
      </c>
      <c r="M1484" s="51" t="str">
        <f>IFERROR(VLOOKUP(E1484,'cheques a conf'!A:D,4,FALSE),"no clearing")</f>
        <v>no clearing</v>
      </c>
      <c r="N1484" s="51">
        <f t="shared" si="669"/>
        <v>48</v>
      </c>
      <c r="O1484" s="53">
        <f t="shared" si="670"/>
        <v>11</v>
      </c>
      <c r="P1484" s="53">
        <f t="shared" si="671"/>
        <v>2025</v>
      </c>
    </row>
    <row r="1485" spans="1:16" x14ac:dyDescent="0.25">
      <c r="A1485" s="21">
        <v>3000007020</v>
      </c>
      <c r="B1485" s="22">
        <v>45986</v>
      </c>
      <c r="C1485" s="20">
        <v>5416505.7800000003</v>
      </c>
      <c r="D1485" s="21" t="s">
        <v>809</v>
      </c>
      <c r="E1485" s="21">
        <v>2002</v>
      </c>
      <c r="F1485" s="20">
        <v>5416505.7800000003</v>
      </c>
      <c r="G1485" s="22">
        <v>45989</v>
      </c>
      <c r="H1485" t="s">
        <v>32</v>
      </c>
      <c r="I1485" s="51" t="str">
        <f>IFERROR(IF(VLOOKUP(E1485,extracto!C:C,1,FALSE)=E1485,"pagado","no pagado"),"no pagado")</f>
        <v>pagado</v>
      </c>
      <c r="J1485" s="52" t="str">
        <f t="shared" si="666"/>
        <v>pagado</v>
      </c>
      <c r="K1485" s="51" t="str">
        <f t="shared" ca="1" si="667"/>
        <v>excluir</v>
      </c>
      <c r="L1485" s="51" t="str">
        <f t="shared" ca="1" si="668"/>
        <v>no semana</v>
      </c>
      <c r="M1485" s="51" t="str">
        <f>IFERROR(VLOOKUP(E1485,'cheques a conf'!A:D,4,FALSE),"no clearing")</f>
        <v>no clearing</v>
      </c>
      <c r="N1485" s="51">
        <f t="shared" si="669"/>
        <v>48</v>
      </c>
      <c r="O1485" s="53">
        <f t="shared" si="670"/>
        <v>11</v>
      </c>
      <c r="P1485" s="53">
        <f t="shared" si="671"/>
        <v>2025</v>
      </c>
    </row>
    <row r="1486" spans="1:16" x14ac:dyDescent="0.25">
      <c r="A1486" s="21">
        <v>3000007021</v>
      </c>
      <c r="B1486" s="22">
        <v>45986</v>
      </c>
      <c r="C1486" s="20">
        <v>5674825.6799999997</v>
      </c>
      <c r="D1486" s="21" t="s">
        <v>34</v>
      </c>
      <c r="E1486" s="21">
        <v>2003</v>
      </c>
      <c r="F1486" s="20">
        <v>5674825.6799999997</v>
      </c>
      <c r="G1486" s="22">
        <v>45989</v>
      </c>
      <c r="H1486" t="s">
        <v>32</v>
      </c>
      <c r="I1486" s="51" t="str">
        <f>IFERROR(IF(VLOOKUP(E1486,extracto!C:C,1,FALSE)=E1486,"pagado","no pagado"),"no pagado")</f>
        <v>pagado</v>
      </c>
      <c r="J1486" s="52" t="str">
        <f t="shared" ref="J1486" si="672">IF(I1486="pagado","pagado",IF(G1486&lt;$V$1-30,"fuera de fecha","en periodo de pago"))</f>
        <v>pagado</v>
      </c>
      <c r="K1486" s="51" t="str">
        <f t="shared" ref="K1486" ca="1" si="673">+IF(B1486&gt;$V$1,"excluir",IF(J1486="en periodo de pago",IF($V$1&gt;G1486,"a pagar","proximo a vencer"),"excluir"))</f>
        <v>excluir</v>
      </c>
      <c r="L1486" s="51" t="str">
        <f t="shared" ref="L1486" ca="1" si="674">+IF(K1486="proximo a vencer",IF($V$1+5&gt;G1486,"para la semana","no semana"),"no semana")</f>
        <v>no semana</v>
      </c>
      <c r="M1486" s="51" t="str">
        <f>IFERROR(VLOOKUP(E1486,'cheques a conf'!A:D,4,FALSE),"no clearing")</f>
        <v>no clearing</v>
      </c>
      <c r="N1486" s="51">
        <f t="shared" ref="N1486" si="675">+WEEKNUM(G1486,2)</f>
        <v>48</v>
      </c>
      <c r="O1486" s="53">
        <f t="shared" ref="O1486" si="676">+MONTH(G1486)</f>
        <v>11</v>
      </c>
      <c r="P1486" s="53">
        <f t="shared" ref="P1486" si="677">+YEAR(G1486)</f>
        <v>2025</v>
      </c>
    </row>
    <row r="1487" spans="1:16" x14ac:dyDescent="0.25">
      <c r="A1487" s="21">
        <v>3000007022</v>
      </c>
      <c r="B1487" s="22">
        <v>45986</v>
      </c>
      <c r="C1487" s="20">
        <v>4017666.5</v>
      </c>
      <c r="D1487" s="21" t="s">
        <v>624</v>
      </c>
      <c r="E1487" s="21">
        <v>2004</v>
      </c>
      <c r="F1487" s="20">
        <v>4017666.5</v>
      </c>
      <c r="G1487" s="22">
        <v>45989</v>
      </c>
      <c r="H1487" t="s">
        <v>32</v>
      </c>
      <c r="I1487" s="51" t="str">
        <f>IFERROR(IF(VLOOKUP(E1487,extracto!C:C,1,FALSE)=E1487,"pagado","no pagado"),"no pagado")</f>
        <v>pagado</v>
      </c>
      <c r="J1487" s="52" t="str">
        <f t="shared" ref="J1487" si="678">IF(I1487="pagado","pagado",IF(G1487&lt;$V$1-30,"fuera de fecha","en periodo de pago"))</f>
        <v>pagado</v>
      </c>
      <c r="K1487" s="51" t="str">
        <f t="shared" ref="K1487" ca="1" si="679">+IF(B1487&gt;$V$1,"excluir",IF(J1487="en periodo de pago",IF($V$1&gt;G1487,"a pagar","proximo a vencer"),"excluir"))</f>
        <v>excluir</v>
      </c>
      <c r="L1487" s="51" t="str">
        <f t="shared" ref="L1487" ca="1" si="680">+IF(K1487="proximo a vencer",IF($V$1+5&gt;G1487,"para la semana","no semana"),"no semana")</f>
        <v>no semana</v>
      </c>
      <c r="M1487" s="51" t="str">
        <f>IFERROR(VLOOKUP(E1487,'cheques a conf'!A:D,4,FALSE),"no clearing")</f>
        <v>no clearing</v>
      </c>
      <c r="N1487" s="51">
        <f t="shared" ref="N1487" si="681">+WEEKNUM(G1487,2)</f>
        <v>48</v>
      </c>
      <c r="O1487" s="53">
        <f t="shared" ref="O1487" si="682">+MONTH(G1487)</f>
        <v>11</v>
      </c>
      <c r="P1487" s="53">
        <f t="shared" ref="P1487" si="683">+YEAR(G1487)</f>
        <v>2025</v>
      </c>
    </row>
    <row r="1488" spans="1:16" x14ac:dyDescent="0.25">
      <c r="A1488" s="21">
        <v>3000007023</v>
      </c>
      <c r="B1488" s="22">
        <v>45986</v>
      </c>
      <c r="C1488" s="20">
        <v>14941216.560000001</v>
      </c>
      <c r="D1488" s="21" t="s">
        <v>613</v>
      </c>
      <c r="E1488" s="21">
        <v>2005</v>
      </c>
      <c r="F1488" s="20">
        <v>14941216.560000001</v>
      </c>
      <c r="G1488" s="22">
        <v>45989</v>
      </c>
      <c r="H1488" t="s">
        <v>32</v>
      </c>
      <c r="I1488" s="51" t="str">
        <f>IFERROR(IF(VLOOKUP(E1488,extracto!C:C,1,FALSE)=E1488,"pagado","no pagado"),"no pagado")</f>
        <v>pagado</v>
      </c>
      <c r="J1488" s="52" t="str">
        <f t="shared" ref="J1488:J1491" si="684">IF(I1488="pagado","pagado",IF(G1488&lt;$V$1-30,"fuera de fecha","en periodo de pago"))</f>
        <v>pagado</v>
      </c>
      <c r="K1488" s="51" t="str">
        <f t="shared" ref="K1488:K1491" ca="1" si="685">+IF(B1488&gt;$V$1,"excluir",IF(J1488="en periodo de pago",IF($V$1&gt;G1488,"a pagar","proximo a vencer"),"excluir"))</f>
        <v>excluir</v>
      </c>
      <c r="L1488" s="51" t="str">
        <f t="shared" ref="L1488:L1491" ca="1" si="686">+IF(K1488="proximo a vencer",IF($V$1+5&gt;G1488,"para la semana","no semana"),"no semana")</f>
        <v>no semana</v>
      </c>
      <c r="M1488" s="51" t="str">
        <f>IFERROR(VLOOKUP(E1488,'cheques a conf'!A:D,4,FALSE),"no clearing")</f>
        <v>no clearing</v>
      </c>
      <c r="N1488" s="51">
        <f t="shared" ref="N1488:N1491" si="687">+WEEKNUM(G1488,2)</f>
        <v>48</v>
      </c>
      <c r="O1488" s="53">
        <f t="shared" ref="O1488:O1491" si="688">+MONTH(G1488)</f>
        <v>11</v>
      </c>
      <c r="P1488" s="53">
        <f t="shared" ref="P1488:P1491" si="689">+YEAR(G1488)</f>
        <v>2025</v>
      </c>
    </row>
    <row r="1489" spans="1:16" x14ac:dyDescent="0.25">
      <c r="A1489" s="21">
        <v>3000007024</v>
      </c>
      <c r="B1489" s="22">
        <v>45986</v>
      </c>
      <c r="C1489" s="20">
        <v>2116675.71</v>
      </c>
      <c r="D1489" s="21" t="s">
        <v>617</v>
      </c>
      <c r="E1489" s="21">
        <v>2006</v>
      </c>
      <c r="F1489" s="20">
        <v>2116675.71</v>
      </c>
      <c r="G1489" s="22">
        <v>45989</v>
      </c>
      <c r="H1489" t="s">
        <v>32</v>
      </c>
      <c r="I1489" s="51" t="str">
        <f>IFERROR(IF(VLOOKUP(E1489,extracto!C:C,1,FALSE)=E1489,"pagado","no pagado"),"no pagado")</f>
        <v>pagado</v>
      </c>
      <c r="J1489" s="52" t="str">
        <f t="shared" si="684"/>
        <v>pagado</v>
      </c>
      <c r="K1489" s="51" t="str">
        <f t="shared" ca="1" si="685"/>
        <v>excluir</v>
      </c>
      <c r="L1489" s="51" t="str">
        <f t="shared" ca="1" si="686"/>
        <v>no semana</v>
      </c>
      <c r="M1489" s="51" t="str">
        <f>IFERROR(VLOOKUP(E1489,'cheques a conf'!A:D,4,FALSE),"no clearing")</f>
        <v>no clearing</v>
      </c>
      <c r="N1489" s="51">
        <f t="shared" si="687"/>
        <v>48</v>
      </c>
      <c r="O1489" s="53">
        <f t="shared" si="688"/>
        <v>11</v>
      </c>
      <c r="P1489" s="53">
        <f t="shared" si="689"/>
        <v>2025</v>
      </c>
    </row>
    <row r="1490" spans="1:16" x14ac:dyDescent="0.25">
      <c r="A1490" s="21">
        <v>3000007025</v>
      </c>
      <c r="B1490" s="22">
        <v>45986</v>
      </c>
      <c r="C1490" s="20">
        <v>6323502.0700000003</v>
      </c>
      <c r="D1490" s="21" t="s">
        <v>41</v>
      </c>
      <c r="E1490" s="21">
        <v>2007</v>
      </c>
      <c r="F1490" s="20">
        <v>6323502.0700000003</v>
      </c>
      <c r="G1490" s="22">
        <v>45989</v>
      </c>
      <c r="H1490" t="s">
        <v>32</v>
      </c>
      <c r="I1490" s="51" t="str">
        <f>IFERROR(IF(VLOOKUP(E1490,extracto!C:C,1,FALSE)=E1490,"pagado","no pagado"),"no pagado")</f>
        <v>pagado</v>
      </c>
      <c r="J1490" s="52" t="str">
        <f t="shared" si="684"/>
        <v>pagado</v>
      </c>
      <c r="K1490" s="51" t="str">
        <f t="shared" ca="1" si="685"/>
        <v>excluir</v>
      </c>
      <c r="L1490" s="51" t="str">
        <f t="shared" ca="1" si="686"/>
        <v>no semana</v>
      </c>
      <c r="M1490" s="51" t="str">
        <f>IFERROR(VLOOKUP(E1490,'cheques a conf'!A:D,4,FALSE),"no clearing")</f>
        <v>no clearing</v>
      </c>
      <c r="N1490" s="51">
        <f t="shared" si="687"/>
        <v>48</v>
      </c>
      <c r="O1490" s="53">
        <f t="shared" si="688"/>
        <v>11</v>
      </c>
      <c r="P1490" s="53">
        <f t="shared" si="689"/>
        <v>2025</v>
      </c>
    </row>
    <row r="1491" spans="1:16" x14ac:dyDescent="0.25">
      <c r="A1491" s="21">
        <v>3000007026</v>
      </c>
      <c r="B1491" s="22">
        <v>45986</v>
      </c>
      <c r="C1491" s="20">
        <v>4259943.16</v>
      </c>
      <c r="D1491" s="21" t="s">
        <v>612</v>
      </c>
      <c r="E1491" s="21">
        <v>2008</v>
      </c>
      <c r="F1491" s="20">
        <v>4259943.16</v>
      </c>
      <c r="G1491" s="22">
        <v>45989</v>
      </c>
      <c r="H1491" t="s">
        <v>32</v>
      </c>
      <c r="I1491" s="51" t="str">
        <f>IFERROR(IF(VLOOKUP(E1491,extracto!C:C,1,FALSE)=E1491,"pagado","no pagado"),"no pagado")</f>
        <v>pagado</v>
      </c>
      <c r="J1491" s="52" t="str">
        <f t="shared" si="684"/>
        <v>pagado</v>
      </c>
      <c r="K1491" s="51" t="str">
        <f t="shared" ca="1" si="685"/>
        <v>excluir</v>
      </c>
      <c r="L1491" s="51" t="str">
        <f t="shared" ca="1" si="686"/>
        <v>no semana</v>
      </c>
      <c r="M1491" s="51" t="str">
        <f>IFERROR(VLOOKUP(E1491,'cheques a conf'!A:D,4,FALSE),"no clearing")</f>
        <v>no clearing</v>
      </c>
      <c r="N1491" s="51">
        <f t="shared" si="687"/>
        <v>48</v>
      </c>
      <c r="O1491" s="53">
        <f t="shared" si="688"/>
        <v>11</v>
      </c>
      <c r="P1491" s="53">
        <f t="shared" si="689"/>
        <v>2025</v>
      </c>
    </row>
    <row r="1492" spans="1:16" x14ac:dyDescent="0.25">
      <c r="A1492" s="21">
        <v>3000007027</v>
      </c>
      <c r="B1492" s="22">
        <v>45986</v>
      </c>
      <c r="C1492" s="20">
        <v>4233015.58</v>
      </c>
      <c r="D1492" s="21" t="s">
        <v>616</v>
      </c>
      <c r="E1492" s="21">
        <v>2009</v>
      </c>
      <c r="F1492" s="20">
        <v>4233015.58</v>
      </c>
      <c r="G1492" s="22">
        <v>45989</v>
      </c>
      <c r="H1492" t="s">
        <v>32</v>
      </c>
      <c r="I1492" s="51" t="str">
        <f>IFERROR(IF(VLOOKUP(E1492,extracto!C:C,1,FALSE)=E1492,"pagado","no pagado"),"no pagado")</f>
        <v>pagado</v>
      </c>
      <c r="J1492" s="52" t="str">
        <f t="shared" ref="J1492:J1510" si="690">IF(I1492="pagado","pagado",IF(G1492&lt;$V$1-30,"fuera de fecha","en periodo de pago"))</f>
        <v>pagado</v>
      </c>
      <c r="K1492" s="51" t="str">
        <f t="shared" ref="K1492:K1510" ca="1" si="691">+IF(B1492&gt;$V$1,"excluir",IF(J1492="en periodo de pago",IF($V$1&gt;G1492,"a pagar","proximo a vencer"),"excluir"))</f>
        <v>excluir</v>
      </c>
      <c r="L1492" s="51" t="str">
        <f t="shared" ref="L1492:L1510" ca="1" si="692">+IF(K1492="proximo a vencer",IF($V$1+5&gt;G1492,"para la semana","no semana"),"no semana")</f>
        <v>no semana</v>
      </c>
      <c r="M1492" s="51" t="str">
        <f>IFERROR(VLOOKUP(E1492,'cheques a conf'!A:D,4,FALSE),"no clearing")</f>
        <v>no clearing</v>
      </c>
      <c r="N1492" s="51">
        <f t="shared" ref="N1492:N1510" si="693">+WEEKNUM(G1492,2)</f>
        <v>48</v>
      </c>
      <c r="O1492" s="53">
        <f t="shared" ref="O1492:O1510" si="694">+MONTH(G1492)</f>
        <v>11</v>
      </c>
      <c r="P1492" s="53">
        <f t="shared" ref="P1492:P1510" si="695">+YEAR(G1492)</f>
        <v>2025</v>
      </c>
    </row>
    <row r="1493" spans="1:16" x14ac:dyDescent="0.25">
      <c r="A1493" s="21">
        <v>3000007028</v>
      </c>
      <c r="B1493" s="22">
        <v>45986</v>
      </c>
      <c r="C1493" s="20">
        <v>6906900</v>
      </c>
      <c r="D1493" s="21" t="s">
        <v>606</v>
      </c>
      <c r="E1493" s="21">
        <v>2010</v>
      </c>
      <c r="F1493" s="20">
        <v>6906900</v>
      </c>
      <c r="G1493" s="22">
        <v>45989</v>
      </c>
      <c r="H1493" t="s">
        <v>32</v>
      </c>
      <c r="I1493" s="51" t="str">
        <f>IFERROR(IF(VLOOKUP(E1493,extracto!C:C,1,FALSE)=E1493,"pagado","no pagado"),"no pagado")</f>
        <v>pagado</v>
      </c>
      <c r="J1493" s="52" t="str">
        <f t="shared" si="690"/>
        <v>pagado</v>
      </c>
      <c r="K1493" s="51" t="str">
        <f t="shared" ca="1" si="691"/>
        <v>excluir</v>
      </c>
      <c r="L1493" s="51" t="str">
        <f t="shared" ca="1" si="692"/>
        <v>no semana</v>
      </c>
      <c r="M1493" s="51" t="str">
        <f>IFERROR(VLOOKUP(E1493,'cheques a conf'!A:D,4,FALSE),"no clearing")</f>
        <v>no clearing</v>
      </c>
      <c r="N1493" s="51">
        <f t="shared" si="693"/>
        <v>48</v>
      </c>
      <c r="O1493" s="53">
        <f t="shared" si="694"/>
        <v>11</v>
      </c>
      <c r="P1493" s="53">
        <f t="shared" si="695"/>
        <v>2025</v>
      </c>
    </row>
    <row r="1494" spans="1:16" x14ac:dyDescent="0.25">
      <c r="A1494" s="21">
        <v>3000007029</v>
      </c>
      <c r="B1494" s="22">
        <v>45986</v>
      </c>
      <c r="C1494" s="20">
        <v>1416155.23</v>
      </c>
      <c r="D1494" s="21" t="s">
        <v>619</v>
      </c>
      <c r="E1494" s="21">
        <v>2011</v>
      </c>
      <c r="F1494" s="20">
        <v>1416155.23</v>
      </c>
      <c r="G1494" s="22">
        <v>45989</v>
      </c>
      <c r="H1494" t="s">
        <v>32</v>
      </c>
      <c r="I1494" s="51" t="str">
        <f>IFERROR(IF(VLOOKUP(E1494,extracto!C:C,1,FALSE)=E1494,"pagado","no pagado"),"no pagado")</f>
        <v>pagado</v>
      </c>
      <c r="J1494" s="52" t="str">
        <f t="shared" si="690"/>
        <v>pagado</v>
      </c>
      <c r="K1494" s="51" t="str">
        <f t="shared" ca="1" si="691"/>
        <v>excluir</v>
      </c>
      <c r="L1494" s="51" t="str">
        <f t="shared" ca="1" si="692"/>
        <v>no semana</v>
      </c>
      <c r="M1494" s="51" t="str">
        <f>IFERROR(VLOOKUP(E1494,'cheques a conf'!A:D,4,FALSE),"no clearing")</f>
        <v>no clearing</v>
      </c>
      <c r="N1494" s="51">
        <f t="shared" si="693"/>
        <v>48</v>
      </c>
      <c r="O1494" s="53">
        <f t="shared" si="694"/>
        <v>11</v>
      </c>
      <c r="P1494" s="53">
        <f t="shared" si="695"/>
        <v>2025</v>
      </c>
    </row>
    <row r="1495" spans="1:16" x14ac:dyDescent="0.25">
      <c r="A1495" s="21">
        <v>3000007031</v>
      </c>
      <c r="B1495" s="22">
        <v>45987</v>
      </c>
      <c r="C1495" s="20">
        <v>2957550</v>
      </c>
      <c r="D1495" s="21" t="s">
        <v>25</v>
      </c>
      <c r="E1495" s="21">
        <v>2012</v>
      </c>
      <c r="F1495" s="20">
        <v>2957550</v>
      </c>
      <c r="G1495" s="22">
        <v>45987</v>
      </c>
      <c r="H1495" t="s">
        <v>32</v>
      </c>
      <c r="I1495" s="51" t="str">
        <f>IFERROR(IF(VLOOKUP(E1495,extracto!C:C,1,FALSE)=E1495,"pagado","no pagado"),"no pagado")</f>
        <v>pagado</v>
      </c>
      <c r="J1495" s="52" t="str">
        <f t="shared" si="690"/>
        <v>pagado</v>
      </c>
      <c r="K1495" s="51" t="str">
        <f t="shared" ca="1" si="691"/>
        <v>excluir</v>
      </c>
      <c r="L1495" s="51" t="str">
        <f t="shared" ca="1" si="692"/>
        <v>no semana</v>
      </c>
      <c r="M1495" s="51" t="str">
        <f>IFERROR(VLOOKUP(E1495,'cheques a conf'!A:D,4,FALSE),"no clearing")</f>
        <v>no clearing</v>
      </c>
      <c r="N1495" s="51">
        <f t="shared" si="693"/>
        <v>48</v>
      </c>
      <c r="O1495" s="53">
        <f t="shared" si="694"/>
        <v>11</v>
      </c>
      <c r="P1495" s="53">
        <f t="shared" si="695"/>
        <v>2025</v>
      </c>
    </row>
    <row r="1496" spans="1:16" x14ac:dyDescent="0.25">
      <c r="A1496" s="21">
        <v>3000007070</v>
      </c>
      <c r="B1496" s="22">
        <v>45988</v>
      </c>
      <c r="C1496" s="20">
        <v>35799705</v>
      </c>
      <c r="D1496" s="21" t="s">
        <v>804</v>
      </c>
      <c r="E1496" s="21">
        <v>91002708</v>
      </c>
      <c r="F1496" s="20">
        <v>35799705</v>
      </c>
      <c r="G1496" s="22">
        <v>46041</v>
      </c>
      <c r="H1496" t="s">
        <v>79</v>
      </c>
      <c r="I1496" s="51" t="str">
        <f>IFERROR(IF(VLOOKUP(E1496,extracto!C:C,1,FALSE)=E1496,"pagado","no pagado"),"no pagado")</f>
        <v>pagado</v>
      </c>
      <c r="J1496" s="52" t="str">
        <f t="shared" si="690"/>
        <v>pagado</v>
      </c>
      <c r="K1496" s="51" t="str">
        <f t="shared" ca="1" si="691"/>
        <v>excluir</v>
      </c>
      <c r="L1496" s="51" t="str">
        <f t="shared" ca="1" si="692"/>
        <v>no semana</v>
      </c>
      <c r="M1496" s="51" t="str">
        <f>IFERROR(VLOOKUP(E1496,'cheques a conf'!A:D,4,FALSE),"no clearing")</f>
        <v>no clearing</v>
      </c>
      <c r="N1496" s="51">
        <f t="shared" si="693"/>
        <v>4</v>
      </c>
      <c r="O1496" s="53">
        <f t="shared" si="694"/>
        <v>1</v>
      </c>
      <c r="P1496" s="53">
        <f t="shared" si="695"/>
        <v>2026</v>
      </c>
    </row>
    <row r="1497" spans="1:16" x14ac:dyDescent="0.25">
      <c r="A1497" s="21">
        <v>3000007070</v>
      </c>
      <c r="B1497" s="22">
        <v>45988</v>
      </c>
      <c r="C1497" s="20">
        <v>35813360.630000003</v>
      </c>
      <c r="D1497" s="21" t="s">
        <v>804</v>
      </c>
      <c r="E1497" s="21">
        <v>91002709</v>
      </c>
      <c r="F1497" s="20">
        <v>35813360.630000003</v>
      </c>
      <c r="G1497" s="22">
        <v>46072</v>
      </c>
      <c r="H1497" t="s">
        <v>79</v>
      </c>
      <c r="I1497" s="51" t="str">
        <f>IFERROR(IF(VLOOKUP(E1497,extracto!C:C,1,FALSE)=E1497,"pagado","no pagado"),"no pagado")</f>
        <v>pagado</v>
      </c>
      <c r="J1497" s="52" t="str">
        <f t="shared" si="690"/>
        <v>pagado</v>
      </c>
      <c r="K1497" s="51" t="str">
        <f t="shared" ca="1" si="691"/>
        <v>excluir</v>
      </c>
      <c r="L1497" s="51" t="str">
        <f t="shared" ca="1" si="692"/>
        <v>no semana</v>
      </c>
      <c r="M1497" s="51" t="str">
        <f>IFERROR(VLOOKUP(E1497,'cheques a conf'!A:D,4,FALSE),"no clearing")</f>
        <v>no clearing</v>
      </c>
      <c r="N1497" s="51">
        <f t="shared" si="693"/>
        <v>8</v>
      </c>
      <c r="O1497" s="53">
        <f t="shared" si="694"/>
        <v>2</v>
      </c>
      <c r="P1497" s="53">
        <f t="shared" si="695"/>
        <v>2026</v>
      </c>
    </row>
    <row r="1498" spans="1:16" x14ac:dyDescent="0.25">
      <c r="A1498" s="21">
        <v>3000007116</v>
      </c>
      <c r="B1498" s="22">
        <v>45992</v>
      </c>
      <c r="C1498" s="20">
        <v>7953819.8600000003</v>
      </c>
      <c r="D1498" s="21" t="s">
        <v>810</v>
      </c>
      <c r="E1498" s="21">
        <v>91002710</v>
      </c>
      <c r="F1498" s="20">
        <v>7953819.8600000003</v>
      </c>
      <c r="G1498" s="22">
        <v>45996</v>
      </c>
      <c r="H1498" t="s">
        <v>79</v>
      </c>
      <c r="I1498" s="51" t="str">
        <f>IFERROR(IF(VLOOKUP(E1498,extracto!C:C,1,FALSE)=E1498,"pagado","no pagado"),"no pagado")</f>
        <v>pagado</v>
      </c>
      <c r="J1498" s="52" t="str">
        <f t="shared" si="690"/>
        <v>pagado</v>
      </c>
      <c r="K1498" s="51" t="str">
        <f t="shared" ca="1" si="691"/>
        <v>excluir</v>
      </c>
      <c r="L1498" s="51" t="str">
        <f t="shared" ca="1" si="692"/>
        <v>no semana</v>
      </c>
      <c r="M1498" s="51" t="str">
        <f>IFERROR(VLOOKUP(E1498,'cheques a conf'!A:D,4,FALSE),"no clearing")</f>
        <v>no clearing</v>
      </c>
      <c r="N1498" s="51">
        <f t="shared" si="693"/>
        <v>49</v>
      </c>
      <c r="O1498" s="53">
        <f t="shared" si="694"/>
        <v>12</v>
      </c>
      <c r="P1498" s="53">
        <f t="shared" si="695"/>
        <v>2025</v>
      </c>
    </row>
    <row r="1499" spans="1:16" x14ac:dyDescent="0.25">
      <c r="A1499" s="21">
        <v>3000007117</v>
      </c>
      <c r="B1499" s="22">
        <v>45992</v>
      </c>
      <c r="C1499" s="20">
        <v>8575630</v>
      </c>
      <c r="D1499" s="21" t="s">
        <v>811</v>
      </c>
      <c r="E1499" s="21">
        <v>91002711</v>
      </c>
      <c r="F1499" s="20">
        <v>8575630</v>
      </c>
      <c r="G1499" s="22">
        <v>45996</v>
      </c>
      <c r="H1499" t="s">
        <v>79</v>
      </c>
      <c r="I1499" s="51" t="str">
        <f>IFERROR(IF(VLOOKUP(E1499,extracto!C:C,1,FALSE)=E1499,"pagado","no pagado"),"no pagado")</f>
        <v>pagado</v>
      </c>
      <c r="J1499" s="52" t="str">
        <f t="shared" si="690"/>
        <v>pagado</v>
      </c>
      <c r="K1499" s="51" t="str">
        <f t="shared" ca="1" si="691"/>
        <v>excluir</v>
      </c>
      <c r="L1499" s="51" t="str">
        <f t="shared" ca="1" si="692"/>
        <v>no semana</v>
      </c>
      <c r="M1499" s="51" t="str">
        <f>IFERROR(VLOOKUP(E1499,'cheques a conf'!A:D,4,FALSE),"no clearing")</f>
        <v>no clearing</v>
      </c>
      <c r="N1499" s="51">
        <f t="shared" si="693"/>
        <v>49</v>
      </c>
      <c r="O1499" s="53">
        <f t="shared" si="694"/>
        <v>12</v>
      </c>
      <c r="P1499" s="53">
        <f t="shared" si="695"/>
        <v>2025</v>
      </c>
    </row>
    <row r="1500" spans="1:16" x14ac:dyDescent="0.25">
      <c r="A1500" s="21">
        <v>3000007118</v>
      </c>
      <c r="B1500" s="22">
        <v>45992</v>
      </c>
      <c r="C1500" s="20">
        <v>10449918.32</v>
      </c>
      <c r="D1500" s="21" t="s">
        <v>607</v>
      </c>
      <c r="E1500" s="21">
        <v>91002712</v>
      </c>
      <c r="F1500" s="20">
        <v>10449918.32</v>
      </c>
      <c r="G1500" s="22">
        <v>45996</v>
      </c>
      <c r="H1500" t="s">
        <v>79</v>
      </c>
      <c r="I1500" s="51" t="str">
        <f>IFERROR(IF(VLOOKUP(E1500,extracto!C:C,1,FALSE)=E1500,"pagado","no pagado"),"no pagado")</f>
        <v>pagado</v>
      </c>
      <c r="J1500" s="52" t="str">
        <f t="shared" si="690"/>
        <v>pagado</v>
      </c>
      <c r="K1500" s="51" t="str">
        <f t="shared" ca="1" si="691"/>
        <v>excluir</v>
      </c>
      <c r="L1500" s="51" t="str">
        <f t="shared" ca="1" si="692"/>
        <v>no semana</v>
      </c>
      <c r="M1500" s="51" t="str">
        <f>IFERROR(VLOOKUP(E1500,'cheques a conf'!A:D,4,FALSE),"no clearing")</f>
        <v>no clearing</v>
      </c>
      <c r="N1500" s="51">
        <f t="shared" si="693"/>
        <v>49</v>
      </c>
      <c r="O1500" s="53">
        <f t="shared" si="694"/>
        <v>12</v>
      </c>
      <c r="P1500" s="53">
        <f t="shared" si="695"/>
        <v>2025</v>
      </c>
    </row>
    <row r="1501" spans="1:16" x14ac:dyDescent="0.25">
      <c r="A1501" s="21">
        <v>3000007119</v>
      </c>
      <c r="B1501" s="22">
        <v>45992</v>
      </c>
      <c r="C1501" s="20">
        <v>9868180</v>
      </c>
      <c r="D1501" s="21" t="s">
        <v>658</v>
      </c>
      <c r="E1501" s="21">
        <v>91002713</v>
      </c>
      <c r="F1501" s="20">
        <v>9868180</v>
      </c>
      <c r="G1501" s="22">
        <v>45996</v>
      </c>
      <c r="H1501" t="s">
        <v>79</v>
      </c>
      <c r="I1501" s="51" t="str">
        <f>IFERROR(IF(VLOOKUP(E1501,extracto!C:C,1,FALSE)=E1501,"pagado","no pagado"),"no pagado")</f>
        <v>pagado</v>
      </c>
      <c r="J1501" s="52" t="str">
        <f t="shared" si="690"/>
        <v>pagado</v>
      </c>
      <c r="K1501" s="51" t="str">
        <f t="shared" ca="1" si="691"/>
        <v>excluir</v>
      </c>
      <c r="L1501" s="51" t="str">
        <f t="shared" ca="1" si="692"/>
        <v>no semana</v>
      </c>
      <c r="M1501" s="51" t="str">
        <f>IFERROR(VLOOKUP(E1501,'cheques a conf'!A:D,4,FALSE),"no clearing")</f>
        <v>no clearing</v>
      </c>
      <c r="N1501" s="51">
        <f t="shared" si="693"/>
        <v>49</v>
      </c>
      <c r="O1501" s="53">
        <f t="shared" si="694"/>
        <v>12</v>
      </c>
      <c r="P1501" s="53">
        <f t="shared" si="695"/>
        <v>2025</v>
      </c>
    </row>
    <row r="1502" spans="1:16" x14ac:dyDescent="0.25">
      <c r="A1502" s="21">
        <v>3000007150</v>
      </c>
      <c r="B1502" s="22">
        <v>45994</v>
      </c>
      <c r="C1502" s="20">
        <v>2501590.2599999998</v>
      </c>
      <c r="D1502" s="21" t="s">
        <v>790</v>
      </c>
      <c r="E1502" s="21">
        <v>91002714</v>
      </c>
      <c r="F1502" s="20">
        <v>2501590.2599999998</v>
      </c>
      <c r="G1502" s="22">
        <v>46000</v>
      </c>
      <c r="H1502" t="s">
        <v>79</v>
      </c>
      <c r="I1502" s="51" t="str">
        <f>IFERROR(IF(VLOOKUP(E1502,extracto!C:C,1,FALSE)=E1502,"pagado","no pagado"),"no pagado")</f>
        <v>pagado</v>
      </c>
      <c r="J1502" s="52" t="str">
        <f t="shared" si="690"/>
        <v>pagado</v>
      </c>
      <c r="K1502" s="51" t="str">
        <f t="shared" ca="1" si="691"/>
        <v>excluir</v>
      </c>
      <c r="L1502" s="51" t="str">
        <f t="shared" ca="1" si="692"/>
        <v>no semana</v>
      </c>
      <c r="M1502" s="51" t="str">
        <f>IFERROR(VLOOKUP(E1502,'cheques a conf'!A:D,4,FALSE),"no clearing")</f>
        <v>no clearing</v>
      </c>
      <c r="N1502" s="51">
        <f t="shared" si="693"/>
        <v>50</v>
      </c>
      <c r="O1502" s="53">
        <f t="shared" si="694"/>
        <v>12</v>
      </c>
      <c r="P1502" s="53">
        <f t="shared" si="695"/>
        <v>2025</v>
      </c>
    </row>
    <row r="1503" spans="1:16" x14ac:dyDescent="0.25">
      <c r="A1503" s="21">
        <v>3000007150</v>
      </c>
      <c r="B1503" s="22">
        <v>45994</v>
      </c>
      <c r="C1503" s="20">
        <v>2837277.53</v>
      </c>
      <c r="D1503" s="21" t="s">
        <v>790</v>
      </c>
      <c r="E1503" s="21">
        <v>91002715</v>
      </c>
      <c r="F1503" s="20">
        <v>2837277.53</v>
      </c>
      <c r="G1503" s="22">
        <v>46000</v>
      </c>
      <c r="H1503" t="s">
        <v>79</v>
      </c>
      <c r="I1503" s="51" t="str">
        <f>IFERROR(IF(VLOOKUP(E1503,extracto!C:C,1,FALSE)=E1503,"pagado","no pagado"),"no pagado")</f>
        <v>pagado</v>
      </c>
      <c r="J1503" s="52" t="str">
        <f t="shared" si="690"/>
        <v>pagado</v>
      </c>
      <c r="K1503" s="51" t="str">
        <f t="shared" ca="1" si="691"/>
        <v>excluir</v>
      </c>
      <c r="L1503" s="51" t="str">
        <f t="shared" ca="1" si="692"/>
        <v>no semana</v>
      </c>
      <c r="M1503" s="51" t="str">
        <f>IFERROR(VLOOKUP(E1503,'cheques a conf'!A:D,4,FALSE),"no clearing")</f>
        <v>no clearing</v>
      </c>
      <c r="N1503" s="51">
        <f t="shared" si="693"/>
        <v>50</v>
      </c>
      <c r="O1503" s="53">
        <f t="shared" si="694"/>
        <v>12</v>
      </c>
      <c r="P1503" s="53">
        <f t="shared" si="695"/>
        <v>2025</v>
      </c>
    </row>
    <row r="1504" spans="1:16" x14ac:dyDescent="0.25">
      <c r="A1504" s="21">
        <v>3000007150</v>
      </c>
      <c r="B1504" s="22">
        <v>45994</v>
      </c>
      <c r="C1504" s="20">
        <v>2770188.59</v>
      </c>
      <c r="D1504" s="21" t="s">
        <v>790</v>
      </c>
      <c r="E1504" s="21">
        <v>91002716</v>
      </c>
      <c r="F1504" s="20">
        <v>2770188.59</v>
      </c>
      <c r="G1504" s="22">
        <v>46000</v>
      </c>
      <c r="H1504" t="s">
        <v>79</v>
      </c>
      <c r="I1504" s="51" t="str">
        <f>IFERROR(IF(VLOOKUP(E1504,extracto!C:C,1,FALSE)=E1504,"pagado","no pagado"),"no pagado")</f>
        <v>pagado</v>
      </c>
      <c r="J1504" s="52" t="str">
        <f t="shared" si="690"/>
        <v>pagado</v>
      </c>
      <c r="K1504" s="51" t="str">
        <f t="shared" ca="1" si="691"/>
        <v>excluir</v>
      </c>
      <c r="L1504" s="51" t="str">
        <f t="shared" ca="1" si="692"/>
        <v>no semana</v>
      </c>
      <c r="M1504" s="51" t="str">
        <f>IFERROR(VLOOKUP(E1504,'cheques a conf'!A:D,4,FALSE),"no clearing")</f>
        <v>no clearing</v>
      </c>
      <c r="N1504" s="51">
        <f t="shared" si="693"/>
        <v>50</v>
      </c>
      <c r="O1504" s="53">
        <f t="shared" si="694"/>
        <v>12</v>
      </c>
      <c r="P1504" s="53">
        <f t="shared" si="695"/>
        <v>2025</v>
      </c>
    </row>
    <row r="1505" spans="1:16" x14ac:dyDescent="0.25">
      <c r="A1505" s="21">
        <v>3000007150</v>
      </c>
      <c r="B1505" s="22">
        <v>45994</v>
      </c>
      <c r="C1505" s="20">
        <v>21393190.530000001</v>
      </c>
      <c r="D1505" s="21" t="s">
        <v>790</v>
      </c>
      <c r="E1505" s="21">
        <v>91002717</v>
      </c>
      <c r="F1505" s="20">
        <v>21393190.530000001</v>
      </c>
      <c r="G1505" s="22">
        <v>46001</v>
      </c>
      <c r="H1505" t="s">
        <v>79</v>
      </c>
      <c r="I1505" s="51" t="str">
        <f>IFERROR(IF(VLOOKUP(E1505,extracto!C:C,1,FALSE)=E1505,"pagado","no pagado"),"no pagado")</f>
        <v>pagado</v>
      </c>
      <c r="J1505" s="52" t="str">
        <f t="shared" si="690"/>
        <v>pagado</v>
      </c>
      <c r="K1505" s="51" t="str">
        <f t="shared" ca="1" si="691"/>
        <v>excluir</v>
      </c>
      <c r="L1505" s="51" t="str">
        <f t="shared" ca="1" si="692"/>
        <v>no semana</v>
      </c>
      <c r="M1505" s="51" t="str">
        <f>IFERROR(VLOOKUP(E1505,'cheques a conf'!A:D,4,FALSE),"no clearing")</f>
        <v>no clearing</v>
      </c>
      <c r="N1505" s="51">
        <f t="shared" si="693"/>
        <v>50</v>
      </c>
      <c r="O1505" s="53">
        <f t="shared" si="694"/>
        <v>12</v>
      </c>
      <c r="P1505" s="53">
        <f t="shared" si="695"/>
        <v>2025</v>
      </c>
    </row>
    <row r="1506" spans="1:16" x14ac:dyDescent="0.25">
      <c r="A1506" s="21">
        <v>3000007150</v>
      </c>
      <c r="B1506" s="22">
        <v>45994</v>
      </c>
      <c r="C1506" s="20">
        <v>5192070</v>
      </c>
      <c r="D1506" s="21" t="s">
        <v>790</v>
      </c>
      <c r="E1506" s="21">
        <v>91002718</v>
      </c>
      <c r="F1506" s="20">
        <v>5192070</v>
      </c>
      <c r="G1506" s="22">
        <v>46000</v>
      </c>
      <c r="H1506" t="s">
        <v>79</v>
      </c>
      <c r="I1506" s="51" t="str">
        <f>IFERROR(IF(VLOOKUP(E1506,extracto!C:C,1,FALSE)=E1506,"pagado","no pagado"),"no pagado")</f>
        <v>pagado</v>
      </c>
      <c r="J1506" s="52" t="str">
        <f t="shared" si="690"/>
        <v>pagado</v>
      </c>
      <c r="K1506" s="51" t="str">
        <f t="shared" ca="1" si="691"/>
        <v>excluir</v>
      </c>
      <c r="L1506" s="51" t="str">
        <f t="shared" ca="1" si="692"/>
        <v>no semana</v>
      </c>
      <c r="M1506" s="51" t="str">
        <f>IFERROR(VLOOKUP(E1506,'cheques a conf'!A:D,4,FALSE),"no clearing")</f>
        <v>no clearing</v>
      </c>
      <c r="N1506" s="51">
        <f t="shared" si="693"/>
        <v>50</v>
      </c>
      <c r="O1506" s="53">
        <f t="shared" si="694"/>
        <v>12</v>
      </c>
      <c r="P1506" s="53">
        <f t="shared" si="695"/>
        <v>2025</v>
      </c>
    </row>
    <row r="1507" spans="1:16" x14ac:dyDescent="0.25">
      <c r="A1507" s="21">
        <v>3000007150</v>
      </c>
      <c r="B1507" s="22">
        <v>45994</v>
      </c>
      <c r="C1507" s="20">
        <v>6441349.8799999999</v>
      </c>
      <c r="D1507" s="21" t="s">
        <v>790</v>
      </c>
      <c r="E1507" s="21">
        <v>91002719</v>
      </c>
      <c r="F1507" s="20">
        <v>6441349.8799999999</v>
      </c>
      <c r="G1507" s="22">
        <v>46000</v>
      </c>
      <c r="H1507" t="s">
        <v>79</v>
      </c>
      <c r="I1507" s="51" t="str">
        <f>IFERROR(IF(VLOOKUP(E1507,extracto!C:C,1,FALSE)=E1507,"pagado","no pagado"),"no pagado")</f>
        <v>pagado</v>
      </c>
      <c r="J1507" s="52" t="str">
        <f t="shared" si="690"/>
        <v>pagado</v>
      </c>
      <c r="K1507" s="51" t="str">
        <f t="shared" ca="1" si="691"/>
        <v>excluir</v>
      </c>
      <c r="L1507" s="51" t="str">
        <f t="shared" ca="1" si="692"/>
        <v>no semana</v>
      </c>
      <c r="M1507" s="51" t="str">
        <f>IFERROR(VLOOKUP(E1507,'cheques a conf'!A:D,4,FALSE),"no clearing")</f>
        <v>no clearing</v>
      </c>
      <c r="N1507" s="51">
        <f t="shared" si="693"/>
        <v>50</v>
      </c>
      <c r="O1507" s="53">
        <f t="shared" si="694"/>
        <v>12</v>
      </c>
      <c r="P1507" s="53">
        <f t="shared" si="695"/>
        <v>2025</v>
      </c>
    </row>
    <row r="1508" spans="1:16" x14ac:dyDescent="0.25">
      <c r="A1508" s="21">
        <v>3000007150</v>
      </c>
      <c r="B1508" s="22">
        <v>45994</v>
      </c>
      <c r="C1508" s="20">
        <v>3727019.63</v>
      </c>
      <c r="D1508" s="21" t="s">
        <v>790</v>
      </c>
      <c r="E1508" s="21">
        <v>91002720</v>
      </c>
      <c r="F1508" s="20">
        <v>3727019.63</v>
      </c>
      <c r="G1508" s="22">
        <v>46000</v>
      </c>
      <c r="H1508" t="s">
        <v>79</v>
      </c>
      <c r="I1508" s="51" t="str">
        <f>IFERROR(IF(VLOOKUP(E1508,extracto!C:C,1,FALSE)=E1508,"pagado","no pagado"),"no pagado")</f>
        <v>pagado</v>
      </c>
      <c r="J1508" s="52" t="str">
        <f t="shared" si="690"/>
        <v>pagado</v>
      </c>
      <c r="K1508" s="51" t="str">
        <f t="shared" ca="1" si="691"/>
        <v>excluir</v>
      </c>
      <c r="L1508" s="51" t="str">
        <f t="shared" ca="1" si="692"/>
        <v>no semana</v>
      </c>
      <c r="M1508" s="51" t="str">
        <f>IFERROR(VLOOKUP(E1508,'cheques a conf'!A:D,4,FALSE),"no clearing")</f>
        <v>no clearing</v>
      </c>
      <c r="N1508" s="51">
        <f t="shared" si="693"/>
        <v>50</v>
      </c>
      <c r="O1508" s="53">
        <f t="shared" si="694"/>
        <v>12</v>
      </c>
      <c r="P1508" s="53">
        <f t="shared" si="695"/>
        <v>2025</v>
      </c>
    </row>
    <row r="1509" spans="1:16" x14ac:dyDescent="0.25">
      <c r="A1509" s="21">
        <v>3000007150</v>
      </c>
      <c r="B1509" s="22">
        <v>45994</v>
      </c>
      <c r="C1509" s="20">
        <v>3063742.04</v>
      </c>
      <c r="D1509" s="21" t="s">
        <v>790</v>
      </c>
      <c r="E1509" s="21">
        <v>91002721</v>
      </c>
      <c r="F1509" s="20">
        <v>3063742.04</v>
      </c>
      <c r="G1509" s="22">
        <v>46000</v>
      </c>
      <c r="H1509" t="s">
        <v>79</v>
      </c>
      <c r="I1509" s="51" t="str">
        <f>IFERROR(IF(VLOOKUP(E1509,extracto!C:C,1,FALSE)=E1509,"pagado","no pagado"),"no pagado")</f>
        <v>pagado</v>
      </c>
      <c r="J1509" s="52" t="str">
        <f t="shared" si="690"/>
        <v>pagado</v>
      </c>
      <c r="K1509" s="51" t="str">
        <f t="shared" ca="1" si="691"/>
        <v>excluir</v>
      </c>
      <c r="L1509" s="51" t="str">
        <f t="shared" ca="1" si="692"/>
        <v>no semana</v>
      </c>
      <c r="M1509" s="51" t="str">
        <f>IFERROR(VLOOKUP(E1509,'cheques a conf'!A:D,4,FALSE),"no clearing")</f>
        <v>no clearing</v>
      </c>
      <c r="N1509" s="51">
        <f t="shared" si="693"/>
        <v>50</v>
      </c>
      <c r="O1509" s="53">
        <f t="shared" si="694"/>
        <v>12</v>
      </c>
      <c r="P1509" s="53">
        <f t="shared" si="695"/>
        <v>2025</v>
      </c>
    </row>
    <row r="1510" spans="1:16" x14ac:dyDescent="0.25">
      <c r="A1510" s="21">
        <v>3000007150</v>
      </c>
      <c r="B1510" s="22">
        <v>45994</v>
      </c>
      <c r="C1510" s="20">
        <v>2366630</v>
      </c>
      <c r="D1510" s="21" t="s">
        <v>790</v>
      </c>
      <c r="E1510" s="21">
        <v>91002722</v>
      </c>
      <c r="F1510" s="20">
        <v>2366630</v>
      </c>
      <c r="G1510" s="22">
        <v>46000</v>
      </c>
      <c r="H1510" t="s">
        <v>79</v>
      </c>
      <c r="I1510" s="51" t="str">
        <f>IFERROR(IF(VLOOKUP(E1510,extracto!C:C,1,FALSE)=E1510,"pagado","no pagado"),"no pagado")</f>
        <v>pagado</v>
      </c>
      <c r="J1510" s="52" t="str">
        <f t="shared" si="690"/>
        <v>pagado</v>
      </c>
      <c r="K1510" s="51" t="str">
        <f t="shared" ca="1" si="691"/>
        <v>excluir</v>
      </c>
      <c r="L1510" s="51" t="str">
        <f t="shared" ca="1" si="692"/>
        <v>no semana</v>
      </c>
      <c r="M1510" s="51" t="str">
        <f>IFERROR(VLOOKUP(E1510,'cheques a conf'!A:D,4,FALSE),"no clearing")</f>
        <v>no clearing</v>
      </c>
      <c r="N1510" s="51">
        <f t="shared" si="693"/>
        <v>50</v>
      </c>
      <c r="O1510" s="53">
        <f t="shared" si="694"/>
        <v>12</v>
      </c>
      <c r="P1510" s="53">
        <f t="shared" si="695"/>
        <v>2025</v>
      </c>
    </row>
    <row r="1511" spans="1:16" x14ac:dyDescent="0.25">
      <c r="A1511" s="21">
        <v>3000007150</v>
      </c>
      <c r="B1511" s="22">
        <v>45994</v>
      </c>
      <c r="C1511" s="20">
        <v>8251343.4000000004</v>
      </c>
      <c r="D1511" s="21" t="s">
        <v>790</v>
      </c>
      <c r="E1511" s="21">
        <v>91002723</v>
      </c>
      <c r="F1511" s="20">
        <v>8251343.4000000004</v>
      </c>
      <c r="G1511" s="22">
        <v>46000</v>
      </c>
      <c r="H1511" t="s">
        <v>79</v>
      </c>
      <c r="I1511" s="51" t="str">
        <f>IFERROR(IF(VLOOKUP(E1511,extracto!C:C,1,FALSE)=E1511,"pagado","no pagado"),"no pagado")</f>
        <v>pagado</v>
      </c>
      <c r="J1511" s="52" t="str">
        <f t="shared" ref="J1511:J1564" si="696">IF(I1511="pagado","pagado",IF(G1511&lt;$V$1-30,"fuera de fecha","en periodo de pago"))</f>
        <v>pagado</v>
      </c>
      <c r="K1511" s="51" t="str">
        <f t="shared" ref="K1511:K1564" ca="1" si="697">+IF(B1511&gt;$V$1,"excluir",IF(J1511="en periodo de pago",IF($V$1&gt;G1511,"a pagar","proximo a vencer"),"excluir"))</f>
        <v>excluir</v>
      </c>
      <c r="L1511" s="51" t="str">
        <f t="shared" ref="L1511:L1564" ca="1" si="698">+IF(K1511="proximo a vencer",IF($V$1+5&gt;G1511,"para la semana","no semana"),"no semana")</f>
        <v>no semana</v>
      </c>
      <c r="M1511" s="51" t="str">
        <f>IFERROR(VLOOKUP(E1511,'cheques a conf'!A:D,4,FALSE),"no clearing")</f>
        <v>no clearing</v>
      </c>
      <c r="N1511" s="51">
        <f t="shared" ref="N1511:N1564" si="699">+WEEKNUM(G1511,2)</f>
        <v>50</v>
      </c>
      <c r="O1511" s="53">
        <f t="shared" ref="O1511:O1564" si="700">+MONTH(G1511)</f>
        <v>12</v>
      </c>
      <c r="P1511" s="53">
        <f t="shared" ref="P1511:P1564" si="701">+YEAR(G1511)</f>
        <v>2025</v>
      </c>
    </row>
    <row r="1512" spans="1:16" x14ac:dyDescent="0.25">
      <c r="A1512" s="21">
        <v>3000007150</v>
      </c>
      <c r="B1512" s="22">
        <v>45994</v>
      </c>
      <c r="C1512" s="20">
        <v>3862482.91</v>
      </c>
      <c r="D1512" s="21" t="s">
        <v>790</v>
      </c>
      <c r="E1512" s="21">
        <v>91002724</v>
      </c>
      <c r="F1512" s="20">
        <v>3862482.91</v>
      </c>
      <c r="G1512" s="22">
        <v>46000</v>
      </c>
      <c r="H1512" t="s">
        <v>79</v>
      </c>
      <c r="I1512" s="51" t="str">
        <f>IFERROR(IF(VLOOKUP(E1512,extracto!C:C,1,FALSE)=E1512,"pagado","no pagado"),"no pagado")</f>
        <v>pagado</v>
      </c>
      <c r="J1512" s="52" t="str">
        <f t="shared" si="696"/>
        <v>pagado</v>
      </c>
      <c r="K1512" s="51" t="str">
        <f t="shared" ca="1" si="697"/>
        <v>excluir</v>
      </c>
      <c r="L1512" s="51" t="str">
        <f t="shared" ca="1" si="698"/>
        <v>no semana</v>
      </c>
      <c r="M1512" s="51" t="str">
        <f>IFERROR(VLOOKUP(E1512,'cheques a conf'!A:D,4,FALSE),"no clearing")</f>
        <v>no clearing</v>
      </c>
      <c r="N1512" s="51">
        <f t="shared" si="699"/>
        <v>50</v>
      </c>
      <c r="O1512" s="53">
        <f t="shared" si="700"/>
        <v>12</v>
      </c>
      <c r="P1512" s="53">
        <f t="shared" si="701"/>
        <v>2025</v>
      </c>
    </row>
    <row r="1513" spans="1:16" x14ac:dyDescent="0.25">
      <c r="A1513" s="21">
        <v>3000007150</v>
      </c>
      <c r="B1513" s="22">
        <v>45994</v>
      </c>
      <c r="C1513" s="20">
        <v>1319222.54</v>
      </c>
      <c r="D1513" s="21" t="s">
        <v>790</v>
      </c>
      <c r="E1513" s="21">
        <v>91002725</v>
      </c>
      <c r="F1513" s="20">
        <v>1319222.54</v>
      </c>
      <c r="G1513" s="22">
        <v>46000</v>
      </c>
      <c r="H1513" t="s">
        <v>79</v>
      </c>
      <c r="I1513" s="51" t="str">
        <f>IFERROR(IF(VLOOKUP(E1513,extracto!C:C,1,FALSE)=E1513,"pagado","no pagado"),"no pagado")</f>
        <v>pagado</v>
      </c>
      <c r="J1513" s="52" t="str">
        <f t="shared" si="696"/>
        <v>pagado</v>
      </c>
      <c r="K1513" s="51" t="str">
        <f t="shared" ca="1" si="697"/>
        <v>excluir</v>
      </c>
      <c r="L1513" s="51" t="str">
        <f t="shared" ca="1" si="698"/>
        <v>no semana</v>
      </c>
      <c r="M1513" s="51" t="str">
        <f>IFERROR(VLOOKUP(E1513,'cheques a conf'!A:D,4,FALSE),"no clearing")</f>
        <v>no clearing</v>
      </c>
      <c r="N1513" s="51">
        <f t="shared" si="699"/>
        <v>50</v>
      </c>
      <c r="O1513" s="53">
        <f t="shared" si="700"/>
        <v>12</v>
      </c>
      <c r="P1513" s="53">
        <f t="shared" si="701"/>
        <v>2025</v>
      </c>
    </row>
    <row r="1514" spans="1:16" x14ac:dyDescent="0.25">
      <c r="A1514" s="21">
        <v>3000007181</v>
      </c>
      <c r="B1514" s="22">
        <v>45995</v>
      </c>
      <c r="C1514" s="20">
        <v>8056319.5999999996</v>
      </c>
      <c r="D1514" s="21" t="s">
        <v>593</v>
      </c>
      <c r="E1514" s="21">
        <v>91002726</v>
      </c>
      <c r="F1514" s="20">
        <v>8056319.5999999996</v>
      </c>
      <c r="G1514" s="22">
        <v>46002</v>
      </c>
      <c r="H1514" t="s">
        <v>79</v>
      </c>
      <c r="I1514" s="51" t="str">
        <f>IFERROR(IF(VLOOKUP(E1514,extracto!C:C,1,FALSE)=E1514,"pagado","no pagado"),"no pagado")</f>
        <v>pagado</v>
      </c>
      <c r="J1514" s="52" t="str">
        <f t="shared" si="696"/>
        <v>pagado</v>
      </c>
      <c r="K1514" s="51" t="str">
        <f t="shared" ca="1" si="697"/>
        <v>excluir</v>
      </c>
      <c r="L1514" s="51" t="str">
        <f t="shared" ca="1" si="698"/>
        <v>no semana</v>
      </c>
      <c r="M1514" s="51" t="str">
        <f>IFERROR(VLOOKUP(E1514,'cheques a conf'!A:D,4,FALSE),"no clearing")</f>
        <v>no clearing</v>
      </c>
      <c r="N1514" s="51">
        <f t="shared" si="699"/>
        <v>50</v>
      </c>
      <c r="O1514" s="53">
        <f t="shared" si="700"/>
        <v>12</v>
      </c>
      <c r="P1514" s="53">
        <f t="shared" si="701"/>
        <v>2025</v>
      </c>
    </row>
    <row r="1515" spans="1:16" x14ac:dyDescent="0.25">
      <c r="A1515" s="21">
        <v>3000007182</v>
      </c>
      <c r="B1515" s="22">
        <v>45995</v>
      </c>
      <c r="C1515" s="20">
        <v>9910633.0299999993</v>
      </c>
      <c r="D1515" s="21" t="s">
        <v>625</v>
      </c>
      <c r="E1515" s="21">
        <v>91002727</v>
      </c>
      <c r="F1515" s="20">
        <v>9910633.0299999993</v>
      </c>
      <c r="G1515" s="22">
        <v>46002</v>
      </c>
      <c r="H1515" t="s">
        <v>79</v>
      </c>
      <c r="I1515" s="51" t="str">
        <f>IFERROR(IF(VLOOKUP(E1515,extracto!C:C,1,FALSE)=E1515,"pagado","no pagado"),"no pagado")</f>
        <v>pagado</v>
      </c>
      <c r="J1515" s="52" t="str">
        <f t="shared" si="696"/>
        <v>pagado</v>
      </c>
      <c r="K1515" s="51" t="str">
        <f t="shared" ca="1" si="697"/>
        <v>excluir</v>
      </c>
      <c r="L1515" s="51" t="str">
        <f t="shared" ca="1" si="698"/>
        <v>no semana</v>
      </c>
      <c r="M1515" s="51" t="str">
        <f>IFERROR(VLOOKUP(E1515,'cheques a conf'!A:D,4,FALSE),"no clearing")</f>
        <v>no clearing</v>
      </c>
      <c r="N1515" s="51">
        <f t="shared" si="699"/>
        <v>50</v>
      </c>
      <c r="O1515" s="53">
        <f t="shared" si="700"/>
        <v>12</v>
      </c>
      <c r="P1515" s="53">
        <f t="shared" si="701"/>
        <v>2025</v>
      </c>
    </row>
    <row r="1516" spans="1:16" x14ac:dyDescent="0.25">
      <c r="A1516" s="21">
        <v>3000007183</v>
      </c>
      <c r="B1516" s="22">
        <v>45995</v>
      </c>
      <c r="C1516" s="20">
        <v>4260111.08</v>
      </c>
      <c r="D1516" s="21" t="s">
        <v>642</v>
      </c>
      <c r="E1516" s="21">
        <v>91002728</v>
      </c>
      <c r="F1516" s="20">
        <v>4260111.08</v>
      </c>
      <c r="G1516" s="22">
        <v>46002</v>
      </c>
      <c r="H1516" t="s">
        <v>79</v>
      </c>
      <c r="I1516" s="51" t="str">
        <f>IFERROR(IF(VLOOKUP(E1516,extracto!C:C,1,FALSE)=E1516,"pagado","no pagado"),"no pagado")</f>
        <v>pagado</v>
      </c>
      <c r="J1516" s="52" t="str">
        <f t="shared" si="696"/>
        <v>pagado</v>
      </c>
      <c r="K1516" s="51" t="str">
        <f t="shared" ca="1" si="697"/>
        <v>excluir</v>
      </c>
      <c r="L1516" s="51" t="str">
        <f t="shared" ca="1" si="698"/>
        <v>no semana</v>
      </c>
      <c r="M1516" s="51" t="str">
        <f>IFERROR(VLOOKUP(E1516,'cheques a conf'!A:D,4,FALSE),"no clearing")</f>
        <v>no clearing</v>
      </c>
      <c r="N1516" s="51">
        <f t="shared" si="699"/>
        <v>50</v>
      </c>
      <c r="O1516" s="53">
        <f t="shared" si="700"/>
        <v>12</v>
      </c>
      <c r="P1516" s="53">
        <f t="shared" si="701"/>
        <v>2025</v>
      </c>
    </row>
    <row r="1517" spans="1:16" x14ac:dyDescent="0.25">
      <c r="A1517" s="21">
        <v>3000007184</v>
      </c>
      <c r="B1517" s="22">
        <v>45995</v>
      </c>
      <c r="C1517" s="20">
        <v>12699214.65</v>
      </c>
      <c r="D1517" s="21" t="s">
        <v>619</v>
      </c>
      <c r="E1517" s="21">
        <v>91002729</v>
      </c>
      <c r="F1517" s="20">
        <v>12699214.65</v>
      </c>
      <c r="G1517" s="22">
        <v>46002</v>
      </c>
      <c r="H1517" t="s">
        <v>79</v>
      </c>
      <c r="I1517" s="51" t="str">
        <f>IFERROR(IF(VLOOKUP(E1517,extracto!C:C,1,FALSE)=E1517,"pagado","no pagado"),"no pagado")</f>
        <v>pagado</v>
      </c>
      <c r="J1517" s="52" t="str">
        <f t="shared" si="696"/>
        <v>pagado</v>
      </c>
      <c r="K1517" s="51" t="str">
        <f t="shared" ca="1" si="697"/>
        <v>excluir</v>
      </c>
      <c r="L1517" s="51" t="str">
        <f t="shared" ca="1" si="698"/>
        <v>no semana</v>
      </c>
      <c r="M1517" s="51" t="str">
        <f>IFERROR(VLOOKUP(E1517,'cheques a conf'!A:D,4,FALSE),"no clearing")</f>
        <v>no clearing</v>
      </c>
      <c r="N1517" s="51">
        <f t="shared" si="699"/>
        <v>50</v>
      </c>
      <c r="O1517" s="53">
        <f t="shared" si="700"/>
        <v>12</v>
      </c>
      <c r="P1517" s="53">
        <f t="shared" si="701"/>
        <v>2025</v>
      </c>
    </row>
    <row r="1518" spans="1:16" x14ac:dyDescent="0.25">
      <c r="A1518" s="21">
        <v>3000007185</v>
      </c>
      <c r="B1518" s="22">
        <v>45995</v>
      </c>
      <c r="C1518" s="20">
        <v>4233183.5</v>
      </c>
      <c r="D1518" s="21" t="s">
        <v>616</v>
      </c>
      <c r="E1518" s="21">
        <v>91002730</v>
      </c>
      <c r="F1518" s="20">
        <v>4233183.5</v>
      </c>
      <c r="G1518" s="22">
        <v>46002</v>
      </c>
      <c r="H1518" t="s">
        <v>79</v>
      </c>
      <c r="I1518" s="51" t="str">
        <f>IFERROR(IF(VLOOKUP(E1518,extracto!C:C,1,FALSE)=E1518,"pagado","no pagado"),"no pagado")</f>
        <v>pagado</v>
      </c>
      <c r="J1518" s="52" t="str">
        <f t="shared" si="696"/>
        <v>pagado</v>
      </c>
      <c r="K1518" s="51" t="str">
        <f t="shared" ca="1" si="697"/>
        <v>excluir</v>
      </c>
      <c r="L1518" s="51" t="str">
        <f t="shared" ca="1" si="698"/>
        <v>no semana</v>
      </c>
      <c r="M1518" s="51" t="str">
        <f>IFERROR(VLOOKUP(E1518,'cheques a conf'!A:D,4,FALSE),"no clearing")</f>
        <v>no clearing</v>
      </c>
      <c r="N1518" s="51">
        <f t="shared" si="699"/>
        <v>50</v>
      </c>
      <c r="O1518" s="53">
        <f t="shared" si="700"/>
        <v>12</v>
      </c>
      <c r="P1518" s="53">
        <f t="shared" si="701"/>
        <v>2025</v>
      </c>
    </row>
    <row r="1519" spans="1:16" x14ac:dyDescent="0.25">
      <c r="A1519" s="21">
        <v>3000007186</v>
      </c>
      <c r="B1519" s="22">
        <v>45995</v>
      </c>
      <c r="C1519" s="20">
        <v>15387483.01</v>
      </c>
      <c r="D1519" s="21" t="s">
        <v>613</v>
      </c>
      <c r="E1519" s="21">
        <v>91002731</v>
      </c>
      <c r="F1519" s="20">
        <v>15387483.01</v>
      </c>
      <c r="G1519" s="22">
        <v>46002</v>
      </c>
      <c r="H1519" t="s">
        <v>79</v>
      </c>
      <c r="I1519" s="51" t="str">
        <f>IFERROR(IF(VLOOKUP(E1519,extracto!C:C,1,FALSE)=E1519,"pagado","no pagado"),"no pagado")</f>
        <v>pagado</v>
      </c>
      <c r="J1519" s="52" t="str">
        <f t="shared" si="696"/>
        <v>pagado</v>
      </c>
      <c r="K1519" s="51" t="str">
        <f t="shared" ca="1" si="697"/>
        <v>excluir</v>
      </c>
      <c r="L1519" s="51" t="str">
        <f t="shared" ca="1" si="698"/>
        <v>no semana</v>
      </c>
      <c r="M1519" s="51" t="str">
        <f>IFERROR(VLOOKUP(E1519,'cheques a conf'!A:D,4,FALSE),"no clearing")</f>
        <v>no clearing</v>
      </c>
      <c r="N1519" s="51">
        <f t="shared" si="699"/>
        <v>50</v>
      </c>
      <c r="O1519" s="53">
        <f t="shared" si="700"/>
        <v>12</v>
      </c>
      <c r="P1519" s="53">
        <f t="shared" si="701"/>
        <v>2025</v>
      </c>
    </row>
    <row r="1520" spans="1:16" x14ac:dyDescent="0.25">
      <c r="A1520" s="21">
        <v>3000007187</v>
      </c>
      <c r="B1520" s="22">
        <v>45995</v>
      </c>
      <c r="C1520" s="20">
        <v>4260111.08</v>
      </c>
      <c r="D1520" s="21" t="s">
        <v>612</v>
      </c>
      <c r="E1520" s="21">
        <v>91002732</v>
      </c>
      <c r="F1520" s="20">
        <v>4260111.08</v>
      </c>
      <c r="G1520" s="22">
        <v>46002</v>
      </c>
      <c r="H1520" t="s">
        <v>79</v>
      </c>
      <c r="I1520" s="51" t="str">
        <f>IFERROR(IF(VLOOKUP(E1520,extracto!C:C,1,FALSE)=E1520,"pagado","no pagado"),"no pagado")</f>
        <v>pagado</v>
      </c>
      <c r="J1520" s="52" t="str">
        <f t="shared" si="696"/>
        <v>pagado</v>
      </c>
      <c r="K1520" s="51" t="str">
        <f t="shared" ca="1" si="697"/>
        <v>excluir</v>
      </c>
      <c r="L1520" s="51" t="str">
        <f t="shared" ca="1" si="698"/>
        <v>no semana</v>
      </c>
      <c r="M1520" s="51" t="str">
        <f>IFERROR(VLOOKUP(E1520,'cheques a conf'!A:D,4,FALSE),"no clearing")</f>
        <v>no clearing</v>
      </c>
      <c r="N1520" s="51">
        <f t="shared" si="699"/>
        <v>50</v>
      </c>
      <c r="O1520" s="53">
        <f t="shared" si="700"/>
        <v>12</v>
      </c>
      <c r="P1520" s="53">
        <f t="shared" si="701"/>
        <v>2025</v>
      </c>
    </row>
    <row r="1521" spans="1:16" x14ac:dyDescent="0.25">
      <c r="A1521" s="21">
        <v>3000007226</v>
      </c>
      <c r="B1521" s="22">
        <v>46000</v>
      </c>
      <c r="C1521" s="20">
        <v>22000000</v>
      </c>
      <c r="D1521" s="21" t="s">
        <v>786</v>
      </c>
      <c r="E1521" s="21">
        <v>40273008</v>
      </c>
      <c r="F1521" s="20">
        <v>22000000</v>
      </c>
      <c r="G1521" s="22">
        <v>46018</v>
      </c>
      <c r="H1521" t="s">
        <v>79</v>
      </c>
      <c r="I1521" s="51" t="str">
        <f>IFERROR(IF(VLOOKUP(E1521,extracto!C:C,1,FALSE)=E1521,"pagado","no pagado"),"no pagado")</f>
        <v>pagado</v>
      </c>
      <c r="J1521" s="52" t="str">
        <f t="shared" si="696"/>
        <v>pagado</v>
      </c>
      <c r="K1521" s="51" t="str">
        <f t="shared" ca="1" si="697"/>
        <v>excluir</v>
      </c>
      <c r="L1521" s="51" t="str">
        <f t="shared" ca="1" si="698"/>
        <v>no semana</v>
      </c>
      <c r="M1521" s="51" t="str">
        <f>IFERROR(VLOOKUP(E1521,'cheques a conf'!A:D,4,FALSE),"no clearing")</f>
        <v>no clearing</v>
      </c>
      <c r="N1521" s="51">
        <f t="shared" si="699"/>
        <v>52</v>
      </c>
      <c r="O1521" s="53">
        <f t="shared" si="700"/>
        <v>12</v>
      </c>
      <c r="P1521" s="53">
        <f t="shared" si="701"/>
        <v>2025</v>
      </c>
    </row>
    <row r="1522" spans="1:16" x14ac:dyDescent="0.25">
      <c r="A1522" s="21">
        <v>3000007226</v>
      </c>
      <c r="B1522" s="22">
        <v>46000</v>
      </c>
      <c r="C1522" s="20">
        <v>22000000</v>
      </c>
      <c r="D1522" s="21" t="s">
        <v>786</v>
      </c>
      <c r="E1522" s="21">
        <v>40273009</v>
      </c>
      <c r="F1522" s="20">
        <v>22000000</v>
      </c>
      <c r="G1522" s="22">
        <v>46048</v>
      </c>
      <c r="H1522" t="s">
        <v>79</v>
      </c>
      <c r="I1522" s="51" t="str">
        <f>IFERROR(IF(VLOOKUP(E1522,extracto!C:C,1,FALSE)=E1522,"pagado","no pagado"),"no pagado")</f>
        <v>pagado</v>
      </c>
      <c r="J1522" s="52" t="str">
        <f t="shared" si="696"/>
        <v>pagado</v>
      </c>
      <c r="K1522" s="51" t="str">
        <f t="shared" ca="1" si="697"/>
        <v>excluir</v>
      </c>
      <c r="L1522" s="51" t="str">
        <f t="shared" ca="1" si="698"/>
        <v>no semana</v>
      </c>
      <c r="M1522" s="51" t="str">
        <f>IFERROR(VLOOKUP(E1522,'cheques a conf'!A:D,4,FALSE),"no clearing")</f>
        <v>no clearing</v>
      </c>
      <c r="N1522" s="51">
        <f t="shared" si="699"/>
        <v>5</v>
      </c>
      <c r="O1522" s="53">
        <f t="shared" si="700"/>
        <v>1</v>
      </c>
      <c r="P1522" s="53">
        <f t="shared" si="701"/>
        <v>2026</v>
      </c>
    </row>
    <row r="1523" spans="1:16" x14ac:dyDescent="0.25">
      <c r="A1523" s="21">
        <v>3000007226</v>
      </c>
      <c r="B1523" s="22">
        <v>46000</v>
      </c>
      <c r="C1523" s="20">
        <v>21631711.25</v>
      </c>
      <c r="D1523" s="21" t="s">
        <v>786</v>
      </c>
      <c r="E1523" s="21">
        <v>40273010</v>
      </c>
      <c r="F1523" s="20">
        <v>21631711.25</v>
      </c>
      <c r="G1523" s="22">
        <v>46078</v>
      </c>
      <c r="H1523" t="s">
        <v>79</v>
      </c>
      <c r="I1523" s="51" t="str">
        <f>IFERROR(IF(VLOOKUP(E1523,extracto!C:C,1,FALSE)=E1523,"pagado","no pagado"),"no pagado")</f>
        <v>pagado</v>
      </c>
      <c r="J1523" s="52" t="str">
        <f t="shared" si="696"/>
        <v>pagado</v>
      </c>
      <c r="K1523" s="51" t="str">
        <f t="shared" ca="1" si="697"/>
        <v>excluir</v>
      </c>
      <c r="L1523" s="51" t="str">
        <f t="shared" ca="1" si="698"/>
        <v>no semana</v>
      </c>
      <c r="M1523" s="51" t="str">
        <f>IFERROR(VLOOKUP(E1523,'cheques a conf'!A:D,4,FALSE),"no clearing")</f>
        <v>no clearing</v>
      </c>
      <c r="N1523" s="51">
        <f t="shared" si="699"/>
        <v>9</v>
      </c>
      <c r="O1523" s="53">
        <f t="shared" si="700"/>
        <v>2</v>
      </c>
      <c r="P1523" s="53">
        <f t="shared" si="701"/>
        <v>2026</v>
      </c>
    </row>
    <row r="1524" spans="1:16" x14ac:dyDescent="0.25">
      <c r="A1524" s="21">
        <v>3000007227</v>
      </c>
      <c r="B1524" s="22">
        <v>46000</v>
      </c>
      <c r="C1524" s="20">
        <v>6000000</v>
      </c>
      <c r="D1524" s="21" t="s">
        <v>754</v>
      </c>
      <c r="E1524" s="21">
        <v>40273011</v>
      </c>
      <c r="F1524" s="20">
        <v>6000000</v>
      </c>
      <c r="G1524" s="22">
        <v>46003</v>
      </c>
      <c r="H1524" t="s">
        <v>79</v>
      </c>
      <c r="I1524" s="51" t="str">
        <f>IFERROR(IF(VLOOKUP(E1524,extracto!C:C,1,FALSE)=E1524,"pagado","no pagado"),"no pagado")</f>
        <v>pagado</v>
      </c>
      <c r="J1524" s="52" t="str">
        <f t="shared" si="696"/>
        <v>pagado</v>
      </c>
      <c r="K1524" s="51" t="str">
        <f t="shared" ca="1" si="697"/>
        <v>excluir</v>
      </c>
      <c r="L1524" s="51" t="str">
        <f t="shared" ca="1" si="698"/>
        <v>no semana</v>
      </c>
      <c r="M1524" s="51" t="str">
        <f>IFERROR(VLOOKUP(E1524,'cheques a conf'!A:D,4,FALSE),"no clearing")</f>
        <v>no clearing</v>
      </c>
      <c r="N1524" s="51">
        <f t="shared" si="699"/>
        <v>50</v>
      </c>
      <c r="O1524" s="53">
        <f t="shared" si="700"/>
        <v>12</v>
      </c>
      <c r="P1524" s="53">
        <f t="shared" si="701"/>
        <v>2025</v>
      </c>
    </row>
    <row r="1525" spans="1:16" x14ac:dyDescent="0.25">
      <c r="A1525" s="21">
        <v>3000007227</v>
      </c>
      <c r="B1525" s="22">
        <v>46000</v>
      </c>
      <c r="C1525" s="20">
        <v>6000000</v>
      </c>
      <c r="D1525" s="21" t="s">
        <v>754</v>
      </c>
      <c r="E1525" s="21">
        <v>40273012</v>
      </c>
      <c r="F1525" s="20">
        <v>6000000</v>
      </c>
      <c r="G1525" s="22">
        <v>46003</v>
      </c>
      <c r="H1525" t="s">
        <v>79</v>
      </c>
      <c r="I1525" s="51" t="str">
        <f>IFERROR(IF(VLOOKUP(E1525,extracto!C:C,1,FALSE)=E1525,"pagado","no pagado"),"no pagado")</f>
        <v>pagado</v>
      </c>
      <c r="J1525" s="52" t="str">
        <f t="shared" si="696"/>
        <v>pagado</v>
      </c>
      <c r="K1525" s="51" t="str">
        <f t="shared" ca="1" si="697"/>
        <v>excluir</v>
      </c>
      <c r="L1525" s="51" t="str">
        <f t="shared" ca="1" si="698"/>
        <v>no semana</v>
      </c>
      <c r="M1525" s="51" t="str">
        <f>IFERROR(VLOOKUP(E1525,'cheques a conf'!A:D,4,FALSE),"no clearing")</f>
        <v>no clearing</v>
      </c>
      <c r="N1525" s="51">
        <f t="shared" si="699"/>
        <v>50</v>
      </c>
      <c r="O1525" s="53">
        <f t="shared" si="700"/>
        <v>12</v>
      </c>
      <c r="P1525" s="53">
        <f t="shared" si="701"/>
        <v>2025</v>
      </c>
    </row>
    <row r="1526" spans="1:16" x14ac:dyDescent="0.25">
      <c r="A1526" s="21">
        <v>3000007227</v>
      </c>
      <c r="B1526" s="22">
        <v>46000</v>
      </c>
      <c r="C1526" s="20">
        <v>0</v>
      </c>
      <c r="D1526" s="21" t="s">
        <v>240</v>
      </c>
      <c r="E1526" s="21">
        <v>40273013</v>
      </c>
      <c r="F1526" s="20">
        <v>0</v>
      </c>
      <c r="G1526" s="22">
        <v>46003</v>
      </c>
      <c r="H1526" t="s">
        <v>79</v>
      </c>
      <c r="I1526" s="51" t="str">
        <f>IFERROR(IF(VLOOKUP(E1526,extracto!C:C,1,FALSE)=E1526,"pagado","no pagado"),"no pagado")</f>
        <v>pagado</v>
      </c>
      <c r="J1526" s="52" t="str">
        <f t="shared" si="696"/>
        <v>pagado</v>
      </c>
      <c r="K1526" s="51" t="str">
        <f t="shared" ca="1" si="697"/>
        <v>excluir</v>
      </c>
      <c r="L1526" s="51" t="str">
        <f t="shared" ca="1" si="698"/>
        <v>no semana</v>
      </c>
      <c r="M1526" s="51" t="str">
        <f>IFERROR(VLOOKUP(E1526,'cheques a conf'!A:D,4,FALSE),"no clearing")</f>
        <v>no clearing</v>
      </c>
      <c r="N1526" s="51">
        <f t="shared" si="699"/>
        <v>50</v>
      </c>
      <c r="O1526" s="53">
        <f t="shared" si="700"/>
        <v>12</v>
      </c>
      <c r="P1526" s="53">
        <f t="shared" si="701"/>
        <v>2025</v>
      </c>
    </row>
    <row r="1527" spans="1:16" x14ac:dyDescent="0.25">
      <c r="A1527" s="21">
        <v>3000007227</v>
      </c>
      <c r="B1527" s="22">
        <v>46000</v>
      </c>
      <c r="C1527" s="20">
        <v>5310822.6100000003</v>
      </c>
      <c r="D1527" s="21" t="s">
        <v>754</v>
      </c>
      <c r="E1527" s="21">
        <v>40273014</v>
      </c>
      <c r="F1527" s="20">
        <v>5310822.6100000003</v>
      </c>
      <c r="G1527" s="22">
        <v>46003</v>
      </c>
      <c r="H1527" t="s">
        <v>79</v>
      </c>
      <c r="I1527" s="51" t="str">
        <f>IFERROR(IF(VLOOKUP(E1527,extracto!C:C,1,FALSE)=E1527,"pagado","no pagado"),"no pagado")</f>
        <v>pagado</v>
      </c>
      <c r="J1527" s="52" t="str">
        <f t="shared" si="696"/>
        <v>pagado</v>
      </c>
      <c r="K1527" s="51" t="str">
        <f t="shared" ca="1" si="697"/>
        <v>excluir</v>
      </c>
      <c r="L1527" s="51" t="str">
        <f t="shared" ca="1" si="698"/>
        <v>no semana</v>
      </c>
      <c r="M1527" s="51" t="str">
        <f>IFERROR(VLOOKUP(E1527,'cheques a conf'!A:D,4,FALSE),"no clearing")</f>
        <v>no clearing</v>
      </c>
      <c r="N1527" s="51">
        <f t="shared" si="699"/>
        <v>50</v>
      </c>
      <c r="O1527" s="53">
        <f t="shared" si="700"/>
        <v>12</v>
      </c>
      <c r="P1527" s="53">
        <f t="shared" si="701"/>
        <v>2025</v>
      </c>
    </row>
    <row r="1528" spans="1:16" x14ac:dyDescent="0.25">
      <c r="A1528" s="21">
        <v>3000007244</v>
      </c>
      <c r="B1528" s="22">
        <v>46000</v>
      </c>
      <c r="C1528" s="20">
        <v>3000000</v>
      </c>
      <c r="D1528" s="21" t="s">
        <v>88</v>
      </c>
      <c r="E1528" s="21">
        <v>40273015</v>
      </c>
      <c r="F1528" s="20">
        <v>3000000</v>
      </c>
      <c r="G1528" s="22">
        <v>46001</v>
      </c>
      <c r="H1528" t="s">
        <v>79</v>
      </c>
      <c r="I1528" s="51" t="str">
        <f>IFERROR(IF(VLOOKUP(E1528,extracto!C:C,1,FALSE)=E1528,"pagado","no pagado"),"no pagado")</f>
        <v>pagado</v>
      </c>
      <c r="J1528" s="52" t="str">
        <f t="shared" si="696"/>
        <v>pagado</v>
      </c>
      <c r="K1528" s="51" t="str">
        <f t="shared" ca="1" si="697"/>
        <v>excluir</v>
      </c>
      <c r="L1528" s="51" t="str">
        <f t="shared" ca="1" si="698"/>
        <v>no semana</v>
      </c>
      <c r="M1528" s="51" t="str">
        <f>IFERROR(VLOOKUP(E1528,'cheques a conf'!A:D,4,FALSE),"no clearing")</f>
        <v>no clearing</v>
      </c>
      <c r="N1528" s="51">
        <f t="shared" si="699"/>
        <v>50</v>
      </c>
      <c r="O1528" s="53">
        <f t="shared" si="700"/>
        <v>12</v>
      </c>
      <c r="P1528" s="53">
        <f t="shared" si="701"/>
        <v>2025</v>
      </c>
    </row>
    <row r="1529" spans="1:16" x14ac:dyDescent="0.25">
      <c r="A1529" s="21">
        <v>3000007228</v>
      </c>
      <c r="B1529" s="22">
        <v>46000</v>
      </c>
      <c r="C1529" s="20">
        <v>4259943.16</v>
      </c>
      <c r="D1529" s="21" t="s">
        <v>612</v>
      </c>
      <c r="E1529" s="21">
        <v>91002733</v>
      </c>
      <c r="F1529" s="20">
        <v>4259943.16</v>
      </c>
      <c r="G1529" s="22">
        <v>46003</v>
      </c>
      <c r="H1529" t="s">
        <v>79</v>
      </c>
      <c r="I1529" s="51" t="str">
        <f>IFERROR(IF(VLOOKUP(E1529,extracto!C:C,1,FALSE)=E1529,"pagado","no pagado"),"no pagado")</f>
        <v>pagado</v>
      </c>
      <c r="J1529" s="52" t="str">
        <f t="shared" si="696"/>
        <v>pagado</v>
      </c>
      <c r="K1529" s="51" t="str">
        <f t="shared" ca="1" si="697"/>
        <v>excluir</v>
      </c>
      <c r="L1529" s="51" t="str">
        <f t="shared" ca="1" si="698"/>
        <v>no semana</v>
      </c>
      <c r="M1529" s="51" t="str">
        <f>IFERROR(VLOOKUP(E1529,'cheques a conf'!A:D,4,FALSE),"no clearing")</f>
        <v>no clearing</v>
      </c>
      <c r="N1529" s="51">
        <f t="shared" si="699"/>
        <v>50</v>
      </c>
      <c r="O1529" s="53">
        <f t="shared" si="700"/>
        <v>12</v>
      </c>
      <c r="P1529" s="53">
        <f t="shared" si="701"/>
        <v>2025</v>
      </c>
    </row>
    <row r="1530" spans="1:16" x14ac:dyDescent="0.25">
      <c r="A1530" s="21">
        <v>3000007229</v>
      </c>
      <c r="B1530" s="22">
        <v>46000</v>
      </c>
      <c r="C1530" s="20">
        <v>10797741.789999999</v>
      </c>
      <c r="D1530" s="21" t="s">
        <v>613</v>
      </c>
      <c r="E1530" s="21">
        <v>91002734</v>
      </c>
      <c r="F1530" s="20">
        <v>10797741.789999999</v>
      </c>
      <c r="G1530" s="22">
        <v>46003</v>
      </c>
      <c r="H1530" t="s">
        <v>79</v>
      </c>
      <c r="I1530" s="51" t="str">
        <f>IFERROR(IF(VLOOKUP(E1530,extracto!C:C,1,FALSE)=E1530,"pagado","no pagado"),"no pagado")</f>
        <v>pagado</v>
      </c>
      <c r="J1530" s="52" t="str">
        <f t="shared" si="696"/>
        <v>pagado</v>
      </c>
      <c r="K1530" s="51" t="str">
        <f t="shared" ca="1" si="697"/>
        <v>excluir</v>
      </c>
      <c r="L1530" s="51" t="str">
        <f t="shared" ca="1" si="698"/>
        <v>no semana</v>
      </c>
      <c r="M1530" s="51" t="str">
        <f>IFERROR(VLOOKUP(E1530,'cheques a conf'!A:D,4,FALSE),"no clearing")</f>
        <v>no clearing</v>
      </c>
      <c r="N1530" s="51">
        <f t="shared" si="699"/>
        <v>50</v>
      </c>
      <c r="O1530" s="53">
        <f t="shared" si="700"/>
        <v>12</v>
      </c>
      <c r="P1530" s="53">
        <f t="shared" si="701"/>
        <v>2025</v>
      </c>
    </row>
    <row r="1531" spans="1:16" x14ac:dyDescent="0.25">
      <c r="A1531" s="21">
        <v>3000007230</v>
      </c>
      <c r="B1531" s="22">
        <v>46000</v>
      </c>
      <c r="C1531" s="20">
        <v>9918838.0700000003</v>
      </c>
      <c r="D1531" s="21" t="s">
        <v>618</v>
      </c>
      <c r="E1531" s="21">
        <v>91002735</v>
      </c>
      <c r="F1531" s="20">
        <v>9918838.0700000003</v>
      </c>
      <c r="G1531" s="22">
        <v>46003</v>
      </c>
      <c r="H1531" t="s">
        <v>79</v>
      </c>
      <c r="I1531" s="51" t="str">
        <f>IFERROR(IF(VLOOKUP(E1531,extracto!C:C,1,FALSE)=E1531,"pagado","no pagado"),"no pagado")</f>
        <v>pagado</v>
      </c>
      <c r="J1531" s="52" t="str">
        <f t="shared" si="696"/>
        <v>pagado</v>
      </c>
      <c r="K1531" s="51" t="str">
        <f t="shared" ca="1" si="697"/>
        <v>excluir</v>
      </c>
      <c r="L1531" s="51" t="str">
        <f t="shared" ca="1" si="698"/>
        <v>no semana</v>
      </c>
      <c r="M1531" s="51" t="str">
        <f>IFERROR(VLOOKUP(E1531,'cheques a conf'!A:D,4,FALSE),"no clearing")</f>
        <v>no clearing</v>
      </c>
      <c r="N1531" s="51">
        <f t="shared" si="699"/>
        <v>50</v>
      </c>
      <c r="O1531" s="53">
        <f t="shared" si="700"/>
        <v>12</v>
      </c>
      <c r="P1531" s="53">
        <f t="shared" si="701"/>
        <v>2025</v>
      </c>
    </row>
    <row r="1532" spans="1:16" x14ac:dyDescent="0.25">
      <c r="A1532" s="21">
        <v>3000007231</v>
      </c>
      <c r="B1532" s="22">
        <v>46000</v>
      </c>
      <c r="C1532" s="20">
        <v>4233015.58</v>
      </c>
      <c r="D1532" s="21" t="s">
        <v>619</v>
      </c>
      <c r="E1532" s="21">
        <v>91002736</v>
      </c>
      <c r="F1532" s="20">
        <v>4233015.58</v>
      </c>
      <c r="G1532" s="22">
        <v>46003</v>
      </c>
      <c r="H1532" t="s">
        <v>79</v>
      </c>
      <c r="I1532" s="51" t="str">
        <f>IFERROR(IF(VLOOKUP(E1532,extracto!C:C,1,FALSE)=E1532,"pagado","no pagado"),"no pagado")</f>
        <v>pagado</v>
      </c>
      <c r="J1532" s="52" t="str">
        <f t="shared" si="696"/>
        <v>pagado</v>
      </c>
      <c r="K1532" s="51" t="str">
        <f t="shared" ca="1" si="697"/>
        <v>excluir</v>
      </c>
      <c r="L1532" s="51" t="str">
        <f t="shared" ca="1" si="698"/>
        <v>no semana</v>
      </c>
      <c r="M1532" s="51" t="str">
        <f>IFERROR(VLOOKUP(E1532,'cheques a conf'!A:D,4,FALSE),"no clearing")</f>
        <v>no clearing</v>
      </c>
      <c r="N1532" s="51">
        <f t="shared" si="699"/>
        <v>50</v>
      </c>
      <c r="O1532" s="53">
        <f t="shared" si="700"/>
        <v>12</v>
      </c>
      <c r="P1532" s="53">
        <f t="shared" si="701"/>
        <v>2025</v>
      </c>
    </row>
    <row r="1533" spans="1:16" x14ac:dyDescent="0.25">
      <c r="A1533" s="21">
        <v>3000007232</v>
      </c>
      <c r="B1533" s="22">
        <v>46000</v>
      </c>
      <c r="C1533" s="20">
        <v>6987960</v>
      </c>
      <c r="D1533" s="21" t="s">
        <v>83</v>
      </c>
      <c r="E1533" s="21">
        <v>91002737</v>
      </c>
      <c r="F1533" s="20">
        <v>6987960</v>
      </c>
      <c r="G1533" s="22">
        <v>46003</v>
      </c>
      <c r="H1533" t="s">
        <v>79</v>
      </c>
      <c r="I1533" s="51" t="str">
        <f>IFERROR(IF(VLOOKUP(E1533,extracto!C:C,1,FALSE)=E1533,"pagado","no pagado"),"no pagado")</f>
        <v>pagado</v>
      </c>
      <c r="J1533" s="52" t="str">
        <f t="shared" si="696"/>
        <v>pagado</v>
      </c>
      <c r="K1533" s="51" t="str">
        <f t="shared" ca="1" si="697"/>
        <v>excluir</v>
      </c>
      <c r="L1533" s="51" t="str">
        <f t="shared" ca="1" si="698"/>
        <v>no semana</v>
      </c>
      <c r="M1533" s="51" t="str">
        <f>IFERROR(VLOOKUP(E1533,'cheques a conf'!A:D,4,FALSE),"no clearing")</f>
        <v>no clearing</v>
      </c>
      <c r="N1533" s="51">
        <f t="shared" si="699"/>
        <v>50</v>
      </c>
      <c r="O1533" s="53">
        <f t="shared" si="700"/>
        <v>12</v>
      </c>
      <c r="P1533" s="53">
        <f t="shared" si="701"/>
        <v>2025</v>
      </c>
    </row>
    <row r="1534" spans="1:16" x14ac:dyDescent="0.25">
      <c r="A1534" s="21">
        <v>3000007233</v>
      </c>
      <c r="B1534" s="22">
        <v>46000</v>
      </c>
      <c r="C1534" s="20">
        <v>11761645.800000001</v>
      </c>
      <c r="D1534" s="21" t="s">
        <v>812</v>
      </c>
      <c r="E1534" s="21">
        <v>91002738</v>
      </c>
      <c r="F1534" s="20">
        <v>11761645.800000001</v>
      </c>
      <c r="G1534" s="22">
        <v>46003</v>
      </c>
      <c r="H1534" t="s">
        <v>79</v>
      </c>
      <c r="I1534" s="51" t="str">
        <f>IFERROR(IF(VLOOKUP(E1534,extracto!C:C,1,FALSE)=E1534,"pagado","no pagado"),"no pagado")</f>
        <v>pagado</v>
      </c>
      <c r="J1534" s="52" t="str">
        <f t="shared" si="696"/>
        <v>pagado</v>
      </c>
      <c r="K1534" s="51" t="str">
        <f t="shared" ca="1" si="697"/>
        <v>excluir</v>
      </c>
      <c r="L1534" s="51" t="str">
        <f t="shared" ca="1" si="698"/>
        <v>no semana</v>
      </c>
      <c r="M1534" s="51" t="str">
        <f>IFERROR(VLOOKUP(E1534,'cheques a conf'!A:D,4,FALSE),"no clearing")</f>
        <v>no clearing</v>
      </c>
      <c r="N1534" s="51">
        <f t="shared" si="699"/>
        <v>50</v>
      </c>
      <c r="O1534" s="53">
        <f t="shared" si="700"/>
        <v>12</v>
      </c>
      <c r="P1534" s="53">
        <f t="shared" si="701"/>
        <v>2025</v>
      </c>
    </row>
    <row r="1535" spans="1:16" x14ac:dyDescent="0.25">
      <c r="A1535" s="21">
        <v>3000007234</v>
      </c>
      <c r="B1535" s="22">
        <v>46000</v>
      </c>
      <c r="C1535" s="20">
        <v>5068380.9000000004</v>
      </c>
      <c r="D1535" s="21" t="s">
        <v>628</v>
      </c>
      <c r="E1535" s="21">
        <v>91002739</v>
      </c>
      <c r="F1535" s="20">
        <v>5068380.9000000004</v>
      </c>
      <c r="G1535" s="22">
        <v>46003</v>
      </c>
      <c r="H1535" t="s">
        <v>79</v>
      </c>
      <c r="I1535" s="51" t="str">
        <f>IFERROR(IF(VLOOKUP(E1535,extracto!C:C,1,FALSE)=E1535,"pagado","no pagado"),"no pagado")</f>
        <v>pagado</v>
      </c>
      <c r="J1535" s="52" t="str">
        <f t="shared" si="696"/>
        <v>pagado</v>
      </c>
      <c r="K1535" s="51" t="str">
        <f t="shared" ca="1" si="697"/>
        <v>excluir</v>
      </c>
      <c r="L1535" s="51" t="str">
        <f t="shared" ca="1" si="698"/>
        <v>no semana</v>
      </c>
      <c r="M1535" s="51" t="str">
        <f>IFERROR(VLOOKUP(E1535,'cheques a conf'!A:D,4,FALSE),"no clearing")</f>
        <v>no clearing</v>
      </c>
      <c r="N1535" s="51">
        <f t="shared" si="699"/>
        <v>50</v>
      </c>
      <c r="O1535" s="53">
        <f t="shared" si="700"/>
        <v>12</v>
      </c>
      <c r="P1535" s="53">
        <f t="shared" si="701"/>
        <v>2025</v>
      </c>
    </row>
    <row r="1536" spans="1:16" x14ac:dyDescent="0.25">
      <c r="A1536" s="21">
        <v>3000007235</v>
      </c>
      <c r="B1536" s="22">
        <v>46000</v>
      </c>
      <c r="C1536" s="20">
        <v>4913173.05</v>
      </c>
      <c r="D1536" s="21" t="s">
        <v>71</v>
      </c>
      <c r="E1536" s="21">
        <v>91002740</v>
      </c>
      <c r="F1536" s="20">
        <v>4913173.05</v>
      </c>
      <c r="G1536" s="22">
        <v>46003</v>
      </c>
      <c r="H1536" t="s">
        <v>79</v>
      </c>
      <c r="I1536" s="51" t="str">
        <f>IFERROR(IF(VLOOKUP(E1536,extracto!C:C,1,FALSE)=E1536,"pagado","no pagado"),"no pagado")</f>
        <v>pagado</v>
      </c>
      <c r="J1536" s="52" t="str">
        <f t="shared" si="696"/>
        <v>pagado</v>
      </c>
      <c r="K1536" s="51" t="str">
        <f t="shared" ca="1" si="697"/>
        <v>excluir</v>
      </c>
      <c r="L1536" s="51" t="str">
        <f t="shared" ca="1" si="698"/>
        <v>no semana</v>
      </c>
      <c r="M1536" s="51" t="str">
        <f>IFERROR(VLOOKUP(E1536,'cheques a conf'!A:D,4,FALSE),"no clearing")</f>
        <v>no clearing</v>
      </c>
      <c r="N1536" s="51">
        <f t="shared" si="699"/>
        <v>50</v>
      </c>
      <c r="O1536" s="53">
        <f t="shared" si="700"/>
        <v>12</v>
      </c>
      <c r="P1536" s="53">
        <f t="shared" si="701"/>
        <v>2025</v>
      </c>
    </row>
    <row r="1537" spans="1:16" x14ac:dyDescent="0.25">
      <c r="A1537" s="21">
        <v>3000007236</v>
      </c>
      <c r="B1537" s="22">
        <v>46000</v>
      </c>
      <c r="C1537" s="20">
        <v>3249241.17</v>
      </c>
      <c r="D1537" s="21" t="s">
        <v>793</v>
      </c>
      <c r="E1537" s="21">
        <v>91002741</v>
      </c>
      <c r="F1537" s="20">
        <v>3249241.17</v>
      </c>
      <c r="G1537" s="22">
        <v>46003</v>
      </c>
      <c r="H1537" t="s">
        <v>79</v>
      </c>
      <c r="I1537" s="51" t="str">
        <f>IFERROR(IF(VLOOKUP(E1537,extracto!C:C,1,FALSE)=E1537,"pagado","no pagado"),"no pagado")</f>
        <v>pagado</v>
      </c>
      <c r="J1537" s="52" t="str">
        <f t="shared" si="696"/>
        <v>pagado</v>
      </c>
      <c r="K1537" s="51" t="str">
        <f t="shared" ca="1" si="697"/>
        <v>excluir</v>
      </c>
      <c r="L1537" s="51" t="str">
        <f t="shared" ca="1" si="698"/>
        <v>no semana</v>
      </c>
      <c r="M1537" s="51" t="str">
        <f>IFERROR(VLOOKUP(E1537,'cheques a conf'!A:D,4,FALSE),"no clearing")</f>
        <v>no clearing</v>
      </c>
      <c r="N1537" s="51">
        <f t="shared" si="699"/>
        <v>50</v>
      </c>
      <c r="O1537" s="53">
        <f t="shared" si="700"/>
        <v>12</v>
      </c>
      <c r="P1537" s="53">
        <f t="shared" si="701"/>
        <v>2025</v>
      </c>
    </row>
    <row r="1538" spans="1:16" x14ac:dyDescent="0.25">
      <c r="A1538" s="21">
        <v>3000007237</v>
      </c>
      <c r="B1538" s="22">
        <v>46000</v>
      </c>
      <c r="C1538" s="20">
        <v>9025923.4000000004</v>
      </c>
      <c r="D1538" s="21" t="s">
        <v>610</v>
      </c>
      <c r="E1538" s="21">
        <v>91002742</v>
      </c>
      <c r="F1538" s="20">
        <v>9025923.4000000004</v>
      </c>
      <c r="G1538" s="22">
        <v>46003</v>
      </c>
      <c r="H1538" t="s">
        <v>79</v>
      </c>
      <c r="I1538" s="51" t="str">
        <f>IFERROR(IF(VLOOKUP(E1538,extracto!C:C,1,FALSE)=E1538,"pagado","no pagado"),"no pagado")</f>
        <v>pagado</v>
      </c>
      <c r="J1538" s="52" t="str">
        <f t="shared" si="696"/>
        <v>pagado</v>
      </c>
      <c r="K1538" s="51" t="str">
        <f t="shared" ca="1" si="697"/>
        <v>excluir</v>
      </c>
      <c r="L1538" s="51" t="str">
        <f t="shared" ca="1" si="698"/>
        <v>no semana</v>
      </c>
      <c r="M1538" s="51" t="str">
        <f>IFERROR(VLOOKUP(E1538,'cheques a conf'!A:D,4,FALSE),"no clearing")</f>
        <v>no clearing</v>
      </c>
      <c r="N1538" s="51">
        <f t="shared" si="699"/>
        <v>50</v>
      </c>
      <c r="O1538" s="53">
        <f t="shared" si="700"/>
        <v>12</v>
      </c>
      <c r="P1538" s="53">
        <f t="shared" si="701"/>
        <v>2025</v>
      </c>
    </row>
    <row r="1539" spans="1:16" x14ac:dyDescent="0.25">
      <c r="A1539" s="21">
        <v>3000007238</v>
      </c>
      <c r="B1539" s="22">
        <v>46000</v>
      </c>
      <c r="C1539" s="20">
        <v>10090541.4</v>
      </c>
      <c r="D1539" s="21" t="s">
        <v>743</v>
      </c>
      <c r="E1539" s="21">
        <v>91002743</v>
      </c>
      <c r="F1539" s="20">
        <v>10090541.4</v>
      </c>
      <c r="G1539" s="22">
        <v>46003</v>
      </c>
      <c r="H1539" t="s">
        <v>79</v>
      </c>
      <c r="I1539" s="51" t="str">
        <f>IFERROR(IF(VLOOKUP(E1539,extracto!C:C,1,FALSE)=E1539,"pagado","no pagado"),"no pagado")</f>
        <v>pagado</v>
      </c>
      <c r="J1539" s="52" t="str">
        <f t="shared" si="696"/>
        <v>pagado</v>
      </c>
      <c r="K1539" s="51" t="str">
        <f t="shared" ca="1" si="697"/>
        <v>excluir</v>
      </c>
      <c r="L1539" s="51" t="str">
        <f t="shared" ca="1" si="698"/>
        <v>no semana</v>
      </c>
      <c r="M1539" s="51" t="str">
        <f>IFERROR(VLOOKUP(E1539,'cheques a conf'!A:D,4,FALSE),"no clearing")</f>
        <v>no clearing</v>
      </c>
      <c r="N1539" s="51">
        <f t="shared" si="699"/>
        <v>50</v>
      </c>
      <c r="O1539" s="53">
        <f t="shared" si="700"/>
        <v>12</v>
      </c>
      <c r="P1539" s="53">
        <f t="shared" si="701"/>
        <v>2025</v>
      </c>
    </row>
    <row r="1540" spans="1:16" x14ac:dyDescent="0.25">
      <c r="A1540" s="21">
        <v>3000007239</v>
      </c>
      <c r="B1540" s="22">
        <v>46000</v>
      </c>
      <c r="C1540" s="20">
        <v>9110594</v>
      </c>
      <c r="D1540" s="21" t="s">
        <v>600</v>
      </c>
      <c r="E1540" s="21">
        <v>91002744</v>
      </c>
      <c r="F1540" s="20">
        <v>9110594</v>
      </c>
      <c r="G1540" s="22">
        <v>46003</v>
      </c>
      <c r="H1540" t="s">
        <v>79</v>
      </c>
      <c r="I1540" s="51" t="str">
        <f>IFERROR(IF(VLOOKUP(E1540,extracto!C:C,1,FALSE)=E1540,"pagado","no pagado"),"no pagado")</f>
        <v>pagado</v>
      </c>
      <c r="J1540" s="52" t="str">
        <f t="shared" si="696"/>
        <v>pagado</v>
      </c>
      <c r="K1540" s="51" t="str">
        <f t="shared" ca="1" si="697"/>
        <v>excluir</v>
      </c>
      <c r="L1540" s="51" t="str">
        <f t="shared" ca="1" si="698"/>
        <v>no semana</v>
      </c>
      <c r="M1540" s="51" t="str">
        <f>IFERROR(VLOOKUP(E1540,'cheques a conf'!A:D,4,FALSE),"no clearing")</f>
        <v>no clearing</v>
      </c>
      <c r="N1540" s="51">
        <f t="shared" si="699"/>
        <v>50</v>
      </c>
      <c r="O1540" s="53">
        <f t="shared" si="700"/>
        <v>12</v>
      </c>
      <c r="P1540" s="53">
        <f t="shared" si="701"/>
        <v>2025</v>
      </c>
    </row>
    <row r="1541" spans="1:16" x14ac:dyDescent="0.25">
      <c r="A1541" s="21">
        <v>3000007240</v>
      </c>
      <c r="B1541" s="22">
        <v>46000</v>
      </c>
      <c r="C1541" s="20">
        <v>12415377.800000001</v>
      </c>
      <c r="D1541" s="21" t="s">
        <v>66</v>
      </c>
      <c r="E1541" s="21">
        <v>91002745</v>
      </c>
      <c r="F1541" s="20">
        <v>12415377.800000001</v>
      </c>
      <c r="G1541" s="22">
        <v>46003</v>
      </c>
      <c r="H1541" t="s">
        <v>79</v>
      </c>
      <c r="I1541" s="51" t="str">
        <f>IFERROR(IF(VLOOKUP(E1541,extracto!C:C,1,FALSE)=E1541,"pagado","no pagado"),"no pagado")</f>
        <v>pagado</v>
      </c>
      <c r="J1541" s="52" t="str">
        <f t="shared" si="696"/>
        <v>pagado</v>
      </c>
      <c r="K1541" s="51" t="str">
        <f t="shared" ca="1" si="697"/>
        <v>excluir</v>
      </c>
      <c r="L1541" s="51" t="str">
        <f t="shared" ca="1" si="698"/>
        <v>no semana</v>
      </c>
      <c r="M1541" s="51" t="str">
        <f>IFERROR(VLOOKUP(E1541,'cheques a conf'!A:D,4,FALSE),"no clearing")</f>
        <v>no clearing</v>
      </c>
      <c r="N1541" s="51">
        <f t="shared" si="699"/>
        <v>50</v>
      </c>
      <c r="O1541" s="53">
        <f t="shared" si="700"/>
        <v>12</v>
      </c>
      <c r="P1541" s="53">
        <f t="shared" si="701"/>
        <v>2025</v>
      </c>
    </row>
    <row r="1542" spans="1:16" x14ac:dyDescent="0.25">
      <c r="A1542" s="21">
        <v>3000007241</v>
      </c>
      <c r="B1542" s="22">
        <v>46000</v>
      </c>
      <c r="C1542" s="20">
        <v>52125273.729999997</v>
      </c>
      <c r="D1542" s="21" t="s">
        <v>740</v>
      </c>
      <c r="E1542" s="21">
        <v>91002746</v>
      </c>
      <c r="F1542" s="20">
        <v>52125273.729999997</v>
      </c>
      <c r="G1542" s="22">
        <v>46003</v>
      </c>
      <c r="H1542" t="s">
        <v>79</v>
      </c>
      <c r="I1542" s="51" t="str">
        <f>IFERROR(IF(VLOOKUP(E1542,extracto!C:C,1,FALSE)=E1542,"pagado","no pagado"),"no pagado")</f>
        <v>pagado</v>
      </c>
      <c r="J1542" s="52" t="str">
        <f t="shared" si="696"/>
        <v>pagado</v>
      </c>
      <c r="K1542" s="51" t="str">
        <f t="shared" ca="1" si="697"/>
        <v>excluir</v>
      </c>
      <c r="L1542" s="51" t="str">
        <f t="shared" ca="1" si="698"/>
        <v>no semana</v>
      </c>
      <c r="M1542" s="51" t="str">
        <f>IFERROR(VLOOKUP(E1542,'cheques a conf'!A:D,4,FALSE),"no clearing")</f>
        <v>no clearing</v>
      </c>
      <c r="N1542" s="51">
        <f t="shared" si="699"/>
        <v>50</v>
      </c>
      <c r="O1542" s="53">
        <f t="shared" si="700"/>
        <v>12</v>
      </c>
      <c r="P1542" s="53">
        <f t="shared" si="701"/>
        <v>2025</v>
      </c>
    </row>
    <row r="1543" spans="1:16" x14ac:dyDescent="0.25">
      <c r="A1543" s="21">
        <v>3000007242</v>
      </c>
      <c r="B1543" s="22">
        <v>46000</v>
      </c>
      <c r="C1543" s="20">
        <v>20452483.57</v>
      </c>
      <c r="D1543" s="21" t="s">
        <v>74</v>
      </c>
      <c r="E1543" s="21">
        <v>91002747</v>
      </c>
      <c r="F1543" s="20">
        <v>20452483.57</v>
      </c>
      <c r="G1543" s="22">
        <v>46003</v>
      </c>
      <c r="H1543" t="s">
        <v>79</v>
      </c>
      <c r="I1543" s="51" t="str">
        <f>IFERROR(IF(VLOOKUP(E1543,extracto!C:C,1,FALSE)=E1543,"pagado","no pagado"),"no pagado")</f>
        <v>pagado</v>
      </c>
      <c r="J1543" s="52" t="str">
        <f t="shared" si="696"/>
        <v>pagado</v>
      </c>
      <c r="K1543" s="51" t="str">
        <f t="shared" ca="1" si="697"/>
        <v>excluir</v>
      </c>
      <c r="L1543" s="51" t="str">
        <f t="shared" ca="1" si="698"/>
        <v>no semana</v>
      </c>
      <c r="M1543" s="51" t="str">
        <f>IFERROR(VLOOKUP(E1543,'cheques a conf'!A:D,4,FALSE),"no clearing")</f>
        <v>no clearing</v>
      </c>
      <c r="N1543" s="51">
        <f t="shared" si="699"/>
        <v>50</v>
      </c>
      <c r="O1543" s="53">
        <f t="shared" si="700"/>
        <v>12</v>
      </c>
      <c r="P1543" s="53">
        <f t="shared" si="701"/>
        <v>2025</v>
      </c>
    </row>
    <row r="1544" spans="1:16" x14ac:dyDescent="0.25">
      <c r="A1544" s="21">
        <v>3000007243</v>
      </c>
      <c r="B1544" s="22">
        <v>46000</v>
      </c>
      <c r="C1544" s="20">
        <v>199568481.24000001</v>
      </c>
      <c r="D1544" s="21" t="s">
        <v>29</v>
      </c>
      <c r="E1544" s="21">
        <v>91002748</v>
      </c>
      <c r="F1544" s="20">
        <v>199568481.24000001</v>
      </c>
      <c r="G1544" s="22">
        <v>46003</v>
      </c>
      <c r="H1544" t="s">
        <v>79</v>
      </c>
      <c r="I1544" s="51" t="str">
        <f>IFERROR(IF(VLOOKUP(E1544,extracto!C:C,1,FALSE)=E1544,"pagado","no pagado"),"no pagado")</f>
        <v>pagado</v>
      </c>
      <c r="J1544" s="52" t="str">
        <f t="shared" si="696"/>
        <v>pagado</v>
      </c>
      <c r="K1544" s="51" t="str">
        <f t="shared" ca="1" si="697"/>
        <v>excluir</v>
      </c>
      <c r="L1544" s="51" t="str">
        <f t="shared" ca="1" si="698"/>
        <v>no semana</v>
      </c>
      <c r="M1544" s="51" t="str">
        <f>IFERROR(VLOOKUP(E1544,'cheques a conf'!A:D,4,FALSE),"no clearing")</f>
        <v>no clearing</v>
      </c>
      <c r="N1544" s="51">
        <f t="shared" si="699"/>
        <v>50</v>
      </c>
      <c r="O1544" s="53">
        <f t="shared" si="700"/>
        <v>12</v>
      </c>
      <c r="P1544" s="53">
        <f t="shared" si="701"/>
        <v>2025</v>
      </c>
    </row>
    <row r="1545" spans="1:16" x14ac:dyDescent="0.25">
      <c r="A1545" s="21">
        <v>3000007292</v>
      </c>
      <c r="B1545" s="22">
        <v>46002</v>
      </c>
      <c r="C1545" s="20">
        <v>30000000</v>
      </c>
      <c r="D1545" s="21" t="s">
        <v>595</v>
      </c>
      <c r="E1545" s="21">
        <v>91002749</v>
      </c>
      <c r="F1545" s="20">
        <v>30000000</v>
      </c>
      <c r="G1545" s="22">
        <v>46006</v>
      </c>
      <c r="H1545" t="s">
        <v>79</v>
      </c>
      <c r="I1545" s="51" t="str">
        <f>IFERROR(IF(VLOOKUP(E1545,extracto!C:C,1,FALSE)=E1545,"pagado","no pagado"),"no pagado")</f>
        <v>pagado</v>
      </c>
      <c r="J1545" s="52" t="str">
        <f t="shared" si="696"/>
        <v>pagado</v>
      </c>
      <c r="K1545" s="51" t="str">
        <f t="shared" ca="1" si="697"/>
        <v>excluir</v>
      </c>
      <c r="L1545" s="51" t="str">
        <f t="shared" ca="1" si="698"/>
        <v>no semana</v>
      </c>
      <c r="M1545" s="51" t="str">
        <f>IFERROR(VLOOKUP(E1545,'cheques a conf'!A:D,4,FALSE),"no clearing")</f>
        <v>no clearing</v>
      </c>
      <c r="N1545" s="51">
        <f t="shared" si="699"/>
        <v>51</v>
      </c>
      <c r="O1545" s="53">
        <f t="shared" si="700"/>
        <v>12</v>
      </c>
      <c r="P1545" s="53">
        <f t="shared" si="701"/>
        <v>2025</v>
      </c>
    </row>
    <row r="1546" spans="1:16" x14ac:dyDescent="0.25">
      <c r="A1546" s="21">
        <v>3000007292</v>
      </c>
      <c r="B1546" s="22">
        <v>46002</v>
      </c>
      <c r="C1546" s="20">
        <v>14561285.220000001</v>
      </c>
      <c r="D1546" s="21" t="s">
        <v>595</v>
      </c>
      <c r="E1546" s="21">
        <v>91002750</v>
      </c>
      <c r="F1546" s="20">
        <v>14561285.220000001</v>
      </c>
      <c r="G1546" s="22">
        <v>46003</v>
      </c>
      <c r="H1546" t="s">
        <v>79</v>
      </c>
      <c r="I1546" s="51" t="str">
        <f>IFERROR(IF(VLOOKUP(E1546,extracto!C:C,1,FALSE)=E1546,"pagado","no pagado"),"no pagado")</f>
        <v>pagado</v>
      </c>
      <c r="J1546" s="52" t="str">
        <f t="shared" si="696"/>
        <v>pagado</v>
      </c>
      <c r="K1546" s="51" t="str">
        <f t="shared" ca="1" si="697"/>
        <v>excluir</v>
      </c>
      <c r="L1546" s="51" t="str">
        <f t="shared" ca="1" si="698"/>
        <v>no semana</v>
      </c>
      <c r="M1546" s="51" t="str">
        <f>IFERROR(VLOOKUP(E1546,'cheques a conf'!A:D,4,FALSE),"no clearing")</f>
        <v>no clearing</v>
      </c>
      <c r="N1546" s="51">
        <f t="shared" si="699"/>
        <v>50</v>
      </c>
      <c r="O1546" s="53">
        <f t="shared" si="700"/>
        <v>12</v>
      </c>
      <c r="P1546" s="53">
        <f t="shared" si="701"/>
        <v>2025</v>
      </c>
    </row>
    <row r="1547" spans="1:16" x14ac:dyDescent="0.25">
      <c r="A1547" s="21">
        <v>3000007334</v>
      </c>
      <c r="B1547" s="22">
        <v>46003</v>
      </c>
      <c r="C1547" s="20">
        <v>25698560</v>
      </c>
      <c r="D1547" s="21" t="s">
        <v>25</v>
      </c>
      <c r="E1547" s="21">
        <v>91002751</v>
      </c>
      <c r="F1547" s="20">
        <v>25698560</v>
      </c>
      <c r="G1547" s="22">
        <v>46006</v>
      </c>
      <c r="H1547" t="s">
        <v>79</v>
      </c>
      <c r="I1547" s="51" t="str">
        <f>IFERROR(IF(VLOOKUP(E1547,extracto!C:C,1,FALSE)=E1547,"pagado","no pagado"),"no pagado")</f>
        <v>pagado</v>
      </c>
      <c r="J1547" s="52" t="str">
        <f t="shared" si="696"/>
        <v>pagado</v>
      </c>
      <c r="K1547" s="51" t="str">
        <f t="shared" ca="1" si="697"/>
        <v>excluir</v>
      </c>
      <c r="L1547" s="51" t="str">
        <f t="shared" ca="1" si="698"/>
        <v>no semana</v>
      </c>
      <c r="M1547" s="51" t="str">
        <f>IFERROR(VLOOKUP(E1547,'cheques a conf'!A:D,4,FALSE),"no clearing")</f>
        <v>no clearing</v>
      </c>
      <c r="N1547" s="51">
        <f t="shared" si="699"/>
        <v>51</v>
      </c>
      <c r="O1547" s="53">
        <f t="shared" si="700"/>
        <v>12</v>
      </c>
      <c r="P1547" s="53">
        <f t="shared" si="701"/>
        <v>2025</v>
      </c>
    </row>
    <row r="1548" spans="1:16" x14ac:dyDescent="0.25">
      <c r="A1548" s="21">
        <v>3000007335</v>
      </c>
      <c r="B1548" s="22">
        <v>46003</v>
      </c>
      <c r="C1548" s="20">
        <v>15138130.279999999</v>
      </c>
      <c r="D1548" s="21" t="s">
        <v>813</v>
      </c>
      <c r="E1548" s="21">
        <v>91002752</v>
      </c>
      <c r="F1548" s="20">
        <v>15138130.279999999</v>
      </c>
      <c r="G1548" s="22">
        <v>46006</v>
      </c>
      <c r="H1548" t="s">
        <v>79</v>
      </c>
      <c r="I1548" s="51" t="str">
        <f>IFERROR(IF(VLOOKUP(E1548,extracto!C:C,1,FALSE)=E1548,"pagado","no pagado"),"no pagado")</f>
        <v>pagado</v>
      </c>
      <c r="J1548" s="52" t="str">
        <f t="shared" si="696"/>
        <v>pagado</v>
      </c>
      <c r="K1548" s="51" t="str">
        <f t="shared" ca="1" si="697"/>
        <v>excluir</v>
      </c>
      <c r="L1548" s="51" t="str">
        <f t="shared" ca="1" si="698"/>
        <v>no semana</v>
      </c>
      <c r="M1548" s="51" t="str">
        <f>IFERROR(VLOOKUP(E1548,'cheques a conf'!A:D,4,FALSE),"no clearing")</f>
        <v>no clearing</v>
      </c>
      <c r="N1548" s="51">
        <f t="shared" si="699"/>
        <v>51</v>
      </c>
      <c r="O1548" s="53">
        <f t="shared" si="700"/>
        <v>12</v>
      </c>
      <c r="P1548" s="53">
        <f t="shared" si="701"/>
        <v>2025</v>
      </c>
    </row>
    <row r="1549" spans="1:16" x14ac:dyDescent="0.25">
      <c r="A1549" s="21">
        <v>3000007379</v>
      </c>
      <c r="B1549" s="22">
        <v>46006</v>
      </c>
      <c r="C1549" s="20">
        <v>7500000</v>
      </c>
      <c r="D1549" s="21" t="s">
        <v>86</v>
      </c>
      <c r="E1549" s="21">
        <v>2021</v>
      </c>
      <c r="F1549" s="20">
        <v>7500000</v>
      </c>
      <c r="G1549" s="22">
        <v>46009</v>
      </c>
      <c r="H1549" t="s">
        <v>32</v>
      </c>
      <c r="I1549" s="51" t="str">
        <f>IFERROR(IF(VLOOKUP(E1549,extracto!C:C,1,FALSE)=E1549,"pagado","no pagado"),"no pagado")</f>
        <v>pagado</v>
      </c>
      <c r="J1549" s="52" t="str">
        <f t="shared" si="696"/>
        <v>pagado</v>
      </c>
      <c r="K1549" s="51" t="str">
        <f t="shared" ca="1" si="697"/>
        <v>excluir</v>
      </c>
      <c r="L1549" s="51" t="str">
        <f t="shared" ca="1" si="698"/>
        <v>no semana</v>
      </c>
      <c r="M1549" s="51" t="str">
        <f>IFERROR(VLOOKUP(E1549,'cheques a conf'!A:D,4,FALSE),"no clearing")</f>
        <v>no clearing</v>
      </c>
      <c r="N1549" s="51">
        <f t="shared" si="699"/>
        <v>51</v>
      </c>
      <c r="O1549" s="53">
        <f t="shared" si="700"/>
        <v>12</v>
      </c>
      <c r="P1549" s="53">
        <f t="shared" si="701"/>
        <v>2025</v>
      </c>
    </row>
    <row r="1550" spans="1:16" x14ac:dyDescent="0.25">
      <c r="A1550" s="21">
        <v>3000007379</v>
      </c>
      <c r="B1550" s="22">
        <v>46006</v>
      </c>
      <c r="C1550" s="20">
        <v>7500000</v>
      </c>
      <c r="D1550" s="21" t="s">
        <v>86</v>
      </c>
      <c r="E1550" s="21">
        <v>2022</v>
      </c>
      <c r="F1550" s="20">
        <v>7500000</v>
      </c>
      <c r="G1550" s="22">
        <v>46009</v>
      </c>
      <c r="H1550" t="s">
        <v>32</v>
      </c>
      <c r="I1550" s="51" t="str">
        <f>IFERROR(IF(VLOOKUP(E1550,extracto!C:C,1,FALSE)=E1550,"pagado","no pagado"),"no pagado")</f>
        <v>pagado</v>
      </c>
      <c r="J1550" s="52" t="str">
        <f t="shared" si="696"/>
        <v>pagado</v>
      </c>
      <c r="K1550" s="51" t="str">
        <f t="shared" ca="1" si="697"/>
        <v>excluir</v>
      </c>
      <c r="L1550" s="51" t="str">
        <f t="shared" ca="1" si="698"/>
        <v>no semana</v>
      </c>
      <c r="M1550" s="51" t="str">
        <f>IFERROR(VLOOKUP(E1550,'cheques a conf'!A:D,4,FALSE),"no clearing")</f>
        <v>no clearing</v>
      </c>
      <c r="N1550" s="51">
        <f t="shared" si="699"/>
        <v>51</v>
      </c>
      <c r="O1550" s="53">
        <f t="shared" si="700"/>
        <v>12</v>
      </c>
      <c r="P1550" s="53">
        <f t="shared" si="701"/>
        <v>2025</v>
      </c>
    </row>
    <row r="1551" spans="1:16" x14ac:dyDescent="0.25">
      <c r="A1551" s="21">
        <v>3000007379</v>
      </c>
      <c r="B1551" s="22">
        <v>46006</v>
      </c>
      <c r="C1551" s="20">
        <v>7500000</v>
      </c>
      <c r="D1551" s="21" t="s">
        <v>86</v>
      </c>
      <c r="E1551" s="21">
        <v>2023</v>
      </c>
      <c r="F1551" s="20">
        <v>7500000</v>
      </c>
      <c r="G1551" s="22">
        <v>46010</v>
      </c>
      <c r="H1551" t="s">
        <v>32</v>
      </c>
      <c r="I1551" s="51" t="str">
        <f>IFERROR(IF(VLOOKUP(E1551,extracto!C:C,1,FALSE)=E1551,"pagado","no pagado"),"no pagado")</f>
        <v>pagado</v>
      </c>
      <c r="J1551" s="52" t="str">
        <f t="shared" si="696"/>
        <v>pagado</v>
      </c>
      <c r="K1551" s="51" t="str">
        <f t="shared" ca="1" si="697"/>
        <v>excluir</v>
      </c>
      <c r="L1551" s="51" t="str">
        <f t="shared" ca="1" si="698"/>
        <v>no semana</v>
      </c>
      <c r="M1551" s="51" t="str">
        <f>IFERROR(VLOOKUP(E1551,'cheques a conf'!A:D,4,FALSE),"no clearing")</f>
        <v>no clearing</v>
      </c>
      <c r="N1551" s="51">
        <f t="shared" si="699"/>
        <v>51</v>
      </c>
      <c r="O1551" s="53">
        <f t="shared" si="700"/>
        <v>12</v>
      </c>
      <c r="P1551" s="53">
        <f t="shared" si="701"/>
        <v>2025</v>
      </c>
    </row>
    <row r="1552" spans="1:16" x14ac:dyDescent="0.25">
      <c r="A1552" s="21">
        <v>3000007379</v>
      </c>
      <c r="B1552" s="22">
        <v>46006</v>
      </c>
      <c r="C1552" s="20">
        <v>7577609.0999999996</v>
      </c>
      <c r="D1552" s="21" t="s">
        <v>86</v>
      </c>
      <c r="E1552" s="21">
        <v>2024</v>
      </c>
      <c r="F1552" s="20">
        <v>7577609.0999999996</v>
      </c>
      <c r="G1552" s="22">
        <v>46010</v>
      </c>
      <c r="H1552" t="s">
        <v>32</v>
      </c>
      <c r="I1552" s="51" t="str">
        <f>IFERROR(IF(VLOOKUP(E1552,extracto!C:C,1,FALSE)=E1552,"pagado","no pagado"),"no pagado")</f>
        <v>pagado</v>
      </c>
      <c r="J1552" s="52" t="str">
        <f t="shared" si="696"/>
        <v>pagado</v>
      </c>
      <c r="K1552" s="51" t="str">
        <f t="shared" ca="1" si="697"/>
        <v>excluir</v>
      </c>
      <c r="L1552" s="51" t="str">
        <f t="shared" ca="1" si="698"/>
        <v>no semana</v>
      </c>
      <c r="M1552" s="51" t="str">
        <f>IFERROR(VLOOKUP(E1552,'cheques a conf'!A:D,4,FALSE),"no clearing")</f>
        <v>no clearing</v>
      </c>
      <c r="N1552" s="51">
        <f t="shared" si="699"/>
        <v>51</v>
      </c>
      <c r="O1552" s="53">
        <f t="shared" si="700"/>
        <v>12</v>
      </c>
      <c r="P1552" s="53">
        <f t="shared" si="701"/>
        <v>2025</v>
      </c>
    </row>
    <row r="1553" spans="1:16" x14ac:dyDescent="0.25">
      <c r="A1553" s="21">
        <v>3000007371</v>
      </c>
      <c r="B1553" s="22">
        <v>46006</v>
      </c>
      <c r="C1553" s="20">
        <v>12329601.82</v>
      </c>
      <c r="D1553" s="21" t="s">
        <v>805</v>
      </c>
      <c r="E1553" s="21">
        <v>2013</v>
      </c>
      <c r="F1553" s="20">
        <v>12329601.82</v>
      </c>
      <c r="G1553" s="22">
        <v>46008</v>
      </c>
      <c r="H1553" t="s">
        <v>32</v>
      </c>
      <c r="I1553" s="51" t="str">
        <f>IFERROR(IF(VLOOKUP(E1553,extracto!C:C,1,FALSE)=E1553,"pagado","no pagado"),"no pagado")</f>
        <v>pagado</v>
      </c>
      <c r="J1553" s="52" t="str">
        <f t="shared" si="696"/>
        <v>pagado</v>
      </c>
      <c r="K1553" s="51" t="str">
        <f t="shared" ca="1" si="697"/>
        <v>excluir</v>
      </c>
      <c r="L1553" s="51" t="str">
        <f t="shared" ca="1" si="698"/>
        <v>no semana</v>
      </c>
      <c r="M1553" s="51" t="str">
        <f>IFERROR(VLOOKUP(E1553,'cheques a conf'!A:D,4,FALSE),"no clearing")</f>
        <v>no clearing</v>
      </c>
      <c r="N1553" s="51">
        <f t="shared" si="699"/>
        <v>51</v>
      </c>
      <c r="O1553" s="53">
        <f t="shared" si="700"/>
        <v>12</v>
      </c>
      <c r="P1553" s="53">
        <f t="shared" si="701"/>
        <v>2025</v>
      </c>
    </row>
    <row r="1554" spans="1:16" x14ac:dyDescent="0.25">
      <c r="A1554" s="21">
        <v>3000007372</v>
      </c>
      <c r="B1554" s="22">
        <v>46006</v>
      </c>
      <c r="C1554" s="20">
        <v>6461513.2000000002</v>
      </c>
      <c r="D1554" s="21" t="s">
        <v>81</v>
      </c>
      <c r="E1554" s="21">
        <v>2014</v>
      </c>
      <c r="F1554" s="20">
        <v>6461513.2000000002</v>
      </c>
      <c r="G1554" s="22">
        <v>46008</v>
      </c>
      <c r="H1554" t="s">
        <v>32</v>
      </c>
      <c r="I1554" s="51" t="str">
        <f>IFERROR(IF(VLOOKUP(E1554,extracto!C:C,1,FALSE)=E1554,"pagado","no pagado"),"no pagado")</f>
        <v>pagado</v>
      </c>
      <c r="J1554" s="52" t="str">
        <f t="shared" si="696"/>
        <v>pagado</v>
      </c>
      <c r="K1554" s="51" t="str">
        <f t="shared" ca="1" si="697"/>
        <v>excluir</v>
      </c>
      <c r="L1554" s="51" t="str">
        <f t="shared" ca="1" si="698"/>
        <v>no semana</v>
      </c>
      <c r="M1554" s="51" t="str">
        <f>IFERROR(VLOOKUP(E1554,'cheques a conf'!A:D,4,FALSE),"no clearing")</f>
        <v>no clearing</v>
      </c>
      <c r="N1554" s="51">
        <f t="shared" si="699"/>
        <v>51</v>
      </c>
      <c r="O1554" s="53">
        <f t="shared" si="700"/>
        <v>12</v>
      </c>
      <c r="P1554" s="53">
        <f t="shared" si="701"/>
        <v>2025</v>
      </c>
    </row>
    <row r="1555" spans="1:16" x14ac:dyDescent="0.25">
      <c r="A1555" s="21">
        <v>3000007373</v>
      </c>
      <c r="B1555" s="22">
        <v>46006</v>
      </c>
      <c r="C1555" s="20">
        <v>49284747.119999997</v>
      </c>
      <c r="D1555" s="21" t="s">
        <v>629</v>
      </c>
      <c r="E1555" s="21">
        <v>2015</v>
      </c>
      <c r="F1555" s="20">
        <v>49284747.119999997</v>
      </c>
      <c r="G1555" s="22">
        <v>46008</v>
      </c>
      <c r="H1555" t="s">
        <v>32</v>
      </c>
      <c r="I1555" s="51" t="str">
        <f>IFERROR(IF(VLOOKUP(E1555,extracto!C:C,1,FALSE)=E1555,"pagado","no pagado"),"no pagado")</f>
        <v>pagado</v>
      </c>
      <c r="J1555" s="52" t="str">
        <f t="shared" si="696"/>
        <v>pagado</v>
      </c>
      <c r="K1555" s="51" t="str">
        <f t="shared" ca="1" si="697"/>
        <v>excluir</v>
      </c>
      <c r="L1555" s="51" t="str">
        <f t="shared" ca="1" si="698"/>
        <v>no semana</v>
      </c>
      <c r="M1555" s="51" t="str">
        <f>IFERROR(VLOOKUP(E1555,'cheques a conf'!A:D,4,FALSE),"no clearing")</f>
        <v>no clearing</v>
      </c>
      <c r="N1555" s="51">
        <f t="shared" si="699"/>
        <v>51</v>
      </c>
      <c r="O1555" s="53">
        <f t="shared" si="700"/>
        <v>12</v>
      </c>
      <c r="P1555" s="53">
        <f t="shared" si="701"/>
        <v>2025</v>
      </c>
    </row>
    <row r="1556" spans="1:16" x14ac:dyDescent="0.25">
      <c r="A1556" s="21">
        <v>3000007374</v>
      </c>
      <c r="B1556" s="22">
        <v>46006</v>
      </c>
      <c r="C1556" s="20">
        <v>5067370</v>
      </c>
      <c r="D1556" s="21" t="s">
        <v>814</v>
      </c>
      <c r="E1556" s="21">
        <v>2016</v>
      </c>
      <c r="F1556" s="20">
        <v>5067370</v>
      </c>
      <c r="G1556" s="22">
        <v>46008</v>
      </c>
      <c r="H1556" t="s">
        <v>32</v>
      </c>
      <c r="I1556" s="51" t="str">
        <f>IFERROR(IF(VLOOKUP(E1556,extracto!C:C,1,FALSE)=E1556,"pagado","no pagado"),"no pagado")</f>
        <v>pagado</v>
      </c>
      <c r="J1556" s="52" t="str">
        <f t="shared" si="696"/>
        <v>pagado</v>
      </c>
      <c r="K1556" s="51" t="str">
        <f t="shared" ca="1" si="697"/>
        <v>excluir</v>
      </c>
      <c r="L1556" s="51" t="str">
        <f t="shared" ca="1" si="698"/>
        <v>no semana</v>
      </c>
      <c r="M1556" s="51" t="str">
        <f>IFERROR(VLOOKUP(E1556,'cheques a conf'!A:D,4,FALSE),"no clearing")</f>
        <v>no clearing</v>
      </c>
      <c r="N1556" s="51">
        <f t="shared" si="699"/>
        <v>51</v>
      </c>
      <c r="O1556" s="53">
        <f t="shared" si="700"/>
        <v>12</v>
      </c>
      <c r="P1556" s="53">
        <f t="shared" si="701"/>
        <v>2025</v>
      </c>
    </row>
    <row r="1557" spans="1:16" x14ac:dyDescent="0.25">
      <c r="A1557" s="21">
        <v>3000007375</v>
      </c>
      <c r="B1557" s="22">
        <v>46006</v>
      </c>
      <c r="C1557" s="20">
        <v>17057605</v>
      </c>
      <c r="D1557" s="21" t="s">
        <v>75</v>
      </c>
      <c r="E1557" s="21">
        <v>2017</v>
      </c>
      <c r="F1557" s="20">
        <v>17057605</v>
      </c>
      <c r="G1557" s="22">
        <v>46026</v>
      </c>
      <c r="H1557" t="s">
        <v>32</v>
      </c>
      <c r="I1557" s="51" t="str">
        <f>IFERROR(IF(VLOOKUP(E1557,extracto!C:C,1,FALSE)=E1557,"pagado","no pagado"),"no pagado")</f>
        <v>pagado</v>
      </c>
      <c r="J1557" s="52" t="str">
        <f t="shared" si="696"/>
        <v>pagado</v>
      </c>
      <c r="K1557" s="51" t="str">
        <f t="shared" ca="1" si="697"/>
        <v>excluir</v>
      </c>
      <c r="L1557" s="51" t="str">
        <f t="shared" ca="1" si="698"/>
        <v>no semana</v>
      </c>
      <c r="M1557" s="51" t="str">
        <f>IFERROR(VLOOKUP(E1557,'cheques a conf'!A:D,4,FALSE),"no clearing")</f>
        <v>no clearing</v>
      </c>
      <c r="N1557" s="51">
        <f t="shared" si="699"/>
        <v>1</v>
      </c>
      <c r="O1557" s="53">
        <f t="shared" si="700"/>
        <v>1</v>
      </c>
      <c r="P1557" s="53">
        <f t="shared" si="701"/>
        <v>2026</v>
      </c>
    </row>
    <row r="1558" spans="1:16" x14ac:dyDescent="0.25">
      <c r="A1558" s="21">
        <v>3000007376</v>
      </c>
      <c r="B1558" s="22">
        <v>46006</v>
      </c>
      <c r="C1558" s="20">
        <v>14830193.33</v>
      </c>
      <c r="D1558" s="21" t="s">
        <v>815</v>
      </c>
      <c r="E1558" s="21">
        <v>2018</v>
      </c>
      <c r="F1558" s="20">
        <v>14830193.33</v>
      </c>
      <c r="G1558" s="22">
        <v>46008</v>
      </c>
      <c r="H1558" t="s">
        <v>32</v>
      </c>
      <c r="I1558" s="51" t="str">
        <f>IFERROR(IF(VLOOKUP(E1558,extracto!C:C,1,FALSE)=E1558,"pagado","no pagado"),"no pagado")</f>
        <v>pagado</v>
      </c>
      <c r="J1558" s="52" t="str">
        <f t="shared" si="696"/>
        <v>pagado</v>
      </c>
      <c r="K1558" s="51" t="str">
        <f t="shared" ca="1" si="697"/>
        <v>excluir</v>
      </c>
      <c r="L1558" s="51" t="str">
        <f t="shared" ca="1" si="698"/>
        <v>no semana</v>
      </c>
      <c r="M1558" s="51" t="str">
        <f>IFERROR(VLOOKUP(E1558,'cheques a conf'!A:D,4,FALSE),"no clearing")</f>
        <v>no clearing</v>
      </c>
      <c r="N1558" s="51">
        <f t="shared" si="699"/>
        <v>51</v>
      </c>
      <c r="O1558" s="53">
        <f t="shared" si="700"/>
        <v>12</v>
      </c>
      <c r="P1558" s="53">
        <f t="shared" si="701"/>
        <v>2025</v>
      </c>
    </row>
    <row r="1559" spans="1:16" x14ac:dyDescent="0.25">
      <c r="A1559" s="21">
        <v>3000007377</v>
      </c>
      <c r="B1559" s="22">
        <v>46006</v>
      </c>
      <c r="C1559" s="20">
        <v>5019561.09</v>
      </c>
      <c r="D1559" s="21" t="s">
        <v>816</v>
      </c>
      <c r="E1559" s="21">
        <v>2019</v>
      </c>
      <c r="F1559" s="20">
        <v>5019561.09</v>
      </c>
      <c r="G1559" s="22">
        <v>46008</v>
      </c>
      <c r="H1559" t="s">
        <v>32</v>
      </c>
      <c r="I1559" s="51" t="str">
        <f>IFERROR(IF(VLOOKUP(E1559,extracto!C:C,1,FALSE)=E1559,"pagado","no pagado"),"no pagado")</f>
        <v>pagado</v>
      </c>
      <c r="J1559" s="52" t="str">
        <f t="shared" si="696"/>
        <v>pagado</v>
      </c>
      <c r="K1559" s="51" t="str">
        <f t="shared" ca="1" si="697"/>
        <v>excluir</v>
      </c>
      <c r="L1559" s="51" t="str">
        <f t="shared" ca="1" si="698"/>
        <v>no semana</v>
      </c>
      <c r="M1559" s="51" t="str">
        <f>IFERROR(VLOOKUP(E1559,'cheques a conf'!A:D,4,FALSE),"no clearing")</f>
        <v>no clearing</v>
      </c>
      <c r="N1559" s="51">
        <f t="shared" si="699"/>
        <v>51</v>
      </c>
      <c r="O1559" s="53">
        <f t="shared" si="700"/>
        <v>12</v>
      </c>
      <c r="P1559" s="53">
        <f t="shared" si="701"/>
        <v>2025</v>
      </c>
    </row>
    <row r="1560" spans="1:16" x14ac:dyDescent="0.25">
      <c r="A1560" s="21">
        <v>3000007378</v>
      </c>
      <c r="B1560" s="22">
        <v>46006</v>
      </c>
      <c r="C1560" s="20">
        <v>9863700</v>
      </c>
      <c r="D1560" s="21" t="s">
        <v>658</v>
      </c>
      <c r="E1560" s="21">
        <v>2020</v>
      </c>
      <c r="F1560" s="20">
        <v>9863700</v>
      </c>
      <c r="G1560" s="22">
        <v>46009</v>
      </c>
      <c r="H1560" t="s">
        <v>32</v>
      </c>
      <c r="I1560" s="51" t="str">
        <f>IFERROR(IF(VLOOKUP(E1560,extracto!C:C,1,FALSE)=E1560,"pagado","no pagado"),"no pagado")</f>
        <v>pagado</v>
      </c>
      <c r="J1560" s="52" t="str">
        <f t="shared" si="696"/>
        <v>pagado</v>
      </c>
      <c r="K1560" s="51" t="str">
        <f t="shared" ca="1" si="697"/>
        <v>excluir</v>
      </c>
      <c r="L1560" s="51" t="str">
        <f t="shared" ca="1" si="698"/>
        <v>no semana</v>
      </c>
      <c r="M1560" s="51" t="str">
        <f>IFERROR(VLOOKUP(E1560,'cheques a conf'!A:D,4,FALSE),"no clearing")</f>
        <v>no clearing</v>
      </c>
      <c r="N1560" s="51">
        <f t="shared" si="699"/>
        <v>51</v>
      </c>
      <c r="O1560" s="53">
        <f t="shared" si="700"/>
        <v>12</v>
      </c>
      <c r="P1560" s="53">
        <f t="shared" si="701"/>
        <v>2025</v>
      </c>
    </row>
    <row r="1561" spans="1:16" x14ac:dyDescent="0.25">
      <c r="A1561" s="21">
        <v>3000007380</v>
      </c>
      <c r="B1561" s="22">
        <v>46006</v>
      </c>
      <c r="C1561" s="20">
        <v>15773880.84</v>
      </c>
      <c r="D1561" s="21" t="s">
        <v>817</v>
      </c>
      <c r="E1561" s="21">
        <v>2025</v>
      </c>
      <c r="F1561" s="20">
        <v>15773880.84</v>
      </c>
      <c r="G1561" s="22">
        <v>46009</v>
      </c>
      <c r="H1561" t="s">
        <v>32</v>
      </c>
      <c r="I1561" s="51" t="str">
        <f>IFERROR(IF(VLOOKUP(E1561,extracto!C:C,1,FALSE)=E1561,"pagado","no pagado"),"no pagado")</f>
        <v>pagado</v>
      </c>
      <c r="J1561" s="52" t="str">
        <f t="shared" si="696"/>
        <v>pagado</v>
      </c>
      <c r="K1561" s="51" t="str">
        <f t="shared" ca="1" si="697"/>
        <v>excluir</v>
      </c>
      <c r="L1561" s="51" t="str">
        <f t="shared" ca="1" si="698"/>
        <v>no semana</v>
      </c>
      <c r="M1561" s="51" t="str">
        <f>IFERROR(VLOOKUP(E1561,'cheques a conf'!A:D,4,FALSE),"no clearing")</f>
        <v>no clearing</v>
      </c>
      <c r="N1561" s="51">
        <f t="shared" si="699"/>
        <v>51</v>
      </c>
      <c r="O1561" s="53">
        <f t="shared" si="700"/>
        <v>12</v>
      </c>
      <c r="P1561" s="53">
        <f t="shared" si="701"/>
        <v>2025</v>
      </c>
    </row>
    <row r="1562" spans="1:16" x14ac:dyDescent="0.25">
      <c r="A1562" s="21">
        <v>3000007381</v>
      </c>
      <c r="B1562" s="22">
        <v>46006</v>
      </c>
      <c r="C1562" s="20">
        <v>15238103.4</v>
      </c>
      <c r="D1562" s="21" t="s">
        <v>818</v>
      </c>
      <c r="E1562" s="21">
        <v>2026</v>
      </c>
      <c r="F1562" s="20">
        <v>15238103.4</v>
      </c>
      <c r="G1562" s="22">
        <v>46010</v>
      </c>
      <c r="H1562" t="s">
        <v>32</v>
      </c>
      <c r="I1562" s="51" t="str">
        <f>IFERROR(IF(VLOOKUP(E1562,extracto!C:C,1,FALSE)=E1562,"pagado","no pagado"),"no pagado")</f>
        <v>pagado</v>
      </c>
      <c r="J1562" s="52" t="str">
        <f t="shared" si="696"/>
        <v>pagado</v>
      </c>
      <c r="K1562" s="51" t="str">
        <f t="shared" ca="1" si="697"/>
        <v>excluir</v>
      </c>
      <c r="L1562" s="51" t="str">
        <f t="shared" ca="1" si="698"/>
        <v>no semana</v>
      </c>
      <c r="M1562" s="51" t="str">
        <f>IFERROR(VLOOKUP(E1562,'cheques a conf'!A:D,4,FALSE),"no clearing")</f>
        <v>no clearing</v>
      </c>
      <c r="N1562" s="51">
        <f t="shared" si="699"/>
        <v>51</v>
      </c>
      <c r="O1562" s="53">
        <f t="shared" si="700"/>
        <v>12</v>
      </c>
      <c r="P1562" s="53">
        <f t="shared" si="701"/>
        <v>2025</v>
      </c>
    </row>
    <row r="1563" spans="1:16" x14ac:dyDescent="0.25">
      <c r="A1563" s="21">
        <v>3000007382</v>
      </c>
      <c r="B1563" s="22">
        <v>46006</v>
      </c>
      <c r="C1563" s="20">
        <v>2837393.4</v>
      </c>
      <c r="D1563" s="21" t="s">
        <v>647</v>
      </c>
      <c r="E1563" s="21">
        <v>2027</v>
      </c>
      <c r="F1563" s="20">
        <v>2837393.4</v>
      </c>
      <c r="G1563" s="22">
        <v>46010</v>
      </c>
      <c r="H1563" t="s">
        <v>32</v>
      </c>
      <c r="I1563" s="51" t="str">
        <f>IFERROR(IF(VLOOKUP(E1563,extracto!C:C,1,FALSE)=E1563,"pagado","no pagado"),"no pagado")</f>
        <v>pagado</v>
      </c>
      <c r="J1563" s="52" t="str">
        <f t="shared" si="696"/>
        <v>pagado</v>
      </c>
      <c r="K1563" s="51" t="str">
        <f t="shared" ca="1" si="697"/>
        <v>excluir</v>
      </c>
      <c r="L1563" s="51" t="str">
        <f t="shared" ca="1" si="698"/>
        <v>no semana</v>
      </c>
      <c r="M1563" s="51" t="str">
        <f>IFERROR(VLOOKUP(E1563,'cheques a conf'!A:D,4,FALSE),"no clearing")</f>
        <v>no clearing</v>
      </c>
      <c r="N1563" s="51">
        <f t="shared" si="699"/>
        <v>51</v>
      </c>
      <c r="O1563" s="53">
        <f t="shared" si="700"/>
        <v>12</v>
      </c>
      <c r="P1563" s="53">
        <f t="shared" si="701"/>
        <v>2025</v>
      </c>
    </row>
    <row r="1564" spans="1:16" x14ac:dyDescent="0.25">
      <c r="A1564" s="21">
        <v>3000007383</v>
      </c>
      <c r="B1564" s="22">
        <v>46006</v>
      </c>
      <c r="C1564" s="20">
        <v>6003987.5</v>
      </c>
      <c r="D1564" s="21" t="s">
        <v>628</v>
      </c>
      <c r="E1564" s="21">
        <v>2028</v>
      </c>
      <c r="F1564" s="20">
        <v>6003987.5</v>
      </c>
      <c r="G1564" s="22">
        <v>46010</v>
      </c>
      <c r="H1564" t="s">
        <v>32</v>
      </c>
      <c r="I1564" s="51" t="str">
        <f>IFERROR(IF(VLOOKUP(E1564,extracto!C:C,1,FALSE)=E1564,"pagado","no pagado"),"no pagado")</f>
        <v>pagado</v>
      </c>
      <c r="J1564" s="52" t="str">
        <f t="shared" si="696"/>
        <v>pagado</v>
      </c>
      <c r="K1564" s="51" t="str">
        <f t="shared" ca="1" si="697"/>
        <v>excluir</v>
      </c>
      <c r="L1564" s="51" t="str">
        <f t="shared" ca="1" si="698"/>
        <v>no semana</v>
      </c>
      <c r="M1564" s="51" t="str">
        <f>IFERROR(VLOOKUP(E1564,'cheques a conf'!A:D,4,FALSE),"no clearing")</f>
        <v>no clearing</v>
      </c>
      <c r="N1564" s="51">
        <f t="shared" si="699"/>
        <v>51</v>
      </c>
      <c r="O1564" s="53">
        <f t="shared" si="700"/>
        <v>12</v>
      </c>
      <c r="P1564" s="53">
        <f t="shared" si="701"/>
        <v>2025</v>
      </c>
    </row>
    <row r="1565" spans="1:16" x14ac:dyDescent="0.25">
      <c r="A1565" s="21">
        <v>3000007384</v>
      </c>
      <c r="B1565" s="22">
        <v>46006</v>
      </c>
      <c r="C1565" s="20">
        <v>5235682.05</v>
      </c>
      <c r="D1565" s="21" t="s">
        <v>66</v>
      </c>
      <c r="E1565" s="21">
        <v>2029</v>
      </c>
      <c r="F1565" s="20">
        <v>5235682.05</v>
      </c>
      <c r="G1565" s="22">
        <v>46010</v>
      </c>
      <c r="H1565" t="s">
        <v>32</v>
      </c>
      <c r="I1565" s="51" t="str">
        <f>IFERROR(IF(VLOOKUP(E1565,extracto!C:C,1,FALSE)=E1565,"pagado","no pagado"),"no pagado")</f>
        <v>pagado</v>
      </c>
      <c r="J1565" s="52" t="str">
        <f t="shared" ref="J1565:J1576" si="702">IF(I1565="pagado","pagado",IF(G1565&lt;$V$1-30,"fuera de fecha","en periodo de pago"))</f>
        <v>pagado</v>
      </c>
      <c r="K1565" s="51" t="str">
        <f t="shared" ref="K1565:K1576" ca="1" si="703">+IF(B1565&gt;$V$1,"excluir",IF(J1565="en periodo de pago",IF($V$1&gt;G1565,"a pagar","proximo a vencer"),"excluir"))</f>
        <v>excluir</v>
      </c>
      <c r="L1565" s="51" t="str">
        <f t="shared" ref="L1565:L1576" ca="1" si="704">+IF(K1565="proximo a vencer",IF($V$1+5&gt;G1565,"para la semana","no semana"),"no semana")</f>
        <v>no semana</v>
      </c>
      <c r="M1565" s="51" t="str">
        <f>IFERROR(VLOOKUP(E1565,'cheques a conf'!A:D,4,FALSE),"no clearing")</f>
        <v>no clearing</v>
      </c>
      <c r="N1565" s="51">
        <f t="shared" ref="N1565:N1576" si="705">+WEEKNUM(G1565,2)</f>
        <v>51</v>
      </c>
      <c r="O1565" s="53">
        <f t="shared" ref="O1565:O1576" si="706">+MONTH(G1565)</f>
        <v>12</v>
      </c>
      <c r="P1565" s="53">
        <f t="shared" ref="P1565:P1576" si="707">+YEAR(G1565)</f>
        <v>2025</v>
      </c>
    </row>
    <row r="1566" spans="1:16" x14ac:dyDescent="0.25">
      <c r="A1566" s="21">
        <v>3000006205</v>
      </c>
      <c r="B1566" s="22">
        <v>46006</v>
      </c>
      <c r="C1566" s="20">
        <v>1361061.93</v>
      </c>
      <c r="D1566" s="21" t="s">
        <v>704</v>
      </c>
      <c r="E1566" s="21">
        <v>2030</v>
      </c>
      <c r="F1566" s="20">
        <v>1361061.93</v>
      </c>
      <c r="G1566" s="22">
        <v>46008</v>
      </c>
      <c r="H1566" t="s">
        <v>32</v>
      </c>
      <c r="I1566" s="51" t="str">
        <f>IFERROR(IF(VLOOKUP(E1566,extracto!C:C,1,FALSE)=E1566,"pagado","no pagado"),"no pagado")</f>
        <v>pagado</v>
      </c>
      <c r="J1566" s="52" t="str">
        <f t="shared" si="702"/>
        <v>pagado</v>
      </c>
      <c r="K1566" s="51" t="str">
        <f t="shared" ca="1" si="703"/>
        <v>excluir</v>
      </c>
      <c r="L1566" s="51" t="str">
        <f t="shared" ca="1" si="704"/>
        <v>no semana</v>
      </c>
      <c r="M1566" s="51" t="str">
        <f>IFERROR(VLOOKUP(E1566,'cheques a conf'!A:D,4,FALSE),"no clearing")</f>
        <v>no clearing</v>
      </c>
      <c r="N1566" s="51">
        <f t="shared" si="705"/>
        <v>51</v>
      </c>
      <c r="O1566" s="53">
        <f t="shared" si="706"/>
        <v>12</v>
      </c>
      <c r="P1566" s="53">
        <f t="shared" si="707"/>
        <v>2025</v>
      </c>
    </row>
    <row r="1567" spans="1:16" x14ac:dyDescent="0.25">
      <c r="A1567" s="21">
        <v>3000007369</v>
      </c>
      <c r="B1567" s="22">
        <v>46006</v>
      </c>
      <c r="C1567" s="20">
        <v>687000</v>
      </c>
      <c r="D1567" s="21" t="s">
        <v>88</v>
      </c>
      <c r="E1567" s="21">
        <v>40273016</v>
      </c>
      <c r="F1567" s="20">
        <v>687000</v>
      </c>
      <c r="G1567" s="22">
        <v>46007</v>
      </c>
      <c r="H1567" t="s">
        <v>79</v>
      </c>
      <c r="I1567" s="51" t="str">
        <f>IFERROR(IF(VLOOKUP(E1567,extracto!C:C,1,FALSE)=E1567,"pagado","no pagado"),"no pagado")</f>
        <v>pagado</v>
      </c>
      <c r="J1567" s="52" t="str">
        <f t="shared" si="702"/>
        <v>pagado</v>
      </c>
      <c r="K1567" s="51" t="str">
        <f t="shared" ca="1" si="703"/>
        <v>excluir</v>
      </c>
      <c r="L1567" s="51" t="str">
        <f t="shared" ca="1" si="704"/>
        <v>no semana</v>
      </c>
      <c r="M1567" s="51" t="str">
        <f>IFERROR(VLOOKUP(E1567,'cheques a conf'!A:D,4,FALSE),"no clearing")</f>
        <v>no clearing</v>
      </c>
      <c r="N1567" s="51">
        <f t="shared" si="705"/>
        <v>51</v>
      </c>
      <c r="O1567" s="53">
        <f t="shared" si="706"/>
        <v>12</v>
      </c>
      <c r="P1567" s="53">
        <f t="shared" si="707"/>
        <v>2025</v>
      </c>
    </row>
    <row r="1568" spans="1:16" x14ac:dyDescent="0.25">
      <c r="A1568" s="21">
        <v>3000007370</v>
      </c>
      <c r="B1568" s="22">
        <v>46006</v>
      </c>
      <c r="C1568" s="20">
        <v>2831611.26</v>
      </c>
      <c r="D1568" s="21" t="s">
        <v>611</v>
      </c>
      <c r="E1568" s="21">
        <v>40273017</v>
      </c>
      <c r="F1568" s="20">
        <v>2831611.26</v>
      </c>
      <c r="G1568" s="22">
        <v>46007</v>
      </c>
      <c r="H1568" t="s">
        <v>79</v>
      </c>
      <c r="I1568" s="51" t="str">
        <f>IFERROR(IF(VLOOKUP(E1568,extracto!C:C,1,FALSE)=E1568,"pagado","no pagado"),"no pagado")</f>
        <v>pagado</v>
      </c>
      <c r="J1568" s="52" t="str">
        <f t="shared" si="702"/>
        <v>pagado</v>
      </c>
      <c r="K1568" s="51" t="str">
        <f t="shared" ca="1" si="703"/>
        <v>excluir</v>
      </c>
      <c r="L1568" s="51" t="str">
        <f t="shared" ca="1" si="704"/>
        <v>no semana</v>
      </c>
      <c r="M1568" s="51" t="str">
        <f>IFERROR(VLOOKUP(E1568,'cheques a conf'!A:D,4,FALSE),"no clearing")</f>
        <v>no clearing</v>
      </c>
      <c r="N1568" s="51">
        <f t="shared" si="705"/>
        <v>51</v>
      </c>
      <c r="O1568" s="53">
        <f t="shared" si="706"/>
        <v>12</v>
      </c>
      <c r="P1568" s="53">
        <f t="shared" si="707"/>
        <v>2025</v>
      </c>
    </row>
    <row r="1569" spans="1:16" x14ac:dyDescent="0.25">
      <c r="A1569" s="21">
        <v>3000007441</v>
      </c>
      <c r="B1569" s="22">
        <v>46008</v>
      </c>
      <c r="C1569" s="20">
        <v>8290612.7999999998</v>
      </c>
      <c r="D1569" s="21" t="s">
        <v>593</v>
      </c>
      <c r="E1569" s="21">
        <v>91002753</v>
      </c>
      <c r="F1569" s="20">
        <v>8290612.7999999998</v>
      </c>
      <c r="G1569" s="22">
        <v>46013</v>
      </c>
      <c r="H1569" t="s">
        <v>79</v>
      </c>
      <c r="I1569" s="51" t="str">
        <f>IFERROR(IF(VLOOKUP(E1569,extracto!C:C,1,FALSE)=E1569,"pagado","no pagado"),"no pagado")</f>
        <v>pagado</v>
      </c>
      <c r="J1569" s="52" t="str">
        <f t="shared" si="702"/>
        <v>pagado</v>
      </c>
      <c r="K1569" s="51" t="str">
        <f t="shared" ca="1" si="703"/>
        <v>excluir</v>
      </c>
      <c r="L1569" s="51" t="str">
        <f t="shared" ca="1" si="704"/>
        <v>no semana</v>
      </c>
      <c r="M1569" s="51" t="str">
        <f>IFERROR(VLOOKUP(E1569,'cheques a conf'!A:D,4,FALSE),"no clearing")</f>
        <v>no clearing</v>
      </c>
      <c r="N1569" s="51">
        <f t="shared" si="705"/>
        <v>52</v>
      </c>
      <c r="O1569" s="53">
        <f t="shared" si="706"/>
        <v>12</v>
      </c>
      <c r="P1569" s="53">
        <f t="shared" si="707"/>
        <v>2025</v>
      </c>
    </row>
    <row r="1570" spans="1:16" x14ac:dyDescent="0.25">
      <c r="A1570" s="21">
        <v>3000007442</v>
      </c>
      <c r="B1570" s="22">
        <v>46008</v>
      </c>
      <c r="C1570" s="20">
        <v>4233015.58</v>
      </c>
      <c r="D1570" s="21" t="s">
        <v>623</v>
      </c>
      <c r="E1570" s="21">
        <v>91002754</v>
      </c>
      <c r="F1570" s="20">
        <v>4233015.58</v>
      </c>
      <c r="G1570" s="22">
        <v>46013</v>
      </c>
      <c r="H1570" t="s">
        <v>79</v>
      </c>
      <c r="I1570" s="51" t="str">
        <f>IFERROR(IF(VLOOKUP(E1570,extracto!C:C,1,FALSE)=E1570,"pagado","no pagado"),"no pagado")</f>
        <v>pagado</v>
      </c>
      <c r="J1570" s="52" t="str">
        <f t="shared" si="702"/>
        <v>pagado</v>
      </c>
      <c r="K1570" s="51" t="str">
        <f t="shared" ca="1" si="703"/>
        <v>excluir</v>
      </c>
      <c r="L1570" s="51" t="str">
        <f t="shared" ca="1" si="704"/>
        <v>no semana</v>
      </c>
      <c r="M1570" s="51" t="str">
        <f>IFERROR(VLOOKUP(E1570,'cheques a conf'!A:D,4,FALSE),"no clearing")</f>
        <v>no clearing</v>
      </c>
      <c r="N1570" s="51">
        <f t="shared" si="705"/>
        <v>52</v>
      </c>
      <c r="O1570" s="53">
        <f t="shared" si="706"/>
        <v>12</v>
      </c>
      <c r="P1570" s="53">
        <f t="shared" si="707"/>
        <v>2025</v>
      </c>
    </row>
    <row r="1571" spans="1:16" x14ac:dyDescent="0.25">
      <c r="A1571" s="21">
        <v>3000007443</v>
      </c>
      <c r="B1571" s="22">
        <v>46008</v>
      </c>
      <c r="C1571" s="20">
        <v>7439002.6200000001</v>
      </c>
      <c r="D1571" s="21" t="s">
        <v>618</v>
      </c>
      <c r="E1571" s="21">
        <v>91002755</v>
      </c>
      <c r="F1571" s="20">
        <v>7439002.6200000001</v>
      </c>
      <c r="G1571" s="22">
        <v>46013</v>
      </c>
      <c r="H1571" t="s">
        <v>79</v>
      </c>
      <c r="I1571" s="51" t="str">
        <f>IFERROR(IF(VLOOKUP(E1571,extracto!C:C,1,FALSE)=E1571,"pagado","no pagado"),"no pagado")</f>
        <v>pagado</v>
      </c>
      <c r="J1571" s="52" t="str">
        <f t="shared" si="702"/>
        <v>pagado</v>
      </c>
      <c r="K1571" s="51" t="str">
        <f t="shared" ca="1" si="703"/>
        <v>excluir</v>
      </c>
      <c r="L1571" s="51" t="str">
        <f t="shared" ca="1" si="704"/>
        <v>no semana</v>
      </c>
      <c r="M1571" s="51" t="str">
        <f>IFERROR(VLOOKUP(E1571,'cheques a conf'!A:D,4,FALSE),"no clearing")</f>
        <v>no clearing</v>
      </c>
      <c r="N1571" s="51">
        <f t="shared" si="705"/>
        <v>52</v>
      </c>
      <c r="O1571" s="53">
        <f t="shared" si="706"/>
        <v>12</v>
      </c>
      <c r="P1571" s="53">
        <f t="shared" si="707"/>
        <v>2025</v>
      </c>
    </row>
    <row r="1572" spans="1:16" x14ac:dyDescent="0.25">
      <c r="A1572" s="21">
        <v>3000007444</v>
      </c>
      <c r="B1572" s="22">
        <v>46008</v>
      </c>
      <c r="C1572" s="20">
        <v>12806757.050000001</v>
      </c>
      <c r="D1572" s="21" t="s">
        <v>613</v>
      </c>
      <c r="E1572" s="21">
        <v>91002756</v>
      </c>
      <c r="F1572" s="20">
        <v>12806757.050000001</v>
      </c>
      <c r="G1572" s="22">
        <v>46013</v>
      </c>
      <c r="H1572" t="s">
        <v>79</v>
      </c>
      <c r="I1572" s="51" t="str">
        <f>IFERROR(IF(VLOOKUP(E1572,extracto!C:C,1,FALSE)=E1572,"pagado","no pagado"),"no pagado")</f>
        <v>pagado</v>
      </c>
      <c r="J1572" s="52" t="str">
        <f t="shared" si="702"/>
        <v>pagado</v>
      </c>
      <c r="K1572" s="51" t="str">
        <f t="shared" ca="1" si="703"/>
        <v>excluir</v>
      </c>
      <c r="L1572" s="51" t="str">
        <f t="shared" ca="1" si="704"/>
        <v>no semana</v>
      </c>
      <c r="M1572" s="51" t="str">
        <f>IFERROR(VLOOKUP(E1572,'cheques a conf'!A:D,4,FALSE),"no clearing")</f>
        <v>no clearing</v>
      </c>
      <c r="N1572" s="51">
        <f t="shared" si="705"/>
        <v>52</v>
      </c>
      <c r="O1572" s="53">
        <f t="shared" si="706"/>
        <v>12</v>
      </c>
      <c r="P1572" s="53">
        <f t="shared" si="707"/>
        <v>2025</v>
      </c>
    </row>
    <row r="1573" spans="1:16" x14ac:dyDescent="0.25">
      <c r="A1573" s="21">
        <v>3000007445</v>
      </c>
      <c r="B1573" s="22">
        <v>46008</v>
      </c>
      <c r="C1573" s="20">
        <v>4233015.58</v>
      </c>
      <c r="D1573" s="21" t="s">
        <v>616</v>
      </c>
      <c r="E1573" s="21">
        <v>91002757</v>
      </c>
      <c r="F1573" s="20">
        <v>4233015.58</v>
      </c>
      <c r="G1573" s="22">
        <v>46013</v>
      </c>
      <c r="H1573" t="s">
        <v>79</v>
      </c>
      <c r="I1573" s="51" t="str">
        <f>IFERROR(IF(VLOOKUP(E1573,extracto!C:C,1,FALSE)=E1573,"pagado","no pagado"),"no pagado")</f>
        <v>pagado</v>
      </c>
      <c r="J1573" s="52" t="str">
        <f t="shared" si="702"/>
        <v>pagado</v>
      </c>
      <c r="K1573" s="51" t="str">
        <f t="shared" ca="1" si="703"/>
        <v>excluir</v>
      </c>
      <c r="L1573" s="51" t="str">
        <f t="shared" ca="1" si="704"/>
        <v>no semana</v>
      </c>
      <c r="M1573" s="51" t="str">
        <f>IFERROR(VLOOKUP(E1573,'cheques a conf'!A:D,4,FALSE),"no clearing")</f>
        <v>no clearing</v>
      </c>
      <c r="N1573" s="51">
        <f t="shared" si="705"/>
        <v>52</v>
      </c>
      <c r="O1573" s="53">
        <f t="shared" si="706"/>
        <v>12</v>
      </c>
      <c r="P1573" s="53">
        <f t="shared" si="707"/>
        <v>2025</v>
      </c>
    </row>
    <row r="1574" spans="1:16" x14ac:dyDescent="0.25">
      <c r="A1574" s="21">
        <v>3000007446</v>
      </c>
      <c r="B1574" s="22">
        <v>46008</v>
      </c>
      <c r="C1574" s="20">
        <v>19412454.25</v>
      </c>
      <c r="D1574" s="21" t="s">
        <v>68</v>
      </c>
      <c r="E1574" s="21">
        <v>91002758</v>
      </c>
      <c r="F1574" s="20">
        <v>19412454.25</v>
      </c>
      <c r="G1574" s="22">
        <v>46013</v>
      </c>
      <c r="H1574" t="s">
        <v>79</v>
      </c>
      <c r="I1574" s="51" t="str">
        <f>IFERROR(IF(VLOOKUP(E1574,extracto!C:C,1,FALSE)=E1574,"pagado","no pagado"),"no pagado")</f>
        <v>pagado</v>
      </c>
      <c r="J1574" s="52" t="str">
        <f t="shared" si="702"/>
        <v>pagado</v>
      </c>
      <c r="K1574" s="51" t="str">
        <f t="shared" ca="1" si="703"/>
        <v>excluir</v>
      </c>
      <c r="L1574" s="51" t="str">
        <f t="shared" ca="1" si="704"/>
        <v>no semana</v>
      </c>
      <c r="M1574" s="51" t="str">
        <f>IFERROR(VLOOKUP(E1574,'cheques a conf'!A:D,4,FALSE),"no clearing")</f>
        <v>no clearing</v>
      </c>
      <c r="N1574" s="51">
        <f t="shared" si="705"/>
        <v>52</v>
      </c>
      <c r="O1574" s="53">
        <f t="shared" si="706"/>
        <v>12</v>
      </c>
      <c r="P1574" s="53">
        <f t="shared" si="707"/>
        <v>2025</v>
      </c>
    </row>
    <row r="1575" spans="1:16" x14ac:dyDescent="0.25">
      <c r="A1575" s="21">
        <v>3000007507</v>
      </c>
      <c r="B1575" s="22">
        <v>46013</v>
      </c>
      <c r="C1575" s="20">
        <v>14815554.529999999</v>
      </c>
      <c r="D1575" s="21" t="s">
        <v>619</v>
      </c>
      <c r="E1575" s="21">
        <v>91002759</v>
      </c>
      <c r="F1575" s="20">
        <v>14815554.529999999</v>
      </c>
      <c r="G1575" s="22">
        <v>46017</v>
      </c>
      <c r="H1575" t="s">
        <v>79</v>
      </c>
      <c r="I1575" s="51" t="str">
        <f>IFERROR(IF(VLOOKUP(E1575,extracto!C:C,1,FALSE)=E1575,"pagado","no pagado"),"no pagado")</f>
        <v>pagado</v>
      </c>
      <c r="J1575" s="52" t="str">
        <f t="shared" si="702"/>
        <v>pagado</v>
      </c>
      <c r="K1575" s="51" t="str">
        <f t="shared" ca="1" si="703"/>
        <v>excluir</v>
      </c>
      <c r="L1575" s="51" t="str">
        <f t="shared" ca="1" si="704"/>
        <v>no semana</v>
      </c>
      <c r="M1575" s="51" t="str">
        <f>IFERROR(VLOOKUP(E1575,'cheques a conf'!A:D,4,FALSE),"no clearing")</f>
        <v>no clearing</v>
      </c>
      <c r="N1575" s="51">
        <f t="shared" si="705"/>
        <v>52</v>
      </c>
      <c r="O1575" s="53">
        <f t="shared" si="706"/>
        <v>12</v>
      </c>
      <c r="P1575" s="53">
        <f t="shared" si="707"/>
        <v>2025</v>
      </c>
    </row>
    <row r="1576" spans="1:16" x14ac:dyDescent="0.25">
      <c r="A1576" s="21">
        <v>3000007508</v>
      </c>
      <c r="B1576" s="22">
        <v>46013</v>
      </c>
      <c r="C1576" s="20">
        <v>8239407.4000000004</v>
      </c>
      <c r="D1576" s="21" t="s">
        <v>819</v>
      </c>
      <c r="E1576" s="21">
        <v>91002760</v>
      </c>
      <c r="F1576" s="20">
        <v>8239407.4000000004</v>
      </c>
      <c r="G1576" s="22">
        <v>46017</v>
      </c>
      <c r="H1576" t="s">
        <v>79</v>
      </c>
      <c r="I1576" s="51" t="str">
        <f>IFERROR(IF(VLOOKUP(E1576,extracto!C:C,1,FALSE)=E1576,"pagado","no pagado"),"no pagado")</f>
        <v>pagado</v>
      </c>
      <c r="J1576" s="52" t="str">
        <f t="shared" si="702"/>
        <v>pagado</v>
      </c>
      <c r="K1576" s="51" t="str">
        <f t="shared" ca="1" si="703"/>
        <v>excluir</v>
      </c>
      <c r="L1576" s="51" t="str">
        <f t="shared" ca="1" si="704"/>
        <v>no semana</v>
      </c>
      <c r="M1576" s="51" t="str">
        <f>IFERROR(VLOOKUP(E1576,'cheques a conf'!A:D,4,FALSE),"no clearing")</f>
        <v>no clearing</v>
      </c>
      <c r="N1576" s="51">
        <f t="shared" si="705"/>
        <v>52</v>
      </c>
      <c r="O1576" s="53">
        <f t="shared" si="706"/>
        <v>12</v>
      </c>
      <c r="P1576" s="53">
        <f t="shared" si="707"/>
        <v>2025</v>
      </c>
    </row>
    <row r="1577" spans="1:16" x14ac:dyDescent="0.25">
      <c r="A1577" s="21">
        <v>3000007509</v>
      </c>
      <c r="B1577" s="22">
        <v>46013</v>
      </c>
      <c r="C1577" s="20">
        <v>27173334.66</v>
      </c>
      <c r="D1577" s="21" t="s">
        <v>600</v>
      </c>
      <c r="E1577" s="21">
        <v>91002761</v>
      </c>
      <c r="F1577" s="20">
        <v>27173334.66</v>
      </c>
      <c r="G1577" s="22">
        <v>46017</v>
      </c>
      <c r="H1577" t="s">
        <v>79</v>
      </c>
      <c r="I1577" s="51" t="str">
        <f>IFERROR(IF(VLOOKUP(E1577,extracto!C:C,1,FALSE)=E1577,"pagado","no pagado"),"no pagado")</f>
        <v>pagado</v>
      </c>
      <c r="J1577" s="52" t="str">
        <f t="shared" ref="J1577:J1597" si="708">IF(I1577="pagado","pagado",IF(G1577&lt;$V$1-30,"fuera de fecha","en periodo de pago"))</f>
        <v>pagado</v>
      </c>
      <c r="K1577" s="51" t="str">
        <f t="shared" ref="K1577:K1597" ca="1" si="709">+IF(B1577&gt;$V$1,"excluir",IF(J1577="en periodo de pago",IF($V$1&gt;G1577,"a pagar","proximo a vencer"),"excluir"))</f>
        <v>excluir</v>
      </c>
      <c r="L1577" s="51" t="str">
        <f t="shared" ref="L1577:L1597" ca="1" si="710">+IF(K1577="proximo a vencer",IF($V$1+5&gt;G1577,"para la semana","no semana"),"no semana")</f>
        <v>no semana</v>
      </c>
      <c r="M1577" s="51" t="str">
        <f>IFERROR(VLOOKUP(E1577,'cheques a conf'!A:D,4,FALSE),"no clearing")</f>
        <v>no clearing</v>
      </c>
      <c r="N1577" s="51">
        <f t="shared" ref="N1577:N1597" si="711">+WEEKNUM(G1577,2)</f>
        <v>52</v>
      </c>
      <c r="O1577" s="53">
        <f t="shared" ref="O1577:O1597" si="712">+MONTH(G1577)</f>
        <v>12</v>
      </c>
      <c r="P1577" s="53">
        <f t="shared" ref="P1577:P1597" si="713">+YEAR(G1577)</f>
        <v>2025</v>
      </c>
    </row>
    <row r="1578" spans="1:16" x14ac:dyDescent="0.25">
      <c r="A1578" s="21">
        <v>3000007510</v>
      </c>
      <c r="B1578" s="22">
        <v>46013</v>
      </c>
      <c r="C1578" s="20">
        <v>7400693.4000000004</v>
      </c>
      <c r="D1578" s="21" t="s">
        <v>820</v>
      </c>
      <c r="E1578" s="21">
        <v>91002762</v>
      </c>
      <c r="F1578" s="20">
        <v>7400693.4000000004</v>
      </c>
      <c r="G1578" s="22">
        <v>46017</v>
      </c>
      <c r="H1578" t="s">
        <v>79</v>
      </c>
      <c r="I1578" s="51" t="str">
        <f>IFERROR(IF(VLOOKUP(E1578,extracto!C:C,1,FALSE)=E1578,"pagado","no pagado"),"no pagado")</f>
        <v>pagado</v>
      </c>
      <c r="J1578" s="52" t="str">
        <f t="shared" si="708"/>
        <v>pagado</v>
      </c>
      <c r="K1578" s="51" t="str">
        <f t="shared" ca="1" si="709"/>
        <v>excluir</v>
      </c>
      <c r="L1578" s="51" t="str">
        <f t="shared" ca="1" si="710"/>
        <v>no semana</v>
      </c>
      <c r="M1578" s="51" t="str">
        <f>IFERROR(VLOOKUP(E1578,'cheques a conf'!A:D,4,FALSE),"no clearing")</f>
        <v>no clearing</v>
      </c>
      <c r="N1578" s="51">
        <f t="shared" si="711"/>
        <v>52</v>
      </c>
      <c r="O1578" s="53">
        <f t="shared" si="712"/>
        <v>12</v>
      </c>
      <c r="P1578" s="53">
        <f t="shared" si="713"/>
        <v>2025</v>
      </c>
    </row>
    <row r="1579" spans="1:16" x14ac:dyDescent="0.25">
      <c r="A1579" s="21">
        <v>3000007511</v>
      </c>
      <c r="B1579" s="22">
        <v>46013</v>
      </c>
      <c r="C1579" s="20">
        <v>36987408.530000001</v>
      </c>
      <c r="D1579" s="21" t="s">
        <v>632</v>
      </c>
      <c r="E1579" s="21">
        <v>91002763</v>
      </c>
      <c r="F1579" s="20">
        <v>36987408.530000001</v>
      </c>
      <c r="G1579" s="22">
        <v>46017</v>
      </c>
      <c r="H1579" t="s">
        <v>79</v>
      </c>
      <c r="I1579" s="51" t="str">
        <f>IFERROR(IF(VLOOKUP(E1579,extracto!C:C,1,FALSE)=E1579,"pagado","no pagado"),"no pagado")</f>
        <v>pagado</v>
      </c>
      <c r="J1579" s="52" t="str">
        <f t="shared" si="708"/>
        <v>pagado</v>
      </c>
      <c r="K1579" s="51" t="str">
        <f t="shared" ca="1" si="709"/>
        <v>excluir</v>
      </c>
      <c r="L1579" s="51" t="str">
        <f t="shared" ca="1" si="710"/>
        <v>no semana</v>
      </c>
      <c r="M1579" s="51" t="str">
        <f>IFERROR(VLOOKUP(E1579,'cheques a conf'!A:D,4,FALSE),"no clearing")</f>
        <v>no clearing</v>
      </c>
      <c r="N1579" s="51">
        <f t="shared" si="711"/>
        <v>52</v>
      </c>
      <c r="O1579" s="53">
        <f t="shared" si="712"/>
        <v>12</v>
      </c>
      <c r="P1579" s="53">
        <f t="shared" si="713"/>
        <v>2025</v>
      </c>
    </row>
    <row r="1580" spans="1:16" x14ac:dyDescent="0.25">
      <c r="A1580" s="21">
        <v>3000007512</v>
      </c>
      <c r="B1580" s="22">
        <v>46013</v>
      </c>
      <c r="C1580" s="20">
        <v>13268383.810000001</v>
      </c>
      <c r="D1580" s="21" t="s">
        <v>66</v>
      </c>
      <c r="E1580" s="21">
        <v>91002764</v>
      </c>
      <c r="F1580" s="20">
        <v>13268383.810000001</v>
      </c>
      <c r="G1580" s="22">
        <v>46017</v>
      </c>
      <c r="H1580" t="s">
        <v>79</v>
      </c>
      <c r="I1580" s="51" t="str">
        <f>IFERROR(IF(VLOOKUP(E1580,extracto!C:C,1,FALSE)=E1580,"pagado","no pagado"),"no pagado")</f>
        <v>pagado</v>
      </c>
      <c r="J1580" s="52" t="str">
        <f t="shared" si="708"/>
        <v>pagado</v>
      </c>
      <c r="K1580" s="51" t="str">
        <f t="shared" ca="1" si="709"/>
        <v>excluir</v>
      </c>
      <c r="L1580" s="51" t="str">
        <f t="shared" ca="1" si="710"/>
        <v>no semana</v>
      </c>
      <c r="M1580" s="51" t="str">
        <f>IFERROR(VLOOKUP(E1580,'cheques a conf'!A:D,4,FALSE),"no clearing")</f>
        <v>no clearing</v>
      </c>
      <c r="N1580" s="51">
        <f t="shared" si="711"/>
        <v>52</v>
      </c>
      <c r="O1580" s="53">
        <f t="shared" si="712"/>
        <v>12</v>
      </c>
      <c r="P1580" s="53">
        <f t="shared" si="713"/>
        <v>2025</v>
      </c>
    </row>
    <row r="1581" spans="1:16" x14ac:dyDescent="0.25">
      <c r="A1581" s="21">
        <v>3000007513</v>
      </c>
      <c r="B1581" s="22">
        <v>46013</v>
      </c>
      <c r="C1581" s="20">
        <v>12145106.65</v>
      </c>
      <c r="D1581" s="21" t="s">
        <v>631</v>
      </c>
      <c r="E1581" s="21">
        <v>91002765</v>
      </c>
      <c r="F1581" s="20">
        <v>12145106.65</v>
      </c>
      <c r="G1581" s="22">
        <v>46017</v>
      </c>
      <c r="H1581" t="s">
        <v>79</v>
      </c>
      <c r="I1581" s="51" t="str">
        <f>IFERROR(IF(VLOOKUP(E1581,extracto!C:C,1,FALSE)=E1581,"pagado","no pagado"),"no pagado")</f>
        <v>pagado</v>
      </c>
      <c r="J1581" s="52" t="str">
        <f t="shared" si="708"/>
        <v>pagado</v>
      </c>
      <c r="K1581" s="51" t="str">
        <f t="shared" ca="1" si="709"/>
        <v>excluir</v>
      </c>
      <c r="L1581" s="51" t="str">
        <f t="shared" ca="1" si="710"/>
        <v>no semana</v>
      </c>
      <c r="M1581" s="51" t="str">
        <f>IFERROR(VLOOKUP(E1581,'cheques a conf'!A:D,4,FALSE),"no clearing")</f>
        <v>no clearing</v>
      </c>
      <c r="N1581" s="51">
        <f t="shared" si="711"/>
        <v>52</v>
      </c>
      <c r="O1581" s="53">
        <f t="shared" si="712"/>
        <v>12</v>
      </c>
      <c r="P1581" s="53">
        <f t="shared" si="713"/>
        <v>2025</v>
      </c>
    </row>
    <row r="1582" spans="1:16" x14ac:dyDescent="0.25">
      <c r="A1582" s="21">
        <v>3000007514</v>
      </c>
      <c r="B1582" s="22">
        <v>46013</v>
      </c>
      <c r="C1582" s="20">
        <v>10585510.08</v>
      </c>
      <c r="D1582" s="21" t="s">
        <v>626</v>
      </c>
      <c r="E1582" s="21">
        <v>91002766</v>
      </c>
      <c r="F1582" s="20">
        <v>10585510.08</v>
      </c>
      <c r="G1582" s="22">
        <v>46017</v>
      </c>
      <c r="H1582" t="s">
        <v>79</v>
      </c>
      <c r="I1582" s="51" t="str">
        <f>IFERROR(IF(VLOOKUP(E1582,extracto!C:C,1,FALSE)=E1582,"pagado","no pagado"),"no pagado")</f>
        <v>pagado</v>
      </c>
      <c r="J1582" s="52" t="str">
        <f t="shared" si="708"/>
        <v>pagado</v>
      </c>
      <c r="K1582" s="51" t="str">
        <f t="shared" ca="1" si="709"/>
        <v>excluir</v>
      </c>
      <c r="L1582" s="51" t="str">
        <f t="shared" ca="1" si="710"/>
        <v>no semana</v>
      </c>
      <c r="M1582" s="51" t="str">
        <f>IFERROR(VLOOKUP(E1582,'cheques a conf'!A:D,4,FALSE),"no clearing")</f>
        <v>no clearing</v>
      </c>
      <c r="N1582" s="51">
        <f t="shared" si="711"/>
        <v>52</v>
      </c>
      <c r="O1582" s="53">
        <f t="shared" si="712"/>
        <v>12</v>
      </c>
      <c r="P1582" s="53">
        <f t="shared" si="713"/>
        <v>2025</v>
      </c>
    </row>
    <row r="1583" spans="1:16" x14ac:dyDescent="0.25">
      <c r="A1583" s="21">
        <v>3000007515</v>
      </c>
      <c r="B1583" s="22">
        <v>46013</v>
      </c>
      <c r="C1583" s="20">
        <v>8748387.8599999994</v>
      </c>
      <c r="D1583" s="21" t="s">
        <v>805</v>
      </c>
      <c r="E1583" s="21">
        <v>91002767</v>
      </c>
      <c r="F1583" s="20">
        <v>8748387.8599999994</v>
      </c>
      <c r="G1583" s="22">
        <v>46017</v>
      </c>
      <c r="H1583" t="s">
        <v>79</v>
      </c>
      <c r="I1583" s="51" t="str">
        <f>IFERROR(IF(VLOOKUP(E1583,extracto!C:C,1,FALSE)=E1583,"pagado","no pagado"),"no pagado")</f>
        <v>pagado</v>
      </c>
      <c r="J1583" s="52" t="str">
        <f t="shared" si="708"/>
        <v>pagado</v>
      </c>
      <c r="K1583" s="51" t="str">
        <f t="shared" ca="1" si="709"/>
        <v>excluir</v>
      </c>
      <c r="L1583" s="51" t="str">
        <f t="shared" ca="1" si="710"/>
        <v>no semana</v>
      </c>
      <c r="M1583" s="51" t="str">
        <f>IFERROR(VLOOKUP(E1583,'cheques a conf'!A:D,4,FALSE),"no clearing")</f>
        <v>no clearing</v>
      </c>
      <c r="N1583" s="51">
        <f t="shared" si="711"/>
        <v>52</v>
      </c>
      <c r="O1583" s="53">
        <f t="shared" si="712"/>
        <v>12</v>
      </c>
      <c r="P1583" s="53">
        <f t="shared" si="713"/>
        <v>2025</v>
      </c>
    </row>
    <row r="1584" spans="1:16" x14ac:dyDescent="0.25">
      <c r="A1584" s="21">
        <v>3000007516</v>
      </c>
      <c r="B1584" s="22">
        <v>46013</v>
      </c>
      <c r="C1584" s="20">
        <v>223718718.72999999</v>
      </c>
      <c r="D1584" s="21" t="s">
        <v>29</v>
      </c>
      <c r="E1584" s="21">
        <v>91002768</v>
      </c>
      <c r="F1584" s="20">
        <v>223718718.72999999</v>
      </c>
      <c r="G1584" s="22">
        <v>46017</v>
      </c>
      <c r="H1584" t="s">
        <v>79</v>
      </c>
      <c r="I1584" s="51" t="str">
        <f>IFERROR(IF(VLOOKUP(E1584,extracto!C:C,1,FALSE)=E1584,"pagado","no pagado"),"no pagado")</f>
        <v>pagado</v>
      </c>
      <c r="J1584" s="52" t="str">
        <f t="shared" si="708"/>
        <v>pagado</v>
      </c>
      <c r="K1584" s="51" t="str">
        <f t="shared" ca="1" si="709"/>
        <v>excluir</v>
      </c>
      <c r="L1584" s="51" t="str">
        <f t="shared" ca="1" si="710"/>
        <v>no semana</v>
      </c>
      <c r="M1584" s="51" t="str">
        <f>IFERROR(VLOOKUP(E1584,'cheques a conf'!A:D,4,FALSE),"no clearing")</f>
        <v>no clearing</v>
      </c>
      <c r="N1584" s="51">
        <f t="shared" si="711"/>
        <v>52</v>
      </c>
      <c r="O1584" s="53">
        <f t="shared" si="712"/>
        <v>12</v>
      </c>
      <c r="P1584" s="53">
        <f t="shared" si="713"/>
        <v>2025</v>
      </c>
    </row>
    <row r="1585" spans="1:16" x14ac:dyDescent="0.25">
      <c r="A1585" s="21">
        <v>3000007517</v>
      </c>
      <c r="B1585" s="22">
        <v>46013</v>
      </c>
      <c r="C1585" s="20">
        <v>6478122.3200000003</v>
      </c>
      <c r="D1585" s="21" t="s">
        <v>613</v>
      </c>
      <c r="E1585" s="21">
        <v>91002769</v>
      </c>
      <c r="F1585" s="20">
        <v>6478122.3200000003</v>
      </c>
      <c r="G1585" s="22">
        <v>46017</v>
      </c>
      <c r="H1585" t="s">
        <v>79</v>
      </c>
      <c r="I1585" s="51" t="str">
        <f>IFERROR(IF(VLOOKUP(E1585,extracto!C:C,1,FALSE)=E1585,"pagado","no pagado"),"no pagado")</f>
        <v>pagado</v>
      </c>
      <c r="J1585" s="52" t="str">
        <f t="shared" si="708"/>
        <v>pagado</v>
      </c>
      <c r="K1585" s="51" t="str">
        <f t="shared" ca="1" si="709"/>
        <v>excluir</v>
      </c>
      <c r="L1585" s="51" t="str">
        <f t="shared" ca="1" si="710"/>
        <v>no semana</v>
      </c>
      <c r="M1585" s="51" t="str">
        <f>IFERROR(VLOOKUP(E1585,'cheques a conf'!A:D,4,FALSE),"no clearing")</f>
        <v>no clearing</v>
      </c>
      <c r="N1585" s="51">
        <f t="shared" si="711"/>
        <v>52</v>
      </c>
      <c r="O1585" s="53">
        <f t="shared" si="712"/>
        <v>12</v>
      </c>
      <c r="P1585" s="53">
        <f t="shared" si="713"/>
        <v>2025</v>
      </c>
    </row>
    <row r="1586" spans="1:16" x14ac:dyDescent="0.25">
      <c r="A1586">
        <v>3000007558</v>
      </c>
      <c r="B1586" s="22">
        <v>46014</v>
      </c>
      <c r="C1586" s="4">
        <v>156310510</v>
      </c>
      <c r="D1586" s="21" t="s">
        <v>800</v>
      </c>
      <c r="E1586">
        <v>2031</v>
      </c>
      <c r="F1586" s="4">
        <v>156310510</v>
      </c>
      <c r="G1586" s="22">
        <v>46017</v>
      </c>
      <c r="H1586" t="s">
        <v>32</v>
      </c>
      <c r="I1586" s="51" t="str">
        <f>IFERROR(IF(VLOOKUP(E1586,extracto!C:C,1,FALSE)=E1586,"pagado","no pagado"),"no pagado")</f>
        <v>pagado</v>
      </c>
      <c r="J1586" s="52" t="str">
        <f t="shared" si="708"/>
        <v>pagado</v>
      </c>
      <c r="K1586" s="51" t="str">
        <f t="shared" ca="1" si="709"/>
        <v>excluir</v>
      </c>
      <c r="L1586" s="51" t="str">
        <f t="shared" ca="1" si="710"/>
        <v>no semana</v>
      </c>
      <c r="M1586" s="51" t="str">
        <f>IFERROR(VLOOKUP(E1586,'cheques a conf'!A:D,4,FALSE),"no clearing")</f>
        <v>no clearing</v>
      </c>
      <c r="N1586" s="51">
        <f t="shared" si="711"/>
        <v>52</v>
      </c>
      <c r="O1586" s="53">
        <f t="shared" si="712"/>
        <v>12</v>
      </c>
      <c r="P1586" s="53">
        <f t="shared" si="713"/>
        <v>2025</v>
      </c>
    </row>
    <row r="1587" spans="1:16" x14ac:dyDescent="0.25">
      <c r="A1587" s="21">
        <v>3000007590</v>
      </c>
      <c r="B1587" s="22">
        <v>46017</v>
      </c>
      <c r="C1587" s="20">
        <v>14686396.1</v>
      </c>
      <c r="D1587" s="21" t="s">
        <v>821</v>
      </c>
      <c r="E1587" s="21">
        <v>2032</v>
      </c>
      <c r="F1587" s="20">
        <v>14686396.1</v>
      </c>
      <c r="G1587" s="22">
        <v>46021</v>
      </c>
      <c r="H1587" t="s">
        <v>32</v>
      </c>
      <c r="I1587" s="51" t="str">
        <f>IFERROR(IF(VLOOKUP(E1587,extracto!C:C,1,FALSE)=E1587,"pagado","no pagado"),"no pagado")</f>
        <v>pagado</v>
      </c>
      <c r="J1587" s="52" t="str">
        <f t="shared" si="708"/>
        <v>pagado</v>
      </c>
      <c r="K1587" s="51" t="str">
        <f t="shared" ca="1" si="709"/>
        <v>excluir</v>
      </c>
      <c r="L1587" s="51" t="str">
        <f t="shared" ca="1" si="710"/>
        <v>no semana</v>
      </c>
      <c r="M1587" s="51" t="str">
        <f>IFERROR(VLOOKUP(E1587,'cheques a conf'!A:D,4,FALSE),"no clearing")</f>
        <v>no clearing</v>
      </c>
      <c r="N1587" s="51">
        <f t="shared" si="711"/>
        <v>53</v>
      </c>
      <c r="O1587" s="53">
        <f t="shared" si="712"/>
        <v>12</v>
      </c>
      <c r="P1587" s="53">
        <f t="shared" si="713"/>
        <v>2025</v>
      </c>
    </row>
    <row r="1588" spans="1:16" x14ac:dyDescent="0.25">
      <c r="A1588" s="21">
        <v>3000007591</v>
      </c>
      <c r="B1588" s="22">
        <v>46017</v>
      </c>
      <c r="C1588" s="20">
        <v>14691201.279999999</v>
      </c>
      <c r="D1588" s="21" t="s">
        <v>645</v>
      </c>
      <c r="E1588" s="21">
        <v>2033</v>
      </c>
      <c r="F1588" s="20">
        <v>14691201.279999999</v>
      </c>
      <c r="G1588" s="22">
        <v>46021</v>
      </c>
      <c r="H1588" t="s">
        <v>32</v>
      </c>
      <c r="I1588" s="51" t="str">
        <f>IFERROR(IF(VLOOKUP(E1588,extracto!C:C,1,FALSE)=E1588,"pagado","no pagado"),"no pagado")</f>
        <v>pagado</v>
      </c>
      <c r="J1588" s="52" t="str">
        <f t="shared" si="708"/>
        <v>pagado</v>
      </c>
      <c r="K1588" s="51" t="str">
        <f t="shared" ca="1" si="709"/>
        <v>excluir</v>
      </c>
      <c r="L1588" s="51" t="str">
        <f t="shared" ca="1" si="710"/>
        <v>no semana</v>
      </c>
      <c r="M1588" s="51" t="str">
        <f>IFERROR(VLOOKUP(E1588,'cheques a conf'!A:D,4,FALSE),"no clearing")</f>
        <v>no clearing</v>
      </c>
      <c r="N1588" s="51">
        <f t="shared" si="711"/>
        <v>53</v>
      </c>
      <c r="O1588" s="53">
        <f t="shared" si="712"/>
        <v>12</v>
      </c>
      <c r="P1588" s="53">
        <f t="shared" si="713"/>
        <v>2025</v>
      </c>
    </row>
    <row r="1589" spans="1:16" x14ac:dyDescent="0.25">
      <c r="A1589" s="21">
        <v>3000007592</v>
      </c>
      <c r="B1589" s="22">
        <v>46017</v>
      </c>
      <c r="C1589" s="20">
        <v>3050226.7</v>
      </c>
      <c r="D1589" s="21" t="s">
        <v>68</v>
      </c>
      <c r="E1589" s="21">
        <v>2034</v>
      </c>
      <c r="F1589" s="20">
        <v>3050226.7</v>
      </c>
      <c r="G1589" s="22">
        <v>46024</v>
      </c>
      <c r="H1589" t="s">
        <v>32</v>
      </c>
      <c r="I1589" s="51" t="str">
        <f>IFERROR(IF(VLOOKUP(E1589,extracto!C:C,1,FALSE)=E1589,"pagado","no pagado"),"no pagado")</f>
        <v>pagado</v>
      </c>
      <c r="J1589" s="52" t="str">
        <f t="shared" si="708"/>
        <v>pagado</v>
      </c>
      <c r="K1589" s="51" t="str">
        <f t="shared" ca="1" si="709"/>
        <v>excluir</v>
      </c>
      <c r="L1589" s="51" t="str">
        <f t="shared" ca="1" si="710"/>
        <v>no semana</v>
      </c>
      <c r="M1589" s="51" t="str">
        <f>IFERROR(VLOOKUP(E1589,'cheques a conf'!A:D,4,FALSE),"no clearing")</f>
        <v>no clearing</v>
      </c>
      <c r="N1589" s="51">
        <f t="shared" si="711"/>
        <v>1</v>
      </c>
      <c r="O1589" s="53">
        <f t="shared" si="712"/>
        <v>1</v>
      </c>
      <c r="P1589" s="53">
        <f t="shared" si="713"/>
        <v>2026</v>
      </c>
    </row>
    <row r="1590" spans="1:16" x14ac:dyDescent="0.25">
      <c r="A1590" s="21">
        <v>3000007593</v>
      </c>
      <c r="B1590" s="22">
        <v>46017</v>
      </c>
      <c r="C1590" s="20">
        <v>2243497.88</v>
      </c>
      <c r="D1590" s="21" t="s">
        <v>623</v>
      </c>
      <c r="E1590" s="21">
        <v>2035</v>
      </c>
      <c r="F1590" s="20">
        <v>2243497.88</v>
      </c>
      <c r="G1590" s="22">
        <v>46024</v>
      </c>
      <c r="H1590" t="s">
        <v>32</v>
      </c>
      <c r="I1590" s="51" t="str">
        <f>IFERROR(IF(VLOOKUP(E1590,extracto!C:C,1,FALSE)=E1590,"pagado","no pagado"),"no pagado")</f>
        <v>no pagado</v>
      </c>
      <c r="J1590" s="52" t="str">
        <f t="shared" ca="1" si="708"/>
        <v>fuera de fecha</v>
      </c>
      <c r="K1590" s="51" t="str">
        <f t="shared" ca="1" si="709"/>
        <v>excluir</v>
      </c>
      <c r="L1590" s="51" t="str">
        <f t="shared" ca="1" si="710"/>
        <v>no semana</v>
      </c>
      <c r="M1590" s="51" t="str">
        <f>IFERROR(VLOOKUP(E1590,'cheques a conf'!A:D,4,FALSE),"no clearing")</f>
        <v>no clearing</v>
      </c>
      <c r="N1590" s="51">
        <f t="shared" si="711"/>
        <v>1</v>
      </c>
      <c r="O1590" s="53">
        <f t="shared" si="712"/>
        <v>1</v>
      </c>
      <c r="P1590" s="53">
        <f t="shared" si="713"/>
        <v>2026</v>
      </c>
    </row>
    <row r="1591" spans="1:16" x14ac:dyDescent="0.25">
      <c r="A1591" s="21">
        <v>3000007594</v>
      </c>
      <c r="B1591" s="22">
        <v>46017</v>
      </c>
      <c r="C1591" s="20">
        <v>8847001.4299999997</v>
      </c>
      <c r="D1591" s="21" t="s">
        <v>616</v>
      </c>
      <c r="E1591" s="21">
        <v>2036</v>
      </c>
      <c r="F1591" s="20">
        <v>8847001.4299999997</v>
      </c>
      <c r="G1591" s="22">
        <v>46024</v>
      </c>
      <c r="H1591" t="s">
        <v>32</v>
      </c>
      <c r="I1591" s="51" t="str">
        <f>IFERROR(IF(VLOOKUP(E1591,extracto!C:C,1,FALSE)=E1591,"pagado","no pagado"),"no pagado")</f>
        <v>pagado</v>
      </c>
      <c r="J1591" s="52" t="str">
        <f t="shared" si="708"/>
        <v>pagado</v>
      </c>
      <c r="K1591" s="51" t="str">
        <f t="shared" ca="1" si="709"/>
        <v>excluir</v>
      </c>
      <c r="L1591" s="51" t="str">
        <f t="shared" ca="1" si="710"/>
        <v>no semana</v>
      </c>
      <c r="M1591" s="51" t="str">
        <f>IFERROR(VLOOKUP(E1591,'cheques a conf'!A:D,4,FALSE),"no clearing")</f>
        <v>no clearing</v>
      </c>
      <c r="N1591" s="51">
        <f t="shared" si="711"/>
        <v>1</v>
      </c>
      <c r="O1591" s="53">
        <f t="shared" si="712"/>
        <v>1</v>
      </c>
      <c r="P1591" s="53">
        <f t="shared" si="713"/>
        <v>2026</v>
      </c>
    </row>
    <row r="1592" spans="1:16" x14ac:dyDescent="0.25">
      <c r="A1592" s="21">
        <v>3000007595</v>
      </c>
      <c r="B1592" s="22">
        <v>46017</v>
      </c>
      <c r="C1592" s="20">
        <v>6645510.5700000003</v>
      </c>
      <c r="D1592" s="21" t="s">
        <v>612</v>
      </c>
      <c r="E1592" s="21">
        <v>2037</v>
      </c>
      <c r="F1592" s="20">
        <v>6645510.5700000003</v>
      </c>
      <c r="G1592" s="22">
        <v>46024</v>
      </c>
      <c r="H1592" t="s">
        <v>32</v>
      </c>
      <c r="I1592" s="51" t="str">
        <f>IFERROR(IF(VLOOKUP(E1592,extracto!C:C,1,FALSE)=E1592,"pagado","no pagado"),"no pagado")</f>
        <v>pagado</v>
      </c>
      <c r="J1592" s="52" t="str">
        <f t="shared" si="708"/>
        <v>pagado</v>
      </c>
      <c r="K1592" s="51" t="str">
        <f t="shared" ca="1" si="709"/>
        <v>excluir</v>
      </c>
      <c r="L1592" s="51" t="str">
        <f t="shared" ca="1" si="710"/>
        <v>no semana</v>
      </c>
      <c r="M1592" s="51" t="str">
        <f>IFERROR(VLOOKUP(E1592,'cheques a conf'!A:D,4,FALSE),"no clearing")</f>
        <v>no clearing</v>
      </c>
      <c r="N1592" s="51">
        <f t="shared" si="711"/>
        <v>1</v>
      </c>
      <c r="O1592" s="53">
        <f t="shared" si="712"/>
        <v>1</v>
      </c>
      <c r="P1592" s="53">
        <f t="shared" si="713"/>
        <v>2026</v>
      </c>
    </row>
    <row r="1593" spans="1:16" x14ac:dyDescent="0.25">
      <c r="A1593" s="21">
        <v>3000007596</v>
      </c>
      <c r="B1593" s="22">
        <v>46017</v>
      </c>
      <c r="C1593" s="20">
        <v>9970448.9199999999</v>
      </c>
      <c r="D1593" s="21" t="s">
        <v>822</v>
      </c>
      <c r="E1593" s="21">
        <v>2038</v>
      </c>
      <c r="F1593" s="20">
        <v>9970448.9199999999</v>
      </c>
      <c r="G1593" s="22">
        <v>46024</v>
      </c>
      <c r="H1593" t="s">
        <v>32</v>
      </c>
      <c r="I1593" s="51" t="str">
        <f>IFERROR(IF(VLOOKUP(E1593,extracto!C:C,1,FALSE)=E1593,"pagado","no pagado"),"no pagado")</f>
        <v>pagado</v>
      </c>
      <c r="J1593" s="52" t="str">
        <f t="shared" si="708"/>
        <v>pagado</v>
      </c>
      <c r="K1593" s="51" t="str">
        <f t="shared" ca="1" si="709"/>
        <v>excluir</v>
      </c>
      <c r="L1593" s="51" t="str">
        <f t="shared" ca="1" si="710"/>
        <v>no semana</v>
      </c>
      <c r="M1593" s="51" t="str">
        <f>IFERROR(VLOOKUP(E1593,'cheques a conf'!A:D,4,FALSE),"no clearing")</f>
        <v>no clearing</v>
      </c>
      <c r="N1593" s="51">
        <f t="shared" si="711"/>
        <v>1</v>
      </c>
      <c r="O1593" s="53">
        <f t="shared" si="712"/>
        <v>1</v>
      </c>
      <c r="P1593" s="53">
        <f t="shared" si="713"/>
        <v>2026</v>
      </c>
    </row>
    <row r="1594" spans="1:16" x14ac:dyDescent="0.25">
      <c r="A1594" s="21">
        <v>3000007597</v>
      </c>
      <c r="B1594" s="22">
        <v>46017</v>
      </c>
      <c r="C1594" s="20">
        <v>21546048.16</v>
      </c>
      <c r="D1594" s="21" t="s">
        <v>619</v>
      </c>
      <c r="E1594" s="21">
        <v>2039</v>
      </c>
      <c r="F1594" s="20">
        <v>21546048.16</v>
      </c>
      <c r="G1594" s="22">
        <v>46024</v>
      </c>
      <c r="H1594" t="s">
        <v>32</v>
      </c>
      <c r="I1594" s="51" t="str">
        <f>IFERROR(IF(VLOOKUP(E1594,extracto!C:C,1,FALSE)=E1594,"pagado","no pagado"),"no pagado")</f>
        <v>pagado</v>
      </c>
      <c r="J1594" s="52" t="str">
        <f t="shared" si="708"/>
        <v>pagado</v>
      </c>
      <c r="K1594" s="51" t="str">
        <f t="shared" ca="1" si="709"/>
        <v>excluir</v>
      </c>
      <c r="L1594" s="51" t="str">
        <f t="shared" ca="1" si="710"/>
        <v>no semana</v>
      </c>
      <c r="M1594" s="51" t="str">
        <f>IFERROR(VLOOKUP(E1594,'cheques a conf'!A:D,4,FALSE),"no clearing")</f>
        <v>no clearing</v>
      </c>
      <c r="N1594" s="51">
        <f t="shared" si="711"/>
        <v>1</v>
      </c>
      <c r="O1594" s="53">
        <f t="shared" si="712"/>
        <v>1</v>
      </c>
      <c r="P1594" s="53">
        <f t="shared" si="713"/>
        <v>2026</v>
      </c>
    </row>
    <row r="1595" spans="1:16" x14ac:dyDescent="0.25">
      <c r="A1595" s="21">
        <v>3000007598</v>
      </c>
      <c r="B1595" s="22">
        <v>46017</v>
      </c>
      <c r="C1595" s="20">
        <v>26765484.539999999</v>
      </c>
      <c r="D1595" s="21" t="s">
        <v>613</v>
      </c>
      <c r="E1595" s="21">
        <v>2040</v>
      </c>
      <c r="F1595" s="20">
        <v>26765484.539999999</v>
      </c>
      <c r="G1595" s="22">
        <v>46024</v>
      </c>
      <c r="H1595" t="s">
        <v>32</v>
      </c>
      <c r="I1595" s="51" t="str">
        <f>IFERROR(IF(VLOOKUP(E1595,extracto!C:C,1,FALSE)=E1595,"pagado","no pagado"),"no pagado")</f>
        <v>pagado</v>
      </c>
      <c r="J1595" s="52" t="str">
        <f t="shared" si="708"/>
        <v>pagado</v>
      </c>
      <c r="K1595" s="51" t="str">
        <f t="shared" ca="1" si="709"/>
        <v>excluir</v>
      </c>
      <c r="L1595" s="51" t="str">
        <f t="shared" ca="1" si="710"/>
        <v>no semana</v>
      </c>
      <c r="M1595" s="51" t="str">
        <f>IFERROR(VLOOKUP(E1595,'cheques a conf'!A:D,4,FALSE),"no clearing")</f>
        <v>no clearing</v>
      </c>
      <c r="N1595" s="51">
        <f t="shared" si="711"/>
        <v>1</v>
      </c>
      <c r="O1595" s="53">
        <f t="shared" si="712"/>
        <v>1</v>
      </c>
      <c r="P1595" s="53">
        <f t="shared" si="713"/>
        <v>2026</v>
      </c>
    </row>
    <row r="1596" spans="1:16" x14ac:dyDescent="0.25">
      <c r="A1596" s="21">
        <v>3000007599</v>
      </c>
      <c r="B1596" s="22">
        <v>46017</v>
      </c>
      <c r="C1596" s="20">
        <v>10513790.060000001</v>
      </c>
      <c r="D1596" s="21" t="s">
        <v>618</v>
      </c>
      <c r="E1596" s="21">
        <v>2041</v>
      </c>
      <c r="F1596" s="20">
        <v>10513790.060000001</v>
      </c>
      <c r="G1596" s="22">
        <v>46024</v>
      </c>
      <c r="H1596" t="s">
        <v>32</v>
      </c>
      <c r="I1596" s="51" t="str">
        <f>IFERROR(IF(VLOOKUP(E1596,extracto!C:C,1,FALSE)=E1596,"pagado","no pagado"),"no pagado")</f>
        <v>pagado</v>
      </c>
      <c r="J1596" s="52" t="str">
        <f t="shared" si="708"/>
        <v>pagado</v>
      </c>
      <c r="K1596" s="51" t="str">
        <f t="shared" ca="1" si="709"/>
        <v>excluir</v>
      </c>
      <c r="L1596" s="51" t="str">
        <f t="shared" ca="1" si="710"/>
        <v>no semana</v>
      </c>
      <c r="M1596" s="51" t="str">
        <f>IFERROR(VLOOKUP(E1596,'cheques a conf'!A:D,4,FALSE),"no clearing")</f>
        <v>no clearing</v>
      </c>
      <c r="N1596" s="51">
        <f t="shared" si="711"/>
        <v>1</v>
      </c>
      <c r="O1596" s="53">
        <f t="shared" si="712"/>
        <v>1</v>
      </c>
      <c r="P1596" s="53">
        <f t="shared" si="713"/>
        <v>2026</v>
      </c>
    </row>
    <row r="1597" spans="1:16" x14ac:dyDescent="0.25">
      <c r="A1597" s="21">
        <v>3000000052</v>
      </c>
      <c r="B1597" s="22">
        <v>46027</v>
      </c>
      <c r="C1597" s="20">
        <v>7822194.8099999996</v>
      </c>
      <c r="D1597" s="21" t="s">
        <v>805</v>
      </c>
      <c r="E1597" s="21">
        <v>91002770</v>
      </c>
      <c r="F1597" s="20">
        <v>7822194.8099999996</v>
      </c>
      <c r="G1597" s="22">
        <v>46031</v>
      </c>
      <c r="H1597" t="s">
        <v>79</v>
      </c>
      <c r="I1597" s="51" t="str">
        <f>IFERROR(IF(VLOOKUP(E1597,extracto!C:C,1,FALSE)=E1597,"pagado","no pagado"),"no pagado")</f>
        <v>pagado</v>
      </c>
      <c r="J1597" s="52" t="str">
        <f t="shared" si="708"/>
        <v>pagado</v>
      </c>
      <c r="K1597" s="51" t="str">
        <f t="shared" ca="1" si="709"/>
        <v>excluir</v>
      </c>
      <c r="L1597" s="51" t="str">
        <f t="shared" ca="1" si="710"/>
        <v>no semana</v>
      </c>
      <c r="M1597" s="51" t="str">
        <f>IFERROR(VLOOKUP(E1597,'cheques a conf'!A:D,4,FALSE),"no clearing")</f>
        <v>no clearing</v>
      </c>
      <c r="N1597" s="51">
        <f t="shared" si="711"/>
        <v>2</v>
      </c>
      <c r="O1597" s="53">
        <f t="shared" si="712"/>
        <v>1</v>
      </c>
      <c r="P1597" s="53">
        <f t="shared" si="713"/>
        <v>2026</v>
      </c>
    </row>
    <row r="1598" spans="1:16" x14ac:dyDescent="0.25">
      <c r="A1598" s="21">
        <v>3000000053</v>
      </c>
      <c r="B1598" s="22">
        <v>46027</v>
      </c>
      <c r="C1598" s="20">
        <v>4267925.32</v>
      </c>
      <c r="D1598" s="21" t="s">
        <v>87</v>
      </c>
      <c r="E1598" s="21">
        <v>91002771</v>
      </c>
      <c r="F1598" s="20">
        <v>4267925.32</v>
      </c>
      <c r="G1598" s="22">
        <v>46031</v>
      </c>
      <c r="H1598" t="s">
        <v>79</v>
      </c>
      <c r="I1598" s="51" t="str">
        <f>IFERROR(IF(VLOOKUP(E1598,extracto!C:C,1,FALSE)=E1598,"pagado","no pagado"),"no pagado")</f>
        <v>pagado</v>
      </c>
      <c r="J1598" s="52" t="str">
        <f t="shared" ref="J1598:J1610" si="714">IF(I1598="pagado","pagado",IF(G1598&lt;$V$1-30,"fuera de fecha","en periodo de pago"))</f>
        <v>pagado</v>
      </c>
      <c r="K1598" s="51" t="str">
        <f t="shared" ref="K1598:K1610" ca="1" si="715">+IF(B1598&gt;$V$1,"excluir",IF(J1598="en periodo de pago",IF($V$1&gt;G1598,"a pagar","proximo a vencer"),"excluir"))</f>
        <v>excluir</v>
      </c>
      <c r="L1598" s="51" t="str">
        <f t="shared" ref="L1598:L1610" ca="1" si="716">+IF(K1598="proximo a vencer",IF($V$1+5&gt;G1598,"para la semana","no semana"),"no semana")</f>
        <v>no semana</v>
      </c>
      <c r="M1598" s="51" t="str">
        <f>IFERROR(VLOOKUP(E1598,'cheques a conf'!A:D,4,FALSE),"no clearing")</f>
        <v>no clearing</v>
      </c>
      <c r="N1598" s="51">
        <f t="shared" ref="N1598:N1610" si="717">+WEEKNUM(G1598,2)</f>
        <v>2</v>
      </c>
      <c r="O1598" s="53">
        <f t="shared" ref="O1598:O1610" si="718">+MONTH(G1598)</f>
        <v>1</v>
      </c>
      <c r="P1598" s="53">
        <f t="shared" ref="P1598:P1610" si="719">+YEAR(G1598)</f>
        <v>2026</v>
      </c>
    </row>
    <row r="1599" spans="1:16" x14ac:dyDescent="0.25">
      <c r="A1599" s="21">
        <v>3000000054</v>
      </c>
      <c r="B1599" s="22">
        <v>46027</v>
      </c>
      <c r="C1599" s="20">
        <v>9203943.4000000004</v>
      </c>
      <c r="D1599" s="21" t="s">
        <v>72</v>
      </c>
      <c r="E1599" s="21">
        <v>91002772</v>
      </c>
      <c r="F1599" s="20">
        <v>9203943.4000000004</v>
      </c>
      <c r="G1599" s="22">
        <v>46031</v>
      </c>
      <c r="H1599" t="s">
        <v>79</v>
      </c>
      <c r="I1599" s="51" t="str">
        <f>IFERROR(IF(VLOOKUP(E1599,extracto!C:C,1,FALSE)=E1599,"pagado","no pagado"),"no pagado")</f>
        <v>pagado</v>
      </c>
      <c r="J1599" s="52" t="str">
        <f t="shared" si="714"/>
        <v>pagado</v>
      </c>
      <c r="K1599" s="51" t="str">
        <f t="shared" ca="1" si="715"/>
        <v>excluir</v>
      </c>
      <c r="L1599" s="51" t="str">
        <f t="shared" ca="1" si="716"/>
        <v>no semana</v>
      </c>
      <c r="M1599" s="51" t="str">
        <f>IFERROR(VLOOKUP(E1599,'cheques a conf'!A:D,4,FALSE),"no clearing")</f>
        <v>no clearing</v>
      </c>
      <c r="N1599" s="51">
        <f t="shared" si="717"/>
        <v>2</v>
      </c>
      <c r="O1599" s="53">
        <f t="shared" si="718"/>
        <v>1</v>
      </c>
      <c r="P1599" s="53">
        <f t="shared" si="719"/>
        <v>2026</v>
      </c>
    </row>
    <row r="1600" spans="1:16" x14ac:dyDescent="0.25">
      <c r="A1600" s="21">
        <v>3000000055</v>
      </c>
      <c r="B1600" s="22">
        <v>46027</v>
      </c>
      <c r="C1600" s="20">
        <v>17081371.809999999</v>
      </c>
      <c r="D1600" s="21" t="s">
        <v>74</v>
      </c>
      <c r="E1600" s="21">
        <v>91002773</v>
      </c>
      <c r="F1600" s="20">
        <v>17081371.809999999</v>
      </c>
      <c r="G1600" s="22">
        <v>46031</v>
      </c>
      <c r="H1600" t="s">
        <v>79</v>
      </c>
      <c r="I1600" s="51" t="str">
        <f>IFERROR(IF(VLOOKUP(E1600,extracto!C:C,1,FALSE)=E1600,"pagado","no pagado"),"no pagado")</f>
        <v>pagado</v>
      </c>
      <c r="J1600" s="52" t="str">
        <f t="shared" si="714"/>
        <v>pagado</v>
      </c>
      <c r="K1600" s="51" t="str">
        <f t="shared" ca="1" si="715"/>
        <v>excluir</v>
      </c>
      <c r="L1600" s="51" t="str">
        <f t="shared" ca="1" si="716"/>
        <v>no semana</v>
      </c>
      <c r="M1600" s="51" t="str">
        <f>IFERROR(VLOOKUP(E1600,'cheques a conf'!A:D,4,FALSE),"no clearing")</f>
        <v>no clearing</v>
      </c>
      <c r="N1600" s="51">
        <f t="shared" si="717"/>
        <v>2</v>
      </c>
      <c r="O1600" s="53">
        <f t="shared" si="718"/>
        <v>1</v>
      </c>
      <c r="P1600" s="53">
        <f t="shared" si="719"/>
        <v>2026</v>
      </c>
    </row>
    <row r="1601" spans="1:16" x14ac:dyDescent="0.25">
      <c r="A1601" s="21">
        <v>3000000056</v>
      </c>
      <c r="B1601" s="22">
        <v>46027</v>
      </c>
      <c r="C1601" s="20">
        <v>25000000</v>
      </c>
      <c r="D1601" s="21" t="s">
        <v>740</v>
      </c>
      <c r="E1601" s="21">
        <v>91002774</v>
      </c>
      <c r="F1601" s="20">
        <v>25000000</v>
      </c>
      <c r="G1601" s="22">
        <v>46031</v>
      </c>
      <c r="H1601" t="s">
        <v>79</v>
      </c>
      <c r="I1601" s="51" t="str">
        <f>IFERROR(IF(VLOOKUP(E1601,extracto!C:C,1,FALSE)=E1601,"pagado","no pagado"),"no pagado")</f>
        <v>pagado</v>
      </c>
      <c r="J1601" s="52" t="str">
        <f t="shared" si="714"/>
        <v>pagado</v>
      </c>
      <c r="K1601" s="51" t="str">
        <f t="shared" ca="1" si="715"/>
        <v>excluir</v>
      </c>
      <c r="L1601" s="51" t="str">
        <f t="shared" ca="1" si="716"/>
        <v>no semana</v>
      </c>
      <c r="M1601" s="51" t="str">
        <f>IFERROR(VLOOKUP(E1601,'cheques a conf'!A:D,4,FALSE),"no clearing")</f>
        <v>no clearing</v>
      </c>
      <c r="N1601" s="51">
        <f t="shared" si="717"/>
        <v>2</v>
      </c>
      <c r="O1601" s="53">
        <f t="shared" si="718"/>
        <v>1</v>
      </c>
      <c r="P1601" s="53">
        <f t="shared" si="719"/>
        <v>2026</v>
      </c>
    </row>
    <row r="1602" spans="1:16" x14ac:dyDescent="0.25">
      <c r="A1602" s="21">
        <v>3000000056</v>
      </c>
      <c r="B1602" s="22">
        <v>46027</v>
      </c>
      <c r="C1602" s="20">
        <v>21105938.68</v>
      </c>
      <c r="D1602" s="21" t="s">
        <v>740</v>
      </c>
      <c r="E1602" s="21">
        <v>91002775</v>
      </c>
      <c r="F1602" s="20">
        <v>21105938.68</v>
      </c>
      <c r="G1602" s="22">
        <v>46031</v>
      </c>
      <c r="H1602" t="s">
        <v>79</v>
      </c>
      <c r="I1602" s="51" t="str">
        <f>IFERROR(IF(VLOOKUP(E1602,extracto!C:C,1,FALSE)=E1602,"pagado","no pagado"),"no pagado")</f>
        <v>pagado</v>
      </c>
      <c r="J1602" s="52" t="str">
        <f t="shared" si="714"/>
        <v>pagado</v>
      </c>
      <c r="K1602" s="51" t="str">
        <f t="shared" ca="1" si="715"/>
        <v>excluir</v>
      </c>
      <c r="L1602" s="51" t="str">
        <f t="shared" ca="1" si="716"/>
        <v>no semana</v>
      </c>
      <c r="M1602" s="51" t="str">
        <f>IFERROR(VLOOKUP(E1602,'cheques a conf'!A:D,4,FALSE),"no clearing")</f>
        <v>no clearing</v>
      </c>
      <c r="N1602" s="51">
        <f t="shared" si="717"/>
        <v>2</v>
      </c>
      <c r="O1602" s="53">
        <f t="shared" si="718"/>
        <v>1</v>
      </c>
      <c r="P1602" s="53">
        <f t="shared" si="719"/>
        <v>2026</v>
      </c>
    </row>
    <row r="1603" spans="1:16" x14ac:dyDescent="0.25">
      <c r="A1603" s="21">
        <v>3000000057</v>
      </c>
      <c r="B1603" s="22">
        <v>46027</v>
      </c>
      <c r="C1603" s="20">
        <v>12282235.4</v>
      </c>
      <c r="D1603" s="21" t="s">
        <v>610</v>
      </c>
      <c r="E1603" s="21">
        <v>91002776</v>
      </c>
      <c r="F1603" s="20">
        <v>12282235.4</v>
      </c>
      <c r="G1603" s="22">
        <v>46031</v>
      </c>
      <c r="H1603" t="s">
        <v>79</v>
      </c>
      <c r="I1603" s="51" t="str">
        <f>IFERROR(IF(VLOOKUP(E1603,extracto!C:C,1,FALSE)=E1603,"pagado","no pagado"),"no pagado")</f>
        <v>pagado</v>
      </c>
      <c r="J1603" s="52" t="str">
        <f t="shared" si="714"/>
        <v>pagado</v>
      </c>
      <c r="K1603" s="51" t="str">
        <f t="shared" ca="1" si="715"/>
        <v>excluir</v>
      </c>
      <c r="L1603" s="51" t="str">
        <f t="shared" ca="1" si="716"/>
        <v>no semana</v>
      </c>
      <c r="M1603" s="51" t="str">
        <f>IFERROR(VLOOKUP(E1603,'cheques a conf'!A:D,4,FALSE),"no clearing")</f>
        <v>no clearing</v>
      </c>
      <c r="N1603" s="51">
        <f t="shared" si="717"/>
        <v>2</v>
      </c>
      <c r="O1603" s="53">
        <f t="shared" si="718"/>
        <v>1</v>
      </c>
      <c r="P1603" s="53">
        <f t="shared" si="719"/>
        <v>2026</v>
      </c>
    </row>
    <row r="1604" spans="1:16" x14ac:dyDescent="0.25">
      <c r="A1604" s="21">
        <v>3000000058</v>
      </c>
      <c r="B1604" s="22">
        <v>46027</v>
      </c>
      <c r="C1604" s="20">
        <v>5790385.9000000004</v>
      </c>
      <c r="D1604" s="21" t="s">
        <v>823</v>
      </c>
      <c r="E1604" s="21">
        <v>91002777</v>
      </c>
      <c r="F1604" s="20">
        <v>5790385.9000000004</v>
      </c>
      <c r="G1604" s="22">
        <v>46031</v>
      </c>
      <c r="H1604" t="s">
        <v>79</v>
      </c>
      <c r="I1604" s="51" t="str">
        <f>IFERROR(IF(VLOOKUP(E1604,extracto!C:C,1,FALSE)=E1604,"pagado","no pagado"),"no pagado")</f>
        <v>pagado</v>
      </c>
      <c r="J1604" s="52" t="str">
        <f t="shared" si="714"/>
        <v>pagado</v>
      </c>
      <c r="K1604" s="51" t="str">
        <f t="shared" ca="1" si="715"/>
        <v>excluir</v>
      </c>
      <c r="L1604" s="51" t="str">
        <f t="shared" ca="1" si="716"/>
        <v>no semana</v>
      </c>
      <c r="M1604" s="51" t="str">
        <f>IFERROR(VLOOKUP(E1604,'cheques a conf'!A:D,4,FALSE),"no clearing")</f>
        <v>no clearing</v>
      </c>
      <c r="N1604" s="51">
        <f t="shared" si="717"/>
        <v>2</v>
      </c>
      <c r="O1604" s="53">
        <f t="shared" si="718"/>
        <v>1</v>
      </c>
      <c r="P1604" s="53">
        <f t="shared" si="719"/>
        <v>2026</v>
      </c>
    </row>
    <row r="1605" spans="1:16" x14ac:dyDescent="0.25">
      <c r="A1605" s="21">
        <v>3000000059</v>
      </c>
      <c r="B1605" s="22">
        <v>46027</v>
      </c>
      <c r="C1605" s="20">
        <v>8065794.2999999998</v>
      </c>
      <c r="D1605" s="21" t="s">
        <v>606</v>
      </c>
      <c r="E1605" s="21">
        <v>91002778</v>
      </c>
      <c r="F1605" s="20">
        <v>8065794.2999999998</v>
      </c>
      <c r="G1605" s="22">
        <v>46031</v>
      </c>
      <c r="H1605" t="s">
        <v>79</v>
      </c>
      <c r="I1605" s="51" t="str">
        <f>IFERROR(IF(VLOOKUP(E1605,extracto!C:C,1,FALSE)=E1605,"pagado","no pagado"),"no pagado")</f>
        <v>pagado</v>
      </c>
      <c r="J1605" s="52" t="str">
        <f t="shared" si="714"/>
        <v>pagado</v>
      </c>
      <c r="K1605" s="51" t="str">
        <f t="shared" ca="1" si="715"/>
        <v>excluir</v>
      </c>
      <c r="L1605" s="51" t="str">
        <f t="shared" ca="1" si="716"/>
        <v>no semana</v>
      </c>
      <c r="M1605" s="51" t="str">
        <f>IFERROR(VLOOKUP(E1605,'cheques a conf'!A:D,4,FALSE),"no clearing")</f>
        <v>no clearing</v>
      </c>
      <c r="N1605" s="51">
        <f t="shared" si="717"/>
        <v>2</v>
      </c>
      <c r="O1605" s="53">
        <f t="shared" si="718"/>
        <v>1</v>
      </c>
      <c r="P1605" s="53">
        <f t="shared" si="719"/>
        <v>2026</v>
      </c>
    </row>
    <row r="1606" spans="1:16" x14ac:dyDescent="0.25">
      <c r="A1606" s="21">
        <v>3000000060</v>
      </c>
      <c r="B1606" s="22">
        <v>46027</v>
      </c>
      <c r="C1606" s="20">
        <v>4356152.75</v>
      </c>
      <c r="D1606" s="21" t="s">
        <v>633</v>
      </c>
      <c r="E1606" s="21">
        <v>91002779</v>
      </c>
      <c r="F1606" s="20">
        <v>4356152.75</v>
      </c>
      <c r="G1606" s="22">
        <v>46031</v>
      </c>
      <c r="H1606" t="s">
        <v>79</v>
      </c>
      <c r="I1606" s="51" t="str">
        <f>IFERROR(IF(VLOOKUP(E1606,extracto!C:C,1,FALSE)=E1606,"pagado","no pagado"),"no pagado")</f>
        <v>pagado</v>
      </c>
      <c r="J1606" s="52" t="str">
        <f t="shared" si="714"/>
        <v>pagado</v>
      </c>
      <c r="K1606" s="51" t="str">
        <f t="shared" ca="1" si="715"/>
        <v>excluir</v>
      </c>
      <c r="L1606" s="51" t="str">
        <f t="shared" ca="1" si="716"/>
        <v>no semana</v>
      </c>
      <c r="M1606" s="51" t="str">
        <f>IFERROR(VLOOKUP(E1606,'cheques a conf'!A:D,4,FALSE),"no clearing")</f>
        <v>no clearing</v>
      </c>
      <c r="N1606" s="51">
        <f t="shared" si="717"/>
        <v>2</v>
      </c>
      <c r="O1606" s="53">
        <f t="shared" si="718"/>
        <v>1</v>
      </c>
      <c r="P1606" s="53">
        <f t="shared" si="719"/>
        <v>2026</v>
      </c>
    </row>
    <row r="1607" spans="1:16" x14ac:dyDescent="0.25">
      <c r="A1607" s="21">
        <v>3000000105</v>
      </c>
      <c r="B1607" s="22">
        <v>46031</v>
      </c>
      <c r="C1607" s="20">
        <v>27643314.600000001</v>
      </c>
      <c r="D1607" s="21" t="s">
        <v>824</v>
      </c>
      <c r="E1607" s="21">
        <v>91002780</v>
      </c>
      <c r="F1607" s="20">
        <v>27643314.600000001</v>
      </c>
      <c r="G1607" s="3">
        <v>46035</v>
      </c>
      <c r="H1607" t="s">
        <v>79</v>
      </c>
      <c r="I1607" s="51" t="str">
        <f>IFERROR(IF(VLOOKUP(E1607,extracto!C:C,1,FALSE)=E1607,"pagado","no pagado"),"no pagado")</f>
        <v>pagado</v>
      </c>
      <c r="J1607" s="52" t="str">
        <f t="shared" si="714"/>
        <v>pagado</v>
      </c>
      <c r="K1607" s="51" t="str">
        <f t="shared" ca="1" si="715"/>
        <v>excluir</v>
      </c>
      <c r="L1607" s="51" t="str">
        <f t="shared" ca="1" si="716"/>
        <v>no semana</v>
      </c>
      <c r="M1607" s="51" t="str">
        <f>IFERROR(VLOOKUP(E1607,'cheques a conf'!A:D,4,FALSE),"no clearing")</f>
        <v>no clearing</v>
      </c>
      <c r="N1607" s="51">
        <f t="shared" si="717"/>
        <v>3</v>
      </c>
      <c r="O1607" s="53">
        <f t="shared" si="718"/>
        <v>1</v>
      </c>
      <c r="P1607" s="53">
        <f t="shared" si="719"/>
        <v>2026</v>
      </c>
    </row>
    <row r="1608" spans="1:16" x14ac:dyDescent="0.25">
      <c r="A1608" s="21">
        <v>3000000170</v>
      </c>
      <c r="B1608" s="22">
        <v>46034</v>
      </c>
      <c r="C1608" s="20">
        <v>180000000</v>
      </c>
      <c r="D1608" s="21" t="s">
        <v>595</v>
      </c>
      <c r="E1608" s="21">
        <v>91002784</v>
      </c>
      <c r="F1608" s="20">
        <v>180000000</v>
      </c>
      <c r="G1608" s="22">
        <v>46037</v>
      </c>
      <c r="H1608" t="s">
        <v>79</v>
      </c>
      <c r="I1608" s="51" t="str">
        <f>IFERROR(IF(VLOOKUP(E1608,extracto!C:C,1,FALSE)=E1608,"pagado","no pagado"),"no pagado")</f>
        <v>pagado</v>
      </c>
      <c r="J1608" s="52" t="str">
        <f t="shared" si="714"/>
        <v>pagado</v>
      </c>
      <c r="K1608" s="51" t="str">
        <f t="shared" ca="1" si="715"/>
        <v>excluir</v>
      </c>
      <c r="L1608" s="51" t="str">
        <f t="shared" ca="1" si="716"/>
        <v>no semana</v>
      </c>
      <c r="M1608" s="51" t="str">
        <f>IFERROR(VLOOKUP(E1608,'cheques a conf'!A:D,4,FALSE),"no clearing")</f>
        <v>no clearing</v>
      </c>
      <c r="N1608" s="51">
        <f t="shared" si="717"/>
        <v>3</v>
      </c>
      <c r="O1608" s="53">
        <f t="shared" si="718"/>
        <v>1</v>
      </c>
      <c r="P1608" s="53">
        <f t="shared" si="719"/>
        <v>2026</v>
      </c>
    </row>
    <row r="1609" spans="1:16" x14ac:dyDescent="0.25">
      <c r="A1609" s="21">
        <v>3000000170</v>
      </c>
      <c r="B1609" s="22">
        <v>46034</v>
      </c>
      <c r="C1609" s="20">
        <v>30000000</v>
      </c>
      <c r="D1609" s="21" t="s">
        <v>595</v>
      </c>
      <c r="E1609" s="21">
        <v>91002785</v>
      </c>
      <c r="F1609" s="20">
        <v>30000000</v>
      </c>
      <c r="G1609" s="22">
        <v>46038</v>
      </c>
      <c r="H1609" t="s">
        <v>79</v>
      </c>
      <c r="I1609" s="51" t="str">
        <f>IFERROR(IF(VLOOKUP(E1609,extracto!C:C,1,FALSE)=E1609,"pagado","no pagado"),"no pagado")</f>
        <v>pagado</v>
      </c>
      <c r="J1609" s="52" t="str">
        <f t="shared" si="714"/>
        <v>pagado</v>
      </c>
      <c r="K1609" s="51" t="str">
        <f t="shared" ca="1" si="715"/>
        <v>excluir</v>
      </c>
      <c r="L1609" s="51" t="str">
        <f t="shared" ca="1" si="716"/>
        <v>no semana</v>
      </c>
      <c r="M1609" s="51" t="str">
        <f>IFERROR(VLOOKUP(E1609,'cheques a conf'!A:D,4,FALSE),"no clearing")</f>
        <v>no clearing</v>
      </c>
      <c r="N1609" s="51">
        <f t="shared" si="717"/>
        <v>3</v>
      </c>
      <c r="O1609" s="53">
        <f t="shared" si="718"/>
        <v>1</v>
      </c>
      <c r="P1609" s="53">
        <f t="shared" si="719"/>
        <v>2026</v>
      </c>
    </row>
    <row r="1610" spans="1:16" x14ac:dyDescent="0.25">
      <c r="A1610" s="21">
        <v>3000000170</v>
      </c>
      <c r="B1610" s="22">
        <v>46034</v>
      </c>
      <c r="C1610" s="20">
        <v>22000000</v>
      </c>
      <c r="D1610" s="21" t="s">
        <v>595</v>
      </c>
      <c r="E1610" s="21">
        <v>91002786</v>
      </c>
      <c r="F1610" s="20">
        <v>22000000</v>
      </c>
      <c r="G1610" s="22">
        <v>46038</v>
      </c>
      <c r="H1610" t="s">
        <v>79</v>
      </c>
      <c r="I1610" s="51" t="str">
        <f>IFERROR(IF(VLOOKUP(E1610,extracto!C:C,1,FALSE)=E1610,"pagado","no pagado"),"no pagado")</f>
        <v>pagado</v>
      </c>
      <c r="J1610" s="52" t="str">
        <f t="shared" si="714"/>
        <v>pagado</v>
      </c>
      <c r="K1610" s="51" t="str">
        <f t="shared" ca="1" si="715"/>
        <v>excluir</v>
      </c>
      <c r="L1610" s="51" t="str">
        <f t="shared" ca="1" si="716"/>
        <v>no semana</v>
      </c>
      <c r="M1610" s="51" t="str">
        <f>IFERROR(VLOOKUP(E1610,'cheques a conf'!A:D,4,FALSE),"no clearing")</f>
        <v>no clearing</v>
      </c>
      <c r="N1610" s="51">
        <f t="shared" si="717"/>
        <v>3</v>
      </c>
      <c r="O1610" s="53">
        <f t="shared" si="718"/>
        <v>1</v>
      </c>
      <c r="P1610" s="53">
        <f t="shared" si="719"/>
        <v>2026</v>
      </c>
    </row>
    <row r="1611" spans="1:16" x14ac:dyDescent="0.25">
      <c r="A1611" s="21">
        <v>3000000170</v>
      </c>
      <c r="B1611" s="22">
        <v>46034</v>
      </c>
      <c r="C1611" s="20">
        <v>15000000</v>
      </c>
      <c r="D1611" s="21" t="s">
        <v>595</v>
      </c>
      <c r="E1611" s="21">
        <v>91002787</v>
      </c>
      <c r="F1611" s="20">
        <v>15000000</v>
      </c>
      <c r="G1611" s="22">
        <v>46037</v>
      </c>
      <c r="H1611" t="s">
        <v>79</v>
      </c>
      <c r="I1611" s="51" t="str">
        <f>IFERROR(IF(VLOOKUP(E1611,extracto!C:C,1,FALSE)=E1611,"pagado","no pagado"),"no pagado")</f>
        <v>pagado</v>
      </c>
      <c r="J1611" s="52" t="str">
        <f t="shared" ref="J1611:J1616" si="720">IF(I1611="pagado","pagado",IF(G1611&lt;$V$1-30,"fuera de fecha","en periodo de pago"))</f>
        <v>pagado</v>
      </c>
      <c r="K1611" s="51" t="str">
        <f t="shared" ref="K1611:K1616" ca="1" si="721">+IF(B1611&gt;$V$1,"excluir",IF(J1611="en periodo de pago",IF($V$1&gt;G1611,"a pagar","proximo a vencer"),"excluir"))</f>
        <v>excluir</v>
      </c>
      <c r="L1611" s="51" t="str">
        <f t="shared" ref="L1611:L1616" ca="1" si="722">+IF(K1611="proximo a vencer",IF($V$1+5&gt;G1611,"para la semana","no semana"),"no semana")</f>
        <v>no semana</v>
      </c>
      <c r="M1611" s="51" t="str">
        <f>IFERROR(VLOOKUP(E1611,'cheques a conf'!A:D,4,FALSE),"no clearing")</f>
        <v>no clearing</v>
      </c>
      <c r="N1611" s="51">
        <f t="shared" ref="N1611:N1616" si="723">+WEEKNUM(G1611,2)</f>
        <v>3</v>
      </c>
      <c r="O1611" s="53">
        <f t="shared" ref="O1611:O1616" si="724">+MONTH(G1611)</f>
        <v>1</v>
      </c>
      <c r="P1611" s="53">
        <f t="shared" ref="P1611:P1616" si="725">+YEAR(G1611)</f>
        <v>2026</v>
      </c>
    </row>
    <row r="1612" spans="1:16" x14ac:dyDescent="0.25">
      <c r="A1612" s="21">
        <v>3000000170</v>
      </c>
      <c r="B1612" s="22">
        <v>46034</v>
      </c>
      <c r="C1612" s="20">
        <v>15000000</v>
      </c>
      <c r="D1612" s="21" t="s">
        <v>595</v>
      </c>
      <c r="E1612" s="21">
        <v>91002788</v>
      </c>
      <c r="F1612" s="20">
        <v>15000000</v>
      </c>
      <c r="G1612" s="22">
        <v>46037</v>
      </c>
      <c r="H1612" t="s">
        <v>79</v>
      </c>
      <c r="I1612" s="51" t="str">
        <f>IFERROR(IF(VLOOKUP(E1612,extracto!C:C,1,FALSE)=E1612,"pagado","no pagado"),"no pagado")</f>
        <v>pagado</v>
      </c>
      <c r="J1612" s="52" t="str">
        <f t="shared" si="720"/>
        <v>pagado</v>
      </c>
      <c r="K1612" s="51" t="str">
        <f t="shared" ca="1" si="721"/>
        <v>excluir</v>
      </c>
      <c r="L1612" s="51" t="str">
        <f t="shared" ca="1" si="722"/>
        <v>no semana</v>
      </c>
      <c r="M1612" s="51" t="str">
        <f>IFERROR(VLOOKUP(E1612,'cheques a conf'!A:D,4,FALSE),"no clearing")</f>
        <v>no clearing</v>
      </c>
      <c r="N1612" s="51">
        <f t="shared" si="723"/>
        <v>3</v>
      </c>
      <c r="O1612" s="53">
        <f t="shared" si="724"/>
        <v>1</v>
      </c>
      <c r="P1612" s="53">
        <f t="shared" si="725"/>
        <v>2026</v>
      </c>
    </row>
    <row r="1613" spans="1:16" x14ac:dyDescent="0.25">
      <c r="A1613" s="21">
        <v>3000000170</v>
      </c>
      <c r="B1613" s="22">
        <v>46034</v>
      </c>
      <c r="C1613" s="20">
        <v>6283909.9400000004</v>
      </c>
      <c r="D1613" s="21" t="s">
        <v>595</v>
      </c>
      <c r="E1613" s="21">
        <v>91002789</v>
      </c>
      <c r="F1613" s="20">
        <v>6283909.9400000004</v>
      </c>
      <c r="G1613" s="22">
        <v>46038</v>
      </c>
      <c r="H1613" t="s">
        <v>79</v>
      </c>
      <c r="I1613" s="51" t="str">
        <f>IFERROR(IF(VLOOKUP(E1613,extracto!C:C,1,FALSE)=E1613,"pagado","no pagado"),"no pagado")</f>
        <v>pagado</v>
      </c>
      <c r="J1613" s="52" t="str">
        <f t="shared" si="720"/>
        <v>pagado</v>
      </c>
      <c r="K1613" s="51" t="str">
        <f t="shared" ca="1" si="721"/>
        <v>excluir</v>
      </c>
      <c r="L1613" s="51" t="str">
        <f t="shared" ca="1" si="722"/>
        <v>no semana</v>
      </c>
      <c r="M1613" s="51" t="str">
        <f>IFERROR(VLOOKUP(E1613,'cheques a conf'!A:D,4,FALSE),"no clearing")</f>
        <v>no clearing</v>
      </c>
      <c r="N1613" s="51">
        <f t="shared" si="723"/>
        <v>3</v>
      </c>
      <c r="O1613" s="53">
        <f t="shared" si="724"/>
        <v>1</v>
      </c>
      <c r="P1613" s="53">
        <f t="shared" si="725"/>
        <v>2026</v>
      </c>
    </row>
    <row r="1614" spans="1:16" x14ac:dyDescent="0.25">
      <c r="A1614" s="21">
        <v>3000000167</v>
      </c>
      <c r="B1614" s="22">
        <v>46034</v>
      </c>
      <c r="C1614" s="20">
        <v>7984587.8899999997</v>
      </c>
      <c r="D1614" s="21" t="s">
        <v>600</v>
      </c>
      <c r="E1614" s="21">
        <v>91002781</v>
      </c>
      <c r="F1614" s="20">
        <v>7984587.8899999997</v>
      </c>
      <c r="G1614" s="22">
        <v>46036</v>
      </c>
      <c r="H1614" t="s">
        <v>79</v>
      </c>
      <c r="I1614" s="51" t="str">
        <f>IFERROR(IF(VLOOKUP(E1614,extracto!C:C,1,FALSE)=E1614,"pagado","no pagado"),"no pagado")</f>
        <v>pagado</v>
      </c>
      <c r="J1614" s="52" t="str">
        <f t="shared" si="720"/>
        <v>pagado</v>
      </c>
      <c r="K1614" s="51" t="str">
        <f t="shared" ca="1" si="721"/>
        <v>excluir</v>
      </c>
      <c r="L1614" s="51" t="str">
        <f t="shared" ca="1" si="722"/>
        <v>no semana</v>
      </c>
      <c r="M1614" s="51" t="str">
        <f>IFERROR(VLOOKUP(E1614,'cheques a conf'!A:D,4,FALSE),"no clearing")</f>
        <v>no clearing</v>
      </c>
      <c r="N1614" s="51">
        <f t="shared" si="723"/>
        <v>3</v>
      </c>
      <c r="O1614" s="53">
        <f t="shared" si="724"/>
        <v>1</v>
      </c>
      <c r="P1614" s="53">
        <f t="shared" si="725"/>
        <v>2026</v>
      </c>
    </row>
    <row r="1615" spans="1:16" x14ac:dyDescent="0.25">
      <c r="A1615" s="21">
        <v>3000000168</v>
      </c>
      <c r="B1615" s="22">
        <v>46034</v>
      </c>
      <c r="C1615" s="20">
        <v>6943987.5</v>
      </c>
      <c r="D1615" s="21" t="s">
        <v>823</v>
      </c>
      <c r="E1615" s="21">
        <v>91002782</v>
      </c>
      <c r="F1615" s="20">
        <v>6943987.5</v>
      </c>
      <c r="G1615" s="22">
        <v>46038</v>
      </c>
      <c r="H1615" t="s">
        <v>79</v>
      </c>
      <c r="I1615" s="51" t="str">
        <f>IFERROR(IF(VLOOKUP(E1615,extracto!C:C,1,FALSE)=E1615,"pagado","no pagado"),"no pagado")</f>
        <v>pagado</v>
      </c>
      <c r="J1615" s="52" t="str">
        <f t="shared" si="720"/>
        <v>pagado</v>
      </c>
      <c r="K1615" s="51" t="str">
        <f t="shared" ca="1" si="721"/>
        <v>excluir</v>
      </c>
      <c r="L1615" s="51" t="str">
        <f t="shared" ca="1" si="722"/>
        <v>no semana</v>
      </c>
      <c r="M1615" s="51" t="str">
        <f>IFERROR(VLOOKUP(E1615,'cheques a conf'!A:D,4,FALSE),"no clearing")</f>
        <v>no clearing</v>
      </c>
      <c r="N1615" s="51">
        <f t="shared" si="723"/>
        <v>3</v>
      </c>
      <c r="O1615" s="53">
        <f t="shared" si="724"/>
        <v>1</v>
      </c>
      <c r="P1615" s="53">
        <f t="shared" si="725"/>
        <v>2026</v>
      </c>
    </row>
    <row r="1616" spans="1:16" x14ac:dyDescent="0.25">
      <c r="A1616" s="21">
        <v>3000000169</v>
      </c>
      <c r="B1616" s="22">
        <v>46034</v>
      </c>
      <c r="C1616" s="20">
        <v>5050299.0199999996</v>
      </c>
      <c r="D1616" s="21" t="s">
        <v>723</v>
      </c>
      <c r="E1616" s="21">
        <v>91002783</v>
      </c>
      <c r="F1616" s="20">
        <v>5050299.0199999996</v>
      </c>
      <c r="G1616" s="22">
        <v>46038</v>
      </c>
      <c r="H1616" t="s">
        <v>79</v>
      </c>
      <c r="I1616" s="51" t="str">
        <f>IFERROR(IF(VLOOKUP(E1616,extracto!C:C,1,FALSE)=E1616,"pagado","no pagado"),"no pagado")</f>
        <v>pagado</v>
      </c>
      <c r="J1616" s="52" t="str">
        <f t="shared" si="720"/>
        <v>pagado</v>
      </c>
      <c r="K1616" s="51" t="str">
        <f t="shared" ca="1" si="721"/>
        <v>excluir</v>
      </c>
      <c r="L1616" s="51" t="str">
        <f t="shared" ca="1" si="722"/>
        <v>no semana</v>
      </c>
      <c r="M1616" s="51" t="str">
        <f>IFERROR(VLOOKUP(E1616,'cheques a conf'!A:D,4,FALSE),"no clearing")</f>
        <v>no clearing</v>
      </c>
      <c r="N1616" s="51">
        <f t="shared" si="723"/>
        <v>3</v>
      </c>
      <c r="O1616" s="53">
        <f t="shared" si="724"/>
        <v>1</v>
      </c>
      <c r="P1616" s="53">
        <f t="shared" si="725"/>
        <v>2026</v>
      </c>
    </row>
    <row r="1617" spans="1:16" x14ac:dyDescent="0.25">
      <c r="A1617" s="21">
        <v>3000000171</v>
      </c>
      <c r="B1617" s="22">
        <v>46034</v>
      </c>
      <c r="C1617" s="20">
        <v>5608563.4000000004</v>
      </c>
      <c r="D1617" s="21" t="s">
        <v>825</v>
      </c>
      <c r="E1617" s="21">
        <v>91002790</v>
      </c>
      <c r="F1617" s="20">
        <v>5608563.4000000004</v>
      </c>
      <c r="G1617" s="22">
        <v>46041</v>
      </c>
      <c r="H1617" t="s">
        <v>79</v>
      </c>
      <c r="I1617" s="51" t="str">
        <f>IFERROR(IF(VLOOKUP(E1617,extracto!C:C,1,FALSE)=E1617,"pagado","no pagado"),"no pagado")</f>
        <v>pagado</v>
      </c>
      <c r="J1617" s="52" t="str">
        <f t="shared" ref="J1617:J1643" si="726">IF(I1617="pagado","pagado",IF(G1617&lt;$V$1-30,"fuera de fecha","en periodo de pago"))</f>
        <v>pagado</v>
      </c>
      <c r="K1617" s="51" t="str">
        <f t="shared" ref="K1617:K1643" ca="1" si="727">+IF(B1617&gt;$V$1,"excluir",IF(J1617="en periodo de pago",IF($V$1&gt;G1617,"a pagar","proximo a vencer"),"excluir"))</f>
        <v>excluir</v>
      </c>
      <c r="L1617" s="51" t="str">
        <f t="shared" ref="L1617:L1643" ca="1" si="728">+IF(K1617="proximo a vencer",IF($V$1+5&gt;G1617,"para la semana","no semana"),"no semana")</f>
        <v>no semana</v>
      </c>
      <c r="M1617" s="51" t="str">
        <f>IFERROR(VLOOKUP(E1617,'cheques a conf'!A:D,4,FALSE),"no clearing")</f>
        <v>no clearing</v>
      </c>
      <c r="N1617" s="51">
        <f t="shared" ref="N1617:N1643" si="729">+WEEKNUM(G1617,2)</f>
        <v>4</v>
      </c>
      <c r="O1617" s="53">
        <f t="shared" ref="O1617:O1643" si="730">+MONTH(G1617)</f>
        <v>1</v>
      </c>
      <c r="P1617" s="53">
        <f t="shared" ref="P1617:P1643" si="731">+YEAR(G1617)</f>
        <v>2026</v>
      </c>
    </row>
    <row r="1618" spans="1:16" x14ac:dyDescent="0.25">
      <c r="A1618" s="21">
        <v>3000000172</v>
      </c>
      <c r="B1618" s="22">
        <v>46034</v>
      </c>
      <c r="C1618" s="20">
        <v>9496593.4000000004</v>
      </c>
      <c r="D1618" s="21" t="s">
        <v>627</v>
      </c>
      <c r="E1618" s="21">
        <v>91002791</v>
      </c>
      <c r="F1618" s="20">
        <v>9496593.4000000004</v>
      </c>
      <c r="G1618" s="22">
        <v>46037</v>
      </c>
      <c r="H1618" t="s">
        <v>79</v>
      </c>
      <c r="I1618" s="51" t="str">
        <f>IFERROR(IF(VLOOKUP(E1618,extracto!C:C,1,FALSE)=E1618,"pagado","no pagado"),"no pagado")</f>
        <v>pagado</v>
      </c>
      <c r="J1618" s="52" t="str">
        <f t="shared" si="726"/>
        <v>pagado</v>
      </c>
      <c r="K1618" s="51" t="str">
        <f t="shared" ca="1" si="727"/>
        <v>excluir</v>
      </c>
      <c r="L1618" s="51" t="str">
        <f t="shared" ca="1" si="728"/>
        <v>no semana</v>
      </c>
      <c r="M1618" s="51" t="str">
        <f>IFERROR(VLOOKUP(E1618,'cheques a conf'!A:D,4,FALSE),"no clearing")</f>
        <v>no clearing</v>
      </c>
      <c r="N1618" s="51">
        <f t="shared" si="729"/>
        <v>3</v>
      </c>
      <c r="O1618" s="53">
        <f t="shared" si="730"/>
        <v>1</v>
      </c>
      <c r="P1618" s="53">
        <f t="shared" si="731"/>
        <v>2026</v>
      </c>
    </row>
    <row r="1619" spans="1:16" x14ac:dyDescent="0.25">
      <c r="A1619" s="21">
        <v>3000000173</v>
      </c>
      <c r="B1619" s="22">
        <v>46034</v>
      </c>
      <c r="C1619" s="20">
        <v>14212748.4</v>
      </c>
      <c r="D1619" s="21" t="s">
        <v>39</v>
      </c>
      <c r="E1619" s="21">
        <v>91002792</v>
      </c>
      <c r="F1619" s="20">
        <v>14212748.4</v>
      </c>
      <c r="G1619" s="22">
        <v>46037</v>
      </c>
      <c r="H1619" t="s">
        <v>79</v>
      </c>
      <c r="I1619" s="51" t="str">
        <f>IFERROR(IF(VLOOKUP(E1619,extracto!C:C,1,FALSE)=E1619,"pagado","no pagado"),"no pagado")</f>
        <v>pagado</v>
      </c>
      <c r="J1619" s="52" t="str">
        <f t="shared" si="726"/>
        <v>pagado</v>
      </c>
      <c r="K1619" s="51" t="str">
        <f t="shared" ca="1" si="727"/>
        <v>excluir</v>
      </c>
      <c r="L1619" s="51" t="str">
        <f t="shared" ca="1" si="728"/>
        <v>no semana</v>
      </c>
      <c r="M1619" s="51" t="str">
        <f>IFERROR(VLOOKUP(E1619,'cheques a conf'!A:D,4,FALSE),"no clearing")</f>
        <v>no clearing</v>
      </c>
      <c r="N1619" s="51">
        <f t="shared" si="729"/>
        <v>3</v>
      </c>
      <c r="O1619" s="53">
        <f t="shared" si="730"/>
        <v>1</v>
      </c>
      <c r="P1619" s="53">
        <f t="shared" si="731"/>
        <v>2026</v>
      </c>
    </row>
    <row r="1620" spans="1:16" x14ac:dyDescent="0.25">
      <c r="A1620" s="21">
        <v>3000000174</v>
      </c>
      <c r="B1620" s="22">
        <v>46034</v>
      </c>
      <c r="C1620" s="20">
        <v>14524218.029999999</v>
      </c>
      <c r="D1620" s="21" t="s">
        <v>84</v>
      </c>
      <c r="E1620" s="21">
        <v>91002793</v>
      </c>
      <c r="F1620" s="20">
        <v>14524218.029999999</v>
      </c>
      <c r="G1620" s="22">
        <v>46038</v>
      </c>
      <c r="H1620" t="s">
        <v>79</v>
      </c>
      <c r="I1620" s="51" t="str">
        <f>IFERROR(IF(VLOOKUP(E1620,extracto!C:C,1,FALSE)=E1620,"pagado","no pagado"),"no pagado")</f>
        <v>pagado</v>
      </c>
      <c r="J1620" s="52" t="str">
        <f t="shared" si="726"/>
        <v>pagado</v>
      </c>
      <c r="K1620" s="51" t="str">
        <f t="shared" ca="1" si="727"/>
        <v>excluir</v>
      </c>
      <c r="L1620" s="51" t="str">
        <f t="shared" ca="1" si="728"/>
        <v>no semana</v>
      </c>
      <c r="M1620" s="51" t="str">
        <f>IFERROR(VLOOKUP(E1620,'cheques a conf'!A:D,4,FALSE),"no clearing")</f>
        <v>no clearing</v>
      </c>
      <c r="N1620" s="51">
        <f t="shared" si="729"/>
        <v>3</v>
      </c>
      <c r="O1620" s="53">
        <f t="shared" si="730"/>
        <v>1</v>
      </c>
      <c r="P1620" s="53">
        <f t="shared" si="731"/>
        <v>2026</v>
      </c>
    </row>
    <row r="1621" spans="1:16" x14ac:dyDescent="0.25">
      <c r="A1621" s="21">
        <v>3000000218</v>
      </c>
      <c r="B1621" s="22">
        <v>46036</v>
      </c>
      <c r="C1621" s="20">
        <v>10513957.99</v>
      </c>
      <c r="D1621" s="21" t="s">
        <v>618</v>
      </c>
      <c r="E1621" s="21">
        <v>91002794</v>
      </c>
      <c r="F1621" s="20">
        <v>10513957.99</v>
      </c>
      <c r="G1621" s="22">
        <v>46041</v>
      </c>
      <c r="H1621" t="s">
        <v>79</v>
      </c>
      <c r="I1621" s="51" t="str">
        <f>IFERROR(IF(VLOOKUP(E1621,extracto!C:C,1,FALSE)=E1621,"pagado","no pagado"),"no pagado")</f>
        <v>pagado</v>
      </c>
      <c r="J1621" s="52" t="str">
        <f t="shared" si="726"/>
        <v>pagado</v>
      </c>
      <c r="K1621" s="51" t="str">
        <f t="shared" ca="1" si="727"/>
        <v>excluir</v>
      </c>
      <c r="L1621" s="51" t="str">
        <f t="shared" ca="1" si="728"/>
        <v>no semana</v>
      </c>
      <c r="M1621" s="51" t="str">
        <f>IFERROR(VLOOKUP(E1621,'cheques a conf'!A:D,4,FALSE),"no clearing")</f>
        <v>no clearing</v>
      </c>
      <c r="N1621" s="51">
        <f t="shared" si="729"/>
        <v>4</v>
      </c>
      <c r="O1621" s="53">
        <f t="shared" si="730"/>
        <v>1</v>
      </c>
      <c r="P1621" s="53">
        <f t="shared" si="731"/>
        <v>2026</v>
      </c>
    </row>
    <row r="1622" spans="1:16" x14ac:dyDescent="0.25">
      <c r="A1622" s="21">
        <v>3000000219</v>
      </c>
      <c r="B1622" s="22">
        <v>46036</v>
      </c>
      <c r="C1622" s="20">
        <v>6773476.4000000004</v>
      </c>
      <c r="D1622" s="21" t="s">
        <v>612</v>
      </c>
      <c r="E1622" s="21">
        <v>91002795</v>
      </c>
      <c r="F1622" s="20">
        <v>6773476.4000000004</v>
      </c>
      <c r="G1622" s="22">
        <v>46041</v>
      </c>
      <c r="H1622" t="s">
        <v>79</v>
      </c>
      <c r="I1622" s="51" t="str">
        <f>IFERROR(IF(VLOOKUP(E1622,extracto!C:C,1,FALSE)=E1622,"pagado","no pagado"),"no pagado")</f>
        <v>pagado</v>
      </c>
      <c r="J1622" s="52" t="str">
        <f t="shared" si="726"/>
        <v>pagado</v>
      </c>
      <c r="K1622" s="51" t="str">
        <f t="shared" ca="1" si="727"/>
        <v>excluir</v>
      </c>
      <c r="L1622" s="51" t="str">
        <f t="shared" ca="1" si="728"/>
        <v>no semana</v>
      </c>
      <c r="M1622" s="51" t="str">
        <f>IFERROR(VLOOKUP(E1622,'cheques a conf'!A:D,4,FALSE),"no clearing")</f>
        <v>no clearing</v>
      </c>
      <c r="N1622" s="51">
        <f t="shared" si="729"/>
        <v>4</v>
      </c>
      <c r="O1622" s="53">
        <f t="shared" si="730"/>
        <v>1</v>
      </c>
      <c r="P1622" s="53">
        <f t="shared" si="731"/>
        <v>2026</v>
      </c>
    </row>
    <row r="1623" spans="1:16" x14ac:dyDescent="0.25">
      <c r="A1623" s="21">
        <v>3000000220</v>
      </c>
      <c r="B1623" s="22">
        <v>46036</v>
      </c>
      <c r="C1623" s="20">
        <v>8974159.4199999999</v>
      </c>
      <c r="D1623" s="21" t="s">
        <v>616</v>
      </c>
      <c r="E1623" s="21">
        <v>91002796</v>
      </c>
      <c r="F1623" s="20">
        <v>8974159.4199999999</v>
      </c>
      <c r="G1623" s="22">
        <v>46041</v>
      </c>
      <c r="H1623" t="s">
        <v>79</v>
      </c>
      <c r="I1623" s="51" t="str">
        <f>IFERROR(IF(VLOOKUP(E1623,extracto!C:C,1,FALSE)=E1623,"pagado","no pagado"),"no pagado")</f>
        <v>pagado</v>
      </c>
      <c r="J1623" s="52" t="str">
        <f t="shared" si="726"/>
        <v>pagado</v>
      </c>
      <c r="K1623" s="51" t="str">
        <f t="shared" ca="1" si="727"/>
        <v>excluir</v>
      </c>
      <c r="L1623" s="51" t="str">
        <f t="shared" ca="1" si="728"/>
        <v>no semana</v>
      </c>
      <c r="M1623" s="51" t="str">
        <f>IFERROR(VLOOKUP(E1623,'cheques a conf'!A:D,4,FALSE),"no clearing")</f>
        <v>no clearing</v>
      </c>
      <c r="N1623" s="51">
        <f t="shared" si="729"/>
        <v>4</v>
      </c>
      <c r="O1623" s="53">
        <f t="shared" si="730"/>
        <v>1</v>
      </c>
      <c r="P1623" s="53">
        <f t="shared" si="731"/>
        <v>2026</v>
      </c>
    </row>
    <row r="1624" spans="1:16" x14ac:dyDescent="0.25">
      <c r="A1624" s="21">
        <v>3000000221</v>
      </c>
      <c r="B1624" s="22">
        <v>46036</v>
      </c>
      <c r="C1624" s="20">
        <v>8973991.5</v>
      </c>
      <c r="D1624" s="21" t="s">
        <v>619</v>
      </c>
      <c r="E1624" s="21">
        <v>91002797</v>
      </c>
      <c r="F1624" s="20">
        <v>8973991.5</v>
      </c>
      <c r="G1624" s="22">
        <v>46041</v>
      </c>
      <c r="H1624" t="s">
        <v>79</v>
      </c>
      <c r="I1624" s="51" t="str">
        <f>IFERROR(IF(VLOOKUP(E1624,extracto!C:C,1,FALSE)=E1624,"pagado","no pagado"),"no pagado")</f>
        <v>pagado</v>
      </c>
      <c r="J1624" s="52" t="str">
        <f t="shared" si="726"/>
        <v>pagado</v>
      </c>
      <c r="K1624" s="51" t="str">
        <f t="shared" ca="1" si="727"/>
        <v>excluir</v>
      </c>
      <c r="L1624" s="51" t="str">
        <f t="shared" ca="1" si="728"/>
        <v>no semana</v>
      </c>
      <c r="M1624" s="51" t="str">
        <f>IFERROR(VLOOKUP(E1624,'cheques a conf'!A:D,4,FALSE),"no clearing")</f>
        <v>no clearing</v>
      </c>
      <c r="N1624" s="51">
        <f t="shared" si="729"/>
        <v>4</v>
      </c>
      <c r="O1624" s="53">
        <f t="shared" si="730"/>
        <v>1</v>
      </c>
      <c r="P1624" s="53">
        <f t="shared" si="731"/>
        <v>2026</v>
      </c>
    </row>
    <row r="1625" spans="1:16" x14ac:dyDescent="0.25">
      <c r="A1625" s="21">
        <v>3000000222</v>
      </c>
      <c r="B1625" s="22">
        <v>46036</v>
      </c>
      <c r="C1625" s="20">
        <v>13145224.51</v>
      </c>
      <c r="D1625" s="21" t="s">
        <v>642</v>
      </c>
      <c r="E1625" s="21">
        <v>91002798</v>
      </c>
      <c r="F1625" s="20">
        <v>13145224.51</v>
      </c>
      <c r="G1625" s="22">
        <v>46041</v>
      </c>
      <c r="H1625" t="s">
        <v>79</v>
      </c>
      <c r="I1625" s="51" t="str">
        <f>IFERROR(IF(VLOOKUP(E1625,extracto!C:C,1,FALSE)=E1625,"pagado","no pagado"),"no pagado")</f>
        <v>pagado</v>
      </c>
      <c r="J1625" s="52" t="str">
        <f t="shared" si="726"/>
        <v>pagado</v>
      </c>
      <c r="K1625" s="51" t="str">
        <f t="shared" ca="1" si="727"/>
        <v>excluir</v>
      </c>
      <c r="L1625" s="51" t="str">
        <f t="shared" ca="1" si="728"/>
        <v>no semana</v>
      </c>
      <c r="M1625" s="51" t="str">
        <f>IFERROR(VLOOKUP(E1625,'cheques a conf'!A:D,4,FALSE),"no clearing")</f>
        <v>no clearing</v>
      </c>
      <c r="N1625" s="51">
        <f t="shared" si="729"/>
        <v>4</v>
      </c>
      <c r="O1625" s="53">
        <f t="shared" si="730"/>
        <v>1</v>
      </c>
      <c r="P1625" s="53">
        <f t="shared" si="731"/>
        <v>2026</v>
      </c>
    </row>
    <row r="1626" spans="1:16" x14ac:dyDescent="0.25">
      <c r="A1626" s="21">
        <v>3000000223</v>
      </c>
      <c r="B1626" s="22">
        <v>46036</v>
      </c>
      <c r="C1626" s="20">
        <v>25360825.710000001</v>
      </c>
      <c r="D1626" s="21" t="s">
        <v>613</v>
      </c>
      <c r="E1626" s="21">
        <v>91002799</v>
      </c>
      <c r="F1626" s="20">
        <v>25360825.710000001</v>
      </c>
      <c r="G1626" s="22">
        <v>46041</v>
      </c>
      <c r="H1626" t="s">
        <v>79</v>
      </c>
      <c r="I1626" s="51" t="str">
        <f>IFERROR(IF(VLOOKUP(E1626,extracto!C:C,1,FALSE)=E1626,"pagado","no pagado"),"no pagado")</f>
        <v>pagado</v>
      </c>
      <c r="J1626" s="52" t="str">
        <f t="shared" si="726"/>
        <v>pagado</v>
      </c>
      <c r="K1626" s="51" t="str">
        <f t="shared" ca="1" si="727"/>
        <v>excluir</v>
      </c>
      <c r="L1626" s="51" t="str">
        <f t="shared" ca="1" si="728"/>
        <v>no semana</v>
      </c>
      <c r="M1626" s="51" t="str">
        <f>IFERROR(VLOOKUP(E1626,'cheques a conf'!A:D,4,FALSE),"no clearing")</f>
        <v>no clearing</v>
      </c>
      <c r="N1626" s="51">
        <f t="shared" si="729"/>
        <v>4</v>
      </c>
      <c r="O1626" s="53">
        <f t="shared" si="730"/>
        <v>1</v>
      </c>
      <c r="P1626" s="53">
        <f t="shared" si="731"/>
        <v>2026</v>
      </c>
    </row>
    <row r="1627" spans="1:16" x14ac:dyDescent="0.25">
      <c r="A1627">
        <v>3000000301</v>
      </c>
      <c r="B1627" s="3">
        <v>46041</v>
      </c>
      <c r="C1627" s="4">
        <v>12000000</v>
      </c>
      <c r="D1627" t="s">
        <v>619</v>
      </c>
      <c r="E1627">
        <v>91002810</v>
      </c>
      <c r="F1627" s="4">
        <v>12000000</v>
      </c>
      <c r="G1627" s="3">
        <v>46044</v>
      </c>
      <c r="H1627" t="s">
        <v>79</v>
      </c>
      <c r="I1627" s="51" t="str">
        <f>IFERROR(IF(VLOOKUP(E1627,extracto!C:C,1,FALSE)=E1627,"pagado","no pagado"),"no pagado")</f>
        <v>pagado</v>
      </c>
      <c r="J1627" s="52" t="str">
        <f t="shared" si="726"/>
        <v>pagado</v>
      </c>
      <c r="K1627" s="51" t="str">
        <f t="shared" ca="1" si="727"/>
        <v>excluir</v>
      </c>
      <c r="L1627" s="51" t="str">
        <f t="shared" ca="1" si="728"/>
        <v>no semana</v>
      </c>
      <c r="M1627" s="51" t="str">
        <f>IFERROR(VLOOKUP(E1627,'cheques a conf'!A:D,4,FALSE),"no clearing")</f>
        <v>no clearing</v>
      </c>
      <c r="N1627" s="51">
        <f t="shared" si="729"/>
        <v>4</v>
      </c>
      <c r="O1627" s="53">
        <f t="shared" si="730"/>
        <v>1</v>
      </c>
      <c r="P1627" s="53">
        <f t="shared" si="731"/>
        <v>2026</v>
      </c>
    </row>
    <row r="1628" spans="1:16" x14ac:dyDescent="0.25">
      <c r="A1628">
        <v>3000000301</v>
      </c>
      <c r="B1628" s="3">
        <v>46041</v>
      </c>
      <c r="C1628" s="4">
        <v>12551486.539999999</v>
      </c>
      <c r="D1628" t="s">
        <v>619</v>
      </c>
      <c r="E1628">
        <v>91002811</v>
      </c>
      <c r="F1628" s="4">
        <v>12551486.539999999</v>
      </c>
      <c r="G1628" s="3">
        <v>46045</v>
      </c>
      <c r="H1628" t="s">
        <v>79</v>
      </c>
      <c r="I1628" s="51" t="str">
        <f>IFERROR(IF(VLOOKUP(E1628,extracto!C:C,1,FALSE)=E1628,"pagado","no pagado"),"no pagado")</f>
        <v>pagado</v>
      </c>
      <c r="J1628" s="52" t="str">
        <f t="shared" si="726"/>
        <v>pagado</v>
      </c>
      <c r="K1628" s="51" t="str">
        <f t="shared" ca="1" si="727"/>
        <v>excluir</v>
      </c>
      <c r="L1628" s="51" t="str">
        <f t="shared" ca="1" si="728"/>
        <v>no semana</v>
      </c>
      <c r="M1628" s="51" t="str">
        <f>IFERROR(VLOOKUP(E1628,'cheques a conf'!A:D,4,FALSE),"no clearing")</f>
        <v>no clearing</v>
      </c>
      <c r="N1628" s="51">
        <f t="shared" si="729"/>
        <v>4</v>
      </c>
      <c r="O1628" s="53">
        <f t="shared" si="730"/>
        <v>1</v>
      </c>
      <c r="P1628" s="53">
        <f t="shared" si="731"/>
        <v>2026</v>
      </c>
    </row>
    <row r="1629" spans="1:16" x14ac:dyDescent="0.25">
      <c r="A1629">
        <v>3000000302</v>
      </c>
      <c r="B1629" s="3">
        <v>46041</v>
      </c>
      <c r="C1629" s="4">
        <v>22000000</v>
      </c>
      <c r="D1629" t="s">
        <v>629</v>
      </c>
      <c r="E1629">
        <v>91002812</v>
      </c>
      <c r="F1629" s="4">
        <v>22000000</v>
      </c>
      <c r="G1629" s="3">
        <v>46044</v>
      </c>
      <c r="H1629" t="s">
        <v>79</v>
      </c>
      <c r="I1629" s="51" t="str">
        <f>IFERROR(IF(VLOOKUP(E1629,extracto!C:C,1,FALSE)=E1629,"pagado","no pagado"),"no pagado")</f>
        <v>pagado</v>
      </c>
      <c r="J1629" s="52" t="str">
        <f t="shared" si="726"/>
        <v>pagado</v>
      </c>
      <c r="K1629" s="51" t="str">
        <f t="shared" ca="1" si="727"/>
        <v>excluir</v>
      </c>
      <c r="L1629" s="51" t="str">
        <f t="shared" ca="1" si="728"/>
        <v>no semana</v>
      </c>
      <c r="M1629" s="51" t="str">
        <f>IFERROR(VLOOKUP(E1629,'cheques a conf'!A:D,4,FALSE),"no clearing")</f>
        <v>no clearing</v>
      </c>
      <c r="N1629" s="51">
        <f t="shared" si="729"/>
        <v>4</v>
      </c>
      <c r="O1629" s="53">
        <f t="shared" si="730"/>
        <v>1</v>
      </c>
      <c r="P1629" s="53">
        <f t="shared" si="731"/>
        <v>2026</v>
      </c>
    </row>
    <row r="1630" spans="1:16" x14ac:dyDescent="0.25">
      <c r="A1630">
        <v>3000000302</v>
      </c>
      <c r="B1630" s="3">
        <v>46041</v>
      </c>
      <c r="C1630" s="4">
        <v>22368343.399999999</v>
      </c>
      <c r="D1630" t="s">
        <v>629</v>
      </c>
      <c r="E1630">
        <v>91002813</v>
      </c>
      <c r="F1630" s="4">
        <v>22368343.399999999</v>
      </c>
      <c r="G1630" s="3">
        <v>46045</v>
      </c>
      <c r="H1630" t="s">
        <v>79</v>
      </c>
      <c r="I1630" s="51" t="str">
        <f>IFERROR(IF(VLOOKUP(E1630,extracto!C:C,1,FALSE)=E1630,"pagado","no pagado"),"no pagado")</f>
        <v>pagado</v>
      </c>
      <c r="J1630" s="52" t="str">
        <f t="shared" si="726"/>
        <v>pagado</v>
      </c>
      <c r="K1630" s="51" t="str">
        <f t="shared" ca="1" si="727"/>
        <v>excluir</v>
      </c>
      <c r="L1630" s="51" t="str">
        <f t="shared" ca="1" si="728"/>
        <v>no semana</v>
      </c>
      <c r="M1630" s="51" t="str">
        <f>IFERROR(VLOOKUP(E1630,'cheques a conf'!A:D,4,FALSE),"no clearing")</f>
        <v>no clearing</v>
      </c>
      <c r="N1630" s="51">
        <f t="shared" si="729"/>
        <v>4</v>
      </c>
      <c r="O1630" s="53">
        <f t="shared" si="730"/>
        <v>1</v>
      </c>
      <c r="P1630" s="53">
        <f t="shared" si="731"/>
        <v>2026</v>
      </c>
    </row>
    <row r="1631" spans="1:16" x14ac:dyDescent="0.25">
      <c r="A1631">
        <v>3000000303</v>
      </c>
      <c r="B1631" s="3">
        <v>46041</v>
      </c>
      <c r="C1631" s="4">
        <v>20000000</v>
      </c>
      <c r="D1631" t="s">
        <v>826</v>
      </c>
      <c r="E1631">
        <v>91002814</v>
      </c>
      <c r="F1631" s="4">
        <v>20000000</v>
      </c>
      <c r="G1631" s="3">
        <v>46044</v>
      </c>
      <c r="H1631" t="s">
        <v>79</v>
      </c>
      <c r="I1631" s="51" t="str">
        <f>IFERROR(IF(VLOOKUP(E1631,extracto!C:C,1,FALSE)=E1631,"pagado","no pagado"),"no pagado")</f>
        <v>pagado</v>
      </c>
      <c r="J1631" s="52" t="str">
        <f t="shared" si="726"/>
        <v>pagado</v>
      </c>
      <c r="K1631" s="51" t="str">
        <f t="shared" ca="1" si="727"/>
        <v>excluir</v>
      </c>
      <c r="L1631" s="51" t="str">
        <f t="shared" ca="1" si="728"/>
        <v>no semana</v>
      </c>
      <c r="M1631" s="51" t="str">
        <f>IFERROR(VLOOKUP(E1631,'cheques a conf'!A:D,4,FALSE),"no clearing")</f>
        <v>no clearing</v>
      </c>
      <c r="N1631" s="51">
        <f t="shared" si="729"/>
        <v>4</v>
      </c>
      <c r="O1631" s="53">
        <f t="shared" si="730"/>
        <v>1</v>
      </c>
      <c r="P1631" s="53">
        <f t="shared" si="731"/>
        <v>2026</v>
      </c>
    </row>
    <row r="1632" spans="1:16" x14ac:dyDescent="0.25">
      <c r="A1632">
        <v>3000000303</v>
      </c>
      <c r="B1632" s="3">
        <v>46041</v>
      </c>
      <c r="C1632" s="4">
        <v>19919277.050000001</v>
      </c>
      <c r="D1632" t="s">
        <v>826</v>
      </c>
      <c r="E1632">
        <v>91002815</v>
      </c>
      <c r="F1632" s="4">
        <v>19919277.050000001</v>
      </c>
      <c r="G1632" s="3">
        <v>46045</v>
      </c>
      <c r="H1632" t="s">
        <v>79</v>
      </c>
      <c r="I1632" s="51" t="str">
        <f>IFERROR(IF(VLOOKUP(E1632,extracto!C:C,1,FALSE)=E1632,"pagado","no pagado"),"no pagado")</f>
        <v>pagado</v>
      </c>
      <c r="J1632" s="52" t="str">
        <f t="shared" si="726"/>
        <v>pagado</v>
      </c>
      <c r="K1632" s="51" t="str">
        <f t="shared" ca="1" si="727"/>
        <v>excluir</v>
      </c>
      <c r="L1632" s="51" t="str">
        <f t="shared" ca="1" si="728"/>
        <v>no semana</v>
      </c>
      <c r="M1632" s="51" t="str">
        <f>IFERROR(VLOOKUP(E1632,'cheques a conf'!A:D,4,FALSE),"no clearing")</f>
        <v>no clearing</v>
      </c>
      <c r="N1632" s="51">
        <f t="shared" si="729"/>
        <v>4</v>
      </c>
      <c r="O1632" s="53">
        <f t="shared" si="730"/>
        <v>1</v>
      </c>
      <c r="P1632" s="53">
        <f t="shared" si="731"/>
        <v>2026</v>
      </c>
    </row>
    <row r="1633" spans="1:16" x14ac:dyDescent="0.25">
      <c r="A1633">
        <v>3000000289</v>
      </c>
      <c r="B1633" s="3">
        <v>46041</v>
      </c>
      <c r="C1633" s="4">
        <v>26036820</v>
      </c>
      <c r="D1633" t="s">
        <v>25</v>
      </c>
      <c r="E1633">
        <v>40273018</v>
      </c>
      <c r="F1633" s="4">
        <v>26036820</v>
      </c>
      <c r="G1633" s="3">
        <v>46042</v>
      </c>
      <c r="H1633" t="s">
        <v>79</v>
      </c>
      <c r="I1633" s="51" t="str">
        <f>IFERROR(IF(VLOOKUP(E1633,extracto!C:C,1,FALSE)=E1633,"pagado","no pagado"),"no pagado")</f>
        <v>pagado</v>
      </c>
      <c r="J1633" s="52" t="str">
        <f t="shared" si="726"/>
        <v>pagado</v>
      </c>
      <c r="K1633" s="51" t="str">
        <f t="shared" ca="1" si="727"/>
        <v>excluir</v>
      </c>
      <c r="L1633" s="51" t="str">
        <f t="shared" ca="1" si="728"/>
        <v>no semana</v>
      </c>
      <c r="M1633" s="51" t="str">
        <f>IFERROR(VLOOKUP(E1633,'cheques a conf'!A:D,4,FALSE),"no clearing")</f>
        <v>no clearing</v>
      </c>
      <c r="N1633" s="51">
        <f t="shared" si="729"/>
        <v>4</v>
      </c>
      <c r="O1633" s="53">
        <f t="shared" si="730"/>
        <v>1</v>
      </c>
      <c r="P1633" s="53">
        <f t="shared" si="731"/>
        <v>2026</v>
      </c>
    </row>
    <row r="1634" spans="1:16" x14ac:dyDescent="0.25">
      <c r="A1634">
        <v>3000000291</v>
      </c>
      <c r="B1634" s="3">
        <v>46041</v>
      </c>
      <c r="C1634" s="4">
        <v>3813525</v>
      </c>
      <c r="D1634" t="s">
        <v>586</v>
      </c>
      <c r="E1634">
        <v>91002800</v>
      </c>
      <c r="F1634" s="4">
        <v>3813525</v>
      </c>
      <c r="G1634" s="3">
        <v>46044</v>
      </c>
      <c r="H1634" t="s">
        <v>79</v>
      </c>
      <c r="I1634" s="51" t="str">
        <f>IFERROR(IF(VLOOKUP(E1634,extracto!C:C,1,FALSE)=E1634,"pagado","no pagado"),"no pagado")</f>
        <v>pagado</v>
      </c>
      <c r="J1634" s="52" t="str">
        <f t="shared" si="726"/>
        <v>pagado</v>
      </c>
      <c r="K1634" s="51" t="str">
        <f t="shared" ca="1" si="727"/>
        <v>excluir</v>
      </c>
      <c r="L1634" s="51" t="str">
        <f t="shared" ca="1" si="728"/>
        <v>no semana</v>
      </c>
      <c r="M1634" s="51" t="str">
        <f>IFERROR(VLOOKUP(E1634,'cheques a conf'!A:D,4,FALSE),"no clearing")</f>
        <v>no clearing</v>
      </c>
      <c r="N1634" s="51">
        <f t="shared" si="729"/>
        <v>4</v>
      </c>
      <c r="O1634" s="53">
        <f t="shared" si="730"/>
        <v>1</v>
      </c>
      <c r="P1634" s="53">
        <f t="shared" si="731"/>
        <v>2026</v>
      </c>
    </row>
    <row r="1635" spans="1:16" x14ac:dyDescent="0.25">
      <c r="A1635">
        <v>3000000292</v>
      </c>
      <c r="B1635" s="3">
        <v>46041</v>
      </c>
      <c r="C1635" s="4">
        <v>10077823.800000001</v>
      </c>
      <c r="D1635" t="s">
        <v>182</v>
      </c>
      <c r="E1635">
        <v>91002801</v>
      </c>
      <c r="F1635" s="4">
        <v>10077823.800000001</v>
      </c>
      <c r="G1635" s="3">
        <v>46044</v>
      </c>
      <c r="H1635" t="s">
        <v>79</v>
      </c>
      <c r="I1635" s="51" t="str">
        <f>IFERROR(IF(VLOOKUP(E1635,extracto!C:C,1,FALSE)=E1635,"pagado","no pagado"),"no pagado")</f>
        <v>pagado</v>
      </c>
      <c r="J1635" s="52" t="str">
        <f t="shared" si="726"/>
        <v>pagado</v>
      </c>
      <c r="K1635" s="51" t="str">
        <f t="shared" ca="1" si="727"/>
        <v>excluir</v>
      </c>
      <c r="L1635" s="51" t="str">
        <f t="shared" ca="1" si="728"/>
        <v>no semana</v>
      </c>
      <c r="M1635" s="51" t="str">
        <f>IFERROR(VLOOKUP(E1635,'cheques a conf'!A:D,4,FALSE),"no clearing")</f>
        <v>no clearing</v>
      </c>
      <c r="N1635" s="51">
        <f t="shared" si="729"/>
        <v>4</v>
      </c>
      <c r="O1635" s="53">
        <f t="shared" si="730"/>
        <v>1</v>
      </c>
      <c r="P1635" s="53">
        <f t="shared" si="731"/>
        <v>2026</v>
      </c>
    </row>
    <row r="1636" spans="1:16" x14ac:dyDescent="0.25">
      <c r="A1636">
        <v>3000000293</v>
      </c>
      <c r="B1636" s="3">
        <v>46041</v>
      </c>
      <c r="C1636" s="4">
        <v>3224588.06</v>
      </c>
      <c r="D1636" t="s">
        <v>74</v>
      </c>
      <c r="E1636">
        <v>91002802</v>
      </c>
      <c r="F1636" s="4">
        <v>3224588.06</v>
      </c>
      <c r="G1636" s="3">
        <v>46044</v>
      </c>
      <c r="H1636" t="s">
        <v>79</v>
      </c>
      <c r="I1636" s="51" t="str">
        <f>IFERROR(IF(VLOOKUP(E1636,extracto!C:C,1,FALSE)=E1636,"pagado","no pagado"),"no pagado")</f>
        <v>pagado</v>
      </c>
      <c r="J1636" s="52" t="str">
        <f t="shared" si="726"/>
        <v>pagado</v>
      </c>
      <c r="K1636" s="51" t="str">
        <f t="shared" ca="1" si="727"/>
        <v>excluir</v>
      </c>
      <c r="L1636" s="51" t="str">
        <f t="shared" ca="1" si="728"/>
        <v>no semana</v>
      </c>
      <c r="M1636" s="51" t="str">
        <f>IFERROR(VLOOKUP(E1636,'cheques a conf'!A:D,4,FALSE),"no clearing")</f>
        <v>no clearing</v>
      </c>
      <c r="N1636" s="51">
        <f t="shared" si="729"/>
        <v>4</v>
      </c>
      <c r="O1636" s="53">
        <f t="shared" si="730"/>
        <v>1</v>
      </c>
      <c r="P1636" s="53">
        <f t="shared" si="731"/>
        <v>2026</v>
      </c>
    </row>
    <row r="1637" spans="1:16" x14ac:dyDescent="0.25">
      <c r="A1637">
        <v>3000000294</v>
      </c>
      <c r="B1637" s="3">
        <v>46041</v>
      </c>
      <c r="C1637" s="4">
        <v>5545687.6100000003</v>
      </c>
      <c r="D1637" t="s">
        <v>69</v>
      </c>
      <c r="E1637">
        <v>91002803</v>
      </c>
      <c r="F1637" s="4">
        <v>5545687.6100000003</v>
      </c>
      <c r="G1637" s="3">
        <v>46044</v>
      </c>
      <c r="H1637" t="s">
        <v>79</v>
      </c>
      <c r="I1637" s="51" t="str">
        <f>IFERROR(IF(VLOOKUP(E1637,extracto!C:C,1,FALSE)=E1637,"pagado","no pagado"),"no pagado")</f>
        <v>pagado</v>
      </c>
      <c r="J1637" s="52" t="str">
        <f t="shared" si="726"/>
        <v>pagado</v>
      </c>
      <c r="K1637" s="51" t="str">
        <f t="shared" ca="1" si="727"/>
        <v>excluir</v>
      </c>
      <c r="L1637" s="51" t="str">
        <f t="shared" ca="1" si="728"/>
        <v>no semana</v>
      </c>
      <c r="M1637" s="51" t="str">
        <f>IFERROR(VLOOKUP(E1637,'cheques a conf'!A:D,4,FALSE),"no clearing")</f>
        <v>no clearing</v>
      </c>
      <c r="N1637" s="51">
        <f t="shared" si="729"/>
        <v>4</v>
      </c>
      <c r="O1637" s="53">
        <f t="shared" si="730"/>
        <v>1</v>
      </c>
      <c r="P1637" s="53">
        <f t="shared" si="731"/>
        <v>2026</v>
      </c>
    </row>
    <row r="1638" spans="1:16" x14ac:dyDescent="0.25">
      <c r="A1638">
        <v>3000000295</v>
      </c>
      <c r="B1638" s="3">
        <v>46041</v>
      </c>
      <c r="C1638" s="4">
        <v>16771520.5</v>
      </c>
      <c r="D1638" t="s">
        <v>45</v>
      </c>
      <c r="E1638">
        <v>91002804</v>
      </c>
      <c r="F1638" s="4">
        <v>16771520.5</v>
      </c>
      <c r="G1638" s="3">
        <v>46044</v>
      </c>
      <c r="H1638" t="s">
        <v>79</v>
      </c>
      <c r="I1638" s="51" t="str">
        <f>IFERROR(IF(VLOOKUP(E1638,extracto!C:C,1,FALSE)=E1638,"pagado","no pagado"),"no pagado")</f>
        <v>pagado</v>
      </c>
      <c r="J1638" s="52" t="str">
        <f t="shared" si="726"/>
        <v>pagado</v>
      </c>
      <c r="K1638" s="51" t="str">
        <f t="shared" ca="1" si="727"/>
        <v>excluir</v>
      </c>
      <c r="L1638" s="51" t="str">
        <f t="shared" ca="1" si="728"/>
        <v>no semana</v>
      </c>
      <c r="M1638" s="51" t="str">
        <f>IFERROR(VLOOKUP(E1638,'cheques a conf'!A:D,4,FALSE),"no clearing")</f>
        <v>no clearing</v>
      </c>
      <c r="N1638" s="51">
        <f t="shared" si="729"/>
        <v>4</v>
      </c>
      <c r="O1638" s="53">
        <f t="shared" si="730"/>
        <v>1</v>
      </c>
      <c r="P1638" s="53">
        <f t="shared" si="731"/>
        <v>2026</v>
      </c>
    </row>
    <row r="1639" spans="1:16" x14ac:dyDescent="0.25">
      <c r="A1639">
        <v>3000000296</v>
      </c>
      <c r="B1639" s="3">
        <v>46041</v>
      </c>
      <c r="C1639" s="4">
        <v>5984978.4000000004</v>
      </c>
      <c r="D1639" t="s">
        <v>628</v>
      </c>
      <c r="E1639">
        <v>91002805</v>
      </c>
      <c r="F1639" s="4">
        <v>5984978.4000000004</v>
      </c>
      <c r="G1639" s="3">
        <v>46044</v>
      </c>
      <c r="H1639" t="s">
        <v>79</v>
      </c>
      <c r="I1639" s="51" t="str">
        <f>IFERROR(IF(VLOOKUP(E1639,extracto!C:C,1,FALSE)=E1639,"pagado","no pagado"),"no pagado")</f>
        <v>pagado</v>
      </c>
      <c r="J1639" s="52" t="str">
        <f t="shared" si="726"/>
        <v>pagado</v>
      </c>
      <c r="K1639" s="51" t="str">
        <f t="shared" ca="1" si="727"/>
        <v>excluir</v>
      </c>
      <c r="L1639" s="51" t="str">
        <f t="shared" ca="1" si="728"/>
        <v>no semana</v>
      </c>
      <c r="M1639" s="51" t="str">
        <f>IFERROR(VLOOKUP(E1639,'cheques a conf'!A:D,4,FALSE),"no clearing")</f>
        <v>no clearing</v>
      </c>
      <c r="N1639" s="51">
        <f t="shared" si="729"/>
        <v>4</v>
      </c>
      <c r="O1639" s="53">
        <f t="shared" si="730"/>
        <v>1</v>
      </c>
      <c r="P1639" s="53">
        <f t="shared" si="731"/>
        <v>2026</v>
      </c>
    </row>
    <row r="1640" spans="1:16" x14ac:dyDescent="0.25">
      <c r="A1640">
        <v>3000000297</v>
      </c>
      <c r="B1640" s="3">
        <v>46041</v>
      </c>
      <c r="C1640" s="4">
        <v>17194788.699999999</v>
      </c>
      <c r="D1640" t="s">
        <v>827</v>
      </c>
      <c r="E1640">
        <v>91002806</v>
      </c>
      <c r="F1640" s="4">
        <v>17194788.699999999</v>
      </c>
      <c r="G1640" s="3">
        <v>46044</v>
      </c>
      <c r="H1640" t="s">
        <v>79</v>
      </c>
      <c r="I1640" s="51" t="str">
        <f>IFERROR(IF(VLOOKUP(E1640,extracto!C:C,1,FALSE)=E1640,"pagado","no pagado"),"no pagado")</f>
        <v>pagado</v>
      </c>
      <c r="J1640" s="52" t="str">
        <f t="shared" si="726"/>
        <v>pagado</v>
      </c>
      <c r="K1640" s="51" t="str">
        <f t="shared" ca="1" si="727"/>
        <v>excluir</v>
      </c>
      <c r="L1640" s="51" t="str">
        <f t="shared" ca="1" si="728"/>
        <v>no semana</v>
      </c>
      <c r="M1640" s="51" t="str">
        <f>IFERROR(VLOOKUP(E1640,'cheques a conf'!A:D,4,FALSE),"no clearing")</f>
        <v>no clearing</v>
      </c>
      <c r="N1640" s="51">
        <f t="shared" si="729"/>
        <v>4</v>
      </c>
      <c r="O1640" s="53">
        <f t="shared" si="730"/>
        <v>1</v>
      </c>
      <c r="P1640" s="53">
        <f t="shared" si="731"/>
        <v>2026</v>
      </c>
    </row>
    <row r="1641" spans="1:16" x14ac:dyDescent="0.25">
      <c r="A1641">
        <v>3000000298</v>
      </c>
      <c r="B1641" s="3">
        <v>46041</v>
      </c>
      <c r="C1641" s="4">
        <v>10390538.029999999</v>
      </c>
      <c r="D1641" t="s">
        <v>828</v>
      </c>
      <c r="E1641">
        <v>91002807</v>
      </c>
      <c r="F1641" s="4">
        <v>10390538.029999999</v>
      </c>
      <c r="G1641" s="3">
        <v>46044</v>
      </c>
      <c r="H1641" t="s">
        <v>79</v>
      </c>
      <c r="I1641" s="51" t="str">
        <f>IFERROR(IF(VLOOKUP(E1641,extracto!C:C,1,FALSE)=E1641,"pagado","no pagado"),"no pagado")</f>
        <v>pagado</v>
      </c>
      <c r="J1641" s="52" t="str">
        <f t="shared" si="726"/>
        <v>pagado</v>
      </c>
      <c r="K1641" s="51" t="str">
        <f t="shared" ca="1" si="727"/>
        <v>excluir</v>
      </c>
      <c r="L1641" s="51" t="str">
        <f t="shared" ca="1" si="728"/>
        <v>no semana</v>
      </c>
      <c r="M1641" s="51" t="str">
        <f>IFERROR(VLOOKUP(E1641,'cheques a conf'!A:D,4,FALSE),"no clearing")</f>
        <v>no clearing</v>
      </c>
      <c r="N1641" s="51">
        <f t="shared" si="729"/>
        <v>4</v>
      </c>
      <c r="O1641" s="53">
        <f t="shared" si="730"/>
        <v>1</v>
      </c>
      <c r="P1641" s="53">
        <f t="shared" si="731"/>
        <v>2026</v>
      </c>
    </row>
    <row r="1642" spans="1:16" x14ac:dyDescent="0.25">
      <c r="A1642">
        <v>3000000299</v>
      </c>
      <c r="B1642" s="3">
        <v>46041</v>
      </c>
      <c r="C1642" s="4">
        <v>8127954.9000000004</v>
      </c>
      <c r="D1642" t="s">
        <v>829</v>
      </c>
      <c r="E1642">
        <v>91002808</v>
      </c>
      <c r="F1642" s="4">
        <v>8127954.9000000004</v>
      </c>
      <c r="G1642" s="3">
        <v>46044</v>
      </c>
      <c r="H1642" t="s">
        <v>79</v>
      </c>
      <c r="I1642" s="51" t="str">
        <f>IFERROR(IF(VLOOKUP(E1642,extracto!C:C,1,FALSE)=E1642,"pagado","no pagado"),"no pagado")</f>
        <v>pagado</v>
      </c>
      <c r="J1642" s="52" t="str">
        <f t="shared" si="726"/>
        <v>pagado</v>
      </c>
      <c r="K1642" s="51" t="str">
        <f t="shared" ca="1" si="727"/>
        <v>excluir</v>
      </c>
      <c r="L1642" s="51" t="str">
        <f t="shared" ca="1" si="728"/>
        <v>no semana</v>
      </c>
      <c r="M1642" s="51" t="str">
        <f>IFERROR(VLOOKUP(E1642,'cheques a conf'!A:D,4,FALSE),"no clearing")</f>
        <v>no clearing</v>
      </c>
      <c r="N1642" s="51">
        <f t="shared" si="729"/>
        <v>4</v>
      </c>
      <c r="O1642" s="53">
        <f t="shared" si="730"/>
        <v>1</v>
      </c>
      <c r="P1642" s="53">
        <f t="shared" si="731"/>
        <v>2026</v>
      </c>
    </row>
    <row r="1643" spans="1:16" x14ac:dyDescent="0.25">
      <c r="A1643">
        <v>3000000300</v>
      </c>
      <c r="B1643" s="3">
        <v>46041</v>
      </c>
      <c r="C1643" s="4">
        <v>5760237.8700000001</v>
      </c>
      <c r="D1643" t="s">
        <v>744</v>
      </c>
      <c r="E1643">
        <v>91002809</v>
      </c>
      <c r="F1643" s="4">
        <v>5760237.8700000001</v>
      </c>
      <c r="G1643" s="3">
        <v>46044</v>
      </c>
      <c r="H1643" t="s">
        <v>79</v>
      </c>
      <c r="I1643" s="51" t="str">
        <f>IFERROR(IF(VLOOKUP(E1643,extracto!C:C,1,FALSE)=E1643,"pagado","no pagado"),"no pagado")</f>
        <v>pagado</v>
      </c>
      <c r="J1643" s="52" t="str">
        <f t="shared" si="726"/>
        <v>pagado</v>
      </c>
      <c r="K1643" s="51" t="str">
        <f t="shared" ca="1" si="727"/>
        <v>excluir</v>
      </c>
      <c r="L1643" s="51" t="str">
        <f t="shared" ca="1" si="728"/>
        <v>no semana</v>
      </c>
      <c r="M1643" s="51" t="str">
        <f>IFERROR(VLOOKUP(E1643,'cheques a conf'!A:D,4,FALSE),"no clearing")</f>
        <v>no clearing</v>
      </c>
      <c r="N1643" s="51">
        <f t="shared" si="729"/>
        <v>4</v>
      </c>
      <c r="O1643" s="53">
        <f t="shared" si="730"/>
        <v>1</v>
      </c>
      <c r="P1643" s="53">
        <f t="shared" si="731"/>
        <v>2026</v>
      </c>
    </row>
    <row r="1644" spans="1:16" x14ac:dyDescent="0.25">
      <c r="A1644">
        <v>3000000330</v>
      </c>
      <c r="B1644" s="3">
        <v>46042</v>
      </c>
      <c r="C1644" s="4">
        <v>4486995.75</v>
      </c>
      <c r="D1644" t="s">
        <v>619</v>
      </c>
      <c r="E1644">
        <v>91002822</v>
      </c>
      <c r="F1644" s="4">
        <v>4486995.75</v>
      </c>
      <c r="G1644" s="3">
        <v>46048</v>
      </c>
      <c r="H1644" t="s">
        <v>79</v>
      </c>
      <c r="I1644" s="51" t="str">
        <f>IFERROR(IF(VLOOKUP(E1644,extracto!C:C,1,FALSE)=E1644,"pagado","no pagado"),"no pagado")</f>
        <v>pagado</v>
      </c>
      <c r="J1644" s="52" t="str">
        <f t="shared" ref="J1644:J1660" si="732">IF(I1644="pagado","pagado",IF(G1644&lt;$V$1-30,"fuera de fecha","en periodo de pago"))</f>
        <v>pagado</v>
      </c>
      <c r="K1644" s="51" t="str">
        <f t="shared" ref="K1644:K1660" ca="1" si="733">+IF(B1644&gt;$V$1,"excluir",IF(J1644="en periodo de pago",IF($V$1&gt;G1644,"a pagar","proximo a vencer"),"excluir"))</f>
        <v>excluir</v>
      </c>
      <c r="L1644" s="51" t="str">
        <f t="shared" ref="L1644:L1660" ca="1" si="734">+IF(K1644="proximo a vencer",IF($V$1+5&gt;G1644,"para la semana","no semana"),"no semana")</f>
        <v>no semana</v>
      </c>
      <c r="M1644" s="51" t="str">
        <f>IFERROR(VLOOKUP(E1644,'cheques a conf'!A:D,4,FALSE),"no clearing")</f>
        <v>no clearing</v>
      </c>
      <c r="N1644" s="51">
        <f t="shared" ref="N1644:N1660" si="735">+WEEKNUM(G1644,2)</f>
        <v>5</v>
      </c>
      <c r="O1644" s="53">
        <f t="shared" ref="O1644:O1660" si="736">+MONTH(G1644)</f>
        <v>1</v>
      </c>
      <c r="P1644" s="53">
        <f t="shared" ref="P1644:P1660" si="737">+YEAR(G1644)</f>
        <v>2026</v>
      </c>
    </row>
    <row r="1645" spans="1:16" x14ac:dyDescent="0.25">
      <c r="A1645">
        <v>3000000331</v>
      </c>
      <c r="B1645" s="3">
        <v>46042</v>
      </c>
      <c r="C1645" s="4">
        <v>4486995.75</v>
      </c>
      <c r="D1645" t="s">
        <v>616</v>
      </c>
      <c r="E1645">
        <v>91002823</v>
      </c>
      <c r="F1645" s="4">
        <v>4486995.75</v>
      </c>
      <c r="G1645" s="3">
        <v>46048</v>
      </c>
      <c r="H1645" t="s">
        <v>79</v>
      </c>
      <c r="I1645" s="51" t="str">
        <f>IFERROR(IF(VLOOKUP(E1645,extracto!C:C,1,FALSE)=E1645,"pagado","no pagado"),"no pagado")</f>
        <v>pagado</v>
      </c>
      <c r="J1645" s="52" t="str">
        <f t="shared" si="732"/>
        <v>pagado</v>
      </c>
      <c r="K1645" s="51" t="str">
        <f t="shared" ca="1" si="733"/>
        <v>excluir</v>
      </c>
      <c r="L1645" s="51" t="str">
        <f t="shared" ca="1" si="734"/>
        <v>no semana</v>
      </c>
      <c r="M1645" s="51" t="str">
        <f>IFERROR(VLOOKUP(E1645,'cheques a conf'!A:D,4,FALSE),"no clearing")</f>
        <v>no clearing</v>
      </c>
      <c r="N1645" s="51">
        <f t="shared" si="735"/>
        <v>5</v>
      </c>
      <c r="O1645" s="53">
        <f t="shared" si="736"/>
        <v>1</v>
      </c>
      <c r="P1645" s="53">
        <f t="shared" si="737"/>
        <v>2026</v>
      </c>
    </row>
    <row r="1646" spans="1:16" x14ac:dyDescent="0.25">
      <c r="A1646">
        <v>3000000332</v>
      </c>
      <c r="B1646" s="3">
        <v>46042</v>
      </c>
      <c r="C1646" s="4">
        <v>5256895.03</v>
      </c>
      <c r="D1646" t="s">
        <v>618</v>
      </c>
      <c r="E1646">
        <v>91002824</v>
      </c>
      <c r="F1646" s="4">
        <v>5256895.03</v>
      </c>
      <c r="G1646" s="3">
        <v>46048</v>
      </c>
      <c r="H1646" t="s">
        <v>79</v>
      </c>
      <c r="I1646" s="51" t="str">
        <f>IFERROR(IF(VLOOKUP(E1646,extracto!C:C,1,FALSE)=E1646,"pagado","no pagado"),"no pagado")</f>
        <v>pagado</v>
      </c>
      <c r="J1646" s="52" t="str">
        <f t="shared" si="732"/>
        <v>pagado</v>
      </c>
      <c r="K1646" s="51" t="str">
        <f t="shared" ca="1" si="733"/>
        <v>excluir</v>
      </c>
      <c r="L1646" s="51" t="str">
        <f t="shared" ca="1" si="734"/>
        <v>no semana</v>
      </c>
      <c r="M1646" s="51" t="str">
        <f>IFERROR(VLOOKUP(E1646,'cheques a conf'!A:D,4,FALSE),"no clearing")</f>
        <v>no clearing</v>
      </c>
      <c r="N1646" s="51">
        <f t="shared" si="735"/>
        <v>5</v>
      </c>
      <c r="O1646" s="53">
        <f t="shared" si="736"/>
        <v>1</v>
      </c>
      <c r="P1646" s="53">
        <f t="shared" si="737"/>
        <v>2026</v>
      </c>
    </row>
    <row r="1647" spans="1:16" x14ac:dyDescent="0.25">
      <c r="A1647">
        <v>3000000326</v>
      </c>
      <c r="B1647" s="3">
        <v>46042</v>
      </c>
      <c r="C1647" s="4">
        <v>25000000</v>
      </c>
      <c r="D1647" t="s">
        <v>592</v>
      </c>
      <c r="E1647">
        <v>91002817</v>
      </c>
      <c r="F1647" s="4">
        <v>25000000</v>
      </c>
      <c r="G1647" s="3">
        <v>46048</v>
      </c>
      <c r="H1647" t="s">
        <v>79</v>
      </c>
      <c r="I1647" s="51" t="str">
        <f>IFERROR(IF(VLOOKUP(E1647,extracto!C:C,1,FALSE)=E1647,"pagado","no pagado"),"no pagado")</f>
        <v>pagado</v>
      </c>
      <c r="J1647" s="52" t="str">
        <f t="shared" si="732"/>
        <v>pagado</v>
      </c>
      <c r="K1647" s="51" t="str">
        <f t="shared" ca="1" si="733"/>
        <v>excluir</v>
      </c>
      <c r="L1647" s="51" t="str">
        <f t="shared" ca="1" si="734"/>
        <v>no semana</v>
      </c>
      <c r="M1647" s="51" t="str">
        <f>IFERROR(VLOOKUP(E1647,'cheques a conf'!A:D,4,FALSE),"no clearing")</f>
        <v>no clearing</v>
      </c>
      <c r="N1647" s="51">
        <f t="shared" si="735"/>
        <v>5</v>
      </c>
      <c r="O1647" s="53">
        <f t="shared" si="736"/>
        <v>1</v>
      </c>
      <c r="P1647" s="53">
        <f t="shared" si="737"/>
        <v>2026</v>
      </c>
    </row>
    <row r="1648" spans="1:16" x14ac:dyDescent="0.25">
      <c r="A1648">
        <v>3000000326</v>
      </c>
      <c r="B1648" s="3">
        <v>46042</v>
      </c>
      <c r="C1648" s="4">
        <v>23280050</v>
      </c>
      <c r="D1648" t="s">
        <v>592</v>
      </c>
      <c r="E1648">
        <v>91002818</v>
      </c>
      <c r="F1648" s="4">
        <v>23280050</v>
      </c>
      <c r="G1648" s="3">
        <v>46049</v>
      </c>
      <c r="H1648" t="s">
        <v>79</v>
      </c>
      <c r="I1648" s="51" t="str">
        <f>IFERROR(IF(VLOOKUP(E1648,extracto!C:C,1,FALSE)=E1648,"pagado","no pagado"),"no pagado")</f>
        <v>pagado</v>
      </c>
      <c r="J1648" s="52" t="str">
        <f t="shared" si="732"/>
        <v>pagado</v>
      </c>
      <c r="K1648" s="51" t="str">
        <f t="shared" ca="1" si="733"/>
        <v>excluir</v>
      </c>
      <c r="L1648" s="51" t="str">
        <f t="shared" ca="1" si="734"/>
        <v>no semana</v>
      </c>
      <c r="M1648" s="51" t="str">
        <f>IFERROR(VLOOKUP(E1648,'cheques a conf'!A:D,4,FALSE),"no clearing")</f>
        <v>no clearing</v>
      </c>
      <c r="N1648" s="51">
        <f t="shared" si="735"/>
        <v>5</v>
      </c>
      <c r="O1648" s="53">
        <f t="shared" si="736"/>
        <v>1</v>
      </c>
      <c r="P1648" s="53">
        <f t="shared" si="737"/>
        <v>2026</v>
      </c>
    </row>
    <row r="1649" spans="1:16" x14ac:dyDescent="0.25">
      <c r="A1649">
        <v>3000000325</v>
      </c>
      <c r="B1649" s="3">
        <v>46042</v>
      </c>
      <c r="C1649" s="4">
        <v>7055961.3499999996</v>
      </c>
      <c r="D1649" t="s">
        <v>85</v>
      </c>
      <c r="E1649">
        <v>91002816</v>
      </c>
      <c r="F1649" s="4">
        <v>7055961.3499999996</v>
      </c>
      <c r="G1649" s="3">
        <v>46048</v>
      </c>
      <c r="H1649" t="s">
        <v>79</v>
      </c>
      <c r="I1649" s="51" t="str">
        <f>IFERROR(IF(VLOOKUP(E1649,extracto!C:C,1,FALSE)=E1649,"pagado","no pagado"),"no pagado")</f>
        <v>pagado</v>
      </c>
      <c r="J1649" s="52" t="str">
        <f t="shared" si="732"/>
        <v>pagado</v>
      </c>
      <c r="K1649" s="51" t="str">
        <f t="shared" ca="1" si="733"/>
        <v>excluir</v>
      </c>
      <c r="L1649" s="51" t="str">
        <f t="shared" ca="1" si="734"/>
        <v>no semana</v>
      </c>
      <c r="M1649" s="51" t="str">
        <f>IFERROR(VLOOKUP(E1649,'cheques a conf'!A:D,4,FALSE),"no clearing")</f>
        <v>no clearing</v>
      </c>
      <c r="N1649" s="51">
        <f t="shared" si="735"/>
        <v>5</v>
      </c>
      <c r="O1649" s="53">
        <f t="shared" si="736"/>
        <v>1</v>
      </c>
      <c r="P1649" s="53">
        <f t="shared" si="737"/>
        <v>2026</v>
      </c>
    </row>
    <row r="1650" spans="1:16" x14ac:dyDescent="0.25">
      <c r="A1650">
        <v>3000000327</v>
      </c>
      <c r="B1650" s="3">
        <v>46042</v>
      </c>
      <c r="C1650" s="4">
        <v>9831266.8000000007</v>
      </c>
      <c r="D1650" t="s">
        <v>593</v>
      </c>
      <c r="E1650">
        <v>91002819</v>
      </c>
      <c r="F1650" s="4">
        <v>9831266.8000000007</v>
      </c>
      <c r="G1650" s="3">
        <v>46048</v>
      </c>
      <c r="H1650" t="s">
        <v>79</v>
      </c>
      <c r="I1650" s="51" t="str">
        <f>IFERROR(IF(VLOOKUP(E1650,extracto!C:C,1,FALSE)=E1650,"pagado","no pagado"),"no pagado")</f>
        <v>pagado</v>
      </c>
      <c r="J1650" s="52" t="str">
        <f t="shared" si="732"/>
        <v>pagado</v>
      </c>
      <c r="K1650" s="51" t="str">
        <f t="shared" ca="1" si="733"/>
        <v>excluir</v>
      </c>
      <c r="L1650" s="51" t="str">
        <f t="shared" ca="1" si="734"/>
        <v>no semana</v>
      </c>
      <c r="M1650" s="51" t="str">
        <f>IFERROR(VLOOKUP(E1650,'cheques a conf'!A:D,4,FALSE),"no clearing")</f>
        <v>no clearing</v>
      </c>
      <c r="N1650" s="51">
        <f t="shared" si="735"/>
        <v>5</v>
      </c>
      <c r="O1650" s="53">
        <f t="shared" si="736"/>
        <v>1</v>
      </c>
      <c r="P1650" s="53">
        <f t="shared" si="737"/>
        <v>2026</v>
      </c>
    </row>
    <row r="1651" spans="1:16" x14ac:dyDescent="0.25">
      <c r="A1651">
        <v>3000000328</v>
      </c>
      <c r="B1651" s="3">
        <v>46042</v>
      </c>
      <c r="C1651" s="4">
        <v>14613832.859999999</v>
      </c>
      <c r="D1651" t="s">
        <v>822</v>
      </c>
      <c r="E1651">
        <v>91002820</v>
      </c>
      <c r="F1651" s="4">
        <v>14613832.859999999</v>
      </c>
      <c r="G1651" s="3">
        <v>46048</v>
      </c>
      <c r="H1651" t="s">
        <v>79</v>
      </c>
      <c r="I1651" s="51" t="str">
        <f>IFERROR(IF(VLOOKUP(E1651,extracto!C:C,1,FALSE)=E1651,"pagado","no pagado"),"no pagado")</f>
        <v>pagado</v>
      </c>
      <c r="J1651" s="52" t="str">
        <f t="shared" si="732"/>
        <v>pagado</v>
      </c>
      <c r="K1651" s="51" t="str">
        <f t="shared" ca="1" si="733"/>
        <v>excluir</v>
      </c>
      <c r="L1651" s="51" t="str">
        <f t="shared" ca="1" si="734"/>
        <v>no semana</v>
      </c>
      <c r="M1651" s="51" t="str">
        <f>IFERROR(VLOOKUP(E1651,'cheques a conf'!A:D,4,FALSE),"no clearing")</f>
        <v>no clearing</v>
      </c>
      <c r="N1651" s="51">
        <f t="shared" si="735"/>
        <v>5</v>
      </c>
      <c r="O1651" s="53">
        <f t="shared" si="736"/>
        <v>1</v>
      </c>
      <c r="P1651" s="53">
        <f t="shared" si="737"/>
        <v>2026</v>
      </c>
    </row>
    <row r="1652" spans="1:16" x14ac:dyDescent="0.25">
      <c r="A1652">
        <v>3000000329</v>
      </c>
      <c r="B1652" s="3">
        <v>46042</v>
      </c>
      <c r="C1652" s="4">
        <v>4515538.99</v>
      </c>
      <c r="D1652" t="s">
        <v>612</v>
      </c>
      <c r="E1652">
        <v>91002821</v>
      </c>
      <c r="F1652" s="4">
        <v>4515538.99</v>
      </c>
      <c r="G1652" s="3">
        <v>46048</v>
      </c>
      <c r="H1652" t="s">
        <v>79</v>
      </c>
      <c r="I1652" s="51" t="str">
        <f>IFERROR(IF(VLOOKUP(E1652,extracto!C:C,1,FALSE)=E1652,"pagado","no pagado"),"no pagado")</f>
        <v>pagado</v>
      </c>
      <c r="J1652" s="52" t="str">
        <f t="shared" si="732"/>
        <v>pagado</v>
      </c>
      <c r="K1652" s="51" t="str">
        <f t="shared" ca="1" si="733"/>
        <v>excluir</v>
      </c>
      <c r="L1652" s="51" t="str">
        <f t="shared" ca="1" si="734"/>
        <v>no semana</v>
      </c>
      <c r="M1652" s="51" t="str">
        <f>IFERROR(VLOOKUP(E1652,'cheques a conf'!A:D,4,FALSE),"no clearing")</f>
        <v>no clearing</v>
      </c>
      <c r="N1652" s="51">
        <f t="shared" si="735"/>
        <v>5</v>
      </c>
      <c r="O1652" s="53">
        <f t="shared" si="736"/>
        <v>1</v>
      </c>
      <c r="P1652" s="53">
        <f t="shared" si="737"/>
        <v>2026</v>
      </c>
    </row>
    <row r="1653" spans="1:16" x14ac:dyDescent="0.25">
      <c r="A1653">
        <v>3000000355</v>
      </c>
      <c r="B1653" s="3">
        <v>46043</v>
      </c>
      <c r="C1653" s="4">
        <v>156975000</v>
      </c>
      <c r="D1653" t="s">
        <v>25</v>
      </c>
      <c r="E1653">
        <v>40273019</v>
      </c>
      <c r="F1653" s="4">
        <v>156975000</v>
      </c>
      <c r="G1653" s="3">
        <v>46044</v>
      </c>
      <c r="H1653" t="s">
        <v>79</v>
      </c>
      <c r="I1653" s="51" t="str">
        <f>IFERROR(IF(VLOOKUP(E1653,extracto!C:C,1,FALSE)=E1653,"pagado","no pagado"),"no pagado")</f>
        <v>pagado</v>
      </c>
      <c r="J1653" s="52" t="str">
        <f t="shared" si="732"/>
        <v>pagado</v>
      </c>
      <c r="K1653" s="51" t="str">
        <f t="shared" ca="1" si="733"/>
        <v>excluir</v>
      </c>
      <c r="L1653" s="51" t="str">
        <f t="shared" ca="1" si="734"/>
        <v>no semana</v>
      </c>
      <c r="M1653" s="51" t="str">
        <f>IFERROR(VLOOKUP(E1653,'cheques a conf'!A:D,4,FALSE),"no clearing")</f>
        <v>no clearing</v>
      </c>
      <c r="N1653" s="51">
        <f t="shared" si="735"/>
        <v>4</v>
      </c>
      <c r="O1653" s="53">
        <f t="shared" si="736"/>
        <v>1</v>
      </c>
      <c r="P1653" s="53">
        <f t="shared" si="737"/>
        <v>2026</v>
      </c>
    </row>
    <row r="1654" spans="1:16" x14ac:dyDescent="0.25">
      <c r="A1654" s="21">
        <v>3000000437</v>
      </c>
      <c r="B1654" s="22">
        <v>46048</v>
      </c>
      <c r="C1654" s="20">
        <v>9597592.5600000005</v>
      </c>
      <c r="D1654" s="21" t="s">
        <v>830</v>
      </c>
      <c r="E1654" s="21">
        <v>91002825</v>
      </c>
      <c r="F1654" s="20">
        <v>9597592.5600000005</v>
      </c>
      <c r="G1654" s="22">
        <v>46050</v>
      </c>
      <c r="H1654" t="s">
        <v>79</v>
      </c>
      <c r="I1654" s="51" t="str">
        <f>IFERROR(IF(VLOOKUP(E1654,extracto!C:C,1,FALSE)=E1654,"pagado","no pagado"),"no pagado")</f>
        <v>pagado</v>
      </c>
      <c r="J1654" s="52" t="str">
        <f t="shared" si="732"/>
        <v>pagado</v>
      </c>
      <c r="K1654" s="51" t="str">
        <f t="shared" ca="1" si="733"/>
        <v>excluir</v>
      </c>
      <c r="L1654" s="51" t="str">
        <f t="shared" ca="1" si="734"/>
        <v>no semana</v>
      </c>
      <c r="M1654" s="51" t="str">
        <f>IFERROR(VLOOKUP(E1654,'cheques a conf'!A:D,4,FALSE),"no clearing")</f>
        <v>no clearing</v>
      </c>
      <c r="N1654" s="51">
        <f t="shared" si="735"/>
        <v>5</v>
      </c>
      <c r="O1654" s="53">
        <f t="shared" si="736"/>
        <v>1</v>
      </c>
      <c r="P1654" s="53">
        <f t="shared" si="737"/>
        <v>2026</v>
      </c>
    </row>
    <row r="1655" spans="1:16" x14ac:dyDescent="0.25">
      <c r="A1655" s="21">
        <v>3000000438</v>
      </c>
      <c r="B1655" s="22">
        <v>46048</v>
      </c>
      <c r="C1655" s="20">
        <v>21449825.030000001</v>
      </c>
      <c r="D1655" s="21" t="s">
        <v>831</v>
      </c>
      <c r="E1655" s="21">
        <v>91002826</v>
      </c>
      <c r="F1655" s="20">
        <v>21449825.030000001</v>
      </c>
      <c r="G1655" s="22">
        <v>46050</v>
      </c>
      <c r="H1655" t="s">
        <v>79</v>
      </c>
      <c r="I1655" s="51" t="str">
        <f>IFERROR(IF(VLOOKUP(E1655,extracto!C:C,1,FALSE)=E1655,"pagado","no pagado"),"no pagado")</f>
        <v>pagado</v>
      </c>
      <c r="J1655" s="52" t="str">
        <f t="shared" si="732"/>
        <v>pagado</v>
      </c>
      <c r="K1655" s="51" t="str">
        <f t="shared" ca="1" si="733"/>
        <v>excluir</v>
      </c>
      <c r="L1655" s="51" t="str">
        <f t="shared" ca="1" si="734"/>
        <v>no semana</v>
      </c>
      <c r="M1655" s="51" t="str">
        <f>IFERROR(VLOOKUP(E1655,'cheques a conf'!A:D,4,FALSE),"no clearing")</f>
        <v>no clearing</v>
      </c>
      <c r="N1655" s="51">
        <f t="shared" si="735"/>
        <v>5</v>
      </c>
      <c r="O1655" s="53">
        <f t="shared" si="736"/>
        <v>1</v>
      </c>
      <c r="P1655" s="53">
        <f t="shared" si="737"/>
        <v>2026</v>
      </c>
    </row>
    <row r="1656" spans="1:16" x14ac:dyDescent="0.25">
      <c r="A1656" s="21">
        <v>3000000439</v>
      </c>
      <c r="B1656" s="22">
        <v>46048</v>
      </c>
      <c r="C1656" s="20">
        <v>3036764.4</v>
      </c>
      <c r="D1656" s="21" t="s">
        <v>832</v>
      </c>
      <c r="E1656" s="21">
        <v>91002827</v>
      </c>
      <c r="F1656" s="20">
        <v>3036764.4</v>
      </c>
      <c r="G1656" s="22">
        <v>46051</v>
      </c>
      <c r="H1656" t="s">
        <v>79</v>
      </c>
      <c r="I1656" s="51" t="str">
        <f>IFERROR(IF(VLOOKUP(E1656,extracto!C:C,1,FALSE)=E1656,"pagado","no pagado"),"no pagado")</f>
        <v>pagado</v>
      </c>
      <c r="J1656" s="52" t="str">
        <f t="shared" si="732"/>
        <v>pagado</v>
      </c>
      <c r="K1656" s="51" t="str">
        <f t="shared" ca="1" si="733"/>
        <v>excluir</v>
      </c>
      <c r="L1656" s="51" t="str">
        <f t="shared" ca="1" si="734"/>
        <v>no semana</v>
      </c>
      <c r="M1656" s="51" t="str">
        <f>IFERROR(VLOOKUP(E1656,'cheques a conf'!A:D,4,FALSE),"no clearing")</f>
        <v>no clearing</v>
      </c>
      <c r="N1656" s="51">
        <f t="shared" si="735"/>
        <v>5</v>
      </c>
      <c r="O1656" s="53">
        <f t="shared" si="736"/>
        <v>1</v>
      </c>
      <c r="P1656" s="53">
        <f t="shared" si="737"/>
        <v>2026</v>
      </c>
    </row>
    <row r="1657" spans="1:16" x14ac:dyDescent="0.25">
      <c r="A1657" s="21">
        <v>3000000440</v>
      </c>
      <c r="B1657" s="22">
        <v>46048</v>
      </c>
      <c r="C1657" s="20">
        <v>3059020.08</v>
      </c>
      <c r="D1657" s="21" t="s">
        <v>833</v>
      </c>
      <c r="E1657" s="21">
        <v>91002828</v>
      </c>
      <c r="F1657" s="20">
        <v>3059020.08</v>
      </c>
      <c r="G1657" s="22">
        <v>46051</v>
      </c>
      <c r="H1657" t="s">
        <v>79</v>
      </c>
      <c r="I1657" s="51" t="str">
        <f>IFERROR(IF(VLOOKUP(E1657,extracto!C:C,1,FALSE)=E1657,"pagado","no pagado"),"no pagado")</f>
        <v>pagado</v>
      </c>
      <c r="J1657" s="52" t="str">
        <f t="shared" si="732"/>
        <v>pagado</v>
      </c>
      <c r="K1657" s="51" t="str">
        <f t="shared" ca="1" si="733"/>
        <v>excluir</v>
      </c>
      <c r="L1657" s="51" t="str">
        <f t="shared" ca="1" si="734"/>
        <v>no semana</v>
      </c>
      <c r="M1657" s="51" t="str">
        <f>IFERROR(VLOOKUP(E1657,'cheques a conf'!A:D,4,FALSE),"no clearing")</f>
        <v>no clearing</v>
      </c>
      <c r="N1657" s="51">
        <f t="shared" si="735"/>
        <v>5</v>
      </c>
      <c r="O1657" s="53">
        <f t="shared" si="736"/>
        <v>1</v>
      </c>
      <c r="P1657" s="53">
        <f t="shared" si="737"/>
        <v>2026</v>
      </c>
    </row>
    <row r="1658" spans="1:16" x14ac:dyDescent="0.25">
      <c r="A1658" s="21">
        <v>3000000441</v>
      </c>
      <c r="B1658" s="22">
        <v>46048</v>
      </c>
      <c r="C1658" s="20">
        <v>256051599.84</v>
      </c>
      <c r="D1658" s="21" t="s">
        <v>834</v>
      </c>
      <c r="E1658" s="21">
        <v>91002829</v>
      </c>
      <c r="F1658" s="20">
        <v>256051599.84</v>
      </c>
      <c r="G1658" s="22">
        <v>46050</v>
      </c>
      <c r="H1658" t="s">
        <v>79</v>
      </c>
      <c r="I1658" s="51" t="str">
        <f>IFERROR(IF(VLOOKUP(E1658,extracto!C:C,1,FALSE)=E1658,"pagado","no pagado"),"no pagado")</f>
        <v>pagado</v>
      </c>
      <c r="J1658" s="52" t="str">
        <f t="shared" si="732"/>
        <v>pagado</v>
      </c>
      <c r="K1658" s="51" t="str">
        <f t="shared" ca="1" si="733"/>
        <v>excluir</v>
      </c>
      <c r="L1658" s="51" t="str">
        <f t="shared" ca="1" si="734"/>
        <v>no semana</v>
      </c>
      <c r="M1658" s="51" t="str">
        <f>IFERROR(VLOOKUP(E1658,'cheques a conf'!A:D,4,FALSE),"no clearing")</f>
        <v>no clearing</v>
      </c>
      <c r="N1658" s="51">
        <f t="shared" si="735"/>
        <v>5</v>
      </c>
      <c r="O1658" s="53">
        <f t="shared" si="736"/>
        <v>1</v>
      </c>
      <c r="P1658" s="53">
        <f t="shared" si="737"/>
        <v>2026</v>
      </c>
    </row>
    <row r="1659" spans="1:16" x14ac:dyDescent="0.25">
      <c r="A1659" s="21">
        <v>3000000442</v>
      </c>
      <c r="B1659" s="22">
        <v>46048</v>
      </c>
      <c r="C1659" s="20">
        <v>29747116.050000001</v>
      </c>
      <c r="D1659" s="21" t="s">
        <v>835</v>
      </c>
      <c r="E1659" s="21">
        <v>91002830</v>
      </c>
      <c r="F1659" s="20">
        <v>29747116.050000001</v>
      </c>
      <c r="G1659" s="22">
        <v>46050</v>
      </c>
      <c r="H1659" t="s">
        <v>79</v>
      </c>
      <c r="I1659" s="51" t="str">
        <f>IFERROR(IF(VLOOKUP(E1659,extracto!C:C,1,FALSE)=E1659,"pagado","no pagado"),"no pagado")</f>
        <v>pagado</v>
      </c>
      <c r="J1659" s="52" t="str">
        <f t="shared" si="732"/>
        <v>pagado</v>
      </c>
      <c r="K1659" s="51" t="str">
        <f t="shared" ca="1" si="733"/>
        <v>excluir</v>
      </c>
      <c r="L1659" s="51" t="str">
        <f t="shared" ca="1" si="734"/>
        <v>no semana</v>
      </c>
      <c r="M1659" s="51" t="str">
        <f>IFERROR(VLOOKUP(E1659,'cheques a conf'!A:D,4,FALSE),"no clearing")</f>
        <v>no clearing</v>
      </c>
      <c r="N1659" s="51">
        <f t="shared" si="735"/>
        <v>5</v>
      </c>
      <c r="O1659" s="53">
        <f t="shared" si="736"/>
        <v>1</v>
      </c>
      <c r="P1659" s="53">
        <f t="shared" si="737"/>
        <v>2026</v>
      </c>
    </row>
    <row r="1660" spans="1:16" x14ac:dyDescent="0.25">
      <c r="A1660" s="21">
        <v>3000000443</v>
      </c>
      <c r="B1660" s="22">
        <v>46048</v>
      </c>
      <c r="C1660" s="20">
        <v>12433472.9</v>
      </c>
      <c r="D1660" s="21" t="s">
        <v>836</v>
      </c>
      <c r="E1660" s="21">
        <v>91002831</v>
      </c>
      <c r="F1660" s="20">
        <v>12433472.9</v>
      </c>
      <c r="G1660" s="22">
        <v>46050</v>
      </c>
      <c r="H1660" t="s">
        <v>79</v>
      </c>
      <c r="I1660" s="51" t="str">
        <f>IFERROR(IF(VLOOKUP(E1660,extracto!C:C,1,FALSE)=E1660,"pagado","no pagado"),"no pagado")</f>
        <v>pagado</v>
      </c>
      <c r="J1660" s="52" t="str">
        <f t="shared" si="732"/>
        <v>pagado</v>
      </c>
      <c r="K1660" s="51" t="str">
        <f t="shared" ca="1" si="733"/>
        <v>excluir</v>
      </c>
      <c r="L1660" s="51" t="str">
        <f t="shared" ca="1" si="734"/>
        <v>no semana</v>
      </c>
      <c r="M1660" s="51" t="str">
        <f>IFERROR(VLOOKUP(E1660,'cheques a conf'!A:D,4,FALSE),"no clearing")</f>
        <v>no clearing</v>
      </c>
      <c r="N1660" s="51">
        <f t="shared" si="735"/>
        <v>5</v>
      </c>
      <c r="O1660" s="53">
        <f t="shared" si="736"/>
        <v>1</v>
      </c>
      <c r="P1660" s="53">
        <f t="shared" si="737"/>
        <v>2026</v>
      </c>
    </row>
    <row r="1661" spans="1:16" x14ac:dyDescent="0.25">
      <c r="A1661" s="21">
        <v>3000000444</v>
      </c>
      <c r="B1661" s="22">
        <v>46048</v>
      </c>
      <c r="C1661" s="20">
        <v>13294432.130000001</v>
      </c>
      <c r="D1661" s="21" t="s">
        <v>837</v>
      </c>
      <c r="E1661" s="21">
        <v>91002832</v>
      </c>
      <c r="F1661" s="20">
        <v>13294432.130000001</v>
      </c>
      <c r="G1661" s="22">
        <v>46051</v>
      </c>
      <c r="H1661" t="s">
        <v>79</v>
      </c>
      <c r="I1661" s="51" t="str">
        <f>IFERROR(IF(VLOOKUP(E1661,extracto!C:C,1,FALSE)=E1661,"pagado","no pagado"),"no pagado")</f>
        <v>pagado</v>
      </c>
      <c r="J1661" s="52" t="str">
        <f t="shared" ref="J1661:J1679" si="738">IF(I1661="pagado","pagado",IF(G1661&lt;$V$1-30,"fuera de fecha","en periodo de pago"))</f>
        <v>pagado</v>
      </c>
      <c r="K1661" s="51" t="str">
        <f t="shared" ref="K1661:K1679" ca="1" si="739">+IF(B1661&gt;$V$1,"excluir",IF(J1661="en periodo de pago",IF($V$1&gt;G1661,"a pagar","proximo a vencer"),"excluir"))</f>
        <v>excluir</v>
      </c>
      <c r="L1661" s="51" t="str">
        <f t="shared" ref="L1661:L1679" ca="1" si="740">+IF(K1661="proximo a vencer",IF($V$1+5&gt;G1661,"para la semana","no semana"),"no semana")</f>
        <v>no semana</v>
      </c>
      <c r="M1661" s="51" t="str">
        <f>IFERROR(VLOOKUP(E1661,'cheques a conf'!A:D,4,FALSE),"no clearing")</f>
        <v>no clearing</v>
      </c>
      <c r="N1661" s="51">
        <f t="shared" ref="N1661:N1679" si="741">+WEEKNUM(G1661,2)</f>
        <v>5</v>
      </c>
      <c r="O1661" s="53">
        <f t="shared" ref="O1661:O1679" si="742">+MONTH(G1661)</f>
        <v>1</v>
      </c>
      <c r="P1661" s="53">
        <f t="shared" ref="P1661:P1679" si="743">+YEAR(G1661)</f>
        <v>2026</v>
      </c>
    </row>
    <row r="1662" spans="1:16" x14ac:dyDescent="0.25">
      <c r="A1662" s="21">
        <v>3000000445</v>
      </c>
      <c r="B1662" s="22">
        <v>46048</v>
      </c>
      <c r="C1662" s="20">
        <v>10690155</v>
      </c>
      <c r="D1662" s="21" t="s">
        <v>838</v>
      </c>
      <c r="E1662" s="21">
        <v>91002833</v>
      </c>
      <c r="F1662" s="20">
        <v>10690155</v>
      </c>
      <c r="G1662" s="22">
        <v>46051</v>
      </c>
      <c r="H1662" t="s">
        <v>79</v>
      </c>
      <c r="I1662" s="51" t="str">
        <f>IFERROR(IF(VLOOKUP(E1662,extracto!C:C,1,FALSE)=E1662,"pagado","no pagado"),"no pagado")</f>
        <v>pagado</v>
      </c>
      <c r="J1662" s="52" t="str">
        <f t="shared" si="738"/>
        <v>pagado</v>
      </c>
      <c r="K1662" s="51" t="str">
        <f t="shared" ca="1" si="739"/>
        <v>excluir</v>
      </c>
      <c r="L1662" s="51" t="str">
        <f t="shared" ca="1" si="740"/>
        <v>no semana</v>
      </c>
      <c r="M1662" s="51" t="str">
        <f>IFERROR(VLOOKUP(E1662,'cheques a conf'!A:D,4,FALSE),"no clearing")</f>
        <v>no clearing</v>
      </c>
      <c r="N1662" s="51">
        <f t="shared" si="741"/>
        <v>5</v>
      </c>
      <c r="O1662" s="53">
        <f t="shared" si="742"/>
        <v>1</v>
      </c>
      <c r="P1662" s="53">
        <f t="shared" si="743"/>
        <v>2026</v>
      </c>
    </row>
    <row r="1663" spans="1:16" x14ac:dyDescent="0.25">
      <c r="A1663" s="21">
        <v>3000000446</v>
      </c>
      <c r="B1663" s="22">
        <v>46048</v>
      </c>
      <c r="C1663" s="20">
        <v>20362740.280000001</v>
      </c>
      <c r="D1663" s="21" t="s">
        <v>839</v>
      </c>
      <c r="E1663" s="21">
        <v>91002834</v>
      </c>
      <c r="F1663" s="20">
        <v>20362740.280000001</v>
      </c>
      <c r="G1663" s="22">
        <v>46051</v>
      </c>
      <c r="H1663" t="s">
        <v>79</v>
      </c>
      <c r="I1663" s="51" t="str">
        <f>IFERROR(IF(VLOOKUP(E1663,extracto!C:C,1,FALSE)=E1663,"pagado","no pagado"),"no pagado")</f>
        <v>pagado</v>
      </c>
      <c r="J1663" s="52" t="str">
        <f t="shared" si="738"/>
        <v>pagado</v>
      </c>
      <c r="K1663" s="51" t="str">
        <f t="shared" ca="1" si="739"/>
        <v>excluir</v>
      </c>
      <c r="L1663" s="51" t="str">
        <f t="shared" ca="1" si="740"/>
        <v>no semana</v>
      </c>
      <c r="M1663" s="51" t="str">
        <f>IFERROR(VLOOKUP(E1663,'cheques a conf'!A:D,4,FALSE),"no clearing")</f>
        <v>no clearing</v>
      </c>
      <c r="N1663" s="51">
        <f t="shared" si="741"/>
        <v>5</v>
      </c>
      <c r="O1663" s="53">
        <f t="shared" si="742"/>
        <v>1</v>
      </c>
      <c r="P1663" s="53">
        <f t="shared" si="743"/>
        <v>2026</v>
      </c>
    </row>
    <row r="1664" spans="1:16" x14ac:dyDescent="0.25">
      <c r="A1664" s="21">
        <v>3000000447</v>
      </c>
      <c r="B1664" s="22">
        <v>46048</v>
      </c>
      <c r="C1664" s="20">
        <v>2628447.5099999998</v>
      </c>
      <c r="D1664" s="21" t="s">
        <v>840</v>
      </c>
      <c r="E1664" s="21">
        <v>91002835</v>
      </c>
      <c r="F1664" s="20">
        <v>2628447.5099999998</v>
      </c>
      <c r="G1664" s="22">
        <v>46051</v>
      </c>
      <c r="H1664" t="s">
        <v>79</v>
      </c>
      <c r="I1664" s="51" t="str">
        <f>IFERROR(IF(VLOOKUP(E1664,extracto!C:C,1,FALSE)=E1664,"pagado","no pagado"),"no pagado")</f>
        <v>pagado</v>
      </c>
      <c r="J1664" s="52" t="str">
        <f t="shared" si="738"/>
        <v>pagado</v>
      </c>
      <c r="K1664" s="51" t="str">
        <f t="shared" ca="1" si="739"/>
        <v>excluir</v>
      </c>
      <c r="L1664" s="51" t="str">
        <f t="shared" ca="1" si="740"/>
        <v>no semana</v>
      </c>
      <c r="M1664" s="51" t="str">
        <f>IFERROR(VLOOKUP(E1664,'cheques a conf'!A:D,4,FALSE),"no clearing")</f>
        <v>no clearing</v>
      </c>
      <c r="N1664" s="51">
        <f t="shared" si="741"/>
        <v>5</v>
      </c>
      <c r="O1664" s="53">
        <f t="shared" si="742"/>
        <v>1</v>
      </c>
      <c r="P1664" s="53">
        <f t="shared" si="743"/>
        <v>2026</v>
      </c>
    </row>
    <row r="1665" spans="1:16" x14ac:dyDescent="0.25">
      <c r="A1665" s="21">
        <v>3000000448</v>
      </c>
      <c r="B1665" s="22">
        <v>46048</v>
      </c>
      <c r="C1665" s="20">
        <v>15110549.279999999</v>
      </c>
      <c r="D1665" s="21" t="s">
        <v>841</v>
      </c>
      <c r="E1665" s="21">
        <v>91002836</v>
      </c>
      <c r="F1665" s="20">
        <v>15110549.279999999</v>
      </c>
      <c r="G1665" s="22">
        <v>46051</v>
      </c>
      <c r="H1665" t="s">
        <v>79</v>
      </c>
      <c r="I1665" s="51" t="str">
        <f>IFERROR(IF(VLOOKUP(E1665,extracto!C:C,1,FALSE)=E1665,"pagado","no pagado"),"no pagado")</f>
        <v>pagado</v>
      </c>
      <c r="J1665" s="52" t="str">
        <f t="shared" si="738"/>
        <v>pagado</v>
      </c>
      <c r="K1665" s="51" t="str">
        <f t="shared" ca="1" si="739"/>
        <v>excluir</v>
      </c>
      <c r="L1665" s="51" t="str">
        <f t="shared" ca="1" si="740"/>
        <v>no semana</v>
      </c>
      <c r="M1665" s="51" t="str">
        <f>IFERROR(VLOOKUP(E1665,'cheques a conf'!A:D,4,FALSE),"no clearing")</f>
        <v>no clearing</v>
      </c>
      <c r="N1665" s="51">
        <f t="shared" si="741"/>
        <v>5</v>
      </c>
      <c r="O1665" s="53">
        <f t="shared" si="742"/>
        <v>1</v>
      </c>
      <c r="P1665" s="53">
        <f t="shared" si="743"/>
        <v>2026</v>
      </c>
    </row>
    <row r="1666" spans="1:16" x14ac:dyDescent="0.25">
      <c r="A1666" s="21">
        <v>3000000449</v>
      </c>
      <c r="B1666" s="22">
        <v>46048</v>
      </c>
      <c r="C1666" s="20">
        <v>13284723.9</v>
      </c>
      <c r="D1666" s="21" t="s">
        <v>842</v>
      </c>
      <c r="E1666" s="21">
        <v>91002837</v>
      </c>
      <c r="F1666" s="20">
        <v>13284723.9</v>
      </c>
      <c r="G1666" s="22">
        <v>46052</v>
      </c>
      <c r="H1666" t="s">
        <v>79</v>
      </c>
      <c r="I1666" s="51" t="str">
        <f>IFERROR(IF(VLOOKUP(E1666,extracto!C:C,1,FALSE)=E1666,"pagado","no pagado"),"no pagado")</f>
        <v>pagado</v>
      </c>
      <c r="J1666" s="52" t="str">
        <f t="shared" si="738"/>
        <v>pagado</v>
      </c>
      <c r="K1666" s="51" t="str">
        <f t="shared" ca="1" si="739"/>
        <v>excluir</v>
      </c>
      <c r="L1666" s="51" t="str">
        <f t="shared" ca="1" si="740"/>
        <v>no semana</v>
      </c>
      <c r="M1666" s="51" t="str">
        <f>IFERROR(VLOOKUP(E1666,'cheques a conf'!A:D,4,FALSE),"no clearing")</f>
        <v>no clearing</v>
      </c>
      <c r="N1666" s="51">
        <f t="shared" si="741"/>
        <v>5</v>
      </c>
      <c r="O1666" s="53">
        <f t="shared" si="742"/>
        <v>1</v>
      </c>
      <c r="P1666" s="53">
        <f t="shared" si="743"/>
        <v>2026</v>
      </c>
    </row>
    <row r="1667" spans="1:16" x14ac:dyDescent="0.25">
      <c r="A1667" s="21">
        <v>3000000450</v>
      </c>
      <c r="B1667" s="22">
        <v>46048</v>
      </c>
      <c r="C1667" s="20">
        <v>9067788</v>
      </c>
      <c r="D1667" s="21" t="s">
        <v>843</v>
      </c>
      <c r="E1667" s="21">
        <v>91002838</v>
      </c>
      <c r="F1667" s="20">
        <v>9067788</v>
      </c>
      <c r="G1667" s="22">
        <v>46052</v>
      </c>
      <c r="H1667" t="s">
        <v>79</v>
      </c>
      <c r="I1667" s="51" t="str">
        <f>IFERROR(IF(VLOOKUP(E1667,extracto!C:C,1,FALSE)=E1667,"pagado","no pagado"),"no pagado")</f>
        <v>pagado</v>
      </c>
      <c r="J1667" s="52" t="str">
        <f t="shared" si="738"/>
        <v>pagado</v>
      </c>
      <c r="K1667" s="51" t="str">
        <f t="shared" ca="1" si="739"/>
        <v>excluir</v>
      </c>
      <c r="L1667" s="51" t="str">
        <f t="shared" ca="1" si="740"/>
        <v>no semana</v>
      </c>
      <c r="M1667" s="51" t="str">
        <f>IFERROR(VLOOKUP(E1667,'cheques a conf'!A:D,4,FALSE),"no clearing")</f>
        <v>no clearing</v>
      </c>
      <c r="N1667" s="51">
        <f t="shared" si="741"/>
        <v>5</v>
      </c>
      <c r="O1667" s="53">
        <f t="shared" si="742"/>
        <v>1</v>
      </c>
      <c r="P1667" s="53">
        <f t="shared" si="743"/>
        <v>2026</v>
      </c>
    </row>
    <row r="1668" spans="1:16" x14ac:dyDescent="0.25">
      <c r="A1668" s="21">
        <v>3000000451</v>
      </c>
      <c r="B1668" s="22">
        <v>46048</v>
      </c>
      <c r="C1668" s="20">
        <v>17748570.359999999</v>
      </c>
      <c r="D1668" s="21" t="s">
        <v>844</v>
      </c>
      <c r="E1668" s="21">
        <v>91002839</v>
      </c>
      <c r="F1668" s="20">
        <v>17748570.359999999</v>
      </c>
      <c r="G1668" s="22">
        <v>46052</v>
      </c>
      <c r="H1668" t="s">
        <v>79</v>
      </c>
      <c r="I1668" s="51" t="str">
        <f>IFERROR(IF(VLOOKUP(E1668,extracto!C:C,1,FALSE)=E1668,"pagado","no pagado"),"no pagado")</f>
        <v>pagado</v>
      </c>
      <c r="J1668" s="52" t="str">
        <f t="shared" si="738"/>
        <v>pagado</v>
      </c>
      <c r="K1668" s="51" t="str">
        <f t="shared" ca="1" si="739"/>
        <v>excluir</v>
      </c>
      <c r="L1668" s="51" t="str">
        <f t="shared" ca="1" si="740"/>
        <v>no semana</v>
      </c>
      <c r="M1668" s="51" t="str">
        <f>IFERROR(VLOOKUP(E1668,'cheques a conf'!A:D,4,FALSE),"no clearing")</f>
        <v>no clearing</v>
      </c>
      <c r="N1668" s="51">
        <f t="shared" si="741"/>
        <v>5</v>
      </c>
      <c r="O1668" s="53">
        <f t="shared" si="742"/>
        <v>1</v>
      </c>
      <c r="P1668" s="53">
        <f t="shared" si="743"/>
        <v>2026</v>
      </c>
    </row>
    <row r="1669" spans="1:16" x14ac:dyDescent="0.25">
      <c r="A1669" s="21">
        <v>3000000453</v>
      </c>
      <c r="B1669" s="22">
        <v>46048</v>
      </c>
      <c r="C1669" s="20">
        <v>36351559.520000003</v>
      </c>
      <c r="D1669" s="21" t="s">
        <v>845</v>
      </c>
      <c r="E1669" s="21">
        <v>91002840</v>
      </c>
      <c r="F1669" s="20">
        <v>36351559.520000003</v>
      </c>
      <c r="G1669" s="22">
        <v>46050</v>
      </c>
      <c r="H1669" t="s">
        <v>79</v>
      </c>
      <c r="I1669" s="51" t="str">
        <f>IFERROR(IF(VLOOKUP(E1669,extracto!C:C,1,FALSE)=E1669,"pagado","no pagado"),"no pagado")</f>
        <v>pagado</v>
      </c>
      <c r="J1669" s="52" t="str">
        <f t="shared" si="738"/>
        <v>pagado</v>
      </c>
      <c r="K1669" s="51" t="str">
        <f t="shared" ca="1" si="739"/>
        <v>excluir</v>
      </c>
      <c r="L1669" s="51" t="str">
        <f t="shared" ca="1" si="740"/>
        <v>no semana</v>
      </c>
      <c r="M1669" s="51" t="str">
        <f>IFERROR(VLOOKUP(E1669,'cheques a conf'!A:D,4,FALSE),"no clearing")</f>
        <v>no clearing</v>
      </c>
      <c r="N1669" s="51">
        <f t="shared" si="741"/>
        <v>5</v>
      </c>
      <c r="O1669" s="53">
        <f t="shared" si="742"/>
        <v>1</v>
      </c>
      <c r="P1669" s="53">
        <f t="shared" si="743"/>
        <v>2026</v>
      </c>
    </row>
    <row r="1670" spans="1:16" x14ac:dyDescent="0.25">
      <c r="A1670" s="21">
        <v>3000000454</v>
      </c>
      <c r="B1670" s="22">
        <v>46049</v>
      </c>
      <c r="C1670" s="20">
        <v>19722454.359999999</v>
      </c>
      <c r="D1670" s="21" t="s">
        <v>846</v>
      </c>
      <c r="E1670" s="21">
        <v>91002841</v>
      </c>
      <c r="F1670" s="20">
        <v>19722454.359999999</v>
      </c>
      <c r="G1670" s="22">
        <v>46051</v>
      </c>
      <c r="H1670" t="s">
        <v>79</v>
      </c>
      <c r="I1670" s="51" t="str">
        <f>IFERROR(IF(VLOOKUP(E1670,extracto!C:C,1,FALSE)=E1670,"pagado","no pagado"),"no pagado")</f>
        <v>pagado</v>
      </c>
      <c r="J1670" s="52" t="str">
        <f t="shared" si="738"/>
        <v>pagado</v>
      </c>
      <c r="K1670" s="51" t="str">
        <f t="shared" ca="1" si="739"/>
        <v>excluir</v>
      </c>
      <c r="L1670" s="51" t="str">
        <f t="shared" ca="1" si="740"/>
        <v>no semana</v>
      </c>
      <c r="M1670" s="51" t="str">
        <f>IFERROR(VLOOKUP(E1670,'cheques a conf'!A:D,4,FALSE),"no clearing")</f>
        <v>no clearing</v>
      </c>
      <c r="N1670" s="51">
        <f t="shared" si="741"/>
        <v>5</v>
      </c>
      <c r="O1670" s="53">
        <f t="shared" si="742"/>
        <v>1</v>
      </c>
      <c r="P1670" s="53">
        <f t="shared" si="743"/>
        <v>2026</v>
      </c>
    </row>
    <row r="1671" spans="1:16" x14ac:dyDescent="0.25">
      <c r="A1671" s="21">
        <v>3000000564</v>
      </c>
      <c r="B1671" s="22">
        <v>46055</v>
      </c>
      <c r="C1671" s="20">
        <v>23775738.850000001</v>
      </c>
      <c r="D1671" s="21" t="s">
        <v>767</v>
      </c>
      <c r="E1671" s="21">
        <v>91002842</v>
      </c>
      <c r="F1671" s="20">
        <v>23775738.850000001</v>
      </c>
      <c r="G1671" s="22">
        <v>46058</v>
      </c>
      <c r="H1671" t="s">
        <v>79</v>
      </c>
      <c r="I1671" s="51" t="str">
        <f>IFERROR(IF(VLOOKUP(E1671,extracto!C:C,1,FALSE)=E1671,"pagado","no pagado"),"no pagado")</f>
        <v>pagado</v>
      </c>
      <c r="J1671" s="52" t="str">
        <f t="shared" si="738"/>
        <v>pagado</v>
      </c>
      <c r="K1671" s="51" t="str">
        <f t="shared" ca="1" si="739"/>
        <v>excluir</v>
      </c>
      <c r="L1671" s="51" t="str">
        <f t="shared" ca="1" si="740"/>
        <v>no semana</v>
      </c>
      <c r="M1671" s="51" t="str">
        <f>IFERROR(VLOOKUP(E1671,'cheques a conf'!A:D,4,FALSE),"no clearing")</f>
        <v>no clearing</v>
      </c>
      <c r="N1671" s="51">
        <f t="shared" si="741"/>
        <v>6</v>
      </c>
      <c r="O1671" s="53">
        <f t="shared" si="742"/>
        <v>2</v>
      </c>
      <c r="P1671" s="53">
        <f t="shared" si="743"/>
        <v>2026</v>
      </c>
    </row>
    <row r="1672" spans="1:16" x14ac:dyDescent="0.25">
      <c r="A1672" s="21">
        <v>3000000565</v>
      </c>
      <c r="B1672" s="22">
        <v>46055</v>
      </c>
      <c r="C1672" s="20">
        <v>7597267</v>
      </c>
      <c r="D1672" s="21" t="s">
        <v>593</v>
      </c>
      <c r="E1672" s="21">
        <v>91002843</v>
      </c>
      <c r="F1672" s="20">
        <v>7597267</v>
      </c>
      <c r="G1672" s="22">
        <v>46059</v>
      </c>
      <c r="H1672" t="s">
        <v>79</v>
      </c>
      <c r="I1672" s="51" t="str">
        <f>IFERROR(IF(VLOOKUP(E1672,extracto!C:C,1,FALSE)=E1672,"pagado","no pagado"),"no pagado")</f>
        <v>pagado</v>
      </c>
      <c r="J1672" s="52" t="str">
        <f t="shared" si="738"/>
        <v>pagado</v>
      </c>
      <c r="K1672" s="51" t="str">
        <f t="shared" ca="1" si="739"/>
        <v>excluir</v>
      </c>
      <c r="L1672" s="51" t="str">
        <f t="shared" ca="1" si="740"/>
        <v>no semana</v>
      </c>
      <c r="M1672" s="51" t="str">
        <f>IFERROR(VLOOKUP(E1672,'cheques a conf'!A:D,4,FALSE),"no clearing")</f>
        <v>no clearing</v>
      </c>
      <c r="N1672" s="51">
        <f t="shared" si="741"/>
        <v>6</v>
      </c>
      <c r="O1672" s="53">
        <f t="shared" si="742"/>
        <v>2</v>
      </c>
      <c r="P1672" s="53">
        <f t="shared" si="743"/>
        <v>2026</v>
      </c>
    </row>
    <row r="1673" spans="1:16" x14ac:dyDescent="0.25">
      <c r="A1673" s="21">
        <v>3000000596</v>
      </c>
      <c r="B1673" s="22">
        <v>46056</v>
      </c>
      <c r="C1673" s="20">
        <v>11870000</v>
      </c>
      <c r="D1673" s="21" t="s">
        <v>294</v>
      </c>
      <c r="E1673" s="21">
        <v>91002850</v>
      </c>
      <c r="F1673" s="20">
        <v>11870000</v>
      </c>
      <c r="G1673" s="22">
        <v>46059</v>
      </c>
      <c r="H1673" t="s">
        <v>79</v>
      </c>
      <c r="I1673" s="51" t="str">
        <f>IFERROR(IF(VLOOKUP(E1673,extracto!C:C,1,FALSE)=E1673,"pagado","no pagado"),"no pagado")</f>
        <v>pagado</v>
      </c>
      <c r="J1673" s="52" t="str">
        <f t="shared" si="738"/>
        <v>pagado</v>
      </c>
      <c r="K1673" s="51" t="str">
        <f t="shared" ca="1" si="739"/>
        <v>excluir</v>
      </c>
      <c r="L1673" s="51" t="str">
        <f t="shared" ca="1" si="740"/>
        <v>no semana</v>
      </c>
      <c r="M1673" s="51" t="str">
        <f>IFERROR(VLOOKUP(E1673,'cheques a conf'!A:D,4,FALSE),"no clearing")</f>
        <v>no clearing</v>
      </c>
      <c r="N1673" s="51">
        <f t="shared" si="741"/>
        <v>6</v>
      </c>
      <c r="O1673" s="53">
        <f t="shared" si="742"/>
        <v>2</v>
      </c>
      <c r="P1673" s="53">
        <f t="shared" si="743"/>
        <v>2026</v>
      </c>
    </row>
    <row r="1674" spans="1:16" x14ac:dyDescent="0.25">
      <c r="A1674" s="21">
        <v>3000000596</v>
      </c>
      <c r="B1674" s="22">
        <v>46056</v>
      </c>
      <c r="C1674" s="20">
        <v>5275000</v>
      </c>
      <c r="D1674" s="21" t="s">
        <v>294</v>
      </c>
      <c r="E1674" s="21">
        <v>91002851</v>
      </c>
      <c r="F1674" s="20">
        <v>5275000</v>
      </c>
      <c r="G1674" s="22">
        <v>46078</v>
      </c>
      <c r="H1674" t="s">
        <v>79</v>
      </c>
      <c r="I1674" s="51" t="str">
        <f>IFERROR(IF(VLOOKUP(E1674,extracto!C:C,1,FALSE)=E1674,"pagado","no pagado"),"no pagado")</f>
        <v>pagado</v>
      </c>
      <c r="J1674" s="52" t="str">
        <f t="shared" si="738"/>
        <v>pagado</v>
      </c>
      <c r="K1674" s="51" t="str">
        <f t="shared" ca="1" si="739"/>
        <v>excluir</v>
      </c>
      <c r="L1674" s="51" t="str">
        <f t="shared" ca="1" si="740"/>
        <v>no semana</v>
      </c>
      <c r="M1674" s="51" t="str">
        <f>IFERROR(VLOOKUP(E1674,'cheques a conf'!A:D,4,FALSE),"no clearing")</f>
        <v>no clearing</v>
      </c>
      <c r="N1674" s="51">
        <f t="shared" si="741"/>
        <v>9</v>
      </c>
      <c r="O1674" s="53">
        <f t="shared" si="742"/>
        <v>2</v>
      </c>
      <c r="P1674" s="53">
        <f t="shared" si="743"/>
        <v>2026</v>
      </c>
    </row>
    <row r="1675" spans="1:16" x14ac:dyDescent="0.25">
      <c r="A1675" s="21">
        <v>3000000596</v>
      </c>
      <c r="B1675" s="22">
        <v>46056</v>
      </c>
      <c r="C1675" s="20">
        <v>5275000</v>
      </c>
      <c r="D1675" s="21" t="s">
        <v>294</v>
      </c>
      <c r="E1675" s="21">
        <v>91002852</v>
      </c>
      <c r="F1675" s="20">
        <v>5275000</v>
      </c>
      <c r="G1675" s="22">
        <v>46108</v>
      </c>
      <c r="H1675" t="s">
        <v>79</v>
      </c>
      <c r="I1675" s="51" t="str">
        <f>IFERROR(IF(VLOOKUP(E1675,extracto!C:C,1,FALSE)=E1675,"pagado","no pagado"),"no pagado")</f>
        <v>pagado</v>
      </c>
      <c r="J1675" s="52" t="str">
        <f t="shared" si="738"/>
        <v>pagado</v>
      </c>
      <c r="K1675" s="51" t="str">
        <f t="shared" ca="1" si="739"/>
        <v>excluir</v>
      </c>
      <c r="L1675" s="51" t="str">
        <f t="shared" ca="1" si="740"/>
        <v>no semana</v>
      </c>
      <c r="M1675" s="51" t="str">
        <f>IFERROR(VLOOKUP(E1675,'cheques a conf'!A:D,4,FALSE),"no clearing")</f>
        <v>no clearing</v>
      </c>
      <c r="N1675" s="51">
        <f t="shared" si="741"/>
        <v>13</v>
      </c>
      <c r="O1675" s="53">
        <f t="shared" si="742"/>
        <v>3</v>
      </c>
      <c r="P1675" s="53">
        <f t="shared" si="743"/>
        <v>2026</v>
      </c>
    </row>
    <row r="1676" spans="1:16" x14ac:dyDescent="0.25">
      <c r="A1676" s="21">
        <v>3000000596</v>
      </c>
      <c r="B1676" s="22">
        <v>46056</v>
      </c>
      <c r="C1676" s="20">
        <v>5275000</v>
      </c>
      <c r="D1676" s="21" t="s">
        <v>294</v>
      </c>
      <c r="E1676" s="21">
        <v>91002853</v>
      </c>
      <c r="F1676" s="20">
        <v>5275000</v>
      </c>
      <c r="G1676" s="22">
        <v>46138</v>
      </c>
      <c r="H1676" t="s">
        <v>79</v>
      </c>
      <c r="I1676" s="51" t="str">
        <f>IFERROR(IF(VLOOKUP(E1676,extracto!C:C,1,FALSE)=E1676,"pagado","no pagado"),"no pagado")</f>
        <v>pagado</v>
      </c>
      <c r="J1676" s="52" t="str">
        <f t="shared" si="738"/>
        <v>pagado</v>
      </c>
      <c r="K1676" s="51" t="str">
        <f t="shared" ca="1" si="739"/>
        <v>excluir</v>
      </c>
      <c r="L1676" s="51" t="str">
        <f t="shared" ca="1" si="740"/>
        <v>no semana</v>
      </c>
      <c r="M1676" s="51" t="str">
        <f>IFERROR(VLOOKUP(E1676,'cheques a conf'!A:D,4,FALSE),"no clearing")</f>
        <v>no clearing</v>
      </c>
      <c r="N1676" s="51">
        <f t="shared" si="741"/>
        <v>17</v>
      </c>
      <c r="O1676" s="53">
        <f t="shared" si="742"/>
        <v>4</v>
      </c>
      <c r="P1676" s="53">
        <f t="shared" si="743"/>
        <v>2026</v>
      </c>
    </row>
    <row r="1677" spans="1:16" x14ac:dyDescent="0.25">
      <c r="A1677" s="21">
        <v>3000000596</v>
      </c>
      <c r="B1677" s="22">
        <v>46056</v>
      </c>
      <c r="C1677" s="20">
        <v>5275000</v>
      </c>
      <c r="D1677" s="21" t="s">
        <v>294</v>
      </c>
      <c r="E1677" s="21">
        <v>91002854</v>
      </c>
      <c r="F1677" s="20">
        <v>5275000</v>
      </c>
      <c r="G1677" s="22">
        <v>46168</v>
      </c>
      <c r="H1677" t="s">
        <v>79</v>
      </c>
      <c r="I1677" s="51" t="str">
        <f>IFERROR(IF(VLOOKUP(E1677,extracto!C:C,1,FALSE)=E1677,"pagado","no pagado"),"no pagado")</f>
        <v>pagado</v>
      </c>
      <c r="J1677" s="52" t="str">
        <f t="shared" si="738"/>
        <v>pagado</v>
      </c>
      <c r="K1677" s="51" t="str">
        <f t="shared" ca="1" si="739"/>
        <v>excluir</v>
      </c>
      <c r="L1677" s="51" t="str">
        <f t="shared" ca="1" si="740"/>
        <v>no semana</v>
      </c>
      <c r="M1677" s="51" t="str">
        <f>IFERROR(VLOOKUP(E1677,'cheques a conf'!A:D,4,FALSE),"no clearing")</f>
        <v>no clearing</v>
      </c>
      <c r="N1677" s="51">
        <f t="shared" si="741"/>
        <v>22</v>
      </c>
      <c r="O1677" s="53">
        <f t="shared" si="742"/>
        <v>5</v>
      </c>
      <c r="P1677" s="53">
        <f t="shared" si="743"/>
        <v>2026</v>
      </c>
    </row>
    <row r="1678" spans="1:16" x14ac:dyDescent="0.25">
      <c r="A1678" s="21">
        <v>3000000596</v>
      </c>
      <c r="B1678" s="22">
        <v>46056</v>
      </c>
      <c r="C1678" s="20">
        <v>5275000</v>
      </c>
      <c r="D1678" s="21" t="s">
        <v>294</v>
      </c>
      <c r="E1678" s="21">
        <v>91002855</v>
      </c>
      <c r="F1678" s="20">
        <v>5275000</v>
      </c>
      <c r="G1678" s="22">
        <v>46198</v>
      </c>
      <c r="H1678" t="s">
        <v>79</v>
      </c>
      <c r="I1678" s="51" t="str">
        <f>IFERROR(IF(VLOOKUP(E1678,extracto!C:C,1,FALSE)=E1678,"pagado","no pagado"),"no pagado")</f>
        <v>pagado</v>
      </c>
      <c r="J1678" s="52" t="str">
        <f t="shared" si="738"/>
        <v>pagado</v>
      </c>
      <c r="K1678" s="51" t="str">
        <f t="shared" ca="1" si="739"/>
        <v>excluir</v>
      </c>
      <c r="L1678" s="51" t="str">
        <f t="shared" ca="1" si="740"/>
        <v>no semana</v>
      </c>
      <c r="M1678" s="51" t="str">
        <f>IFERROR(VLOOKUP(E1678,'cheques a conf'!A:D,4,FALSE),"no clearing")</f>
        <v>no clearing</v>
      </c>
      <c r="N1678" s="51">
        <f t="shared" si="741"/>
        <v>26</v>
      </c>
      <c r="O1678" s="53">
        <f t="shared" si="742"/>
        <v>6</v>
      </c>
      <c r="P1678" s="53">
        <f t="shared" si="743"/>
        <v>2026</v>
      </c>
    </row>
    <row r="1679" spans="1:16" x14ac:dyDescent="0.25">
      <c r="A1679" s="21">
        <v>3000000596</v>
      </c>
      <c r="B1679" s="22">
        <v>46056</v>
      </c>
      <c r="C1679" s="20">
        <v>5275000</v>
      </c>
      <c r="D1679" s="21" t="s">
        <v>294</v>
      </c>
      <c r="E1679" s="21">
        <v>91002856</v>
      </c>
      <c r="F1679" s="20">
        <v>5275000</v>
      </c>
      <c r="G1679" s="22">
        <v>46228</v>
      </c>
      <c r="H1679" t="s">
        <v>79</v>
      </c>
      <c r="I1679" s="51" t="str">
        <f>IFERROR(IF(VLOOKUP(E1679,extracto!C:C,1,FALSE)=E1679,"pagado","no pagado"),"no pagado")</f>
        <v>pagado</v>
      </c>
      <c r="J1679" s="52" t="str">
        <f t="shared" si="738"/>
        <v>pagado</v>
      </c>
      <c r="K1679" s="51" t="str">
        <f t="shared" ca="1" si="739"/>
        <v>excluir</v>
      </c>
      <c r="L1679" s="51" t="str">
        <f t="shared" ca="1" si="740"/>
        <v>no semana</v>
      </c>
      <c r="M1679" s="51" t="str">
        <f>IFERROR(VLOOKUP(E1679,'cheques a conf'!A:D,4,FALSE),"no clearing")</f>
        <v>no clearing</v>
      </c>
      <c r="N1679" s="51">
        <f t="shared" si="741"/>
        <v>30</v>
      </c>
      <c r="O1679" s="53">
        <f t="shared" si="742"/>
        <v>7</v>
      </c>
      <c r="P1679" s="53">
        <f t="shared" si="743"/>
        <v>2026</v>
      </c>
    </row>
    <row r="1680" spans="1:16" x14ac:dyDescent="0.25">
      <c r="A1680" s="21">
        <v>3000000596</v>
      </c>
      <c r="B1680" s="22">
        <v>46056</v>
      </c>
      <c r="C1680" s="20">
        <v>5275000</v>
      </c>
      <c r="D1680" s="21" t="s">
        <v>294</v>
      </c>
      <c r="E1680" s="21">
        <v>91002857</v>
      </c>
      <c r="F1680" s="20">
        <v>5275000</v>
      </c>
      <c r="G1680" s="22">
        <v>46258</v>
      </c>
      <c r="H1680" t="s">
        <v>79</v>
      </c>
      <c r="I1680" s="51" t="str">
        <f>IFERROR(IF(VLOOKUP(E1680,extracto!C:C,1,FALSE)=E1680,"pagado","no pagado"),"no pagado")</f>
        <v>pagado</v>
      </c>
      <c r="J1680" s="52" t="str">
        <f t="shared" ref="J1680:J1704" si="744">IF(I1680="pagado","pagado",IF(G1680&lt;$V$1-30,"fuera de fecha","en periodo de pago"))</f>
        <v>pagado</v>
      </c>
      <c r="K1680" s="51" t="str">
        <f t="shared" ref="K1680:K1704" ca="1" si="745">+IF(B1680&gt;$V$1,"excluir",IF(J1680="en periodo de pago",IF($V$1&gt;G1680,"a pagar","proximo a vencer"),"excluir"))</f>
        <v>excluir</v>
      </c>
      <c r="L1680" s="51" t="str">
        <f t="shared" ref="L1680:L1704" ca="1" si="746">+IF(K1680="proximo a vencer",IF($V$1+5&gt;G1680,"para la semana","no semana"),"no semana")</f>
        <v>no semana</v>
      </c>
      <c r="M1680" s="51" t="str">
        <f>IFERROR(VLOOKUP(E1680,'cheques a conf'!A:D,4,FALSE),"no clearing")</f>
        <v>no clearing</v>
      </c>
      <c r="N1680" s="51">
        <f t="shared" ref="N1680:N1704" si="747">+WEEKNUM(G1680,2)</f>
        <v>35</v>
      </c>
      <c r="O1680" s="53">
        <f t="shared" ref="O1680:O1704" si="748">+MONTH(G1680)</f>
        <v>8</v>
      </c>
      <c r="P1680" s="53">
        <f t="shared" ref="P1680:P1704" si="749">+YEAR(G1680)</f>
        <v>2026</v>
      </c>
    </row>
    <row r="1681" spans="1:16" x14ac:dyDescent="0.25">
      <c r="A1681" s="21">
        <v>3000000596</v>
      </c>
      <c r="B1681" s="22">
        <v>46056</v>
      </c>
      <c r="C1681" s="20">
        <v>5275000</v>
      </c>
      <c r="D1681" s="21" t="s">
        <v>294</v>
      </c>
      <c r="E1681" s="21">
        <v>91002858</v>
      </c>
      <c r="F1681" s="20">
        <v>5275000</v>
      </c>
      <c r="G1681" s="22">
        <v>46288</v>
      </c>
      <c r="H1681" t="s">
        <v>79</v>
      </c>
      <c r="I1681" s="51" t="str">
        <f>IFERROR(IF(VLOOKUP(E1681,extracto!C:C,1,FALSE)=E1681,"pagado","no pagado"),"no pagado")</f>
        <v>no pagado</v>
      </c>
      <c r="J1681" s="52" t="str">
        <f t="shared" ca="1" si="744"/>
        <v>en periodo de pago</v>
      </c>
      <c r="K1681" s="51" t="str">
        <f t="shared" ca="1" si="745"/>
        <v>proximo a vencer</v>
      </c>
      <c r="L1681" s="51" t="str">
        <f t="shared" ca="1" si="746"/>
        <v>no semana</v>
      </c>
      <c r="M1681" s="51" t="str">
        <f>IFERROR(VLOOKUP(E1681,'cheques a conf'!A:D,4,FALSE),"no clearing")</f>
        <v>no clearing</v>
      </c>
      <c r="N1681" s="51">
        <f t="shared" si="747"/>
        <v>39</v>
      </c>
      <c r="O1681" s="53">
        <f t="shared" si="748"/>
        <v>9</v>
      </c>
      <c r="P1681" s="53">
        <f t="shared" si="749"/>
        <v>2026</v>
      </c>
    </row>
    <row r="1682" spans="1:16" x14ac:dyDescent="0.25">
      <c r="A1682" s="21">
        <v>3000000596</v>
      </c>
      <c r="B1682" s="22">
        <v>46056</v>
      </c>
      <c r="C1682" s="20">
        <v>5278371.3899999997</v>
      </c>
      <c r="D1682" s="21" t="s">
        <v>294</v>
      </c>
      <c r="E1682" s="21">
        <v>91002859</v>
      </c>
      <c r="F1682" s="20">
        <v>5278371.3899999997</v>
      </c>
      <c r="G1682" s="22">
        <v>46318</v>
      </c>
      <c r="H1682" t="s">
        <v>79</v>
      </c>
      <c r="I1682" s="51" t="str">
        <f>IFERROR(IF(VLOOKUP(E1682,extracto!C:C,1,FALSE)=E1682,"pagado","no pagado"),"no pagado")</f>
        <v>no pagado</v>
      </c>
      <c r="J1682" s="52" t="str">
        <f t="shared" ca="1" si="744"/>
        <v>en periodo de pago</v>
      </c>
      <c r="K1682" s="51" t="str">
        <f t="shared" ca="1" si="745"/>
        <v>proximo a vencer</v>
      </c>
      <c r="L1682" s="51" t="str">
        <f t="shared" ca="1" si="746"/>
        <v>no semana</v>
      </c>
      <c r="M1682" s="51" t="str">
        <f>IFERROR(VLOOKUP(E1682,'cheques a conf'!A:D,4,FALSE),"no clearing")</f>
        <v>no clearing</v>
      </c>
      <c r="N1682" s="51">
        <f t="shared" si="747"/>
        <v>43</v>
      </c>
      <c r="O1682" s="53">
        <f t="shared" si="748"/>
        <v>10</v>
      </c>
      <c r="P1682" s="53">
        <f t="shared" si="749"/>
        <v>2026</v>
      </c>
    </row>
    <row r="1683" spans="1:16" x14ac:dyDescent="0.25">
      <c r="A1683" s="21">
        <v>3000000590</v>
      </c>
      <c r="B1683" s="22">
        <v>46056</v>
      </c>
      <c r="C1683" s="20">
        <v>14238071.25</v>
      </c>
      <c r="D1683" s="21" t="s">
        <v>593</v>
      </c>
      <c r="E1683" s="21">
        <v>91002844</v>
      </c>
      <c r="F1683" s="20">
        <v>14238071.25</v>
      </c>
      <c r="G1683" s="22">
        <v>46059</v>
      </c>
      <c r="H1683" t="s">
        <v>79</v>
      </c>
      <c r="I1683" s="51" t="str">
        <f>IFERROR(IF(VLOOKUP(E1683,extracto!C:C,1,FALSE)=E1683,"pagado","no pagado"),"no pagado")</f>
        <v>pagado</v>
      </c>
      <c r="J1683" s="52" t="str">
        <f t="shared" si="744"/>
        <v>pagado</v>
      </c>
      <c r="K1683" s="51" t="str">
        <f t="shared" ca="1" si="745"/>
        <v>excluir</v>
      </c>
      <c r="L1683" s="51" t="str">
        <f t="shared" ca="1" si="746"/>
        <v>no semana</v>
      </c>
      <c r="M1683" s="51" t="str">
        <f>IFERROR(VLOOKUP(E1683,'cheques a conf'!A:D,4,FALSE),"no clearing")</f>
        <v>no clearing</v>
      </c>
      <c r="N1683" s="51">
        <f t="shared" si="747"/>
        <v>6</v>
      </c>
      <c r="O1683" s="53">
        <f t="shared" si="748"/>
        <v>2</v>
      </c>
      <c r="P1683" s="53">
        <f t="shared" si="749"/>
        <v>2026</v>
      </c>
    </row>
    <row r="1684" spans="1:16" x14ac:dyDescent="0.25">
      <c r="A1684" s="21">
        <v>3000000591</v>
      </c>
      <c r="B1684" s="22">
        <v>46056</v>
      </c>
      <c r="C1684" s="20">
        <v>7153041.7400000002</v>
      </c>
      <c r="D1684" s="21" t="s">
        <v>606</v>
      </c>
      <c r="E1684" s="21">
        <v>91002845</v>
      </c>
      <c r="F1684" s="20">
        <v>7153041.7400000002</v>
      </c>
      <c r="G1684" s="22">
        <v>46059</v>
      </c>
      <c r="H1684" t="s">
        <v>79</v>
      </c>
      <c r="I1684" s="51" t="str">
        <f>IFERROR(IF(VLOOKUP(E1684,extracto!C:C,1,FALSE)=E1684,"pagado","no pagado"),"no pagado")</f>
        <v>pagado</v>
      </c>
      <c r="J1684" s="52" t="str">
        <f t="shared" si="744"/>
        <v>pagado</v>
      </c>
      <c r="K1684" s="51" t="str">
        <f t="shared" ca="1" si="745"/>
        <v>excluir</v>
      </c>
      <c r="L1684" s="51" t="str">
        <f t="shared" ca="1" si="746"/>
        <v>no semana</v>
      </c>
      <c r="M1684" s="51" t="str">
        <f>IFERROR(VLOOKUP(E1684,'cheques a conf'!A:D,4,FALSE),"no clearing")</f>
        <v>no clearing</v>
      </c>
      <c r="N1684" s="51">
        <f t="shared" si="747"/>
        <v>6</v>
      </c>
      <c r="O1684" s="53">
        <f t="shared" si="748"/>
        <v>2</v>
      </c>
      <c r="P1684" s="53">
        <f t="shared" si="749"/>
        <v>2026</v>
      </c>
    </row>
    <row r="1685" spans="1:16" x14ac:dyDescent="0.25">
      <c r="A1685" s="21">
        <v>3000000592</v>
      </c>
      <c r="B1685" s="22">
        <v>46056</v>
      </c>
      <c r="C1685" s="20">
        <v>22435146.670000002</v>
      </c>
      <c r="D1685" s="21" t="s">
        <v>619</v>
      </c>
      <c r="E1685" s="21">
        <v>91002846</v>
      </c>
      <c r="F1685" s="20">
        <v>22435146.670000002</v>
      </c>
      <c r="G1685" s="22">
        <v>46062</v>
      </c>
      <c r="H1685" t="s">
        <v>79</v>
      </c>
      <c r="I1685" s="51" t="str">
        <f>IFERROR(IF(VLOOKUP(E1685,extracto!C:C,1,FALSE)=E1685,"pagado","no pagado"),"no pagado")</f>
        <v>pagado</v>
      </c>
      <c r="J1685" s="52" t="str">
        <f t="shared" si="744"/>
        <v>pagado</v>
      </c>
      <c r="K1685" s="51" t="str">
        <f t="shared" ca="1" si="745"/>
        <v>excluir</v>
      </c>
      <c r="L1685" s="51" t="str">
        <f t="shared" ca="1" si="746"/>
        <v>no semana</v>
      </c>
      <c r="M1685" s="51" t="str">
        <f>IFERROR(VLOOKUP(E1685,'cheques a conf'!A:D,4,FALSE),"no clearing")</f>
        <v>no clearing</v>
      </c>
      <c r="N1685" s="51">
        <f t="shared" si="747"/>
        <v>7</v>
      </c>
      <c r="O1685" s="53">
        <f t="shared" si="748"/>
        <v>2</v>
      </c>
      <c r="P1685" s="53">
        <f t="shared" si="749"/>
        <v>2026</v>
      </c>
    </row>
    <row r="1686" spans="1:16" x14ac:dyDescent="0.25">
      <c r="A1686" s="21">
        <v>3000000593</v>
      </c>
      <c r="B1686" s="22">
        <v>46056</v>
      </c>
      <c r="C1686" s="20">
        <v>8974159.4199999999</v>
      </c>
      <c r="D1686" s="21" t="s">
        <v>616</v>
      </c>
      <c r="E1686" s="21">
        <v>91002847</v>
      </c>
      <c r="F1686" s="20">
        <v>8974159.4199999999</v>
      </c>
      <c r="G1686" s="22">
        <v>46059</v>
      </c>
      <c r="H1686" t="s">
        <v>79</v>
      </c>
      <c r="I1686" s="51" t="str">
        <f>IFERROR(IF(VLOOKUP(E1686,extracto!C:C,1,FALSE)=E1686,"pagado","no pagado"),"no pagado")</f>
        <v>pagado</v>
      </c>
      <c r="J1686" s="52" t="str">
        <f t="shared" si="744"/>
        <v>pagado</v>
      </c>
      <c r="K1686" s="51" t="str">
        <f t="shared" ca="1" si="745"/>
        <v>excluir</v>
      </c>
      <c r="L1686" s="51" t="str">
        <f t="shared" ca="1" si="746"/>
        <v>no semana</v>
      </c>
      <c r="M1686" s="51" t="str">
        <f>IFERROR(VLOOKUP(E1686,'cheques a conf'!A:D,4,FALSE),"no clearing")</f>
        <v>no clearing</v>
      </c>
      <c r="N1686" s="51">
        <f t="shared" si="747"/>
        <v>6</v>
      </c>
      <c r="O1686" s="53">
        <f t="shared" si="748"/>
        <v>2</v>
      </c>
      <c r="P1686" s="53">
        <f t="shared" si="749"/>
        <v>2026</v>
      </c>
    </row>
    <row r="1687" spans="1:16" x14ac:dyDescent="0.25">
      <c r="A1687" s="21">
        <v>3000000594</v>
      </c>
      <c r="B1687" s="22">
        <v>46056</v>
      </c>
      <c r="C1687" s="20">
        <v>37544980.119999997</v>
      </c>
      <c r="D1687" s="21" t="s">
        <v>592</v>
      </c>
      <c r="E1687" s="21">
        <v>91002848</v>
      </c>
      <c r="F1687" s="20">
        <v>37544980.119999997</v>
      </c>
      <c r="G1687" s="22">
        <v>46062</v>
      </c>
      <c r="H1687" t="s">
        <v>79</v>
      </c>
      <c r="I1687" s="51" t="str">
        <f>IFERROR(IF(VLOOKUP(E1687,extracto!C:C,1,FALSE)=E1687,"pagado","no pagado"),"no pagado")</f>
        <v>pagado</v>
      </c>
      <c r="J1687" s="52" t="str">
        <f t="shared" si="744"/>
        <v>pagado</v>
      </c>
      <c r="K1687" s="51" t="str">
        <f t="shared" ca="1" si="745"/>
        <v>excluir</v>
      </c>
      <c r="L1687" s="51" t="str">
        <f t="shared" ca="1" si="746"/>
        <v>no semana</v>
      </c>
      <c r="M1687" s="51" t="str">
        <f>IFERROR(VLOOKUP(E1687,'cheques a conf'!A:D,4,FALSE),"no clearing")</f>
        <v>no clearing</v>
      </c>
      <c r="N1687" s="51">
        <f t="shared" si="747"/>
        <v>7</v>
      </c>
      <c r="O1687" s="53">
        <f t="shared" si="748"/>
        <v>2</v>
      </c>
      <c r="P1687" s="53">
        <f t="shared" si="749"/>
        <v>2026</v>
      </c>
    </row>
    <row r="1688" spans="1:16" x14ac:dyDescent="0.25">
      <c r="A1688" s="21">
        <v>3000000595</v>
      </c>
      <c r="B1688" s="22">
        <v>46056</v>
      </c>
      <c r="C1688" s="20">
        <v>17191145.800000001</v>
      </c>
      <c r="D1688" s="21" t="s">
        <v>211</v>
      </c>
      <c r="E1688" s="21">
        <v>91002849</v>
      </c>
      <c r="F1688" s="20">
        <v>17191145.800000001</v>
      </c>
      <c r="G1688" s="22">
        <v>46062</v>
      </c>
      <c r="H1688" t="s">
        <v>79</v>
      </c>
      <c r="I1688" s="51" t="str">
        <f>IFERROR(IF(VLOOKUP(E1688,extracto!C:C,1,FALSE)=E1688,"pagado","no pagado"),"no pagado")</f>
        <v>pagado</v>
      </c>
      <c r="J1688" s="52" t="str">
        <f t="shared" si="744"/>
        <v>pagado</v>
      </c>
      <c r="K1688" s="51" t="str">
        <f t="shared" ca="1" si="745"/>
        <v>excluir</v>
      </c>
      <c r="L1688" s="51" t="str">
        <f t="shared" ca="1" si="746"/>
        <v>no semana</v>
      </c>
      <c r="M1688" s="51" t="str">
        <f>IFERROR(VLOOKUP(E1688,'cheques a conf'!A:D,4,FALSE),"no clearing")</f>
        <v>no clearing</v>
      </c>
      <c r="N1688" s="51">
        <f t="shared" si="747"/>
        <v>7</v>
      </c>
      <c r="O1688" s="53">
        <f t="shared" si="748"/>
        <v>2</v>
      </c>
      <c r="P1688" s="53">
        <f t="shared" si="749"/>
        <v>2026</v>
      </c>
    </row>
    <row r="1689" spans="1:16" x14ac:dyDescent="0.25">
      <c r="A1689" s="21">
        <v>3000000597</v>
      </c>
      <c r="B1689" s="22">
        <v>46056</v>
      </c>
      <c r="C1689" s="20">
        <v>3000000</v>
      </c>
      <c r="D1689" s="21" t="s">
        <v>583</v>
      </c>
      <c r="E1689" s="21">
        <v>40273020</v>
      </c>
      <c r="F1689" s="20">
        <v>3000000</v>
      </c>
      <c r="G1689" s="22">
        <v>46057</v>
      </c>
      <c r="H1689" t="s">
        <v>79</v>
      </c>
      <c r="I1689" s="51" t="str">
        <f>IFERROR(IF(VLOOKUP(E1689,extracto!C:C,1,FALSE)=E1689,"pagado","no pagado"),"no pagado")</f>
        <v>pagado</v>
      </c>
      <c r="J1689" s="52" t="str">
        <f t="shared" si="744"/>
        <v>pagado</v>
      </c>
      <c r="K1689" s="51" t="str">
        <f t="shared" ca="1" si="745"/>
        <v>excluir</v>
      </c>
      <c r="L1689" s="51" t="str">
        <f t="shared" ca="1" si="746"/>
        <v>no semana</v>
      </c>
      <c r="M1689" s="51" t="str">
        <f>IFERROR(VLOOKUP(E1689,'cheques a conf'!A:D,4,FALSE),"no clearing")</f>
        <v>no clearing</v>
      </c>
      <c r="N1689" s="51">
        <f t="shared" si="747"/>
        <v>6</v>
      </c>
      <c r="O1689" s="53">
        <f t="shared" si="748"/>
        <v>2</v>
      </c>
      <c r="P1689" s="53">
        <f t="shared" si="749"/>
        <v>2026</v>
      </c>
    </row>
    <row r="1690" spans="1:16" x14ac:dyDescent="0.25">
      <c r="A1690">
        <v>3000000724</v>
      </c>
      <c r="B1690" s="3">
        <v>46063</v>
      </c>
      <c r="C1690" s="4">
        <v>85000000</v>
      </c>
      <c r="D1690" t="s">
        <v>29</v>
      </c>
      <c r="E1690">
        <v>91002862</v>
      </c>
      <c r="F1690" s="4">
        <v>85000000</v>
      </c>
      <c r="G1690" s="3">
        <v>46066</v>
      </c>
      <c r="H1690" t="s">
        <v>79</v>
      </c>
      <c r="I1690" s="51" t="str">
        <f>IFERROR(IF(VLOOKUP(E1690,extracto!C:C,1,FALSE)=E1690,"pagado","no pagado"),"no pagado")</f>
        <v>pagado</v>
      </c>
      <c r="J1690" s="52" t="str">
        <f t="shared" si="744"/>
        <v>pagado</v>
      </c>
      <c r="K1690" s="51" t="str">
        <f t="shared" ca="1" si="745"/>
        <v>excluir</v>
      </c>
      <c r="L1690" s="51" t="str">
        <f t="shared" ca="1" si="746"/>
        <v>no semana</v>
      </c>
      <c r="M1690" s="51" t="str">
        <f>IFERROR(VLOOKUP(E1690,'cheques a conf'!A:D,4,FALSE),"no clearing")</f>
        <v>no clearing</v>
      </c>
      <c r="N1690" s="51">
        <f t="shared" si="747"/>
        <v>7</v>
      </c>
      <c r="O1690" s="53">
        <f t="shared" si="748"/>
        <v>2</v>
      </c>
      <c r="P1690" s="53">
        <f t="shared" si="749"/>
        <v>2026</v>
      </c>
    </row>
    <row r="1691" spans="1:16" x14ac:dyDescent="0.25">
      <c r="A1691">
        <v>3000000724</v>
      </c>
      <c r="B1691" s="3">
        <v>46063</v>
      </c>
      <c r="C1691" s="4">
        <v>80020760.019999996</v>
      </c>
      <c r="D1691" t="s">
        <v>29</v>
      </c>
      <c r="E1691">
        <v>91002863</v>
      </c>
      <c r="F1691" s="4">
        <v>80020760.019999996</v>
      </c>
      <c r="G1691" s="3">
        <v>46071</v>
      </c>
      <c r="H1691" t="s">
        <v>79</v>
      </c>
      <c r="I1691" s="51" t="str">
        <f>IFERROR(IF(VLOOKUP(E1691,extracto!C:C,1,FALSE)=E1691,"pagado","no pagado"),"no pagado")</f>
        <v>pagado</v>
      </c>
      <c r="J1691" s="52" t="str">
        <f t="shared" si="744"/>
        <v>pagado</v>
      </c>
      <c r="K1691" s="51" t="str">
        <f t="shared" ca="1" si="745"/>
        <v>excluir</v>
      </c>
      <c r="L1691" s="51" t="str">
        <f t="shared" ca="1" si="746"/>
        <v>no semana</v>
      </c>
      <c r="M1691" s="51" t="str">
        <f>IFERROR(VLOOKUP(E1691,'cheques a conf'!A:D,4,FALSE),"no clearing")</f>
        <v>no clearing</v>
      </c>
      <c r="N1691" s="51">
        <f t="shared" si="747"/>
        <v>8</v>
      </c>
      <c r="O1691" s="53">
        <f t="shared" si="748"/>
        <v>2</v>
      </c>
      <c r="P1691" s="53">
        <f t="shared" si="749"/>
        <v>2026</v>
      </c>
    </row>
    <row r="1692" spans="1:16" x14ac:dyDescent="0.25">
      <c r="A1692">
        <v>3000000726</v>
      </c>
      <c r="B1692" s="3">
        <v>46063</v>
      </c>
      <c r="C1692" s="4">
        <v>5000000</v>
      </c>
      <c r="D1692" t="s">
        <v>86</v>
      </c>
      <c r="E1692">
        <v>91002865</v>
      </c>
      <c r="F1692" s="4">
        <v>5000000</v>
      </c>
      <c r="G1692" s="3">
        <v>46066</v>
      </c>
      <c r="H1692" t="s">
        <v>79</v>
      </c>
      <c r="I1692" s="51" t="str">
        <f>IFERROR(IF(VLOOKUP(E1692,extracto!C:C,1,FALSE)=E1692,"pagado","no pagado"),"no pagado")</f>
        <v>pagado</v>
      </c>
      <c r="J1692" s="52" t="str">
        <f t="shared" si="744"/>
        <v>pagado</v>
      </c>
      <c r="K1692" s="51" t="str">
        <f t="shared" ca="1" si="745"/>
        <v>excluir</v>
      </c>
      <c r="L1692" s="51" t="str">
        <f t="shared" ca="1" si="746"/>
        <v>no semana</v>
      </c>
      <c r="M1692" s="51" t="str">
        <f>IFERROR(VLOOKUP(E1692,'cheques a conf'!A:D,4,FALSE),"no clearing")</f>
        <v>no clearing</v>
      </c>
      <c r="N1692" s="51">
        <f t="shared" si="747"/>
        <v>7</v>
      </c>
      <c r="O1692" s="53">
        <f t="shared" si="748"/>
        <v>2</v>
      </c>
      <c r="P1692" s="53">
        <f t="shared" si="749"/>
        <v>2026</v>
      </c>
    </row>
    <row r="1693" spans="1:16" x14ac:dyDescent="0.25">
      <c r="A1693">
        <v>3000000726</v>
      </c>
      <c r="B1693" s="3">
        <v>46063</v>
      </c>
      <c r="C1693" s="4">
        <v>5000000</v>
      </c>
      <c r="D1693" t="s">
        <v>86</v>
      </c>
      <c r="E1693">
        <v>91002866</v>
      </c>
      <c r="F1693" s="4">
        <v>5000000</v>
      </c>
      <c r="G1693" s="3">
        <v>46066</v>
      </c>
      <c r="H1693" t="s">
        <v>79</v>
      </c>
      <c r="I1693" s="51" t="str">
        <f>IFERROR(IF(VLOOKUP(E1693,extracto!C:C,1,FALSE)=E1693,"pagado","no pagado"),"no pagado")</f>
        <v>pagado</v>
      </c>
      <c r="J1693" s="52" t="str">
        <f t="shared" si="744"/>
        <v>pagado</v>
      </c>
      <c r="K1693" s="51" t="str">
        <f t="shared" ca="1" si="745"/>
        <v>excluir</v>
      </c>
      <c r="L1693" s="51" t="str">
        <f t="shared" ca="1" si="746"/>
        <v>no semana</v>
      </c>
      <c r="M1693" s="51" t="str">
        <f>IFERROR(VLOOKUP(E1693,'cheques a conf'!A:D,4,FALSE),"no clearing")</f>
        <v>no clearing</v>
      </c>
      <c r="N1693" s="51">
        <f t="shared" si="747"/>
        <v>7</v>
      </c>
      <c r="O1693" s="53">
        <f t="shared" si="748"/>
        <v>2</v>
      </c>
      <c r="P1693" s="53">
        <f t="shared" si="749"/>
        <v>2026</v>
      </c>
    </row>
    <row r="1694" spans="1:16" x14ac:dyDescent="0.25">
      <c r="A1694">
        <v>3000000726</v>
      </c>
      <c r="B1694" s="3">
        <v>46063</v>
      </c>
      <c r="C1694" s="4">
        <v>11799074.5</v>
      </c>
      <c r="D1694" t="s">
        <v>86</v>
      </c>
      <c r="E1694">
        <v>91002867</v>
      </c>
      <c r="F1694" s="4">
        <v>11799074.5</v>
      </c>
      <c r="G1694" s="3">
        <v>46071</v>
      </c>
      <c r="H1694" t="s">
        <v>79</v>
      </c>
      <c r="I1694" s="51" t="str">
        <f>IFERROR(IF(VLOOKUP(E1694,extracto!C:C,1,FALSE)=E1694,"pagado","no pagado"),"no pagado")</f>
        <v>pagado</v>
      </c>
      <c r="J1694" s="52" t="str">
        <f t="shared" si="744"/>
        <v>pagado</v>
      </c>
      <c r="K1694" s="51" t="str">
        <f t="shared" ca="1" si="745"/>
        <v>excluir</v>
      </c>
      <c r="L1694" s="51" t="str">
        <f t="shared" ca="1" si="746"/>
        <v>no semana</v>
      </c>
      <c r="M1694" s="51" t="str">
        <f>IFERROR(VLOOKUP(E1694,'cheques a conf'!A:D,4,FALSE),"no clearing")</f>
        <v>no clearing</v>
      </c>
      <c r="N1694" s="51">
        <f t="shared" si="747"/>
        <v>8</v>
      </c>
      <c r="O1694" s="53">
        <f t="shared" si="748"/>
        <v>2</v>
      </c>
      <c r="P1694" s="53">
        <f t="shared" si="749"/>
        <v>2026</v>
      </c>
    </row>
    <row r="1695" spans="1:16" x14ac:dyDescent="0.25">
      <c r="A1695">
        <v>3000000727</v>
      </c>
      <c r="B1695" s="3">
        <v>46063</v>
      </c>
      <c r="C1695" s="4">
        <v>20000000</v>
      </c>
      <c r="D1695" t="s">
        <v>740</v>
      </c>
      <c r="E1695">
        <v>91002868</v>
      </c>
      <c r="F1695" s="4">
        <v>20000000</v>
      </c>
      <c r="G1695" s="3">
        <v>46066</v>
      </c>
      <c r="H1695" t="s">
        <v>79</v>
      </c>
      <c r="I1695" s="51" t="str">
        <f>IFERROR(IF(VLOOKUP(E1695,extracto!C:C,1,FALSE)=E1695,"pagado","no pagado"),"no pagado")</f>
        <v>pagado</v>
      </c>
      <c r="J1695" s="52" t="str">
        <f t="shared" si="744"/>
        <v>pagado</v>
      </c>
      <c r="K1695" s="51" t="str">
        <f t="shared" ca="1" si="745"/>
        <v>excluir</v>
      </c>
      <c r="L1695" s="51" t="str">
        <f t="shared" ca="1" si="746"/>
        <v>no semana</v>
      </c>
      <c r="M1695" s="51" t="str">
        <f>IFERROR(VLOOKUP(E1695,'cheques a conf'!A:D,4,FALSE),"no clearing")</f>
        <v>no clearing</v>
      </c>
      <c r="N1695" s="51">
        <f t="shared" si="747"/>
        <v>7</v>
      </c>
      <c r="O1695" s="53">
        <f t="shared" si="748"/>
        <v>2</v>
      </c>
      <c r="P1695" s="53">
        <f t="shared" si="749"/>
        <v>2026</v>
      </c>
    </row>
    <row r="1696" spans="1:16" x14ac:dyDescent="0.25">
      <c r="A1696">
        <v>3000000727</v>
      </c>
      <c r="B1696" s="3">
        <v>46063</v>
      </c>
      <c r="C1696" s="4">
        <v>20176442.02</v>
      </c>
      <c r="D1696" t="s">
        <v>740</v>
      </c>
      <c r="E1696">
        <v>91002869</v>
      </c>
      <c r="F1696" s="4">
        <v>20176442.02</v>
      </c>
      <c r="G1696" s="3">
        <v>46071</v>
      </c>
      <c r="H1696" t="s">
        <v>79</v>
      </c>
      <c r="I1696" s="51" t="str">
        <f>IFERROR(IF(VLOOKUP(E1696,extracto!C:C,1,FALSE)=E1696,"pagado","no pagado"),"no pagado")</f>
        <v>pagado</v>
      </c>
      <c r="J1696" s="52" t="str">
        <f t="shared" si="744"/>
        <v>pagado</v>
      </c>
      <c r="K1696" s="51" t="str">
        <f t="shared" ca="1" si="745"/>
        <v>excluir</v>
      </c>
      <c r="L1696" s="51" t="str">
        <f t="shared" ca="1" si="746"/>
        <v>no semana</v>
      </c>
      <c r="M1696" s="51" t="str">
        <f>IFERROR(VLOOKUP(E1696,'cheques a conf'!A:D,4,FALSE),"no clearing")</f>
        <v>no clearing</v>
      </c>
      <c r="N1696" s="51">
        <f t="shared" si="747"/>
        <v>8</v>
      </c>
      <c r="O1696" s="53">
        <f t="shared" si="748"/>
        <v>2</v>
      </c>
      <c r="P1696" s="53">
        <f t="shared" si="749"/>
        <v>2026</v>
      </c>
    </row>
    <row r="1697" spans="1:16" x14ac:dyDescent="0.25">
      <c r="A1697">
        <v>3000000728</v>
      </c>
      <c r="B1697" s="3">
        <v>46063</v>
      </c>
      <c r="C1697" s="4">
        <v>30000000</v>
      </c>
      <c r="D1697" t="s">
        <v>596</v>
      </c>
      <c r="E1697">
        <v>91002870</v>
      </c>
      <c r="F1697" s="4">
        <v>30000000</v>
      </c>
      <c r="G1697" s="3">
        <v>46066</v>
      </c>
      <c r="H1697" t="s">
        <v>79</v>
      </c>
      <c r="I1697" s="51" t="str">
        <f>IFERROR(IF(VLOOKUP(E1697,extracto!C:C,1,FALSE)=E1697,"pagado","no pagado"),"no pagado")</f>
        <v>pagado</v>
      </c>
      <c r="J1697" s="52" t="str">
        <f t="shared" si="744"/>
        <v>pagado</v>
      </c>
      <c r="K1697" s="51" t="str">
        <f t="shared" ca="1" si="745"/>
        <v>excluir</v>
      </c>
      <c r="L1697" s="51" t="str">
        <f t="shared" ca="1" si="746"/>
        <v>no semana</v>
      </c>
      <c r="M1697" s="51" t="str">
        <f>IFERROR(VLOOKUP(E1697,'cheques a conf'!A:D,4,FALSE),"no clearing")</f>
        <v>no clearing</v>
      </c>
      <c r="N1697" s="51">
        <f t="shared" si="747"/>
        <v>7</v>
      </c>
      <c r="O1697" s="53">
        <f t="shared" si="748"/>
        <v>2</v>
      </c>
      <c r="P1697" s="53">
        <f t="shared" si="749"/>
        <v>2026</v>
      </c>
    </row>
    <row r="1698" spans="1:16" x14ac:dyDescent="0.25">
      <c r="A1698">
        <v>3000000728</v>
      </c>
      <c r="B1698" s="3">
        <v>46063</v>
      </c>
      <c r="C1698" s="4">
        <v>36620633.600000001</v>
      </c>
      <c r="D1698" t="s">
        <v>596</v>
      </c>
      <c r="E1698">
        <v>91002871</v>
      </c>
      <c r="F1698" s="4">
        <v>36620633.600000001</v>
      </c>
      <c r="G1698" s="3">
        <v>46071</v>
      </c>
      <c r="H1698" t="s">
        <v>79</v>
      </c>
      <c r="I1698" s="51" t="str">
        <f>IFERROR(IF(VLOOKUP(E1698,extracto!C:C,1,FALSE)=E1698,"pagado","no pagado"),"no pagado")</f>
        <v>pagado</v>
      </c>
      <c r="J1698" s="52" t="str">
        <f t="shared" si="744"/>
        <v>pagado</v>
      </c>
      <c r="K1698" s="51" t="str">
        <f t="shared" ca="1" si="745"/>
        <v>excluir</v>
      </c>
      <c r="L1698" s="51" t="str">
        <f t="shared" ca="1" si="746"/>
        <v>no semana</v>
      </c>
      <c r="M1698" s="51" t="str">
        <f>IFERROR(VLOOKUP(E1698,'cheques a conf'!A:D,4,FALSE),"no clearing")</f>
        <v>no clearing</v>
      </c>
      <c r="N1698" s="51">
        <f t="shared" si="747"/>
        <v>8</v>
      </c>
      <c r="O1698" s="53">
        <f t="shared" si="748"/>
        <v>2</v>
      </c>
      <c r="P1698" s="53">
        <f t="shared" si="749"/>
        <v>2026</v>
      </c>
    </row>
    <row r="1699" spans="1:16" x14ac:dyDescent="0.25">
      <c r="A1699">
        <v>3000000729</v>
      </c>
      <c r="B1699" s="3">
        <v>46063</v>
      </c>
      <c r="C1699" s="4">
        <v>12000000</v>
      </c>
      <c r="D1699" t="s">
        <v>595</v>
      </c>
      <c r="E1699">
        <v>91002872</v>
      </c>
      <c r="F1699" s="4">
        <v>12000000</v>
      </c>
      <c r="G1699" s="3">
        <v>46066</v>
      </c>
      <c r="H1699" t="s">
        <v>79</v>
      </c>
      <c r="I1699" s="51" t="str">
        <f>IFERROR(IF(VLOOKUP(E1699,extracto!C:C,1,FALSE)=E1699,"pagado","no pagado"),"no pagado")</f>
        <v>pagado</v>
      </c>
      <c r="J1699" s="52" t="str">
        <f t="shared" si="744"/>
        <v>pagado</v>
      </c>
      <c r="K1699" s="51" t="str">
        <f t="shared" ca="1" si="745"/>
        <v>excluir</v>
      </c>
      <c r="L1699" s="51" t="str">
        <f t="shared" ca="1" si="746"/>
        <v>no semana</v>
      </c>
      <c r="M1699" s="51" t="str">
        <f>IFERROR(VLOOKUP(E1699,'cheques a conf'!A:D,4,FALSE),"no clearing")</f>
        <v>no clearing</v>
      </c>
      <c r="N1699" s="51">
        <f t="shared" si="747"/>
        <v>7</v>
      </c>
      <c r="O1699" s="53">
        <f t="shared" si="748"/>
        <v>2</v>
      </c>
      <c r="P1699" s="53">
        <f t="shared" si="749"/>
        <v>2026</v>
      </c>
    </row>
    <row r="1700" spans="1:16" x14ac:dyDescent="0.25">
      <c r="A1700">
        <v>3000000729</v>
      </c>
      <c r="B1700" s="3">
        <v>46063</v>
      </c>
      <c r="C1700" s="4">
        <v>7000000</v>
      </c>
      <c r="D1700" t="s">
        <v>595</v>
      </c>
      <c r="E1700">
        <v>91002873</v>
      </c>
      <c r="F1700" s="4">
        <v>7000000</v>
      </c>
      <c r="G1700" s="3">
        <v>46066</v>
      </c>
      <c r="H1700" t="s">
        <v>79</v>
      </c>
      <c r="I1700" s="51" t="str">
        <f>IFERROR(IF(VLOOKUP(E1700,extracto!C:C,1,FALSE)=E1700,"pagado","no pagado"),"no pagado")</f>
        <v>pagado</v>
      </c>
      <c r="J1700" s="52" t="str">
        <f t="shared" si="744"/>
        <v>pagado</v>
      </c>
      <c r="K1700" s="51" t="str">
        <f t="shared" ca="1" si="745"/>
        <v>excluir</v>
      </c>
      <c r="L1700" s="51" t="str">
        <f t="shared" ca="1" si="746"/>
        <v>no semana</v>
      </c>
      <c r="M1700" s="51" t="str">
        <f>IFERROR(VLOOKUP(E1700,'cheques a conf'!A:D,4,FALSE),"no clearing")</f>
        <v>no clearing</v>
      </c>
      <c r="N1700" s="51">
        <f t="shared" si="747"/>
        <v>7</v>
      </c>
      <c r="O1700" s="53">
        <f t="shared" si="748"/>
        <v>2</v>
      </c>
      <c r="P1700" s="53">
        <f t="shared" si="749"/>
        <v>2026</v>
      </c>
    </row>
    <row r="1701" spans="1:16" x14ac:dyDescent="0.25">
      <c r="A1701">
        <v>3000000729</v>
      </c>
      <c r="B1701" s="3">
        <v>46063</v>
      </c>
      <c r="C1701" s="4">
        <v>4500000</v>
      </c>
      <c r="D1701" t="s">
        <v>595</v>
      </c>
      <c r="E1701">
        <v>91002874</v>
      </c>
      <c r="F1701" s="4">
        <v>4500000</v>
      </c>
      <c r="G1701" s="3">
        <v>46066</v>
      </c>
      <c r="H1701" t="s">
        <v>79</v>
      </c>
      <c r="I1701" s="51" t="str">
        <f>IFERROR(IF(VLOOKUP(E1701,extracto!C:C,1,FALSE)=E1701,"pagado","no pagado"),"no pagado")</f>
        <v>pagado</v>
      </c>
      <c r="J1701" s="52" t="str">
        <f t="shared" si="744"/>
        <v>pagado</v>
      </c>
      <c r="K1701" s="51" t="str">
        <f t="shared" ca="1" si="745"/>
        <v>excluir</v>
      </c>
      <c r="L1701" s="51" t="str">
        <f t="shared" ca="1" si="746"/>
        <v>no semana</v>
      </c>
      <c r="M1701" s="51" t="str">
        <f>IFERROR(VLOOKUP(E1701,'cheques a conf'!A:D,4,FALSE),"no clearing")</f>
        <v>no clearing</v>
      </c>
      <c r="N1701" s="51">
        <f t="shared" si="747"/>
        <v>7</v>
      </c>
      <c r="O1701" s="53">
        <f t="shared" si="748"/>
        <v>2</v>
      </c>
      <c r="P1701" s="53">
        <f t="shared" si="749"/>
        <v>2026</v>
      </c>
    </row>
    <row r="1702" spans="1:16" x14ac:dyDescent="0.25">
      <c r="A1702">
        <v>3000000729</v>
      </c>
      <c r="B1702" s="3">
        <v>46063</v>
      </c>
      <c r="C1702" s="4">
        <v>120000000</v>
      </c>
      <c r="D1702" t="s">
        <v>595</v>
      </c>
      <c r="E1702">
        <v>91002875</v>
      </c>
      <c r="F1702" s="4">
        <v>120000000</v>
      </c>
      <c r="G1702" s="3">
        <v>46066</v>
      </c>
      <c r="H1702" t="s">
        <v>79</v>
      </c>
      <c r="I1702" s="51" t="str">
        <f>IFERROR(IF(VLOOKUP(E1702,extracto!C:C,1,FALSE)=E1702,"pagado","no pagado"),"no pagado")</f>
        <v>pagado</v>
      </c>
      <c r="J1702" s="52" t="str">
        <f t="shared" si="744"/>
        <v>pagado</v>
      </c>
      <c r="K1702" s="51" t="str">
        <f t="shared" ca="1" si="745"/>
        <v>excluir</v>
      </c>
      <c r="L1702" s="51" t="str">
        <f t="shared" ca="1" si="746"/>
        <v>no semana</v>
      </c>
      <c r="M1702" s="51" t="str">
        <f>IFERROR(VLOOKUP(E1702,'cheques a conf'!A:D,4,FALSE),"no clearing")</f>
        <v>no clearing</v>
      </c>
      <c r="N1702" s="51">
        <f t="shared" si="747"/>
        <v>7</v>
      </c>
      <c r="O1702" s="53">
        <f t="shared" si="748"/>
        <v>2</v>
      </c>
      <c r="P1702" s="53">
        <f t="shared" si="749"/>
        <v>2026</v>
      </c>
    </row>
    <row r="1703" spans="1:16" x14ac:dyDescent="0.25">
      <c r="A1703">
        <v>3000000729</v>
      </c>
      <c r="B1703" s="3">
        <v>46063</v>
      </c>
      <c r="C1703" s="4">
        <v>135844373.69</v>
      </c>
      <c r="D1703" t="s">
        <v>595</v>
      </c>
      <c r="E1703">
        <v>91002876</v>
      </c>
      <c r="F1703" s="4">
        <v>135844373.69</v>
      </c>
      <c r="G1703" s="3">
        <v>46071</v>
      </c>
      <c r="H1703" t="s">
        <v>79</v>
      </c>
      <c r="I1703" s="51" t="str">
        <f>IFERROR(IF(VLOOKUP(E1703,extracto!C:C,1,FALSE)=E1703,"pagado","no pagado"),"no pagado")</f>
        <v>pagado</v>
      </c>
      <c r="J1703" s="52" t="str">
        <f t="shared" si="744"/>
        <v>pagado</v>
      </c>
      <c r="K1703" s="51" t="str">
        <f t="shared" ca="1" si="745"/>
        <v>excluir</v>
      </c>
      <c r="L1703" s="51" t="str">
        <f t="shared" ca="1" si="746"/>
        <v>no semana</v>
      </c>
      <c r="M1703" s="51" t="str">
        <f>IFERROR(VLOOKUP(E1703,'cheques a conf'!A:D,4,FALSE),"no clearing")</f>
        <v>no clearing</v>
      </c>
      <c r="N1703" s="51">
        <f t="shared" si="747"/>
        <v>8</v>
      </c>
      <c r="O1703" s="53">
        <f t="shared" si="748"/>
        <v>2</v>
      </c>
      <c r="P1703" s="53">
        <f t="shared" si="749"/>
        <v>2026</v>
      </c>
    </row>
    <row r="1704" spans="1:16" x14ac:dyDescent="0.25">
      <c r="A1704">
        <v>3000000722</v>
      </c>
      <c r="B1704" s="3">
        <v>46063</v>
      </c>
      <c r="C1704" s="4">
        <v>6765336.3399999999</v>
      </c>
      <c r="D1704" t="s">
        <v>71</v>
      </c>
      <c r="E1704">
        <v>91002860</v>
      </c>
      <c r="F1704" s="4">
        <v>6765336.3399999999</v>
      </c>
      <c r="G1704" s="3">
        <v>46066</v>
      </c>
      <c r="H1704" t="s">
        <v>79</v>
      </c>
      <c r="I1704" s="51" t="str">
        <f>IFERROR(IF(VLOOKUP(E1704,extracto!C:C,1,FALSE)=E1704,"pagado","no pagado"),"no pagado")</f>
        <v>pagado</v>
      </c>
      <c r="J1704" s="52" t="str">
        <f t="shared" si="744"/>
        <v>pagado</v>
      </c>
      <c r="K1704" s="51" t="str">
        <f t="shared" ca="1" si="745"/>
        <v>excluir</v>
      </c>
      <c r="L1704" s="51" t="str">
        <f t="shared" ca="1" si="746"/>
        <v>no semana</v>
      </c>
      <c r="M1704" s="51" t="str">
        <f>IFERROR(VLOOKUP(E1704,'cheques a conf'!A:D,4,FALSE),"no clearing")</f>
        <v>no clearing</v>
      </c>
      <c r="N1704" s="51">
        <f t="shared" si="747"/>
        <v>7</v>
      </c>
      <c r="O1704" s="53">
        <f t="shared" si="748"/>
        <v>2</v>
      </c>
      <c r="P1704" s="53">
        <f t="shared" si="749"/>
        <v>2026</v>
      </c>
    </row>
    <row r="1705" spans="1:16" x14ac:dyDescent="0.25">
      <c r="A1705">
        <v>3000000723</v>
      </c>
      <c r="B1705" s="3">
        <v>46063</v>
      </c>
      <c r="C1705" s="4">
        <v>8895951.4000000004</v>
      </c>
      <c r="D1705" t="s">
        <v>819</v>
      </c>
      <c r="E1705">
        <v>91002861</v>
      </c>
      <c r="F1705" s="4">
        <v>8895951.4000000004</v>
      </c>
      <c r="G1705" s="3">
        <v>46066</v>
      </c>
      <c r="H1705" t="s">
        <v>79</v>
      </c>
      <c r="I1705" s="51" t="str">
        <f>IFERROR(IF(VLOOKUP(E1705,extracto!C:C,1,FALSE)=E1705,"pagado","no pagado"),"no pagado")</f>
        <v>pagado</v>
      </c>
      <c r="J1705" s="52" t="str">
        <f t="shared" ref="J1705:J1714" si="750">IF(I1705="pagado","pagado",IF(G1705&lt;$V$1-30,"fuera de fecha","en periodo de pago"))</f>
        <v>pagado</v>
      </c>
      <c r="K1705" s="51" t="str">
        <f t="shared" ref="K1705:K1714" ca="1" si="751">+IF(B1705&gt;$V$1,"excluir",IF(J1705="en periodo de pago",IF($V$1&gt;G1705,"a pagar","proximo a vencer"),"excluir"))</f>
        <v>excluir</v>
      </c>
      <c r="L1705" s="51" t="str">
        <f t="shared" ref="L1705:L1714" ca="1" si="752">+IF(K1705="proximo a vencer",IF($V$1+5&gt;G1705,"para la semana","no semana"),"no semana")</f>
        <v>no semana</v>
      </c>
      <c r="M1705" s="51" t="str">
        <f>IFERROR(VLOOKUP(E1705,'cheques a conf'!A:D,4,FALSE),"no clearing")</f>
        <v>no clearing</v>
      </c>
      <c r="N1705" s="51">
        <f t="shared" ref="N1705:N1714" si="753">+WEEKNUM(G1705,2)</f>
        <v>7</v>
      </c>
      <c r="O1705" s="53">
        <f t="shared" ref="O1705:O1714" si="754">+MONTH(G1705)</f>
        <v>2</v>
      </c>
      <c r="P1705" s="53">
        <f t="shared" ref="P1705:P1714" si="755">+YEAR(G1705)</f>
        <v>2026</v>
      </c>
    </row>
    <row r="1706" spans="1:16" x14ac:dyDescent="0.25">
      <c r="A1706">
        <v>3000000725</v>
      </c>
      <c r="B1706" s="3">
        <v>46063</v>
      </c>
      <c r="C1706" s="4">
        <v>30691564.98</v>
      </c>
      <c r="D1706" t="s">
        <v>74</v>
      </c>
      <c r="E1706">
        <v>91002864</v>
      </c>
      <c r="F1706" s="4">
        <v>30691564.98</v>
      </c>
      <c r="G1706" s="3">
        <v>46071</v>
      </c>
      <c r="H1706" t="s">
        <v>79</v>
      </c>
      <c r="I1706" s="51" t="str">
        <f>IFERROR(IF(VLOOKUP(E1706,extracto!C:C,1,FALSE)=E1706,"pagado","no pagado"),"no pagado")</f>
        <v>pagado</v>
      </c>
      <c r="J1706" s="52" t="str">
        <f t="shared" si="750"/>
        <v>pagado</v>
      </c>
      <c r="K1706" s="51" t="str">
        <f t="shared" ca="1" si="751"/>
        <v>excluir</v>
      </c>
      <c r="L1706" s="51" t="str">
        <f t="shared" ca="1" si="752"/>
        <v>no semana</v>
      </c>
      <c r="M1706" s="51" t="str">
        <f>IFERROR(VLOOKUP(E1706,'cheques a conf'!A:D,4,FALSE),"no clearing")</f>
        <v>no clearing</v>
      </c>
      <c r="N1706" s="51">
        <f t="shared" si="753"/>
        <v>8</v>
      </c>
      <c r="O1706" s="53">
        <f t="shared" si="754"/>
        <v>2</v>
      </c>
      <c r="P1706" s="53">
        <f t="shared" si="755"/>
        <v>2026</v>
      </c>
    </row>
    <row r="1707" spans="1:16" x14ac:dyDescent="0.25">
      <c r="A1707">
        <v>3000000730</v>
      </c>
      <c r="B1707" s="3">
        <v>46063</v>
      </c>
      <c r="C1707" s="4">
        <v>4503359.4000000004</v>
      </c>
      <c r="D1707" t="s">
        <v>808</v>
      </c>
      <c r="E1707">
        <v>91002877</v>
      </c>
      <c r="F1707" s="4">
        <v>4503359.4000000004</v>
      </c>
      <c r="G1707" s="3">
        <v>46066</v>
      </c>
      <c r="H1707" t="s">
        <v>79</v>
      </c>
      <c r="I1707" s="51" t="str">
        <f>IFERROR(IF(VLOOKUP(E1707,extracto!C:C,1,FALSE)=E1707,"pagado","no pagado"),"no pagado")</f>
        <v>pagado</v>
      </c>
      <c r="J1707" s="52" t="str">
        <f t="shared" si="750"/>
        <v>pagado</v>
      </c>
      <c r="K1707" s="51" t="str">
        <f t="shared" ca="1" si="751"/>
        <v>excluir</v>
      </c>
      <c r="L1707" s="51" t="str">
        <f t="shared" ca="1" si="752"/>
        <v>no semana</v>
      </c>
      <c r="M1707" s="51" t="str">
        <f>IFERROR(VLOOKUP(E1707,'cheques a conf'!A:D,4,FALSE),"no clearing")</f>
        <v>no clearing</v>
      </c>
      <c r="N1707" s="51">
        <f t="shared" si="753"/>
        <v>7</v>
      </c>
      <c r="O1707" s="53">
        <f t="shared" si="754"/>
        <v>2</v>
      </c>
      <c r="P1707" s="53">
        <f t="shared" si="755"/>
        <v>2026</v>
      </c>
    </row>
    <row r="1708" spans="1:16" x14ac:dyDescent="0.25">
      <c r="A1708">
        <v>3000000731</v>
      </c>
      <c r="B1708" s="3">
        <v>46063</v>
      </c>
      <c r="C1708" s="4">
        <v>6333148.8899999997</v>
      </c>
      <c r="D1708" t="s">
        <v>297</v>
      </c>
      <c r="E1708">
        <v>91002878</v>
      </c>
      <c r="F1708" s="4">
        <v>6333148.8899999997</v>
      </c>
      <c r="G1708" s="3">
        <v>46066</v>
      </c>
      <c r="H1708" t="s">
        <v>79</v>
      </c>
      <c r="I1708" s="51" t="str">
        <f>IFERROR(IF(VLOOKUP(E1708,extracto!C:C,1,FALSE)=E1708,"pagado","no pagado"),"no pagado")</f>
        <v>pagado</v>
      </c>
      <c r="J1708" s="52" t="str">
        <f t="shared" si="750"/>
        <v>pagado</v>
      </c>
      <c r="K1708" s="51" t="str">
        <f t="shared" ca="1" si="751"/>
        <v>excluir</v>
      </c>
      <c r="L1708" s="51" t="str">
        <f t="shared" ca="1" si="752"/>
        <v>no semana</v>
      </c>
      <c r="M1708" s="51" t="str">
        <f>IFERROR(VLOOKUP(E1708,'cheques a conf'!A:D,4,FALSE),"no clearing")</f>
        <v>no clearing</v>
      </c>
      <c r="N1708" s="51">
        <f t="shared" si="753"/>
        <v>7</v>
      </c>
      <c r="O1708" s="53">
        <f t="shared" si="754"/>
        <v>2</v>
      </c>
      <c r="P1708" s="53">
        <f t="shared" si="755"/>
        <v>2026</v>
      </c>
    </row>
    <row r="1709" spans="1:16" x14ac:dyDescent="0.25">
      <c r="A1709">
        <v>3000000732</v>
      </c>
      <c r="B1709" s="3">
        <v>46063</v>
      </c>
      <c r="C1709" s="4">
        <v>5608563.4000000004</v>
      </c>
      <c r="D1709" t="s">
        <v>825</v>
      </c>
      <c r="E1709">
        <v>91002879</v>
      </c>
      <c r="F1709" s="4">
        <v>5608563.4000000004</v>
      </c>
      <c r="G1709" s="3">
        <v>46066</v>
      </c>
      <c r="H1709" t="s">
        <v>79</v>
      </c>
      <c r="I1709" s="51" t="str">
        <f>IFERROR(IF(VLOOKUP(E1709,extracto!C:C,1,FALSE)=E1709,"pagado","no pagado"),"no pagado")</f>
        <v>pagado</v>
      </c>
      <c r="J1709" s="52" t="str">
        <f t="shared" si="750"/>
        <v>pagado</v>
      </c>
      <c r="K1709" s="51" t="str">
        <f t="shared" ca="1" si="751"/>
        <v>excluir</v>
      </c>
      <c r="L1709" s="51" t="str">
        <f t="shared" ca="1" si="752"/>
        <v>no semana</v>
      </c>
      <c r="M1709" s="51" t="str">
        <f>IFERROR(VLOOKUP(E1709,'cheques a conf'!A:D,4,FALSE),"no clearing")</f>
        <v>no clearing</v>
      </c>
      <c r="N1709" s="51">
        <f t="shared" si="753"/>
        <v>7</v>
      </c>
      <c r="O1709" s="53">
        <f t="shared" si="754"/>
        <v>2</v>
      </c>
      <c r="P1709" s="53">
        <f t="shared" si="755"/>
        <v>2026</v>
      </c>
    </row>
    <row r="1710" spans="1:16" x14ac:dyDescent="0.25">
      <c r="A1710">
        <v>3000000733</v>
      </c>
      <c r="B1710" s="3">
        <v>46063</v>
      </c>
      <c r="C1710" s="4">
        <v>10899983.93</v>
      </c>
      <c r="D1710" t="s">
        <v>607</v>
      </c>
      <c r="E1710">
        <v>91002880</v>
      </c>
      <c r="F1710" s="4">
        <v>10899983.93</v>
      </c>
      <c r="G1710" s="3">
        <v>46066</v>
      </c>
      <c r="H1710" t="s">
        <v>79</v>
      </c>
      <c r="I1710" s="51" t="str">
        <f>IFERROR(IF(VLOOKUP(E1710,extracto!C:C,1,FALSE)=E1710,"pagado","no pagado"),"no pagado")</f>
        <v>pagado</v>
      </c>
      <c r="J1710" s="52" t="str">
        <f t="shared" si="750"/>
        <v>pagado</v>
      </c>
      <c r="K1710" s="51" t="str">
        <f t="shared" ca="1" si="751"/>
        <v>excluir</v>
      </c>
      <c r="L1710" s="51" t="str">
        <f t="shared" ca="1" si="752"/>
        <v>no semana</v>
      </c>
      <c r="M1710" s="51" t="str">
        <f>IFERROR(VLOOKUP(E1710,'cheques a conf'!A:D,4,FALSE),"no clearing")</f>
        <v>no clearing</v>
      </c>
      <c r="N1710" s="51">
        <f t="shared" si="753"/>
        <v>7</v>
      </c>
      <c r="O1710" s="53">
        <f t="shared" si="754"/>
        <v>2</v>
      </c>
      <c r="P1710" s="53">
        <f t="shared" si="755"/>
        <v>2026</v>
      </c>
    </row>
    <row r="1711" spans="1:16" x14ac:dyDescent="0.25">
      <c r="A1711">
        <v>3000000734</v>
      </c>
      <c r="B1711" s="3">
        <v>46063</v>
      </c>
      <c r="C1711" s="4">
        <v>13546784.869999999</v>
      </c>
      <c r="D1711" t="s">
        <v>642</v>
      </c>
      <c r="E1711">
        <v>91002881</v>
      </c>
      <c r="F1711" s="4">
        <v>13546784.869999999</v>
      </c>
      <c r="G1711" s="3">
        <v>46071</v>
      </c>
      <c r="H1711" t="s">
        <v>79</v>
      </c>
      <c r="I1711" s="51" t="str">
        <f>IFERROR(IF(VLOOKUP(E1711,extracto!C:C,1,FALSE)=E1711,"pagado","no pagado"),"no pagado")</f>
        <v>pagado</v>
      </c>
      <c r="J1711" s="52" t="str">
        <f t="shared" si="750"/>
        <v>pagado</v>
      </c>
      <c r="K1711" s="51" t="str">
        <f t="shared" ca="1" si="751"/>
        <v>excluir</v>
      </c>
      <c r="L1711" s="51" t="str">
        <f t="shared" ca="1" si="752"/>
        <v>no semana</v>
      </c>
      <c r="M1711" s="51" t="str">
        <f>IFERROR(VLOOKUP(E1711,'cheques a conf'!A:D,4,FALSE),"no clearing")</f>
        <v>no clearing</v>
      </c>
      <c r="N1711" s="51">
        <f t="shared" si="753"/>
        <v>8</v>
      </c>
      <c r="O1711" s="53">
        <f t="shared" si="754"/>
        <v>2</v>
      </c>
      <c r="P1711" s="53">
        <f t="shared" si="755"/>
        <v>2026</v>
      </c>
    </row>
    <row r="1712" spans="1:16" x14ac:dyDescent="0.25">
      <c r="A1712">
        <v>3000000735</v>
      </c>
      <c r="B1712" s="3">
        <v>46063</v>
      </c>
      <c r="C1712" s="4">
        <v>38463121.780000001</v>
      </c>
      <c r="D1712" t="s">
        <v>613</v>
      </c>
      <c r="E1712">
        <v>91002882</v>
      </c>
      <c r="F1712" s="4">
        <v>38463121.780000001</v>
      </c>
      <c r="G1712" s="3">
        <v>46071</v>
      </c>
      <c r="H1712" t="s">
        <v>79</v>
      </c>
      <c r="I1712" s="51" t="str">
        <f>IFERROR(IF(VLOOKUP(E1712,extracto!C:C,1,FALSE)=E1712,"pagado","no pagado"),"no pagado")</f>
        <v>pagado</v>
      </c>
      <c r="J1712" s="52" t="str">
        <f t="shared" si="750"/>
        <v>pagado</v>
      </c>
      <c r="K1712" s="51" t="str">
        <f t="shared" ca="1" si="751"/>
        <v>excluir</v>
      </c>
      <c r="L1712" s="51" t="str">
        <f t="shared" ca="1" si="752"/>
        <v>no semana</v>
      </c>
      <c r="M1712" s="51" t="str">
        <f>IFERROR(VLOOKUP(E1712,'cheques a conf'!A:D,4,FALSE),"no clearing")</f>
        <v>no clearing</v>
      </c>
      <c r="N1712" s="51">
        <f t="shared" si="753"/>
        <v>8</v>
      </c>
      <c r="O1712" s="53">
        <f t="shared" si="754"/>
        <v>2</v>
      </c>
      <c r="P1712" s="53">
        <f t="shared" si="755"/>
        <v>2026</v>
      </c>
    </row>
    <row r="1713" spans="1:16" x14ac:dyDescent="0.25">
      <c r="A1713">
        <v>3000000736</v>
      </c>
      <c r="B1713" s="3">
        <v>46064</v>
      </c>
      <c r="C1713" s="4">
        <v>13150000</v>
      </c>
      <c r="D1713" t="s">
        <v>804</v>
      </c>
      <c r="E1713">
        <v>91002883</v>
      </c>
      <c r="F1713" s="4">
        <v>13150000</v>
      </c>
      <c r="G1713" s="3">
        <v>46080</v>
      </c>
      <c r="H1713" t="s">
        <v>79</v>
      </c>
      <c r="I1713" s="51" t="str">
        <f>IFERROR(IF(VLOOKUP(E1713,extracto!C:C,1,FALSE)=E1713,"pagado","no pagado"),"no pagado")</f>
        <v>pagado</v>
      </c>
      <c r="J1713" s="52" t="str">
        <f t="shared" si="750"/>
        <v>pagado</v>
      </c>
      <c r="K1713" s="51" t="str">
        <f t="shared" ca="1" si="751"/>
        <v>excluir</v>
      </c>
      <c r="L1713" s="51" t="str">
        <f t="shared" ca="1" si="752"/>
        <v>no semana</v>
      </c>
      <c r="M1713" s="51" t="str">
        <f>IFERROR(VLOOKUP(E1713,'cheques a conf'!A:D,4,FALSE),"no clearing")</f>
        <v>no clearing</v>
      </c>
      <c r="N1713" s="51">
        <f t="shared" si="753"/>
        <v>9</v>
      </c>
      <c r="O1713" s="53">
        <f t="shared" si="754"/>
        <v>2</v>
      </c>
      <c r="P1713" s="53">
        <f t="shared" si="755"/>
        <v>2026</v>
      </c>
    </row>
    <row r="1714" spans="1:16" x14ac:dyDescent="0.25">
      <c r="A1714">
        <v>3000000736</v>
      </c>
      <c r="B1714" s="3">
        <v>46064</v>
      </c>
      <c r="C1714" s="4">
        <v>13120317.5</v>
      </c>
      <c r="D1714" t="s">
        <v>804</v>
      </c>
      <c r="E1714">
        <v>91002884</v>
      </c>
      <c r="F1714" s="4">
        <v>13120317.5</v>
      </c>
      <c r="G1714" s="3">
        <v>46108</v>
      </c>
      <c r="H1714" t="s">
        <v>79</v>
      </c>
      <c r="I1714" s="51" t="str">
        <f>IFERROR(IF(VLOOKUP(E1714,extracto!C:C,1,FALSE)=E1714,"pagado","no pagado"),"no pagado")</f>
        <v>pagado</v>
      </c>
      <c r="J1714" s="52" t="str">
        <f t="shared" si="750"/>
        <v>pagado</v>
      </c>
      <c r="K1714" s="51" t="str">
        <f t="shared" ca="1" si="751"/>
        <v>excluir</v>
      </c>
      <c r="L1714" s="51" t="str">
        <f t="shared" ca="1" si="752"/>
        <v>no semana</v>
      </c>
      <c r="M1714" s="51" t="str">
        <f>IFERROR(VLOOKUP(E1714,'cheques a conf'!A:D,4,FALSE),"no clearing")</f>
        <v>no clearing</v>
      </c>
      <c r="N1714" s="51">
        <f t="shared" si="753"/>
        <v>13</v>
      </c>
      <c r="O1714" s="53">
        <f t="shared" si="754"/>
        <v>3</v>
      </c>
      <c r="P1714" s="53">
        <f t="shared" si="755"/>
        <v>2026</v>
      </c>
    </row>
    <row r="1715" spans="1:16" x14ac:dyDescent="0.25">
      <c r="A1715" s="21">
        <v>3000000817</v>
      </c>
      <c r="B1715" s="22">
        <v>46071</v>
      </c>
      <c r="C1715" s="20">
        <v>3551708.4</v>
      </c>
      <c r="D1715" s="21" t="s">
        <v>793</v>
      </c>
      <c r="E1715" s="21">
        <v>91002885</v>
      </c>
      <c r="F1715" s="20">
        <v>3551708.4</v>
      </c>
      <c r="G1715" s="22">
        <v>46073</v>
      </c>
      <c r="H1715" t="s">
        <v>79</v>
      </c>
      <c r="I1715" s="51" t="str">
        <f>IFERROR(IF(VLOOKUP(E1715,extracto!C:C,1,FALSE)=E1715,"pagado","no pagado"),"no pagado")</f>
        <v>pagado</v>
      </c>
      <c r="J1715" s="52" t="str">
        <f t="shared" ref="J1715:J1723" si="756">IF(I1715="pagado","pagado",IF(G1715&lt;$V$1-30,"fuera de fecha","en periodo de pago"))</f>
        <v>pagado</v>
      </c>
      <c r="K1715" s="51" t="str">
        <f t="shared" ref="K1715:K1723" ca="1" si="757">+IF(B1715&gt;$V$1,"excluir",IF(J1715="en periodo de pago",IF($V$1&gt;G1715,"a pagar","proximo a vencer"),"excluir"))</f>
        <v>excluir</v>
      </c>
      <c r="L1715" s="51" t="str">
        <f t="shared" ref="L1715:L1723" ca="1" si="758">+IF(K1715="proximo a vencer",IF($V$1+5&gt;G1715,"para la semana","no semana"),"no semana")</f>
        <v>no semana</v>
      </c>
      <c r="M1715" s="51" t="str">
        <f>IFERROR(VLOOKUP(E1715,'cheques a conf'!A:D,4,FALSE),"no clearing")</f>
        <v>no clearing</v>
      </c>
      <c r="N1715" s="51">
        <f t="shared" ref="N1715:N1723" si="759">+WEEKNUM(G1715,2)</f>
        <v>8</v>
      </c>
      <c r="O1715" s="53">
        <f t="shared" ref="O1715:O1723" si="760">+MONTH(G1715)</f>
        <v>2</v>
      </c>
      <c r="P1715" s="53">
        <f t="shared" ref="P1715:P1723" si="761">+YEAR(G1715)</f>
        <v>2026</v>
      </c>
    </row>
    <row r="1716" spans="1:16" x14ac:dyDescent="0.25">
      <c r="A1716" s="21">
        <v>3000000818</v>
      </c>
      <c r="B1716" s="22">
        <v>46071</v>
      </c>
      <c r="C1716" s="20">
        <v>9848493.5199999996</v>
      </c>
      <c r="D1716" s="21" t="s">
        <v>593</v>
      </c>
      <c r="E1716" s="21">
        <v>91002886</v>
      </c>
      <c r="F1716" s="20">
        <v>9848493.5199999996</v>
      </c>
      <c r="G1716" s="22">
        <v>46073</v>
      </c>
      <c r="H1716" t="s">
        <v>79</v>
      </c>
      <c r="I1716" s="51" t="str">
        <f>IFERROR(IF(VLOOKUP(E1716,extracto!C:C,1,FALSE)=E1716,"pagado","no pagado"),"no pagado")</f>
        <v>pagado</v>
      </c>
      <c r="J1716" s="52" t="str">
        <f t="shared" si="756"/>
        <v>pagado</v>
      </c>
      <c r="K1716" s="51" t="str">
        <f t="shared" ca="1" si="757"/>
        <v>excluir</v>
      </c>
      <c r="L1716" s="51" t="str">
        <f t="shared" ca="1" si="758"/>
        <v>no semana</v>
      </c>
      <c r="M1716" s="51" t="str">
        <f>IFERROR(VLOOKUP(E1716,'cheques a conf'!A:D,4,FALSE),"no clearing")</f>
        <v>no clearing</v>
      </c>
      <c r="N1716" s="51">
        <f t="shared" si="759"/>
        <v>8</v>
      </c>
      <c r="O1716" s="53">
        <f t="shared" si="760"/>
        <v>2</v>
      </c>
      <c r="P1716" s="53">
        <f t="shared" si="761"/>
        <v>2026</v>
      </c>
    </row>
    <row r="1717" spans="1:16" x14ac:dyDescent="0.25">
      <c r="A1717" s="21">
        <v>3000000819</v>
      </c>
      <c r="B1717" s="22">
        <v>46071</v>
      </c>
      <c r="C1717" s="20">
        <v>6773308.4900000002</v>
      </c>
      <c r="D1717" s="21" t="s">
        <v>612</v>
      </c>
      <c r="E1717" s="21">
        <v>91002887</v>
      </c>
      <c r="F1717" s="20">
        <v>6773308.4900000002</v>
      </c>
      <c r="G1717" s="22">
        <v>46073</v>
      </c>
      <c r="H1717" t="s">
        <v>79</v>
      </c>
      <c r="I1717" s="51" t="str">
        <f>IFERROR(IF(VLOOKUP(E1717,extracto!C:C,1,FALSE)=E1717,"pagado","no pagado"),"no pagado")</f>
        <v>pagado</v>
      </c>
      <c r="J1717" s="52" t="str">
        <f t="shared" si="756"/>
        <v>pagado</v>
      </c>
      <c r="K1717" s="51" t="str">
        <f t="shared" ca="1" si="757"/>
        <v>excluir</v>
      </c>
      <c r="L1717" s="51" t="str">
        <f t="shared" ca="1" si="758"/>
        <v>no semana</v>
      </c>
      <c r="M1717" s="51" t="str">
        <f>IFERROR(VLOOKUP(E1717,'cheques a conf'!A:D,4,FALSE),"no clearing")</f>
        <v>no clearing</v>
      </c>
      <c r="N1717" s="51">
        <f t="shared" si="759"/>
        <v>8</v>
      </c>
      <c r="O1717" s="53">
        <f t="shared" si="760"/>
        <v>2</v>
      </c>
      <c r="P1717" s="53">
        <f t="shared" si="761"/>
        <v>2026</v>
      </c>
    </row>
    <row r="1718" spans="1:16" x14ac:dyDescent="0.25">
      <c r="A1718" s="21">
        <v>3000000820</v>
      </c>
      <c r="B1718" s="22">
        <v>46071</v>
      </c>
      <c r="C1718" s="20">
        <v>4515538.99</v>
      </c>
      <c r="D1718" s="21" t="s">
        <v>642</v>
      </c>
      <c r="E1718" s="21">
        <v>91002888</v>
      </c>
      <c r="F1718" s="20">
        <v>4515538.99</v>
      </c>
      <c r="G1718" s="22">
        <v>46073</v>
      </c>
      <c r="H1718" t="s">
        <v>79</v>
      </c>
      <c r="I1718" s="51" t="str">
        <f>IFERROR(IF(VLOOKUP(E1718,extracto!C:C,1,FALSE)=E1718,"pagado","no pagado"),"no pagado")</f>
        <v>pagado</v>
      </c>
      <c r="J1718" s="52" t="str">
        <f t="shared" si="756"/>
        <v>pagado</v>
      </c>
      <c r="K1718" s="51" t="str">
        <f t="shared" ca="1" si="757"/>
        <v>excluir</v>
      </c>
      <c r="L1718" s="51" t="str">
        <f t="shared" ca="1" si="758"/>
        <v>no semana</v>
      </c>
      <c r="M1718" s="51" t="str">
        <f>IFERROR(VLOOKUP(E1718,'cheques a conf'!A:D,4,FALSE),"no clearing")</f>
        <v>no clearing</v>
      </c>
      <c r="N1718" s="51">
        <f t="shared" si="759"/>
        <v>8</v>
      </c>
      <c r="O1718" s="53">
        <f t="shared" si="760"/>
        <v>2</v>
      </c>
      <c r="P1718" s="53">
        <f t="shared" si="761"/>
        <v>2026</v>
      </c>
    </row>
    <row r="1719" spans="1:16" x14ac:dyDescent="0.25">
      <c r="A1719" s="21">
        <v>3000000821</v>
      </c>
      <c r="B1719" s="22">
        <v>46071</v>
      </c>
      <c r="C1719" s="20">
        <v>18235288.73</v>
      </c>
      <c r="D1719" s="21" t="s">
        <v>613</v>
      </c>
      <c r="E1719" s="21">
        <v>91002889</v>
      </c>
      <c r="F1719" s="20">
        <v>18235288.73</v>
      </c>
      <c r="G1719" s="22">
        <v>46076</v>
      </c>
      <c r="H1719" t="s">
        <v>79</v>
      </c>
      <c r="I1719" s="51" t="str">
        <f>IFERROR(IF(VLOOKUP(E1719,extracto!C:C,1,FALSE)=E1719,"pagado","no pagado"),"no pagado")</f>
        <v>pagado</v>
      </c>
      <c r="J1719" s="52" t="str">
        <f t="shared" si="756"/>
        <v>pagado</v>
      </c>
      <c r="K1719" s="51" t="str">
        <f t="shared" ca="1" si="757"/>
        <v>excluir</v>
      </c>
      <c r="L1719" s="51" t="str">
        <f t="shared" ca="1" si="758"/>
        <v>no semana</v>
      </c>
      <c r="M1719" s="51" t="str">
        <f>IFERROR(VLOOKUP(E1719,'cheques a conf'!A:D,4,FALSE),"no clearing")</f>
        <v>no clearing</v>
      </c>
      <c r="N1719" s="51">
        <f t="shared" si="759"/>
        <v>9</v>
      </c>
      <c r="O1719" s="53">
        <f t="shared" si="760"/>
        <v>2</v>
      </c>
      <c r="P1719" s="53">
        <f t="shared" si="761"/>
        <v>2026</v>
      </c>
    </row>
    <row r="1720" spans="1:16" x14ac:dyDescent="0.25">
      <c r="A1720" s="21">
        <v>3000000822</v>
      </c>
      <c r="B1720" s="22">
        <v>46071</v>
      </c>
      <c r="C1720" s="20">
        <v>20191480.879999999</v>
      </c>
      <c r="D1720" s="21" t="s">
        <v>619</v>
      </c>
      <c r="E1720" s="21">
        <v>91002890</v>
      </c>
      <c r="F1720" s="20">
        <v>20191480.879999999</v>
      </c>
      <c r="G1720" s="22">
        <v>46076</v>
      </c>
      <c r="H1720" t="s">
        <v>79</v>
      </c>
      <c r="I1720" s="51" t="str">
        <f>IFERROR(IF(VLOOKUP(E1720,extracto!C:C,1,FALSE)=E1720,"pagado","no pagado"),"no pagado")</f>
        <v>pagado</v>
      </c>
      <c r="J1720" s="52" t="str">
        <f t="shared" si="756"/>
        <v>pagado</v>
      </c>
      <c r="K1720" s="51" t="str">
        <f t="shared" ca="1" si="757"/>
        <v>excluir</v>
      </c>
      <c r="L1720" s="51" t="str">
        <f t="shared" ca="1" si="758"/>
        <v>no semana</v>
      </c>
      <c r="M1720" s="51" t="str">
        <f>IFERROR(VLOOKUP(E1720,'cheques a conf'!A:D,4,FALSE),"no clearing")</f>
        <v>no clearing</v>
      </c>
      <c r="N1720" s="51">
        <f t="shared" si="759"/>
        <v>9</v>
      </c>
      <c r="O1720" s="53">
        <f t="shared" si="760"/>
        <v>2</v>
      </c>
      <c r="P1720" s="53">
        <f t="shared" si="761"/>
        <v>2026</v>
      </c>
    </row>
    <row r="1721" spans="1:16" x14ac:dyDescent="0.25">
      <c r="A1721" s="21">
        <v>3000000823</v>
      </c>
      <c r="B1721" s="22">
        <v>46071</v>
      </c>
      <c r="C1721" s="20">
        <v>44368343.399999999</v>
      </c>
      <c r="D1721" s="21" t="s">
        <v>629</v>
      </c>
      <c r="E1721" s="21">
        <v>91002891</v>
      </c>
      <c r="F1721" s="20">
        <v>44368343.399999999</v>
      </c>
      <c r="G1721" s="22">
        <v>46076</v>
      </c>
      <c r="H1721" t="s">
        <v>79</v>
      </c>
      <c r="I1721" s="51" t="str">
        <f>IFERROR(IF(VLOOKUP(E1721,extracto!C:C,1,FALSE)=E1721,"pagado","no pagado"),"no pagado")</f>
        <v>pagado</v>
      </c>
      <c r="J1721" s="52" t="str">
        <f t="shared" si="756"/>
        <v>pagado</v>
      </c>
      <c r="K1721" s="51" t="str">
        <f t="shared" ca="1" si="757"/>
        <v>excluir</v>
      </c>
      <c r="L1721" s="51" t="str">
        <f t="shared" ca="1" si="758"/>
        <v>no semana</v>
      </c>
      <c r="M1721" s="51" t="str">
        <f>IFERROR(VLOOKUP(E1721,'cheques a conf'!A:D,4,FALSE),"no clearing")</f>
        <v>no clearing</v>
      </c>
      <c r="N1721" s="51">
        <f t="shared" si="759"/>
        <v>9</v>
      </c>
      <c r="O1721" s="53">
        <f t="shared" si="760"/>
        <v>2</v>
      </c>
      <c r="P1721" s="53">
        <f t="shared" si="761"/>
        <v>2026</v>
      </c>
    </row>
    <row r="1722" spans="1:16" x14ac:dyDescent="0.25">
      <c r="A1722" s="21">
        <v>3000000824</v>
      </c>
      <c r="B1722" s="22">
        <v>46071</v>
      </c>
      <c r="C1722" s="20">
        <v>5214080.0999999996</v>
      </c>
      <c r="D1722" s="21" t="s">
        <v>85</v>
      </c>
      <c r="E1722" s="21">
        <v>91002892</v>
      </c>
      <c r="F1722" s="20">
        <v>5214080.0999999996</v>
      </c>
      <c r="G1722" s="22">
        <v>46073</v>
      </c>
      <c r="H1722" t="s">
        <v>79</v>
      </c>
      <c r="I1722" s="51" t="str">
        <f>IFERROR(IF(VLOOKUP(E1722,extracto!C:C,1,FALSE)=E1722,"pagado","no pagado"),"no pagado")</f>
        <v>pagado</v>
      </c>
      <c r="J1722" s="52" t="str">
        <f t="shared" si="756"/>
        <v>pagado</v>
      </c>
      <c r="K1722" s="51" t="str">
        <f t="shared" ca="1" si="757"/>
        <v>excluir</v>
      </c>
      <c r="L1722" s="51" t="str">
        <f t="shared" ca="1" si="758"/>
        <v>no semana</v>
      </c>
      <c r="M1722" s="51" t="str">
        <f>IFERROR(VLOOKUP(E1722,'cheques a conf'!A:D,4,FALSE),"no clearing")</f>
        <v>no clearing</v>
      </c>
      <c r="N1722" s="51">
        <f t="shared" si="759"/>
        <v>8</v>
      </c>
      <c r="O1722" s="53">
        <f t="shared" si="760"/>
        <v>2</v>
      </c>
      <c r="P1722" s="53">
        <f t="shared" si="761"/>
        <v>2026</v>
      </c>
    </row>
    <row r="1723" spans="1:16" x14ac:dyDescent="0.25">
      <c r="A1723" s="21">
        <v>3000000825</v>
      </c>
      <c r="B1723" s="22">
        <v>46071</v>
      </c>
      <c r="C1723" s="20">
        <v>6982588.7800000003</v>
      </c>
      <c r="D1723" s="21" t="s">
        <v>74</v>
      </c>
      <c r="E1723" s="21">
        <v>91002893</v>
      </c>
      <c r="F1723" s="20">
        <v>6982588.7800000003</v>
      </c>
      <c r="G1723" s="22">
        <v>46073</v>
      </c>
      <c r="H1723" t="s">
        <v>79</v>
      </c>
      <c r="I1723" s="51" t="str">
        <f>IFERROR(IF(VLOOKUP(E1723,extracto!C:C,1,FALSE)=E1723,"pagado","no pagado"),"no pagado")</f>
        <v>pagado</v>
      </c>
      <c r="J1723" s="52" t="str">
        <f t="shared" si="756"/>
        <v>pagado</v>
      </c>
      <c r="K1723" s="51" t="str">
        <f t="shared" ca="1" si="757"/>
        <v>excluir</v>
      </c>
      <c r="L1723" s="51" t="str">
        <f t="shared" ca="1" si="758"/>
        <v>no semana</v>
      </c>
      <c r="M1723" s="51" t="str">
        <f>IFERROR(VLOOKUP(E1723,'cheques a conf'!A:D,4,FALSE),"no clearing")</f>
        <v>no clearing</v>
      </c>
      <c r="N1723" s="51">
        <f t="shared" si="759"/>
        <v>8</v>
      </c>
      <c r="O1723" s="53">
        <f t="shared" si="760"/>
        <v>2</v>
      </c>
      <c r="P1723" s="53">
        <f t="shared" si="761"/>
        <v>2026</v>
      </c>
    </row>
    <row r="1724" spans="1:16" x14ac:dyDescent="0.25">
      <c r="A1724" s="21">
        <v>3000000826</v>
      </c>
      <c r="B1724" s="22">
        <v>46071</v>
      </c>
      <c r="C1724" s="20">
        <v>25314860</v>
      </c>
      <c r="D1724" s="21" t="s">
        <v>25</v>
      </c>
      <c r="E1724" s="21">
        <v>91002894</v>
      </c>
      <c r="F1724" s="20">
        <v>25314860</v>
      </c>
      <c r="G1724" s="22">
        <v>46073</v>
      </c>
      <c r="H1724" t="s">
        <v>79</v>
      </c>
      <c r="I1724" s="51" t="str">
        <f>IFERROR(IF(VLOOKUP(E1724,extracto!C:C,1,FALSE)=E1724,"pagado","no pagado"),"no pagado")</f>
        <v>pagado</v>
      </c>
      <c r="J1724" s="52" t="str">
        <f t="shared" ref="J1724" si="762">IF(I1724="pagado","pagado",IF(G1724&lt;$V$1-30,"fuera de fecha","en periodo de pago"))</f>
        <v>pagado</v>
      </c>
      <c r="K1724" s="51" t="str">
        <f t="shared" ref="K1724" ca="1" si="763">+IF(B1724&gt;$V$1,"excluir",IF(J1724="en periodo de pago",IF($V$1&gt;G1724,"a pagar","proximo a vencer"),"excluir"))</f>
        <v>excluir</v>
      </c>
      <c r="L1724" s="51" t="str">
        <f t="shared" ref="L1724" ca="1" si="764">+IF(K1724="proximo a vencer",IF($V$1+5&gt;G1724,"para la semana","no semana"),"no semana")</f>
        <v>no semana</v>
      </c>
      <c r="M1724" s="51" t="str">
        <f>IFERROR(VLOOKUP(E1724,'cheques a conf'!A:D,4,FALSE),"no clearing")</f>
        <v>no clearing</v>
      </c>
      <c r="N1724" s="51">
        <f t="shared" ref="N1724" si="765">+WEEKNUM(G1724,2)</f>
        <v>8</v>
      </c>
      <c r="O1724" s="53">
        <f t="shared" ref="O1724" si="766">+MONTH(G1724)</f>
        <v>2</v>
      </c>
      <c r="P1724" s="53">
        <f t="shared" ref="P1724" si="767">+YEAR(G1724)</f>
        <v>2026</v>
      </c>
    </row>
    <row r="1725" spans="1:16" x14ac:dyDescent="0.25">
      <c r="A1725" s="21">
        <v>3000000922</v>
      </c>
      <c r="B1725" s="22">
        <v>46076</v>
      </c>
      <c r="C1725" s="20">
        <v>8719172.5199999996</v>
      </c>
      <c r="D1725" s="21" t="s">
        <v>847</v>
      </c>
      <c r="E1725" s="21">
        <v>91002895</v>
      </c>
      <c r="F1725" s="20">
        <v>8719172.5199999996</v>
      </c>
      <c r="G1725" s="22">
        <v>46078</v>
      </c>
      <c r="H1725" t="s">
        <v>79</v>
      </c>
      <c r="I1725" s="51" t="str">
        <f>IFERROR(IF(VLOOKUP(E1725,extracto!C:C,1,FALSE)=E1725,"pagado","no pagado"),"no pagado")</f>
        <v>pagado</v>
      </c>
      <c r="J1725" s="52" t="str">
        <f t="shared" ref="J1725:J1727" si="768">IF(I1725="pagado","pagado",IF(G1725&lt;$V$1-30,"fuera de fecha","en periodo de pago"))</f>
        <v>pagado</v>
      </c>
      <c r="K1725" s="51" t="str">
        <f t="shared" ref="K1725:K1727" ca="1" si="769">+IF(B1725&gt;$V$1,"excluir",IF(J1725="en periodo de pago",IF($V$1&gt;G1725,"a pagar","proximo a vencer"),"excluir"))</f>
        <v>excluir</v>
      </c>
      <c r="L1725" s="51" t="str">
        <f t="shared" ref="L1725:L1727" ca="1" si="770">+IF(K1725="proximo a vencer",IF($V$1+5&gt;G1725,"para la semana","no semana"),"no semana")</f>
        <v>no semana</v>
      </c>
      <c r="M1725" s="51" t="str">
        <f>IFERROR(VLOOKUP(E1725,'cheques a conf'!A:D,4,FALSE),"no clearing")</f>
        <v>no clearing</v>
      </c>
      <c r="N1725" s="51">
        <f t="shared" ref="N1725:N1727" si="771">+WEEKNUM(G1725,2)</f>
        <v>9</v>
      </c>
      <c r="O1725" s="53">
        <f t="shared" ref="O1725:O1727" si="772">+MONTH(G1725)</f>
        <v>2</v>
      </c>
      <c r="P1725" s="53">
        <f t="shared" ref="P1725:P1727" si="773">+YEAR(G1725)</f>
        <v>2026</v>
      </c>
    </row>
    <row r="1726" spans="1:16" x14ac:dyDescent="0.25">
      <c r="A1726" s="21">
        <v>3000000923</v>
      </c>
      <c r="B1726" s="22">
        <v>46076</v>
      </c>
      <c r="C1726" s="20">
        <v>100000000</v>
      </c>
      <c r="D1726" s="21" t="s">
        <v>29</v>
      </c>
      <c r="E1726" s="21">
        <v>91002896</v>
      </c>
      <c r="F1726" s="20">
        <v>100000000</v>
      </c>
      <c r="G1726" s="22">
        <v>46078</v>
      </c>
      <c r="H1726" t="s">
        <v>79</v>
      </c>
      <c r="I1726" s="51" t="str">
        <f>IFERROR(IF(VLOOKUP(E1726,extracto!C:C,1,FALSE)=E1726,"pagado","no pagado"),"no pagado")</f>
        <v>pagado</v>
      </c>
      <c r="J1726" s="52" t="str">
        <f t="shared" si="768"/>
        <v>pagado</v>
      </c>
      <c r="K1726" s="51" t="str">
        <f t="shared" ca="1" si="769"/>
        <v>excluir</v>
      </c>
      <c r="L1726" s="51" t="str">
        <f t="shared" ca="1" si="770"/>
        <v>no semana</v>
      </c>
      <c r="M1726" s="51" t="str">
        <f>IFERROR(VLOOKUP(E1726,'cheques a conf'!A:D,4,FALSE),"no clearing")</f>
        <v>no clearing</v>
      </c>
      <c r="N1726" s="51">
        <f t="shared" si="771"/>
        <v>9</v>
      </c>
      <c r="O1726" s="53">
        <f t="shared" si="772"/>
        <v>2</v>
      </c>
      <c r="P1726" s="53">
        <f t="shared" si="773"/>
        <v>2026</v>
      </c>
    </row>
    <row r="1727" spans="1:16" x14ac:dyDescent="0.25">
      <c r="A1727" s="21">
        <v>3000000923</v>
      </c>
      <c r="B1727" s="22">
        <v>46076</v>
      </c>
      <c r="C1727" s="20">
        <v>112375717.95999999</v>
      </c>
      <c r="D1727" s="21" t="s">
        <v>29</v>
      </c>
      <c r="E1727" s="21">
        <v>91002897</v>
      </c>
      <c r="F1727" s="20">
        <v>112375717.95999999</v>
      </c>
      <c r="G1727" s="22">
        <v>46079</v>
      </c>
      <c r="H1727" t="s">
        <v>79</v>
      </c>
      <c r="I1727" s="51" t="str">
        <f>IFERROR(IF(VLOOKUP(E1727,extracto!C:C,1,FALSE)=E1727,"pagado","no pagado"),"no pagado")</f>
        <v>pagado</v>
      </c>
      <c r="J1727" s="52" t="str">
        <f t="shared" si="768"/>
        <v>pagado</v>
      </c>
      <c r="K1727" s="51" t="str">
        <f t="shared" ca="1" si="769"/>
        <v>excluir</v>
      </c>
      <c r="L1727" s="51" t="str">
        <f t="shared" ca="1" si="770"/>
        <v>no semana</v>
      </c>
      <c r="M1727" s="51" t="str">
        <f>IFERROR(VLOOKUP(E1727,'cheques a conf'!A:D,4,FALSE),"no clearing")</f>
        <v>no clearing</v>
      </c>
      <c r="N1727" s="51">
        <f t="shared" si="771"/>
        <v>9</v>
      </c>
      <c r="O1727" s="53">
        <f t="shared" si="772"/>
        <v>2</v>
      </c>
      <c r="P1727" s="53">
        <f t="shared" si="773"/>
        <v>2026</v>
      </c>
    </row>
    <row r="1728" spans="1:16" x14ac:dyDescent="0.25">
      <c r="A1728" s="21">
        <v>3000000924</v>
      </c>
      <c r="B1728" s="22">
        <v>46076</v>
      </c>
      <c r="C1728" s="20">
        <v>26463187.379999999</v>
      </c>
      <c r="D1728" s="21" t="s">
        <v>631</v>
      </c>
      <c r="E1728" s="21">
        <v>91002898</v>
      </c>
      <c r="F1728" s="20">
        <v>26463187.379999999</v>
      </c>
      <c r="G1728" s="22">
        <v>46079</v>
      </c>
      <c r="H1728" t="s">
        <v>79</v>
      </c>
      <c r="I1728" s="51" t="str">
        <f>IFERROR(IF(VLOOKUP(E1728,extracto!C:C,1,FALSE)=E1728,"pagado","no pagado"),"no pagado")</f>
        <v>pagado</v>
      </c>
      <c r="J1728" s="52" t="str">
        <f t="shared" ref="J1728:J1742" si="774">IF(I1728="pagado","pagado",IF(G1728&lt;$V$1-30,"fuera de fecha","en periodo de pago"))</f>
        <v>pagado</v>
      </c>
      <c r="K1728" s="51" t="str">
        <f t="shared" ref="K1728:K1742" ca="1" si="775">+IF(B1728&gt;$V$1,"excluir",IF(J1728="en periodo de pago",IF($V$1&gt;G1728,"a pagar","proximo a vencer"),"excluir"))</f>
        <v>excluir</v>
      </c>
      <c r="L1728" s="51" t="str">
        <f t="shared" ref="L1728:L1742" ca="1" si="776">+IF(K1728="proximo a vencer",IF($V$1+5&gt;G1728,"para la semana","no semana"),"no semana")</f>
        <v>no semana</v>
      </c>
      <c r="M1728" s="51" t="str">
        <f>IFERROR(VLOOKUP(E1728,'cheques a conf'!A:D,4,FALSE),"no clearing")</f>
        <v>no clearing</v>
      </c>
      <c r="N1728" s="51">
        <f t="shared" ref="N1728:N1742" si="777">+WEEKNUM(G1728,2)</f>
        <v>9</v>
      </c>
      <c r="O1728" s="53">
        <f t="shared" ref="O1728:O1742" si="778">+MONTH(G1728)</f>
        <v>2</v>
      </c>
      <c r="P1728" s="53">
        <f t="shared" ref="P1728:P1742" si="779">+YEAR(G1728)</f>
        <v>2026</v>
      </c>
    </row>
    <row r="1729" spans="1:16" x14ac:dyDescent="0.25">
      <c r="A1729" s="21">
        <v>3000000925</v>
      </c>
      <c r="B1729" s="22">
        <v>46076</v>
      </c>
      <c r="C1729" s="20">
        <v>9568920.6600000001</v>
      </c>
      <c r="D1729" s="21" t="s">
        <v>626</v>
      </c>
      <c r="E1729" s="21">
        <v>91002899</v>
      </c>
      <c r="F1729" s="20">
        <v>9568920.6600000001</v>
      </c>
      <c r="G1729" s="22">
        <v>46078</v>
      </c>
      <c r="H1729" t="s">
        <v>79</v>
      </c>
      <c r="I1729" s="51" t="str">
        <f>IFERROR(IF(VLOOKUP(E1729,extracto!C:C,1,FALSE)=E1729,"pagado","no pagado"),"no pagado")</f>
        <v>pagado</v>
      </c>
      <c r="J1729" s="52" t="str">
        <f t="shared" si="774"/>
        <v>pagado</v>
      </c>
      <c r="K1729" s="51" t="str">
        <f t="shared" ca="1" si="775"/>
        <v>excluir</v>
      </c>
      <c r="L1729" s="51" t="str">
        <f t="shared" ca="1" si="776"/>
        <v>no semana</v>
      </c>
      <c r="M1729" s="51" t="str">
        <f>IFERROR(VLOOKUP(E1729,'cheques a conf'!A:D,4,FALSE),"no clearing")</f>
        <v>no clearing</v>
      </c>
      <c r="N1729" s="51">
        <f t="shared" si="777"/>
        <v>9</v>
      </c>
      <c r="O1729" s="53">
        <f t="shared" si="778"/>
        <v>2</v>
      </c>
      <c r="P1729" s="53">
        <f t="shared" si="779"/>
        <v>2026</v>
      </c>
    </row>
    <row r="1730" spans="1:16" x14ac:dyDescent="0.25">
      <c r="A1730" s="21">
        <v>3000000926</v>
      </c>
      <c r="B1730" s="22">
        <v>46076</v>
      </c>
      <c r="C1730" s="20">
        <v>13349995.869999999</v>
      </c>
      <c r="D1730" s="21" t="s">
        <v>620</v>
      </c>
      <c r="E1730" s="21">
        <v>91002900</v>
      </c>
      <c r="F1730" s="20">
        <v>13349995.869999999</v>
      </c>
      <c r="G1730" s="22">
        <v>46078</v>
      </c>
      <c r="H1730" t="s">
        <v>79</v>
      </c>
      <c r="I1730" s="51" t="str">
        <f>IFERROR(IF(VLOOKUP(E1730,extracto!C:C,1,FALSE)=E1730,"pagado","no pagado"),"no pagado")</f>
        <v>pagado</v>
      </c>
      <c r="J1730" s="52" t="str">
        <f t="shared" si="774"/>
        <v>pagado</v>
      </c>
      <c r="K1730" s="51" t="str">
        <f t="shared" ca="1" si="775"/>
        <v>excluir</v>
      </c>
      <c r="L1730" s="51" t="str">
        <f t="shared" ca="1" si="776"/>
        <v>no semana</v>
      </c>
      <c r="M1730" s="51" t="str">
        <f>IFERROR(VLOOKUP(E1730,'cheques a conf'!A:D,4,FALSE),"no clearing")</f>
        <v>no clearing</v>
      </c>
      <c r="N1730" s="51">
        <f t="shared" si="777"/>
        <v>9</v>
      </c>
      <c r="O1730" s="53">
        <f t="shared" si="778"/>
        <v>2</v>
      </c>
      <c r="P1730" s="53">
        <f t="shared" si="779"/>
        <v>2026</v>
      </c>
    </row>
    <row r="1731" spans="1:16" x14ac:dyDescent="0.25">
      <c r="A1731" s="21">
        <v>3000000927</v>
      </c>
      <c r="B1731" s="22">
        <v>46076</v>
      </c>
      <c r="C1731" s="20">
        <v>10913343.4</v>
      </c>
      <c r="D1731" s="21" t="s">
        <v>848</v>
      </c>
      <c r="E1731" s="21">
        <v>91002901</v>
      </c>
      <c r="F1731" s="20">
        <v>10913343.4</v>
      </c>
      <c r="G1731" s="22">
        <v>46078</v>
      </c>
      <c r="H1731" t="s">
        <v>79</v>
      </c>
      <c r="I1731" s="51" t="str">
        <f>IFERROR(IF(VLOOKUP(E1731,extracto!C:C,1,FALSE)=E1731,"pagado","no pagado"),"no pagado")</f>
        <v>pagado</v>
      </c>
      <c r="J1731" s="52" t="str">
        <f t="shared" si="774"/>
        <v>pagado</v>
      </c>
      <c r="K1731" s="51" t="str">
        <f t="shared" ca="1" si="775"/>
        <v>excluir</v>
      </c>
      <c r="L1731" s="51" t="str">
        <f t="shared" ca="1" si="776"/>
        <v>no semana</v>
      </c>
      <c r="M1731" s="51" t="str">
        <f>IFERROR(VLOOKUP(E1731,'cheques a conf'!A:D,4,FALSE),"no clearing")</f>
        <v>no clearing</v>
      </c>
      <c r="N1731" s="51">
        <f t="shared" si="777"/>
        <v>9</v>
      </c>
      <c r="O1731" s="53">
        <f t="shared" si="778"/>
        <v>2</v>
      </c>
      <c r="P1731" s="53">
        <f t="shared" si="779"/>
        <v>2026</v>
      </c>
    </row>
    <row r="1732" spans="1:16" x14ac:dyDescent="0.25">
      <c r="A1732" s="21">
        <v>3000000928</v>
      </c>
      <c r="B1732" s="22">
        <v>46076</v>
      </c>
      <c r="C1732" s="20">
        <v>5708969.2800000003</v>
      </c>
      <c r="D1732" s="21" t="s">
        <v>69</v>
      </c>
      <c r="E1732" s="21">
        <v>91002902</v>
      </c>
      <c r="F1732" s="20">
        <v>5708969.2800000003</v>
      </c>
      <c r="G1732" s="22">
        <v>46078</v>
      </c>
      <c r="H1732" t="s">
        <v>79</v>
      </c>
      <c r="I1732" s="51" t="str">
        <f>IFERROR(IF(VLOOKUP(E1732,extracto!C:C,1,FALSE)=E1732,"pagado","no pagado"),"no pagado")</f>
        <v>pagado</v>
      </c>
      <c r="J1732" s="52" t="str">
        <f t="shared" si="774"/>
        <v>pagado</v>
      </c>
      <c r="K1732" s="51" t="str">
        <f t="shared" ca="1" si="775"/>
        <v>excluir</v>
      </c>
      <c r="L1732" s="51" t="str">
        <f t="shared" ca="1" si="776"/>
        <v>no semana</v>
      </c>
      <c r="M1732" s="51" t="str">
        <f>IFERROR(VLOOKUP(E1732,'cheques a conf'!A:D,4,FALSE),"no clearing")</f>
        <v>no clearing</v>
      </c>
      <c r="N1732" s="51">
        <f t="shared" si="777"/>
        <v>9</v>
      </c>
      <c r="O1732" s="53">
        <f t="shared" si="778"/>
        <v>2</v>
      </c>
      <c r="P1732" s="53">
        <f t="shared" si="779"/>
        <v>2026</v>
      </c>
    </row>
    <row r="1733" spans="1:16" x14ac:dyDescent="0.25">
      <c r="A1733" s="21">
        <v>3000000929</v>
      </c>
      <c r="B1733" s="22">
        <v>46076</v>
      </c>
      <c r="C1733" s="20">
        <v>6046035.9000000004</v>
      </c>
      <c r="D1733" s="21" t="s">
        <v>628</v>
      </c>
      <c r="E1733" s="21">
        <v>91002903</v>
      </c>
      <c r="F1733" s="20">
        <v>6046035.9000000004</v>
      </c>
      <c r="G1733" s="22">
        <v>46078</v>
      </c>
      <c r="H1733" t="s">
        <v>79</v>
      </c>
      <c r="I1733" s="51" t="str">
        <f>IFERROR(IF(VLOOKUP(E1733,extracto!C:C,1,FALSE)=E1733,"pagado","no pagado"),"no pagado")</f>
        <v>pagado</v>
      </c>
      <c r="J1733" s="52" t="str">
        <f t="shared" si="774"/>
        <v>pagado</v>
      </c>
      <c r="K1733" s="51" t="str">
        <f t="shared" ca="1" si="775"/>
        <v>excluir</v>
      </c>
      <c r="L1733" s="51" t="str">
        <f t="shared" ca="1" si="776"/>
        <v>no semana</v>
      </c>
      <c r="M1733" s="51" t="str">
        <f>IFERROR(VLOOKUP(E1733,'cheques a conf'!A:D,4,FALSE),"no clearing")</f>
        <v>no clearing</v>
      </c>
      <c r="N1733" s="51">
        <f t="shared" si="777"/>
        <v>9</v>
      </c>
      <c r="O1733" s="53">
        <f t="shared" si="778"/>
        <v>2</v>
      </c>
      <c r="P1733" s="53">
        <f t="shared" si="779"/>
        <v>2026</v>
      </c>
    </row>
    <row r="1734" spans="1:16" x14ac:dyDescent="0.25">
      <c r="A1734" s="21">
        <v>3000000955</v>
      </c>
      <c r="B1734" s="22">
        <v>46078</v>
      </c>
      <c r="C1734" s="20">
        <v>172055660</v>
      </c>
      <c r="D1734" s="21" t="s">
        <v>25</v>
      </c>
      <c r="E1734" s="21">
        <v>2042</v>
      </c>
      <c r="F1734" s="20">
        <v>172055660</v>
      </c>
      <c r="G1734" s="22">
        <v>46078</v>
      </c>
      <c r="H1734" t="s">
        <v>32</v>
      </c>
      <c r="I1734" s="51" t="str">
        <f>IFERROR(IF(VLOOKUP(E1734,extracto!C:C,1,FALSE)=E1734,"pagado","no pagado"),"no pagado")</f>
        <v>pagado</v>
      </c>
      <c r="J1734" s="52" t="str">
        <f t="shared" si="774"/>
        <v>pagado</v>
      </c>
      <c r="K1734" s="51" t="str">
        <f t="shared" ca="1" si="775"/>
        <v>excluir</v>
      </c>
      <c r="L1734" s="51" t="str">
        <f t="shared" ca="1" si="776"/>
        <v>no semana</v>
      </c>
      <c r="M1734" s="51" t="str">
        <f>IFERROR(VLOOKUP(E1734,'cheques a conf'!A:D,4,FALSE),"no clearing")</f>
        <v>no clearing</v>
      </c>
      <c r="N1734" s="51">
        <f t="shared" si="777"/>
        <v>9</v>
      </c>
      <c r="O1734" s="53">
        <f t="shared" si="778"/>
        <v>2</v>
      </c>
      <c r="P1734" s="53">
        <f t="shared" si="779"/>
        <v>2026</v>
      </c>
    </row>
    <row r="1735" spans="1:16" x14ac:dyDescent="0.25">
      <c r="A1735" s="21">
        <v>3000001015</v>
      </c>
      <c r="B1735" s="22">
        <v>46080</v>
      </c>
      <c r="C1735" s="20">
        <v>5000000</v>
      </c>
      <c r="D1735" s="21" t="s">
        <v>790</v>
      </c>
      <c r="E1735" s="21">
        <v>91002904</v>
      </c>
      <c r="F1735" s="20">
        <v>5000000</v>
      </c>
      <c r="G1735" s="22">
        <v>46085</v>
      </c>
      <c r="H1735" t="s">
        <v>79</v>
      </c>
      <c r="I1735" s="51" t="str">
        <f>IFERROR(IF(VLOOKUP(E1735,extracto!C:C,1,FALSE)=E1735,"pagado","no pagado"),"no pagado")</f>
        <v>pagado</v>
      </c>
      <c r="J1735" s="52" t="str">
        <f t="shared" si="774"/>
        <v>pagado</v>
      </c>
      <c r="K1735" s="51" t="str">
        <f t="shared" ca="1" si="775"/>
        <v>excluir</v>
      </c>
      <c r="L1735" s="51" t="str">
        <f t="shared" ca="1" si="776"/>
        <v>no semana</v>
      </c>
      <c r="M1735" s="51" t="str">
        <f>IFERROR(VLOOKUP(E1735,'cheques a conf'!A:D,4,FALSE),"no clearing")</f>
        <v>no clearing</v>
      </c>
      <c r="N1735" s="51">
        <f t="shared" si="777"/>
        <v>10</v>
      </c>
      <c r="O1735" s="53">
        <f t="shared" si="778"/>
        <v>3</v>
      </c>
      <c r="P1735" s="53">
        <f t="shared" si="779"/>
        <v>2026</v>
      </c>
    </row>
    <row r="1736" spans="1:16" x14ac:dyDescent="0.25">
      <c r="A1736" s="21">
        <v>3000001015</v>
      </c>
      <c r="B1736" s="22">
        <v>46080</v>
      </c>
      <c r="C1736" s="20">
        <v>5000000</v>
      </c>
      <c r="D1736" s="21" t="s">
        <v>790</v>
      </c>
      <c r="E1736" s="21">
        <v>91002905</v>
      </c>
      <c r="F1736" s="20">
        <v>5000000</v>
      </c>
      <c r="G1736" s="22">
        <v>46085</v>
      </c>
      <c r="H1736" t="s">
        <v>79</v>
      </c>
      <c r="I1736" s="51" t="str">
        <f>IFERROR(IF(VLOOKUP(E1736,extracto!C:C,1,FALSE)=E1736,"pagado","no pagado"),"no pagado")</f>
        <v>pagado</v>
      </c>
      <c r="J1736" s="52" t="str">
        <f t="shared" si="774"/>
        <v>pagado</v>
      </c>
      <c r="K1736" s="51" t="str">
        <f t="shared" ca="1" si="775"/>
        <v>excluir</v>
      </c>
      <c r="L1736" s="51" t="str">
        <f t="shared" ca="1" si="776"/>
        <v>no semana</v>
      </c>
      <c r="M1736" s="51" t="str">
        <f>IFERROR(VLOOKUP(E1736,'cheques a conf'!A:D,4,FALSE),"no clearing")</f>
        <v>no clearing</v>
      </c>
      <c r="N1736" s="51">
        <f t="shared" si="777"/>
        <v>10</v>
      </c>
      <c r="O1736" s="53">
        <f t="shared" si="778"/>
        <v>3</v>
      </c>
      <c r="P1736" s="53">
        <f t="shared" si="779"/>
        <v>2026</v>
      </c>
    </row>
    <row r="1737" spans="1:16" x14ac:dyDescent="0.25">
      <c r="A1737" s="21">
        <v>3000001015</v>
      </c>
      <c r="B1737" s="22">
        <v>46080</v>
      </c>
      <c r="C1737" s="20">
        <v>5164541.66</v>
      </c>
      <c r="D1737" s="21" t="s">
        <v>790</v>
      </c>
      <c r="E1737" s="21">
        <v>91002906</v>
      </c>
      <c r="F1737" s="20">
        <v>5164541.66</v>
      </c>
      <c r="G1737" s="22">
        <v>46085</v>
      </c>
      <c r="H1737" t="s">
        <v>79</v>
      </c>
      <c r="I1737" s="51" t="str">
        <f>IFERROR(IF(VLOOKUP(E1737,extracto!C:C,1,FALSE)=E1737,"pagado","no pagado"),"no pagado")</f>
        <v>pagado</v>
      </c>
      <c r="J1737" s="52" t="str">
        <f t="shared" si="774"/>
        <v>pagado</v>
      </c>
      <c r="K1737" s="51" t="str">
        <f t="shared" ca="1" si="775"/>
        <v>excluir</v>
      </c>
      <c r="L1737" s="51" t="str">
        <f t="shared" ca="1" si="776"/>
        <v>no semana</v>
      </c>
      <c r="M1737" s="51" t="str">
        <f>IFERROR(VLOOKUP(E1737,'cheques a conf'!A:D,4,FALSE),"no clearing")</f>
        <v>no clearing</v>
      </c>
      <c r="N1737" s="51">
        <f t="shared" si="777"/>
        <v>10</v>
      </c>
      <c r="O1737" s="53">
        <f t="shared" si="778"/>
        <v>3</v>
      </c>
      <c r="P1737" s="53">
        <f t="shared" si="779"/>
        <v>2026</v>
      </c>
    </row>
    <row r="1738" spans="1:16" x14ac:dyDescent="0.25">
      <c r="A1738" s="21">
        <v>3000001042</v>
      </c>
      <c r="B1738" s="22">
        <v>46083</v>
      </c>
      <c r="C1738" s="20">
        <v>4257678.87</v>
      </c>
      <c r="D1738" s="21" t="s">
        <v>70</v>
      </c>
      <c r="E1738" s="21">
        <v>91002907</v>
      </c>
      <c r="F1738" s="20">
        <v>4257678.87</v>
      </c>
      <c r="G1738" s="22">
        <v>46086</v>
      </c>
      <c r="H1738" t="s">
        <v>79</v>
      </c>
      <c r="I1738" s="51" t="str">
        <f>IFERROR(IF(VLOOKUP(E1738,extracto!C:C,1,FALSE)=E1738,"pagado","no pagado"),"no pagado")</f>
        <v>pagado</v>
      </c>
      <c r="J1738" s="52" t="str">
        <f t="shared" si="774"/>
        <v>pagado</v>
      </c>
      <c r="K1738" s="51" t="str">
        <f t="shared" ca="1" si="775"/>
        <v>excluir</v>
      </c>
      <c r="L1738" s="51" t="str">
        <f t="shared" ca="1" si="776"/>
        <v>no semana</v>
      </c>
      <c r="M1738" s="51" t="str">
        <f>IFERROR(VLOOKUP(E1738,'cheques a conf'!A:D,4,FALSE),"no clearing")</f>
        <v>no clearing</v>
      </c>
      <c r="N1738" s="51">
        <f t="shared" si="777"/>
        <v>10</v>
      </c>
      <c r="O1738" s="53">
        <f t="shared" si="778"/>
        <v>3</v>
      </c>
      <c r="P1738" s="53">
        <f t="shared" si="779"/>
        <v>2026</v>
      </c>
    </row>
    <row r="1739" spans="1:16" x14ac:dyDescent="0.25">
      <c r="A1739" s="21">
        <v>3000001043</v>
      </c>
      <c r="B1739" s="22">
        <v>46083</v>
      </c>
      <c r="C1739" s="20">
        <v>15545939.09</v>
      </c>
      <c r="D1739" s="21" t="s">
        <v>645</v>
      </c>
      <c r="E1739" s="21">
        <v>91002908</v>
      </c>
      <c r="F1739" s="20">
        <v>15545939.09</v>
      </c>
      <c r="G1739" s="22">
        <v>46087</v>
      </c>
      <c r="H1739" t="s">
        <v>79</v>
      </c>
      <c r="I1739" s="51" t="str">
        <f>IFERROR(IF(VLOOKUP(E1739,extracto!C:C,1,FALSE)=E1739,"pagado","no pagado"),"no pagado")</f>
        <v>pagado</v>
      </c>
      <c r="J1739" s="52" t="str">
        <f t="shared" si="774"/>
        <v>pagado</v>
      </c>
      <c r="K1739" s="51" t="str">
        <f t="shared" ca="1" si="775"/>
        <v>excluir</v>
      </c>
      <c r="L1739" s="51" t="str">
        <f t="shared" ca="1" si="776"/>
        <v>no semana</v>
      </c>
      <c r="M1739" s="51" t="str">
        <f>IFERROR(VLOOKUP(E1739,'cheques a conf'!A:D,4,FALSE),"no clearing")</f>
        <v>no clearing</v>
      </c>
      <c r="N1739" s="51">
        <f t="shared" si="777"/>
        <v>10</v>
      </c>
      <c r="O1739" s="53">
        <f t="shared" si="778"/>
        <v>3</v>
      </c>
      <c r="P1739" s="53">
        <f t="shared" si="779"/>
        <v>2026</v>
      </c>
    </row>
    <row r="1740" spans="1:16" x14ac:dyDescent="0.25">
      <c r="A1740" s="21">
        <v>3000001044</v>
      </c>
      <c r="B1740" s="22">
        <v>46083</v>
      </c>
      <c r="C1740" s="20">
        <v>16207253.939999999</v>
      </c>
      <c r="D1740" s="21" t="s">
        <v>73</v>
      </c>
      <c r="E1740" s="21">
        <v>91002909</v>
      </c>
      <c r="F1740" s="20">
        <v>16207253.939999999</v>
      </c>
      <c r="G1740" s="22">
        <v>46087</v>
      </c>
      <c r="H1740" t="s">
        <v>79</v>
      </c>
      <c r="I1740" s="51" t="str">
        <f>IFERROR(IF(VLOOKUP(E1740,extracto!C:C,1,FALSE)=E1740,"pagado","no pagado"),"no pagado")</f>
        <v>pagado</v>
      </c>
      <c r="J1740" s="52" t="str">
        <f t="shared" si="774"/>
        <v>pagado</v>
      </c>
      <c r="K1740" s="51" t="str">
        <f t="shared" ca="1" si="775"/>
        <v>excluir</v>
      </c>
      <c r="L1740" s="51" t="str">
        <f t="shared" ca="1" si="776"/>
        <v>no semana</v>
      </c>
      <c r="M1740" s="51" t="str">
        <f>IFERROR(VLOOKUP(E1740,'cheques a conf'!A:D,4,FALSE),"no clearing")</f>
        <v>no clearing</v>
      </c>
      <c r="N1740" s="51">
        <f t="shared" si="777"/>
        <v>10</v>
      </c>
      <c r="O1740" s="53">
        <f t="shared" si="778"/>
        <v>3</v>
      </c>
      <c r="P1740" s="53">
        <f t="shared" si="779"/>
        <v>2026</v>
      </c>
    </row>
    <row r="1741" spans="1:16" x14ac:dyDescent="0.25">
      <c r="A1741" s="21">
        <v>3000001045</v>
      </c>
      <c r="B1741" s="22">
        <v>46083</v>
      </c>
      <c r="C1741" s="20">
        <v>9247855.4000000004</v>
      </c>
      <c r="D1741" s="21" t="s">
        <v>610</v>
      </c>
      <c r="E1741" s="21">
        <v>91002910</v>
      </c>
      <c r="F1741" s="20">
        <v>9247855.4000000004</v>
      </c>
      <c r="G1741" s="22">
        <v>46086</v>
      </c>
      <c r="H1741" t="s">
        <v>79</v>
      </c>
      <c r="I1741" s="51" t="str">
        <f>IFERROR(IF(VLOOKUP(E1741,extracto!C:C,1,FALSE)=E1741,"pagado","no pagado"),"no pagado")</f>
        <v>pagado</v>
      </c>
      <c r="J1741" s="52" t="str">
        <f t="shared" si="774"/>
        <v>pagado</v>
      </c>
      <c r="K1741" s="51" t="str">
        <f t="shared" ca="1" si="775"/>
        <v>excluir</v>
      </c>
      <c r="L1741" s="51" t="str">
        <f t="shared" ca="1" si="776"/>
        <v>no semana</v>
      </c>
      <c r="M1741" s="51" t="str">
        <f>IFERROR(VLOOKUP(E1741,'cheques a conf'!A:D,4,FALSE),"no clearing")</f>
        <v>no clearing</v>
      </c>
      <c r="N1741" s="51">
        <f t="shared" si="777"/>
        <v>10</v>
      </c>
      <c r="O1741" s="53">
        <f t="shared" si="778"/>
        <v>3</v>
      </c>
      <c r="P1741" s="53">
        <f t="shared" si="779"/>
        <v>2026</v>
      </c>
    </row>
    <row r="1742" spans="1:16" x14ac:dyDescent="0.25">
      <c r="A1742" s="21">
        <v>3000001046</v>
      </c>
      <c r="B1742" s="22">
        <v>46083</v>
      </c>
      <c r="C1742" s="20">
        <v>5944273.4000000004</v>
      </c>
      <c r="D1742" s="21" t="s">
        <v>628</v>
      </c>
      <c r="E1742" s="21">
        <v>91002911</v>
      </c>
      <c r="F1742" s="20">
        <v>5944273.4000000004</v>
      </c>
      <c r="G1742" s="22">
        <v>46086</v>
      </c>
      <c r="H1742" t="s">
        <v>79</v>
      </c>
      <c r="I1742" s="51" t="str">
        <f>IFERROR(IF(VLOOKUP(E1742,extracto!C:C,1,FALSE)=E1742,"pagado","no pagado"),"no pagado")</f>
        <v>pagado</v>
      </c>
      <c r="J1742" s="52" t="str">
        <f t="shared" si="774"/>
        <v>pagado</v>
      </c>
      <c r="K1742" s="51" t="str">
        <f t="shared" ca="1" si="775"/>
        <v>excluir</v>
      </c>
      <c r="L1742" s="51" t="str">
        <f t="shared" ca="1" si="776"/>
        <v>no semana</v>
      </c>
      <c r="M1742" s="51" t="str">
        <f>IFERROR(VLOOKUP(E1742,'cheques a conf'!A:D,4,FALSE),"no clearing")</f>
        <v>no clearing</v>
      </c>
      <c r="N1742" s="51">
        <f t="shared" si="777"/>
        <v>10</v>
      </c>
      <c r="O1742" s="53">
        <f t="shared" si="778"/>
        <v>3</v>
      </c>
      <c r="P1742" s="53">
        <f t="shared" si="779"/>
        <v>2026</v>
      </c>
    </row>
    <row r="1743" spans="1:16" x14ac:dyDescent="0.25">
      <c r="A1743" s="21">
        <v>3000001047</v>
      </c>
      <c r="B1743" s="22">
        <v>46083</v>
      </c>
      <c r="C1743" s="20">
        <v>14168764.220000001</v>
      </c>
      <c r="D1743" s="21" t="s">
        <v>71</v>
      </c>
      <c r="E1743" s="21">
        <v>91002912</v>
      </c>
      <c r="F1743" s="20">
        <v>14168764.220000001</v>
      </c>
      <c r="G1743" s="22">
        <v>46087</v>
      </c>
      <c r="H1743" t="s">
        <v>79</v>
      </c>
      <c r="I1743" s="51" t="str">
        <f>IFERROR(IF(VLOOKUP(E1743,extracto!C:C,1,FALSE)=E1743,"pagado","no pagado"),"no pagado")</f>
        <v>pagado</v>
      </c>
      <c r="J1743" s="52" t="str">
        <f t="shared" ref="J1743:J1806" si="780">IF(I1743="pagado","pagado",IF(G1743&lt;$V$1-30,"fuera de fecha","en periodo de pago"))</f>
        <v>pagado</v>
      </c>
      <c r="K1743" s="51" t="str">
        <f t="shared" ref="K1743:K1806" ca="1" si="781">+IF(B1743&gt;$V$1,"excluir",IF(J1743="en periodo de pago",IF($V$1&gt;G1743,"a pagar","proximo a vencer"),"excluir"))</f>
        <v>excluir</v>
      </c>
      <c r="L1743" s="51" t="str">
        <f t="shared" ref="L1743:L1806" ca="1" si="782">+IF(K1743="proximo a vencer",IF($V$1+5&gt;G1743,"para la semana","no semana"),"no semana")</f>
        <v>no semana</v>
      </c>
      <c r="M1743" s="51" t="str">
        <f>IFERROR(VLOOKUP(E1743,'cheques a conf'!A:D,4,FALSE),"no clearing")</f>
        <v>no clearing</v>
      </c>
      <c r="N1743" s="51">
        <f t="shared" ref="N1743:N1806" si="783">+WEEKNUM(G1743,2)</f>
        <v>10</v>
      </c>
      <c r="O1743" s="53">
        <f t="shared" ref="O1743:O1806" si="784">+MONTH(G1743)</f>
        <v>3</v>
      </c>
      <c r="P1743" s="53">
        <f t="shared" ref="P1743:P1806" si="785">+YEAR(G1743)</f>
        <v>2026</v>
      </c>
    </row>
    <row r="1744" spans="1:16" x14ac:dyDescent="0.25">
      <c r="A1744" s="21">
        <v>3000001048</v>
      </c>
      <c r="B1744" s="22">
        <v>46083</v>
      </c>
      <c r="C1744" s="20">
        <v>11385095.9</v>
      </c>
      <c r="D1744" s="21" t="s">
        <v>600</v>
      </c>
      <c r="E1744" s="21">
        <v>91002913</v>
      </c>
      <c r="F1744" s="20">
        <v>11385095.9</v>
      </c>
      <c r="G1744" s="22">
        <v>46087</v>
      </c>
      <c r="H1744" t="s">
        <v>79</v>
      </c>
      <c r="I1744" s="51" t="str">
        <f>IFERROR(IF(VLOOKUP(E1744,extracto!C:C,1,FALSE)=E1744,"pagado","no pagado"),"no pagado")</f>
        <v>pagado</v>
      </c>
      <c r="J1744" s="52" t="str">
        <f t="shared" si="780"/>
        <v>pagado</v>
      </c>
      <c r="K1744" s="51" t="str">
        <f t="shared" ca="1" si="781"/>
        <v>excluir</v>
      </c>
      <c r="L1744" s="51" t="str">
        <f t="shared" ca="1" si="782"/>
        <v>no semana</v>
      </c>
      <c r="M1744" s="51" t="str">
        <f>IFERROR(VLOOKUP(E1744,'cheques a conf'!A:D,4,FALSE),"no clearing")</f>
        <v>no clearing</v>
      </c>
      <c r="N1744" s="51">
        <f t="shared" si="783"/>
        <v>10</v>
      </c>
      <c r="O1744" s="53">
        <f t="shared" si="784"/>
        <v>3</v>
      </c>
      <c r="P1744" s="53">
        <f t="shared" si="785"/>
        <v>2026</v>
      </c>
    </row>
    <row r="1745" spans="1:16" x14ac:dyDescent="0.25">
      <c r="A1745" s="21">
        <v>3000001109</v>
      </c>
      <c r="B1745" s="22">
        <v>46085</v>
      </c>
      <c r="C1745" s="20">
        <v>24000000</v>
      </c>
      <c r="D1745" s="21" t="s">
        <v>592</v>
      </c>
      <c r="E1745" s="21">
        <v>91002916</v>
      </c>
      <c r="F1745" s="20">
        <v>24000000</v>
      </c>
      <c r="G1745" s="22">
        <v>46087</v>
      </c>
      <c r="H1745" t="s">
        <v>79</v>
      </c>
      <c r="I1745" s="51" t="str">
        <f>IFERROR(IF(VLOOKUP(E1745,extracto!C:C,1,FALSE)=E1745,"pagado","no pagado"),"no pagado")</f>
        <v>pagado</v>
      </c>
      <c r="J1745" s="52" t="str">
        <f t="shared" si="780"/>
        <v>pagado</v>
      </c>
      <c r="K1745" s="51" t="str">
        <f t="shared" ca="1" si="781"/>
        <v>excluir</v>
      </c>
      <c r="L1745" s="51" t="str">
        <f t="shared" ca="1" si="782"/>
        <v>no semana</v>
      </c>
      <c r="M1745" s="51" t="str">
        <f>IFERROR(VLOOKUP(E1745,'cheques a conf'!A:D,4,FALSE),"no clearing")</f>
        <v>no clearing</v>
      </c>
      <c r="N1745" s="51">
        <f t="shared" si="783"/>
        <v>10</v>
      </c>
      <c r="O1745" s="53">
        <f t="shared" si="784"/>
        <v>3</v>
      </c>
      <c r="P1745" s="53">
        <f t="shared" si="785"/>
        <v>2026</v>
      </c>
    </row>
    <row r="1746" spans="1:16" x14ac:dyDescent="0.25">
      <c r="A1746" s="21">
        <v>3000001109</v>
      </c>
      <c r="B1746" s="22">
        <v>46085</v>
      </c>
      <c r="C1746" s="20">
        <v>23219117.920000002</v>
      </c>
      <c r="D1746" s="21" t="s">
        <v>592</v>
      </c>
      <c r="E1746" s="21">
        <v>91002917</v>
      </c>
      <c r="F1746" s="20">
        <v>23219117.920000002</v>
      </c>
      <c r="G1746" s="22">
        <v>46090</v>
      </c>
      <c r="H1746" t="s">
        <v>79</v>
      </c>
      <c r="I1746" s="51" t="str">
        <f>IFERROR(IF(VLOOKUP(E1746,extracto!C:C,1,FALSE)=E1746,"pagado","no pagado"),"no pagado")</f>
        <v>pagado</v>
      </c>
      <c r="J1746" s="52" t="str">
        <f t="shared" si="780"/>
        <v>pagado</v>
      </c>
      <c r="K1746" s="51" t="str">
        <f t="shared" ca="1" si="781"/>
        <v>excluir</v>
      </c>
      <c r="L1746" s="51" t="str">
        <f t="shared" ca="1" si="782"/>
        <v>no semana</v>
      </c>
      <c r="M1746" s="51" t="str">
        <f>IFERROR(VLOOKUP(E1746,'cheques a conf'!A:D,4,FALSE),"no clearing")</f>
        <v>no clearing</v>
      </c>
      <c r="N1746" s="51">
        <f t="shared" si="783"/>
        <v>11</v>
      </c>
      <c r="O1746" s="53">
        <f t="shared" si="784"/>
        <v>3</v>
      </c>
      <c r="P1746" s="53">
        <f t="shared" si="785"/>
        <v>2026</v>
      </c>
    </row>
    <row r="1747" spans="1:16" x14ac:dyDescent="0.25">
      <c r="A1747" s="21">
        <v>3000001111</v>
      </c>
      <c r="B1747" s="22">
        <v>46085</v>
      </c>
      <c r="C1747" s="20">
        <v>5000000</v>
      </c>
      <c r="D1747" s="21" t="s">
        <v>619</v>
      </c>
      <c r="E1747" s="21">
        <v>91002919</v>
      </c>
      <c r="F1747" s="20">
        <v>5000000</v>
      </c>
      <c r="G1747" s="22">
        <v>46087</v>
      </c>
      <c r="H1747" t="s">
        <v>79</v>
      </c>
      <c r="I1747" s="51" t="str">
        <f>IFERROR(IF(VLOOKUP(E1747,extracto!C:C,1,FALSE)=E1747,"pagado","no pagado"),"no pagado")</f>
        <v>pagado</v>
      </c>
      <c r="J1747" s="52" t="str">
        <f t="shared" si="780"/>
        <v>pagado</v>
      </c>
      <c r="K1747" s="51" t="str">
        <f t="shared" ca="1" si="781"/>
        <v>excluir</v>
      </c>
      <c r="L1747" s="51" t="str">
        <f t="shared" ca="1" si="782"/>
        <v>no semana</v>
      </c>
      <c r="M1747" s="51" t="str">
        <f>IFERROR(VLOOKUP(E1747,'cheques a conf'!A:D,4,FALSE),"no clearing")</f>
        <v>no clearing</v>
      </c>
      <c r="N1747" s="51">
        <f t="shared" si="783"/>
        <v>10</v>
      </c>
      <c r="O1747" s="53">
        <f t="shared" si="784"/>
        <v>3</v>
      </c>
      <c r="P1747" s="53">
        <f t="shared" si="785"/>
        <v>2026</v>
      </c>
    </row>
    <row r="1748" spans="1:16" x14ac:dyDescent="0.25">
      <c r="A1748" s="21">
        <v>3000001111</v>
      </c>
      <c r="B1748" s="22">
        <v>46085</v>
      </c>
      <c r="C1748" s="20">
        <v>10645663.710000001</v>
      </c>
      <c r="D1748" s="21" t="s">
        <v>619</v>
      </c>
      <c r="E1748" s="21">
        <v>91002920</v>
      </c>
      <c r="F1748" s="20">
        <v>10645663.710000001</v>
      </c>
      <c r="G1748" s="22">
        <v>46090</v>
      </c>
      <c r="H1748" t="s">
        <v>79</v>
      </c>
      <c r="I1748" s="51" t="str">
        <f>IFERROR(IF(VLOOKUP(E1748,extracto!C:C,1,FALSE)=E1748,"pagado","no pagado"),"no pagado")</f>
        <v>pagado</v>
      </c>
      <c r="J1748" s="52" t="str">
        <f t="shared" si="780"/>
        <v>pagado</v>
      </c>
      <c r="K1748" s="51" t="str">
        <f t="shared" ca="1" si="781"/>
        <v>excluir</v>
      </c>
      <c r="L1748" s="51" t="str">
        <f t="shared" ca="1" si="782"/>
        <v>no semana</v>
      </c>
      <c r="M1748" s="51" t="str">
        <f>IFERROR(VLOOKUP(E1748,'cheques a conf'!A:D,4,FALSE),"no clearing")</f>
        <v>no clearing</v>
      </c>
      <c r="N1748" s="51">
        <f t="shared" si="783"/>
        <v>11</v>
      </c>
      <c r="O1748" s="53">
        <f t="shared" si="784"/>
        <v>3</v>
      </c>
      <c r="P1748" s="53">
        <f t="shared" si="785"/>
        <v>2026</v>
      </c>
    </row>
    <row r="1749" spans="1:16" x14ac:dyDescent="0.25">
      <c r="A1749" s="21">
        <v>3000001106</v>
      </c>
      <c r="B1749" s="22">
        <v>46085</v>
      </c>
      <c r="C1749" s="20">
        <v>22312745.579999998</v>
      </c>
      <c r="D1749" s="21" t="s">
        <v>593</v>
      </c>
      <c r="E1749" s="21">
        <v>91002914</v>
      </c>
      <c r="F1749" s="20">
        <v>22312745.579999998</v>
      </c>
      <c r="G1749" s="22">
        <v>46087</v>
      </c>
      <c r="H1749" t="s">
        <v>79</v>
      </c>
      <c r="I1749" s="51" t="str">
        <f>IFERROR(IF(VLOOKUP(E1749,extracto!C:C,1,FALSE)=E1749,"pagado","no pagado"),"no pagado")</f>
        <v>pagado</v>
      </c>
      <c r="J1749" s="52" t="str">
        <f t="shared" si="780"/>
        <v>pagado</v>
      </c>
      <c r="K1749" s="51" t="str">
        <f t="shared" ca="1" si="781"/>
        <v>excluir</v>
      </c>
      <c r="L1749" s="51" t="str">
        <f t="shared" ca="1" si="782"/>
        <v>no semana</v>
      </c>
      <c r="M1749" s="51" t="str">
        <f>IFERROR(VLOOKUP(E1749,'cheques a conf'!A:D,4,FALSE),"no clearing")</f>
        <v>no clearing</v>
      </c>
      <c r="N1749" s="51">
        <f t="shared" si="783"/>
        <v>10</v>
      </c>
      <c r="O1749" s="53">
        <f t="shared" si="784"/>
        <v>3</v>
      </c>
      <c r="P1749" s="53">
        <f t="shared" si="785"/>
        <v>2026</v>
      </c>
    </row>
    <row r="1750" spans="1:16" x14ac:dyDescent="0.25">
      <c r="A1750" s="21">
        <v>3000001108</v>
      </c>
      <c r="B1750" s="22">
        <v>46085</v>
      </c>
      <c r="C1750" s="20">
        <v>12611263.4</v>
      </c>
      <c r="D1750" s="21" t="s">
        <v>761</v>
      </c>
      <c r="E1750" s="21">
        <v>91002915</v>
      </c>
      <c r="F1750" s="20">
        <v>12611263.4</v>
      </c>
      <c r="G1750" s="22">
        <v>46087</v>
      </c>
      <c r="H1750" t="s">
        <v>79</v>
      </c>
      <c r="I1750" s="51" t="str">
        <f>IFERROR(IF(VLOOKUP(E1750,extracto!C:C,1,FALSE)=E1750,"pagado","no pagado"),"no pagado")</f>
        <v>pagado</v>
      </c>
      <c r="J1750" s="52" t="str">
        <f t="shared" si="780"/>
        <v>pagado</v>
      </c>
      <c r="K1750" s="51" t="str">
        <f t="shared" ca="1" si="781"/>
        <v>excluir</v>
      </c>
      <c r="L1750" s="51" t="str">
        <f t="shared" ca="1" si="782"/>
        <v>no semana</v>
      </c>
      <c r="M1750" s="51" t="str">
        <f>IFERROR(VLOOKUP(E1750,'cheques a conf'!A:D,4,FALSE),"no clearing")</f>
        <v>no clearing</v>
      </c>
      <c r="N1750" s="51">
        <f t="shared" si="783"/>
        <v>10</v>
      </c>
      <c r="O1750" s="53">
        <f t="shared" si="784"/>
        <v>3</v>
      </c>
      <c r="P1750" s="53">
        <f t="shared" si="785"/>
        <v>2026</v>
      </c>
    </row>
    <row r="1751" spans="1:16" x14ac:dyDescent="0.25">
      <c r="A1751" s="21">
        <v>3000001110</v>
      </c>
      <c r="B1751" s="22">
        <v>46085</v>
      </c>
      <c r="C1751" s="20">
        <v>11596731.74</v>
      </c>
      <c r="D1751" s="21" t="s">
        <v>616</v>
      </c>
      <c r="E1751" s="21">
        <v>91002918</v>
      </c>
      <c r="F1751" s="20">
        <v>11596731.74</v>
      </c>
      <c r="G1751" s="22">
        <v>46087</v>
      </c>
      <c r="H1751" t="s">
        <v>79</v>
      </c>
      <c r="I1751" s="51" t="str">
        <f>IFERROR(IF(VLOOKUP(E1751,extracto!C:C,1,FALSE)=E1751,"pagado","no pagado"),"no pagado")</f>
        <v>pagado</v>
      </c>
      <c r="J1751" s="52" t="str">
        <f t="shared" si="780"/>
        <v>pagado</v>
      </c>
      <c r="K1751" s="51" t="str">
        <f t="shared" ca="1" si="781"/>
        <v>excluir</v>
      </c>
      <c r="L1751" s="51" t="str">
        <f t="shared" ca="1" si="782"/>
        <v>no semana</v>
      </c>
      <c r="M1751" s="51" t="str">
        <f>IFERROR(VLOOKUP(E1751,'cheques a conf'!A:D,4,FALSE),"no clearing")</f>
        <v>no clearing</v>
      </c>
      <c r="N1751" s="51">
        <f t="shared" si="783"/>
        <v>10</v>
      </c>
      <c r="O1751" s="53">
        <f t="shared" si="784"/>
        <v>3</v>
      </c>
      <c r="P1751" s="53">
        <f t="shared" si="785"/>
        <v>2026</v>
      </c>
    </row>
    <row r="1752" spans="1:16" x14ac:dyDescent="0.25">
      <c r="A1752" s="21">
        <v>3000001112</v>
      </c>
      <c r="B1752" s="22">
        <v>46085</v>
      </c>
      <c r="C1752" s="20">
        <v>11580847.17</v>
      </c>
      <c r="D1752" s="21" t="s">
        <v>613</v>
      </c>
      <c r="E1752" s="21">
        <v>91002921</v>
      </c>
      <c r="F1752" s="20">
        <v>11580847.17</v>
      </c>
      <c r="G1752" s="22">
        <v>46087</v>
      </c>
      <c r="H1752" t="s">
        <v>79</v>
      </c>
      <c r="I1752" s="51" t="str">
        <f>IFERROR(IF(VLOOKUP(E1752,extracto!C:C,1,FALSE)=E1752,"pagado","no pagado"),"no pagado")</f>
        <v>pagado</v>
      </c>
      <c r="J1752" s="52" t="str">
        <f t="shared" si="780"/>
        <v>pagado</v>
      </c>
      <c r="K1752" s="51" t="str">
        <f t="shared" ca="1" si="781"/>
        <v>excluir</v>
      </c>
      <c r="L1752" s="51" t="str">
        <f t="shared" ca="1" si="782"/>
        <v>no semana</v>
      </c>
      <c r="M1752" s="51" t="str">
        <f>IFERROR(VLOOKUP(E1752,'cheques a conf'!A:D,4,FALSE),"no clearing")</f>
        <v>no clearing</v>
      </c>
      <c r="N1752" s="51">
        <f t="shared" si="783"/>
        <v>10</v>
      </c>
      <c r="O1752" s="53">
        <f t="shared" si="784"/>
        <v>3</v>
      </c>
      <c r="P1752" s="53">
        <f t="shared" si="785"/>
        <v>2026</v>
      </c>
    </row>
    <row r="1753" spans="1:16" x14ac:dyDescent="0.25">
      <c r="A1753" s="21">
        <v>3000001231</v>
      </c>
      <c r="B1753" s="22">
        <v>46091</v>
      </c>
      <c r="C1753" s="20">
        <v>7243773.4500000002</v>
      </c>
      <c r="D1753" s="21" t="s">
        <v>849</v>
      </c>
      <c r="E1753" s="21">
        <v>91002922</v>
      </c>
      <c r="F1753" s="20">
        <v>7243773.4500000002</v>
      </c>
      <c r="G1753" s="22">
        <v>46094</v>
      </c>
      <c r="H1753" t="s">
        <v>79</v>
      </c>
      <c r="I1753" s="51" t="str">
        <f>IFERROR(IF(VLOOKUP(E1753,extracto!C:C,1,FALSE)=E1753,"pagado","no pagado"),"no pagado")</f>
        <v>pagado</v>
      </c>
      <c r="J1753" s="52" t="str">
        <f t="shared" si="780"/>
        <v>pagado</v>
      </c>
      <c r="K1753" s="51" t="str">
        <f t="shared" ca="1" si="781"/>
        <v>excluir</v>
      </c>
      <c r="L1753" s="51" t="str">
        <f t="shared" ca="1" si="782"/>
        <v>no semana</v>
      </c>
      <c r="M1753" s="51" t="str">
        <f>IFERROR(VLOOKUP(E1753,'cheques a conf'!A:D,4,FALSE),"no clearing")</f>
        <v>no clearing</v>
      </c>
      <c r="N1753" s="51">
        <f t="shared" si="783"/>
        <v>11</v>
      </c>
      <c r="O1753" s="53">
        <f t="shared" si="784"/>
        <v>3</v>
      </c>
      <c r="P1753" s="53">
        <f t="shared" si="785"/>
        <v>2026</v>
      </c>
    </row>
    <row r="1754" spans="1:16" x14ac:dyDescent="0.25">
      <c r="A1754" s="21">
        <v>3000001232</v>
      </c>
      <c r="B1754" s="22">
        <v>46091</v>
      </c>
      <c r="C1754" s="20">
        <v>4592578.8899999997</v>
      </c>
      <c r="D1754" s="21" t="s">
        <v>76</v>
      </c>
      <c r="E1754" s="21">
        <v>91002923</v>
      </c>
      <c r="F1754" s="20">
        <v>4592578.8899999997</v>
      </c>
      <c r="G1754" s="22">
        <v>46094</v>
      </c>
      <c r="H1754" t="s">
        <v>79</v>
      </c>
      <c r="I1754" s="51" t="str">
        <f>IFERROR(IF(VLOOKUP(E1754,extracto!C:C,1,FALSE)=E1754,"pagado","no pagado"),"no pagado")</f>
        <v>pagado</v>
      </c>
      <c r="J1754" s="52" t="str">
        <f t="shared" si="780"/>
        <v>pagado</v>
      </c>
      <c r="K1754" s="51" t="str">
        <f t="shared" ca="1" si="781"/>
        <v>excluir</v>
      </c>
      <c r="L1754" s="51" t="str">
        <f t="shared" ca="1" si="782"/>
        <v>no semana</v>
      </c>
      <c r="M1754" s="51" t="str">
        <f>IFERROR(VLOOKUP(E1754,'cheques a conf'!A:D,4,FALSE),"no clearing")</f>
        <v>no clearing</v>
      </c>
      <c r="N1754" s="51">
        <f t="shared" si="783"/>
        <v>11</v>
      </c>
      <c r="O1754" s="53">
        <f t="shared" si="784"/>
        <v>3</v>
      </c>
      <c r="P1754" s="53">
        <f t="shared" si="785"/>
        <v>2026</v>
      </c>
    </row>
    <row r="1755" spans="1:16" x14ac:dyDescent="0.25">
      <c r="A1755" s="21">
        <v>3000001233</v>
      </c>
      <c r="B1755" s="22">
        <v>46091</v>
      </c>
      <c r="C1755" s="20">
        <v>9496593.4000000004</v>
      </c>
      <c r="D1755" s="21" t="s">
        <v>627</v>
      </c>
      <c r="E1755" s="21">
        <v>91002924</v>
      </c>
      <c r="F1755" s="20">
        <v>9496593.4000000004</v>
      </c>
      <c r="G1755" s="22">
        <v>46094</v>
      </c>
      <c r="H1755" t="s">
        <v>79</v>
      </c>
      <c r="I1755" s="51" t="str">
        <f>IFERROR(IF(VLOOKUP(E1755,extracto!C:C,1,FALSE)=E1755,"pagado","no pagado"),"no pagado")</f>
        <v>pagado</v>
      </c>
      <c r="J1755" s="52" t="str">
        <f t="shared" si="780"/>
        <v>pagado</v>
      </c>
      <c r="K1755" s="51" t="str">
        <f t="shared" ca="1" si="781"/>
        <v>excluir</v>
      </c>
      <c r="L1755" s="51" t="str">
        <f t="shared" ca="1" si="782"/>
        <v>no semana</v>
      </c>
      <c r="M1755" s="51" t="str">
        <f>IFERROR(VLOOKUP(E1755,'cheques a conf'!A:D,4,FALSE),"no clearing")</f>
        <v>no clearing</v>
      </c>
      <c r="N1755" s="51">
        <f t="shared" si="783"/>
        <v>11</v>
      </c>
      <c r="O1755" s="53">
        <f t="shared" si="784"/>
        <v>3</v>
      </c>
      <c r="P1755" s="53">
        <f t="shared" si="785"/>
        <v>2026</v>
      </c>
    </row>
    <row r="1756" spans="1:16" x14ac:dyDescent="0.25">
      <c r="A1756" s="21">
        <v>3000001234</v>
      </c>
      <c r="B1756" s="22">
        <v>46091</v>
      </c>
      <c r="C1756" s="20">
        <v>15837686.890000001</v>
      </c>
      <c r="D1756" s="21" t="s">
        <v>613</v>
      </c>
      <c r="E1756" s="21">
        <v>91002925</v>
      </c>
      <c r="F1756" s="20">
        <v>15837686.890000001</v>
      </c>
      <c r="G1756" s="22">
        <v>46094</v>
      </c>
      <c r="H1756" t="s">
        <v>79</v>
      </c>
      <c r="I1756" s="51" t="str">
        <f>IFERROR(IF(VLOOKUP(E1756,extracto!C:C,1,FALSE)=E1756,"pagado","no pagado"),"no pagado")</f>
        <v>pagado</v>
      </c>
      <c r="J1756" s="52" t="str">
        <f t="shared" si="780"/>
        <v>pagado</v>
      </c>
      <c r="K1756" s="51" t="str">
        <f t="shared" ca="1" si="781"/>
        <v>excluir</v>
      </c>
      <c r="L1756" s="51" t="str">
        <f t="shared" ca="1" si="782"/>
        <v>no semana</v>
      </c>
      <c r="M1756" s="51" t="str">
        <f>IFERROR(VLOOKUP(E1756,'cheques a conf'!A:D,4,FALSE),"no clearing")</f>
        <v>no clearing</v>
      </c>
      <c r="N1756" s="51">
        <f t="shared" si="783"/>
        <v>11</v>
      </c>
      <c r="O1756" s="53">
        <f t="shared" si="784"/>
        <v>3</v>
      </c>
      <c r="P1756" s="53">
        <f t="shared" si="785"/>
        <v>2026</v>
      </c>
    </row>
    <row r="1757" spans="1:16" x14ac:dyDescent="0.25">
      <c r="A1757" s="21">
        <v>3000001235</v>
      </c>
      <c r="B1757" s="22">
        <v>46091</v>
      </c>
      <c r="C1757" s="20">
        <v>22434978.77</v>
      </c>
      <c r="D1757" s="21" t="s">
        <v>619</v>
      </c>
      <c r="E1757" s="21">
        <v>91002926</v>
      </c>
      <c r="F1757" s="20">
        <v>22434978.77</v>
      </c>
      <c r="G1757" s="22">
        <v>46094</v>
      </c>
      <c r="H1757" t="s">
        <v>79</v>
      </c>
      <c r="I1757" s="51" t="str">
        <f>IFERROR(IF(VLOOKUP(E1757,extracto!C:C,1,FALSE)=E1757,"pagado","no pagado"),"no pagado")</f>
        <v>pagado</v>
      </c>
      <c r="J1757" s="52" t="str">
        <f t="shared" si="780"/>
        <v>pagado</v>
      </c>
      <c r="K1757" s="51" t="str">
        <f t="shared" ca="1" si="781"/>
        <v>excluir</v>
      </c>
      <c r="L1757" s="51" t="str">
        <f t="shared" ca="1" si="782"/>
        <v>no semana</v>
      </c>
      <c r="M1757" s="51" t="str">
        <f>IFERROR(VLOOKUP(E1757,'cheques a conf'!A:D,4,FALSE),"no clearing")</f>
        <v>no clearing</v>
      </c>
      <c r="N1757" s="51">
        <f t="shared" si="783"/>
        <v>11</v>
      </c>
      <c r="O1757" s="53">
        <f t="shared" si="784"/>
        <v>3</v>
      </c>
      <c r="P1757" s="53">
        <f t="shared" si="785"/>
        <v>2026</v>
      </c>
    </row>
    <row r="1758" spans="1:16" x14ac:dyDescent="0.25">
      <c r="A1758" s="21">
        <v>3000001265</v>
      </c>
      <c r="B1758" s="22">
        <v>46093</v>
      </c>
      <c r="C1758" s="20">
        <v>11000000</v>
      </c>
      <c r="D1758" s="21" t="s">
        <v>754</v>
      </c>
      <c r="E1758" s="21">
        <v>40273021</v>
      </c>
      <c r="F1758" s="20">
        <v>11000000</v>
      </c>
      <c r="G1758" s="22">
        <v>46097</v>
      </c>
      <c r="H1758" t="s">
        <v>79</v>
      </c>
      <c r="I1758" s="51" t="str">
        <f>IFERROR(IF(VLOOKUP(E1758,extracto!C:C,1,FALSE)=E1758,"pagado","no pagado"),"no pagado")</f>
        <v>pagado</v>
      </c>
      <c r="J1758" s="52" t="str">
        <f t="shared" si="780"/>
        <v>pagado</v>
      </c>
      <c r="K1758" s="51" t="str">
        <f t="shared" ca="1" si="781"/>
        <v>excluir</v>
      </c>
      <c r="L1758" s="51" t="str">
        <f t="shared" ca="1" si="782"/>
        <v>no semana</v>
      </c>
      <c r="M1758" s="51" t="str">
        <f>IFERROR(VLOOKUP(E1758,'cheques a conf'!A:D,4,FALSE),"no clearing")</f>
        <v>no clearing</v>
      </c>
      <c r="N1758" s="51">
        <f t="shared" si="783"/>
        <v>12</v>
      </c>
      <c r="O1758" s="53">
        <f t="shared" si="784"/>
        <v>3</v>
      </c>
      <c r="P1758" s="53">
        <f t="shared" si="785"/>
        <v>2026</v>
      </c>
    </row>
    <row r="1759" spans="1:16" x14ac:dyDescent="0.25">
      <c r="A1759" s="21">
        <v>3000001265</v>
      </c>
      <c r="B1759" s="22">
        <v>46093</v>
      </c>
      <c r="C1759" s="20">
        <v>11000000</v>
      </c>
      <c r="D1759" s="21" t="s">
        <v>754</v>
      </c>
      <c r="E1759" s="21">
        <v>40273022</v>
      </c>
      <c r="F1759" s="20">
        <v>11000000</v>
      </c>
      <c r="G1759" s="22">
        <v>46097</v>
      </c>
      <c r="H1759" t="s">
        <v>79</v>
      </c>
      <c r="I1759" s="51" t="str">
        <f>IFERROR(IF(VLOOKUP(E1759,extracto!C:C,1,FALSE)=E1759,"pagado","no pagado"),"no pagado")</f>
        <v>pagado</v>
      </c>
      <c r="J1759" s="52" t="str">
        <f t="shared" si="780"/>
        <v>pagado</v>
      </c>
      <c r="K1759" s="51" t="str">
        <f t="shared" ca="1" si="781"/>
        <v>excluir</v>
      </c>
      <c r="L1759" s="51" t="str">
        <f t="shared" ca="1" si="782"/>
        <v>no semana</v>
      </c>
      <c r="M1759" s="51" t="str">
        <f>IFERROR(VLOOKUP(E1759,'cheques a conf'!A:D,4,FALSE),"no clearing")</f>
        <v>no clearing</v>
      </c>
      <c r="N1759" s="51">
        <f t="shared" si="783"/>
        <v>12</v>
      </c>
      <c r="O1759" s="53">
        <f t="shared" si="784"/>
        <v>3</v>
      </c>
      <c r="P1759" s="53">
        <f t="shared" si="785"/>
        <v>2026</v>
      </c>
    </row>
    <row r="1760" spans="1:16" x14ac:dyDescent="0.25">
      <c r="A1760" s="21">
        <v>3000001265</v>
      </c>
      <c r="B1760" s="22">
        <v>46093</v>
      </c>
      <c r="C1760" s="20">
        <v>11098774.199999999</v>
      </c>
      <c r="D1760" s="21" t="s">
        <v>754</v>
      </c>
      <c r="E1760" s="21">
        <v>40273023</v>
      </c>
      <c r="F1760" s="20">
        <v>11098774.199999999</v>
      </c>
      <c r="G1760" s="22">
        <v>46097</v>
      </c>
      <c r="H1760" t="s">
        <v>79</v>
      </c>
      <c r="I1760" s="51" t="str">
        <f>IFERROR(IF(VLOOKUP(E1760,extracto!C:C,1,FALSE)=E1760,"pagado","no pagado"),"no pagado")</f>
        <v>pagado</v>
      </c>
      <c r="J1760" s="52" t="str">
        <f t="shared" si="780"/>
        <v>pagado</v>
      </c>
      <c r="K1760" s="51" t="str">
        <f t="shared" ca="1" si="781"/>
        <v>excluir</v>
      </c>
      <c r="L1760" s="51" t="str">
        <f t="shared" ca="1" si="782"/>
        <v>no semana</v>
      </c>
      <c r="M1760" s="51" t="str">
        <f>IFERROR(VLOOKUP(E1760,'cheques a conf'!A:D,4,FALSE),"no clearing")</f>
        <v>no clearing</v>
      </c>
      <c r="N1760" s="51">
        <f t="shared" si="783"/>
        <v>12</v>
      </c>
      <c r="O1760" s="53">
        <f t="shared" si="784"/>
        <v>3</v>
      </c>
      <c r="P1760" s="53">
        <f t="shared" si="785"/>
        <v>2026</v>
      </c>
    </row>
    <row r="1761" spans="1:16" x14ac:dyDescent="0.25">
      <c r="A1761" s="21">
        <v>3000001352</v>
      </c>
      <c r="B1761" s="22">
        <v>46097</v>
      </c>
      <c r="C1761" s="20">
        <v>1670899.79</v>
      </c>
      <c r="D1761" s="21" t="s">
        <v>611</v>
      </c>
      <c r="E1761" s="21">
        <v>40273024</v>
      </c>
      <c r="F1761" s="20">
        <v>1670899.79</v>
      </c>
      <c r="G1761" s="22">
        <v>46099</v>
      </c>
      <c r="H1761" t="s">
        <v>79</v>
      </c>
      <c r="I1761" s="51" t="str">
        <f>IFERROR(IF(VLOOKUP(E1761,extracto!C:C,1,FALSE)=E1761,"pagado","no pagado"),"no pagado")</f>
        <v>pagado</v>
      </c>
      <c r="J1761" s="52" t="str">
        <f t="shared" si="780"/>
        <v>pagado</v>
      </c>
      <c r="K1761" s="51" t="str">
        <f t="shared" ca="1" si="781"/>
        <v>excluir</v>
      </c>
      <c r="L1761" s="51" t="str">
        <f t="shared" ca="1" si="782"/>
        <v>no semana</v>
      </c>
      <c r="M1761" s="51" t="str">
        <f>IFERROR(VLOOKUP(E1761,'cheques a conf'!A:D,4,FALSE),"no clearing")</f>
        <v>no clearing</v>
      </c>
      <c r="N1761" s="51">
        <f t="shared" si="783"/>
        <v>12</v>
      </c>
      <c r="O1761" s="53">
        <f t="shared" si="784"/>
        <v>3</v>
      </c>
      <c r="P1761" s="53">
        <f t="shared" si="785"/>
        <v>2026</v>
      </c>
    </row>
    <row r="1762" spans="1:16" x14ac:dyDescent="0.25">
      <c r="A1762" s="21">
        <v>3000001353</v>
      </c>
      <c r="B1762" s="22">
        <v>46097</v>
      </c>
      <c r="C1762" s="20">
        <v>1549440.88</v>
      </c>
      <c r="D1762" s="21" t="s">
        <v>611</v>
      </c>
      <c r="E1762" s="21">
        <v>40273025</v>
      </c>
      <c r="F1762" s="20">
        <v>1549440.88</v>
      </c>
      <c r="G1762" s="22">
        <v>46100</v>
      </c>
      <c r="H1762" t="s">
        <v>79</v>
      </c>
      <c r="I1762" s="51" t="str">
        <f>IFERROR(IF(VLOOKUP(E1762,extracto!C:C,1,FALSE)=E1762,"pagado","no pagado"),"no pagado")</f>
        <v>pagado</v>
      </c>
      <c r="J1762" s="52" t="str">
        <f t="shared" si="780"/>
        <v>pagado</v>
      </c>
      <c r="K1762" s="51" t="str">
        <f t="shared" ca="1" si="781"/>
        <v>excluir</v>
      </c>
      <c r="L1762" s="51" t="str">
        <f t="shared" ca="1" si="782"/>
        <v>no semana</v>
      </c>
      <c r="M1762" s="51" t="str">
        <f>IFERROR(VLOOKUP(E1762,'cheques a conf'!A:D,4,FALSE),"no clearing")</f>
        <v>no clearing</v>
      </c>
      <c r="N1762" s="51">
        <f t="shared" si="783"/>
        <v>12</v>
      </c>
      <c r="O1762" s="53">
        <f t="shared" si="784"/>
        <v>3</v>
      </c>
      <c r="P1762" s="53">
        <f t="shared" si="785"/>
        <v>2026</v>
      </c>
    </row>
    <row r="1763" spans="1:16" x14ac:dyDescent="0.25">
      <c r="A1763" s="21">
        <v>3000001342</v>
      </c>
      <c r="B1763" s="22">
        <v>46097</v>
      </c>
      <c r="C1763" s="20">
        <v>22000000</v>
      </c>
      <c r="D1763" s="21" t="s">
        <v>629</v>
      </c>
      <c r="E1763" s="21">
        <v>91002927</v>
      </c>
      <c r="F1763" s="20">
        <v>22000000</v>
      </c>
      <c r="G1763" s="22">
        <v>46100</v>
      </c>
      <c r="H1763" t="s">
        <v>79</v>
      </c>
      <c r="I1763" s="51" t="str">
        <f>IFERROR(IF(VLOOKUP(E1763,extracto!C:C,1,FALSE)=E1763,"pagado","no pagado"),"no pagado")</f>
        <v>pagado</v>
      </c>
      <c r="J1763" s="52" t="str">
        <f t="shared" si="780"/>
        <v>pagado</v>
      </c>
      <c r="K1763" s="51" t="str">
        <f t="shared" ca="1" si="781"/>
        <v>excluir</v>
      </c>
      <c r="L1763" s="51" t="str">
        <f t="shared" ca="1" si="782"/>
        <v>no semana</v>
      </c>
      <c r="M1763" s="51" t="str">
        <f>IFERROR(VLOOKUP(E1763,'cheques a conf'!A:D,4,FALSE),"no clearing")</f>
        <v>no clearing</v>
      </c>
      <c r="N1763" s="51">
        <f t="shared" si="783"/>
        <v>12</v>
      </c>
      <c r="O1763" s="53">
        <f t="shared" si="784"/>
        <v>3</v>
      </c>
      <c r="P1763" s="53">
        <f t="shared" si="785"/>
        <v>2026</v>
      </c>
    </row>
    <row r="1764" spans="1:16" x14ac:dyDescent="0.25">
      <c r="A1764" s="21">
        <v>3000001342</v>
      </c>
      <c r="B1764" s="22">
        <v>46097</v>
      </c>
      <c r="C1764" s="20">
        <v>22368343.399999999</v>
      </c>
      <c r="D1764" s="21" t="s">
        <v>629</v>
      </c>
      <c r="E1764" s="21">
        <v>91002928</v>
      </c>
      <c r="F1764" s="20">
        <v>22368343.399999999</v>
      </c>
      <c r="G1764" s="22">
        <v>46101</v>
      </c>
      <c r="H1764" t="s">
        <v>79</v>
      </c>
      <c r="I1764" s="51" t="str">
        <f>IFERROR(IF(VLOOKUP(E1764,extracto!C:C,1,FALSE)=E1764,"pagado","no pagado"),"no pagado")</f>
        <v>pagado</v>
      </c>
      <c r="J1764" s="52" t="str">
        <f t="shared" si="780"/>
        <v>pagado</v>
      </c>
      <c r="K1764" s="51" t="str">
        <f t="shared" ca="1" si="781"/>
        <v>excluir</v>
      </c>
      <c r="L1764" s="51" t="str">
        <f t="shared" ca="1" si="782"/>
        <v>no semana</v>
      </c>
      <c r="M1764" s="51" t="str">
        <f>IFERROR(VLOOKUP(E1764,'cheques a conf'!A:D,4,FALSE),"no clearing")</f>
        <v>no clearing</v>
      </c>
      <c r="N1764" s="51">
        <f t="shared" si="783"/>
        <v>12</v>
      </c>
      <c r="O1764" s="53">
        <f t="shared" si="784"/>
        <v>3</v>
      </c>
      <c r="P1764" s="53">
        <f t="shared" si="785"/>
        <v>2026</v>
      </c>
    </row>
    <row r="1765" spans="1:16" x14ac:dyDescent="0.25">
      <c r="A1765" s="21">
        <v>3000001343</v>
      </c>
      <c r="B1765" s="22">
        <v>46097</v>
      </c>
      <c r="C1765" s="20">
        <v>20466569.289999999</v>
      </c>
      <c r="D1765" s="21" t="s">
        <v>812</v>
      </c>
      <c r="E1765" s="21">
        <v>91002929</v>
      </c>
      <c r="F1765" s="20">
        <v>20466569.289999999</v>
      </c>
      <c r="G1765" s="22">
        <v>46100</v>
      </c>
      <c r="H1765" t="s">
        <v>79</v>
      </c>
      <c r="I1765" s="51" t="str">
        <f>IFERROR(IF(VLOOKUP(E1765,extracto!C:C,1,FALSE)=E1765,"pagado","no pagado"),"no pagado")</f>
        <v>pagado</v>
      </c>
      <c r="J1765" s="52" t="str">
        <f t="shared" si="780"/>
        <v>pagado</v>
      </c>
      <c r="K1765" s="51" t="str">
        <f t="shared" ca="1" si="781"/>
        <v>excluir</v>
      </c>
      <c r="L1765" s="51" t="str">
        <f t="shared" ca="1" si="782"/>
        <v>no semana</v>
      </c>
      <c r="M1765" s="51" t="str">
        <f>IFERROR(VLOOKUP(E1765,'cheques a conf'!A:D,4,FALSE),"no clearing")</f>
        <v>no clearing</v>
      </c>
      <c r="N1765" s="51">
        <f t="shared" si="783"/>
        <v>12</v>
      </c>
      <c r="O1765" s="53">
        <f t="shared" si="784"/>
        <v>3</v>
      </c>
      <c r="P1765" s="53">
        <f t="shared" si="785"/>
        <v>2026</v>
      </c>
    </row>
    <row r="1766" spans="1:16" x14ac:dyDescent="0.25">
      <c r="A1766" s="21">
        <v>3000001344</v>
      </c>
      <c r="B1766" s="22">
        <v>46097</v>
      </c>
      <c r="C1766" s="20">
        <v>5557213.0199999996</v>
      </c>
      <c r="D1766" s="21" t="s">
        <v>850</v>
      </c>
      <c r="E1766" s="21">
        <v>91002930</v>
      </c>
      <c r="F1766" s="20">
        <v>5557213.0199999996</v>
      </c>
      <c r="G1766" s="22">
        <v>46100</v>
      </c>
      <c r="H1766" t="s">
        <v>79</v>
      </c>
      <c r="I1766" s="51" t="str">
        <f>IFERROR(IF(VLOOKUP(E1766,extracto!C:C,1,FALSE)=E1766,"pagado","no pagado"),"no pagado")</f>
        <v>pagado</v>
      </c>
      <c r="J1766" s="52" t="str">
        <f t="shared" si="780"/>
        <v>pagado</v>
      </c>
      <c r="K1766" s="51" t="str">
        <f t="shared" ca="1" si="781"/>
        <v>excluir</v>
      </c>
      <c r="L1766" s="51" t="str">
        <f t="shared" ca="1" si="782"/>
        <v>no semana</v>
      </c>
      <c r="M1766" s="51" t="str">
        <f>IFERROR(VLOOKUP(E1766,'cheques a conf'!A:D,4,FALSE),"no clearing")</f>
        <v>no clearing</v>
      </c>
      <c r="N1766" s="51">
        <f t="shared" si="783"/>
        <v>12</v>
      </c>
      <c r="O1766" s="53">
        <f t="shared" si="784"/>
        <v>3</v>
      </c>
      <c r="P1766" s="53">
        <f t="shared" si="785"/>
        <v>2026</v>
      </c>
    </row>
    <row r="1767" spans="1:16" x14ac:dyDescent="0.25">
      <c r="A1767" s="21">
        <v>3000001345</v>
      </c>
      <c r="B1767" s="22">
        <v>46097</v>
      </c>
      <c r="C1767" s="20">
        <v>4901728.8099999996</v>
      </c>
      <c r="D1767" s="21" t="s">
        <v>86</v>
      </c>
      <c r="E1767" s="21">
        <v>91002931</v>
      </c>
      <c r="F1767" s="20">
        <v>4901728.8099999996</v>
      </c>
      <c r="G1767" s="22">
        <v>46100</v>
      </c>
      <c r="H1767" t="s">
        <v>79</v>
      </c>
      <c r="I1767" s="51" t="str">
        <f>IFERROR(IF(VLOOKUP(E1767,extracto!C:C,1,FALSE)=E1767,"pagado","no pagado"),"no pagado")</f>
        <v>pagado</v>
      </c>
      <c r="J1767" s="52" t="str">
        <f t="shared" si="780"/>
        <v>pagado</v>
      </c>
      <c r="K1767" s="51" t="str">
        <f t="shared" ca="1" si="781"/>
        <v>excluir</v>
      </c>
      <c r="L1767" s="51" t="str">
        <f t="shared" ca="1" si="782"/>
        <v>no semana</v>
      </c>
      <c r="M1767" s="51" t="str">
        <f>IFERROR(VLOOKUP(E1767,'cheques a conf'!A:D,4,FALSE),"no clearing")</f>
        <v>no clearing</v>
      </c>
      <c r="N1767" s="51">
        <f t="shared" si="783"/>
        <v>12</v>
      </c>
      <c r="O1767" s="53">
        <f t="shared" si="784"/>
        <v>3</v>
      </c>
      <c r="P1767" s="53">
        <f t="shared" si="785"/>
        <v>2026</v>
      </c>
    </row>
    <row r="1768" spans="1:16" x14ac:dyDescent="0.25">
      <c r="A1768" s="21">
        <v>3000001346</v>
      </c>
      <c r="B1768" s="22">
        <v>46097</v>
      </c>
      <c r="C1768" s="20">
        <v>25658700</v>
      </c>
      <c r="D1768" s="21" t="s">
        <v>25</v>
      </c>
      <c r="E1768" s="21">
        <v>91002932</v>
      </c>
      <c r="F1768" s="20">
        <v>25658700</v>
      </c>
      <c r="G1768" s="22">
        <v>46101</v>
      </c>
      <c r="H1768" t="s">
        <v>79</v>
      </c>
      <c r="I1768" s="51" t="str">
        <f>IFERROR(IF(VLOOKUP(E1768,extracto!C:C,1,FALSE)=E1768,"pagado","no pagado"),"no pagado")</f>
        <v>pagado</v>
      </c>
      <c r="J1768" s="52" t="str">
        <f t="shared" si="780"/>
        <v>pagado</v>
      </c>
      <c r="K1768" s="51" t="str">
        <f t="shared" ca="1" si="781"/>
        <v>excluir</v>
      </c>
      <c r="L1768" s="51" t="str">
        <f t="shared" ca="1" si="782"/>
        <v>no semana</v>
      </c>
      <c r="M1768" s="51" t="str">
        <f>IFERROR(VLOOKUP(E1768,'cheques a conf'!A:D,4,FALSE),"no clearing")</f>
        <v>no clearing</v>
      </c>
      <c r="N1768" s="51">
        <f t="shared" si="783"/>
        <v>12</v>
      </c>
      <c r="O1768" s="53">
        <f t="shared" si="784"/>
        <v>3</v>
      </c>
      <c r="P1768" s="53">
        <f t="shared" si="785"/>
        <v>2026</v>
      </c>
    </row>
    <row r="1769" spans="1:16" x14ac:dyDescent="0.25">
      <c r="A1769" s="21">
        <v>3000001347</v>
      </c>
      <c r="B1769" s="22">
        <v>46097</v>
      </c>
      <c r="C1769" s="20">
        <v>30000000</v>
      </c>
      <c r="D1769" s="21" t="s">
        <v>597</v>
      </c>
      <c r="E1769" s="21">
        <v>91002933</v>
      </c>
      <c r="F1769" s="20">
        <v>30000000</v>
      </c>
      <c r="G1769" s="22">
        <v>46100</v>
      </c>
      <c r="H1769" t="s">
        <v>79</v>
      </c>
      <c r="I1769" s="51" t="str">
        <f>IFERROR(IF(VLOOKUP(E1769,extracto!C:C,1,FALSE)=E1769,"pagado","no pagado"),"no pagado")</f>
        <v>pagado</v>
      </c>
      <c r="J1769" s="52" t="str">
        <f t="shared" si="780"/>
        <v>pagado</v>
      </c>
      <c r="K1769" s="51" t="str">
        <f t="shared" ca="1" si="781"/>
        <v>excluir</v>
      </c>
      <c r="L1769" s="51" t="str">
        <f t="shared" ca="1" si="782"/>
        <v>no semana</v>
      </c>
      <c r="M1769" s="51" t="str">
        <f>IFERROR(VLOOKUP(E1769,'cheques a conf'!A:D,4,FALSE),"no clearing")</f>
        <v>no clearing</v>
      </c>
      <c r="N1769" s="51">
        <f t="shared" si="783"/>
        <v>12</v>
      </c>
      <c r="O1769" s="53">
        <f t="shared" si="784"/>
        <v>3</v>
      </c>
      <c r="P1769" s="53">
        <f t="shared" si="785"/>
        <v>2026</v>
      </c>
    </row>
    <row r="1770" spans="1:16" x14ac:dyDescent="0.25">
      <c r="A1770" s="21">
        <v>3000001347</v>
      </c>
      <c r="B1770" s="22">
        <v>46097</v>
      </c>
      <c r="C1770" s="20">
        <v>30121126.440000001</v>
      </c>
      <c r="D1770" s="21" t="s">
        <v>597</v>
      </c>
      <c r="E1770" s="21">
        <v>91002934</v>
      </c>
      <c r="F1770" s="20">
        <v>30121126.440000001</v>
      </c>
      <c r="G1770" s="22">
        <v>46101</v>
      </c>
      <c r="H1770" t="s">
        <v>79</v>
      </c>
      <c r="I1770" s="51" t="str">
        <f>IFERROR(IF(VLOOKUP(E1770,extracto!C:C,1,FALSE)=E1770,"pagado","no pagado"),"no pagado")</f>
        <v>pagado</v>
      </c>
      <c r="J1770" s="52" t="str">
        <f t="shared" si="780"/>
        <v>pagado</v>
      </c>
      <c r="K1770" s="51" t="str">
        <f t="shared" ca="1" si="781"/>
        <v>excluir</v>
      </c>
      <c r="L1770" s="51" t="str">
        <f t="shared" ca="1" si="782"/>
        <v>no semana</v>
      </c>
      <c r="M1770" s="51" t="str">
        <f>IFERROR(VLOOKUP(E1770,'cheques a conf'!A:D,4,FALSE),"no clearing")</f>
        <v>no clearing</v>
      </c>
      <c r="N1770" s="51">
        <f t="shared" si="783"/>
        <v>12</v>
      </c>
      <c r="O1770" s="53">
        <f t="shared" si="784"/>
        <v>3</v>
      </c>
      <c r="P1770" s="53">
        <f t="shared" si="785"/>
        <v>2026</v>
      </c>
    </row>
    <row r="1771" spans="1:16" x14ac:dyDescent="0.25">
      <c r="A1771" s="21">
        <v>3000001348</v>
      </c>
      <c r="B1771" s="22">
        <v>46097</v>
      </c>
      <c r="C1771" s="20">
        <v>20000000</v>
      </c>
      <c r="D1771" s="21" t="s">
        <v>740</v>
      </c>
      <c r="E1771" s="21">
        <v>91002935</v>
      </c>
      <c r="F1771" s="20">
        <v>20000000</v>
      </c>
      <c r="G1771" s="22">
        <v>46100</v>
      </c>
      <c r="H1771" t="s">
        <v>79</v>
      </c>
      <c r="I1771" s="51" t="str">
        <f>IFERROR(IF(VLOOKUP(E1771,extracto!C:C,1,FALSE)=E1771,"pagado","no pagado"),"no pagado")</f>
        <v>pagado</v>
      </c>
      <c r="J1771" s="52" t="str">
        <f t="shared" si="780"/>
        <v>pagado</v>
      </c>
      <c r="K1771" s="51" t="str">
        <f t="shared" ca="1" si="781"/>
        <v>excluir</v>
      </c>
      <c r="L1771" s="51" t="str">
        <f t="shared" ca="1" si="782"/>
        <v>no semana</v>
      </c>
      <c r="M1771" s="51" t="str">
        <f>IFERROR(VLOOKUP(E1771,'cheques a conf'!A:D,4,FALSE),"no clearing")</f>
        <v>no clearing</v>
      </c>
      <c r="N1771" s="51">
        <f t="shared" si="783"/>
        <v>12</v>
      </c>
      <c r="O1771" s="53">
        <f t="shared" si="784"/>
        <v>3</v>
      </c>
      <c r="P1771" s="53">
        <f t="shared" si="785"/>
        <v>2026</v>
      </c>
    </row>
    <row r="1772" spans="1:16" x14ac:dyDescent="0.25">
      <c r="A1772" s="21">
        <v>3000001348</v>
      </c>
      <c r="B1772" s="22">
        <v>46097</v>
      </c>
      <c r="C1772" s="20">
        <v>19699035.510000002</v>
      </c>
      <c r="D1772" s="21" t="s">
        <v>740</v>
      </c>
      <c r="E1772" s="21">
        <v>91002936</v>
      </c>
      <c r="F1772" s="20">
        <v>19699035.510000002</v>
      </c>
      <c r="G1772" s="22">
        <v>46101</v>
      </c>
      <c r="H1772" t="s">
        <v>79</v>
      </c>
      <c r="I1772" s="51" t="str">
        <f>IFERROR(IF(VLOOKUP(E1772,extracto!C:C,1,FALSE)=E1772,"pagado","no pagado"),"no pagado")</f>
        <v>no pagado</v>
      </c>
      <c r="J1772" s="52" t="str">
        <f t="shared" ca="1" si="780"/>
        <v>fuera de fecha</v>
      </c>
      <c r="K1772" s="51" t="str">
        <f t="shared" ca="1" si="781"/>
        <v>excluir</v>
      </c>
      <c r="L1772" s="51" t="str">
        <f t="shared" ca="1" si="782"/>
        <v>no semana</v>
      </c>
      <c r="M1772" s="51" t="str">
        <f>IFERROR(VLOOKUP(E1772,'cheques a conf'!A:D,4,FALSE),"no clearing")</f>
        <v>no clearing</v>
      </c>
      <c r="N1772" s="51">
        <f t="shared" si="783"/>
        <v>12</v>
      </c>
      <c r="O1772" s="53">
        <f t="shared" si="784"/>
        <v>3</v>
      </c>
      <c r="P1772" s="53">
        <f t="shared" si="785"/>
        <v>2026</v>
      </c>
    </row>
    <row r="1773" spans="1:16" x14ac:dyDescent="0.25">
      <c r="A1773" s="21">
        <v>3000001349</v>
      </c>
      <c r="B1773" s="22">
        <v>46097</v>
      </c>
      <c r="C1773" s="20">
        <v>23965867.300000001</v>
      </c>
      <c r="D1773" s="21" t="s">
        <v>74</v>
      </c>
      <c r="E1773" s="21">
        <v>91002937</v>
      </c>
      <c r="F1773" s="20">
        <v>23965867.300000001</v>
      </c>
      <c r="G1773" s="22">
        <v>46100</v>
      </c>
      <c r="H1773" t="s">
        <v>79</v>
      </c>
      <c r="I1773" s="51" t="str">
        <f>IFERROR(IF(VLOOKUP(E1773,extracto!C:C,1,FALSE)=E1773,"pagado","no pagado"),"no pagado")</f>
        <v>pagado</v>
      </c>
      <c r="J1773" s="52" t="str">
        <f t="shared" si="780"/>
        <v>pagado</v>
      </c>
      <c r="K1773" s="51" t="str">
        <f t="shared" ca="1" si="781"/>
        <v>excluir</v>
      </c>
      <c r="L1773" s="51" t="str">
        <f t="shared" ca="1" si="782"/>
        <v>no semana</v>
      </c>
      <c r="M1773" s="51" t="str">
        <f>IFERROR(VLOOKUP(E1773,'cheques a conf'!A:D,4,FALSE),"no clearing")</f>
        <v>no clearing</v>
      </c>
      <c r="N1773" s="51">
        <f t="shared" si="783"/>
        <v>12</v>
      </c>
      <c r="O1773" s="53">
        <f t="shared" si="784"/>
        <v>3</v>
      </c>
      <c r="P1773" s="53">
        <f t="shared" si="785"/>
        <v>2026</v>
      </c>
    </row>
    <row r="1774" spans="1:16" x14ac:dyDescent="0.25">
      <c r="A1774" s="21">
        <v>3000001350</v>
      </c>
      <c r="B1774" s="22">
        <v>46097</v>
      </c>
      <c r="C1774" s="20">
        <v>170000000</v>
      </c>
      <c r="D1774" s="21" t="s">
        <v>595</v>
      </c>
      <c r="E1774" s="21">
        <v>91002938</v>
      </c>
      <c r="F1774" s="20">
        <v>170000000</v>
      </c>
      <c r="G1774" s="22">
        <v>46100</v>
      </c>
      <c r="H1774" t="s">
        <v>79</v>
      </c>
      <c r="I1774" s="51" t="str">
        <f>IFERROR(IF(VLOOKUP(E1774,extracto!C:C,1,FALSE)=E1774,"pagado","no pagado"),"no pagado")</f>
        <v>pagado</v>
      </c>
      <c r="J1774" s="52" t="str">
        <f t="shared" si="780"/>
        <v>pagado</v>
      </c>
      <c r="K1774" s="51" t="str">
        <f t="shared" ca="1" si="781"/>
        <v>excluir</v>
      </c>
      <c r="L1774" s="51" t="str">
        <f t="shared" ca="1" si="782"/>
        <v>no semana</v>
      </c>
      <c r="M1774" s="51" t="str">
        <f>IFERROR(VLOOKUP(E1774,'cheques a conf'!A:D,4,FALSE),"no clearing")</f>
        <v>no clearing</v>
      </c>
      <c r="N1774" s="51">
        <f t="shared" si="783"/>
        <v>12</v>
      </c>
      <c r="O1774" s="53">
        <f t="shared" si="784"/>
        <v>3</v>
      </c>
      <c r="P1774" s="53">
        <f t="shared" si="785"/>
        <v>2026</v>
      </c>
    </row>
    <row r="1775" spans="1:16" x14ac:dyDescent="0.25">
      <c r="A1775" s="21">
        <v>3000001350</v>
      </c>
      <c r="B1775" s="22">
        <v>46097</v>
      </c>
      <c r="C1775" s="20">
        <v>20517619</v>
      </c>
      <c r="D1775" s="21" t="s">
        <v>595</v>
      </c>
      <c r="E1775" s="21">
        <v>91002939</v>
      </c>
      <c r="F1775" s="20">
        <v>20517619</v>
      </c>
      <c r="G1775" s="22">
        <v>46101</v>
      </c>
      <c r="H1775" t="s">
        <v>79</v>
      </c>
      <c r="I1775" s="51" t="str">
        <f>IFERROR(IF(VLOOKUP(E1775,extracto!C:C,1,FALSE)=E1775,"pagado","no pagado"),"no pagado")</f>
        <v>pagado</v>
      </c>
      <c r="J1775" s="52" t="str">
        <f t="shared" si="780"/>
        <v>pagado</v>
      </c>
      <c r="K1775" s="51" t="str">
        <f t="shared" ca="1" si="781"/>
        <v>excluir</v>
      </c>
      <c r="L1775" s="51" t="str">
        <f t="shared" ca="1" si="782"/>
        <v>no semana</v>
      </c>
      <c r="M1775" s="51" t="str">
        <f>IFERROR(VLOOKUP(E1775,'cheques a conf'!A:D,4,FALSE),"no clearing")</f>
        <v>no clearing</v>
      </c>
      <c r="N1775" s="51">
        <f t="shared" si="783"/>
        <v>12</v>
      </c>
      <c r="O1775" s="53">
        <f t="shared" si="784"/>
        <v>3</v>
      </c>
      <c r="P1775" s="53">
        <f t="shared" si="785"/>
        <v>2026</v>
      </c>
    </row>
    <row r="1776" spans="1:16" x14ac:dyDescent="0.25">
      <c r="A1776" s="21">
        <v>3000001350</v>
      </c>
      <c r="B1776" s="22">
        <v>46097</v>
      </c>
      <c r="C1776" s="20">
        <v>8316000</v>
      </c>
      <c r="D1776" s="21" t="s">
        <v>595</v>
      </c>
      <c r="E1776" s="21">
        <v>91002940</v>
      </c>
      <c r="F1776" s="20">
        <v>8316000</v>
      </c>
      <c r="G1776" s="22">
        <v>46101</v>
      </c>
      <c r="H1776" t="s">
        <v>79</v>
      </c>
      <c r="I1776" s="51" t="str">
        <f>IFERROR(IF(VLOOKUP(E1776,extracto!C:C,1,FALSE)=E1776,"pagado","no pagado"),"no pagado")</f>
        <v>pagado</v>
      </c>
      <c r="J1776" s="52" t="str">
        <f t="shared" si="780"/>
        <v>pagado</v>
      </c>
      <c r="K1776" s="51" t="str">
        <f t="shared" ca="1" si="781"/>
        <v>excluir</v>
      </c>
      <c r="L1776" s="51" t="str">
        <f t="shared" ca="1" si="782"/>
        <v>no semana</v>
      </c>
      <c r="M1776" s="51" t="str">
        <f>IFERROR(VLOOKUP(E1776,'cheques a conf'!A:D,4,FALSE),"no clearing")</f>
        <v>no clearing</v>
      </c>
      <c r="N1776" s="51">
        <f t="shared" si="783"/>
        <v>12</v>
      </c>
      <c r="O1776" s="53">
        <f t="shared" si="784"/>
        <v>3</v>
      </c>
      <c r="P1776" s="53">
        <f t="shared" si="785"/>
        <v>2026</v>
      </c>
    </row>
    <row r="1777" spans="1:16" x14ac:dyDescent="0.25">
      <c r="A1777" s="21">
        <v>3000001350</v>
      </c>
      <c r="B1777" s="22">
        <v>46097</v>
      </c>
      <c r="C1777" s="20">
        <v>7704000</v>
      </c>
      <c r="D1777" s="21" t="s">
        <v>595</v>
      </c>
      <c r="E1777" s="21">
        <v>91002941</v>
      </c>
      <c r="F1777" s="20">
        <v>7704000</v>
      </c>
      <c r="G1777" s="22">
        <v>46101</v>
      </c>
      <c r="H1777" t="s">
        <v>79</v>
      </c>
      <c r="I1777" s="51" t="str">
        <f>IFERROR(IF(VLOOKUP(E1777,extracto!C:C,1,FALSE)=E1777,"pagado","no pagado"),"no pagado")</f>
        <v>pagado</v>
      </c>
      <c r="J1777" s="52" t="str">
        <f t="shared" si="780"/>
        <v>pagado</v>
      </c>
      <c r="K1777" s="51" t="str">
        <f t="shared" ca="1" si="781"/>
        <v>excluir</v>
      </c>
      <c r="L1777" s="51" t="str">
        <f t="shared" ca="1" si="782"/>
        <v>no semana</v>
      </c>
      <c r="M1777" s="51" t="str">
        <f>IFERROR(VLOOKUP(E1777,'cheques a conf'!A:D,4,FALSE),"no clearing")</f>
        <v>no clearing</v>
      </c>
      <c r="N1777" s="51">
        <f t="shared" si="783"/>
        <v>12</v>
      </c>
      <c r="O1777" s="53">
        <f t="shared" si="784"/>
        <v>3</v>
      </c>
      <c r="P1777" s="53">
        <f t="shared" si="785"/>
        <v>2026</v>
      </c>
    </row>
    <row r="1778" spans="1:16" x14ac:dyDescent="0.25">
      <c r="A1778" s="21">
        <v>3000001350</v>
      </c>
      <c r="B1778" s="22">
        <v>46097</v>
      </c>
      <c r="C1778" s="20">
        <v>72608590.819999993</v>
      </c>
      <c r="D1778" s="21" t="s">
        <v>595</v>
      </c>
      <c r="E1778" s="21">
        <v>91002942</v>
      </c>
      <c r="F1778" s="20">
        <v>72608590.819999993</v>
      </c>
      <c r="G1778" s="22">
        <v>46101</v>
      </c>
      <c r="H1778" t="s">
        <v>79</v>
      </c>
      <c r="I1778" s="51" t="str">
        <f>IFERROR(IF(VLOOKUP(E1778,extracto!C:C,1,FALSE)=E1778,"pagado","no pagado"),"no pagado")</f>
        <v>pagado</v>
      </c>
      <c r="J1778" s="52" t="str">
        <f t="shared" si="780"/>
        <v>pagado</v>
      </c>
      <c r="K1778" s="51" t="str">
        <f t="shared" ca="1" si="781"/>
        <v>excluir</v>
      </c>
      <c r="L1778" s="51" t="str">
        <f t="shared" ca="1" si="782"/>
        <v>no semana</v>
      </c>
      <c r="M1778" s="51" t="str">
        <f>IFERROR(VLOOKUP(E1778,'cheques a conf'!A:D,4,FALSE),"no clearing")</f>
        <v>no clearing</v>
      </c>
      <c r="N1778" s="51">
        <f t="shared" si="783"/>
        <v>12</v>
      </c>
      <c r="O1778" s="53">
        <f t="shared" si="784"/>
        <v>3</v>
      </c>
      <c r="P1778" s="53">
        <f t="shared" si="785"/>
        <v>2026</v>
      </c>
    </row>
    <row r="1779" spans="1:16" x14ac:dyDescent="0.25">
      <c r="A1779" s="21">
        <v>3000001351</v>
      </c>
      <c r="B1779" s="22">
        <v>46097</v>
      </c>
      <c r="C1779" s="20">
        <v>80000000</v>
      </c>
      <c r="D1779" s="21" t="s">
        <v>622</v>
      </c>
      <c r="E1779" s="21">
        <v>91002943</v>
      </c>
      <c r="F1779" s="20">
        <v>80000000</v>
      </c>
      <c r="G1779" s="22">
        <v>46099</v>
      </c>
      <c r="H1779" t="s">
        <v>79</v>
      </c>
      <c r="I1779" s="51" t="str">
        <f>IFERROR(IF(VLOOKUP(E1779,extracto!C:C,1,FALSE)=E1779,"pagado","no pagado"),"no pagado")</f>
        <v>pagado</v>
      </c>
      <c r="J1779" s="52" t="str">
        <f t="shared" si="780"/>
        <v>pagado</v>
      </c>
      <c r="K1779" s="51" t="str">
        <f t="shared" ca="1" si="781"/>
        <v>excluir</v>
      </c>
      <c r="L1779" s="51" t="str">
        <f t="shared" ca="1" si="782"/>
        <v>no semana</v>
      </c>
      <c r="M1779" s="51" t="str">
        <f>IFERROR(VLOOKUP(E1779,'cheques a conf'!A:D,4,FALSE),"no clearing")</f>
        <v>no clearing</v>
      </c>
      <c r="N1779" s="51">
        <f t="shared" si="783"/>
        <v>12</v>
      </c>
      <c r="O1779" s="53">
        <f t="shared" si="784"/>
        <v>3</v>
      </c>
      <c r="P1779" s="53">
        <f t="shared" si="785"/>
        <v>2026</v>
      </c>
    </row>
    <row r="1780" spans="1:16" x14ac:dyDescent="0.25">
      <c r="A1780" s="21">
        <v>3000001351</v>
      </c>
      <c r="B1780" s="22">
        <v>46097</v>
      </c>
      <c r="C1780" s="20">
        <v>75572794.780000001</v>
      </c>
      <c r="D1780" s="21" t="s">
        <v>622</v>
      </c>
      <c r="E1780" s="21">
        <v>91002944</v>
      </c>
      <c r="F1780" s="20">
        <v>75572794.780000001</v>
      </c>
      <c r="G1780" s="22">
        <v>46100</v>
      </c>
      <c r="H1780" t="s">
        <v>79</v>
      </c>
      <c r="I1780" s="51" t="str">
        <f>IFERROR(IF(VLOOKUP(E1780,extracto!C:C,1,FALSE)=E1780,"pagado","no pagado"),"no pagado")</f>
        <v>pagado</v>
      </c>
      <c r="J1780" s="52" t="str">
        <f t="shared" si="780"/>
        <v>pagado</v>
      </c>
      <c r="K1780" s="51" t="str">
        <f t="shared" ca="1" si="781"/>
        <v>excluir</v>
      </c>
      <c r="L1780" s="51" t="str">
        <f t="shared" ca="1" si="782"/>
        <v>no semana</v>
      </c>
      <c r="M1780" s="51" t="str">
        <f>IFERROR(VLOOKUP(E1780,'cheques a conf'!A:D,4,FALSE),"no clearing")</f>
        <v>no clearing</v>
      </c>
      <c r="N1780" s="51">
        <f t="shared" si="783"/>
        <v>12</v>
      </c>
      <c r="O1780" s="53">
        <f t="shared" si="784"/>
        <v>3</v>
      </c>
      <c r="P1780" s="53">
        <f t="shared" si="785"/>
        <v>2026</v>
      </c>
    </row>
    <row r="1781" spans="1:16" x14ac:dyDescent="0.25">
      <c r="A1781" s="21">
        <v>3000001354</v>
      </c>
      <c r="B1781" s="22">
        <v>46098</v>
      </c>
      <c r="C1781" s="20">
        <v>100000000</v>
      </c>
      <c r="D1781" s="21" t="s">
        <v>29</v>
      </c>
      <c r="E1781" s="21">
        <v>91002945</v>
      </c>
      <c r="F1781" s="20">
        <v>100000000</v>
      </c>
      <c r="G1781" s="22">
        <v>46100</v>
      </c>
      <c r="H1781" t="s">
        <v>79</v>
      </c>
      <c r="I1781" s="51" t="str">
        <f>IFERROR(IF(VLOOKUP(E1781,extracto!C:C,1,FALSE)=E1781,"pagado","no pagado"),"no pagado")</f>
        <v>pagado</v>
      </c>
      <c r="J1781" s="52" t="str">
        <f t="shared" si="780"/>
        <v>pagado</v>
      </c>
      <c r="K1781" s="51" t="str">
        <f t="shared" ca="1" si="781"/>
        <v>excluir</v>
      </c>
      <c r="L1781" s="51" t="str">
        <f t="shared" ca="1" si="782"/>
        <v>no semana</v>
      </c>
      <c r="M1781" s="51" t="str">
        <f>IFERROR(VLOOKUP(E1781,'cheques a conf'!A:D,4,FALSE),"no clearing")</f>
        <v>no clearing</v>
      </c>
      <c r="N1781" s="51">
        <f t="shared" si="783"/>
        <v>12</v>
      </c>
      <c r="O1781" s="53">
        <f t="shared" si="784"/>
        <v>3</v>
      </c>
      <c r="P1781" s="53">
        <f t="shared" si="785"/>
        <v>2026</v>
      </c>
    </row>
    <row r="1782" spans="1:16" x14ac:dyDescent="0.25">
      <c r="A1782" s="21">
        <v>3000001354</v>
      </c>
      <c r="B1782" s="22">
        <v>46098</v>
      </c>
      <c r="C1782" s="20">
        <v>65247619.82</v>
      </c>
      <c r="D1782" s="21" t="s">
        <v>29</v>
      </c>
      <c r="E1782" s="21">
        <v>91002946</v>
      </c>
      <c r="F1782" s="20">
        <v>65247619.82</v>
      </c>
      <c r="G1782" s="22">
        <v>46101</v>
      </c>
      <c r="H1782" t="s">
        <v>79</v>
      </c>
      <c r="I1782" s="51" t="str">
        <f>IFERROR(IF(VLOOKUP(E1782,extracto!C:C,1,FALSE)=E1782,"pagado","no pagado"),"no pagado")</f>
        <v>pagado</v>
      </c>
      <c r="J1782" s="52" t="str">
        <f t="shared" si="780"/>
        <v>pagado</v>
      </c>
      <c r="K1782" s="51" t="str">
        <f t="shared" ca="1" si="781"/>
        <v>excluir</v>
      </c>
      <c r="L1782" s="51" t="str">
        <f t="shared" ca="1" si="782"/>
        <v>no semana</v>
      </c>
      <c r="M1782" s="51" t="str">
        <f>IFERROR(VLOOKUP(E1782,'cheques a conf'!A:D,4,FALSE),"no clearing")</f>
        <v>no clearing</v>
      </c>
      <c r="N1782" s="51">
        <f t="shared" si="783"/>
        <v>12</v>
      </c>
      <c r="O1782" s="53">
        <f t="shared" si="784"/>
        <v>3</v>
      </c>
      <c r="P1782" s="53">
        <f t="shared" si="785"/>
        <v>2026</v>
      </c>
    </row>
    <row r="1783" spans="1:16" x14ac:dyDescent="0.25">
      <c r="A1783" s="21">
        <v>3000001429</v>
      </c>
      <c r="B1783" s="22">
        <v>46101</v>
      </c>
      <c r="C1783" s="20">
        <v>197261290</v>
      </c>
      <c r="D1783" s="21" t="s">
        <v>25</v>
      </c>
      <c r="E1783" s="21">
        <v>2043</v>
      </c>
      <c r="F1783" s="20">
        <v>197261290</v>
      </c>
      <c r="G1783" s="22">
        <v>46106</v>
      </c>
      <c r="H1783" t="s">
        <v>32</v>
      </c>
      <c r="I1783" s="51" t="str">
        <f>IFERROR(IF(VLOOKUP(E1783,extracto!C:C,1,FALSE)=E1783,"pagado","no pagado"),"no pagado")</f>
        <v>pagado</v>
      </c>
      <c r="J1783" s="52" t="str">
        <f t="shared" si="780"/>
        <v>pagado</v>
      </c>
      <c r="K1783" s="51" t="str">
        <f t="shared" ca="1" si="781"/>
        <v>excluir</v>
      </c>
      <c r="L1783" s="51" t="str">
        <f t="shared" ca="1" si="782"/>
        <v>no semana</v>
      </c>
      <c r="M1783" s="51" t="str">
        <f>IFERROR(VLOOKUP(E1783,'cheques a conf'!A:D,4,FALSE),"no clearing")</f>
        <v>no clearing</v>
      </c>
      <c r="N1783" s="51">
        <f t="shared" si="783"/>
        <v>13</v>
      </c>
      <c r="O1783" s="53">
        <f t="shared" si="784"/>
        <v>3</v>
      </c>
      <c r="P1783" s="53">
        <f t="shared" si="785"/>
        <v>2026</v>
      </c>
    </row>
    <row r="1784" spans="1:16" x14ac:dyDescent="0.25">
      <c r="A1784" s="21">
        <v>3000001390</v>
      </c>
      <c r="B1784" s="22">
        <v>46099</v>
      </c>
      <c r="C1784" s="20">
        <v>18806192.920000002</v>
      </c>
      <c r="D1784" s="21" t="s">
        <v>621</v>
      </c>
      <c r="E1784" s="21">
        <v>91002947</v>
      </c>
      <c r="F1784" s="20">
        <v>18806192.920000002</v>
      </c>
      <c r="G1784" s="22">
        <v>46101</v>
      </c>
      <c r="H1784" t="s">
        <v>79</v>
      </c>
      <c r="I1784" s="51" t="str">
        <f>IFERROR(IF(VLOOKUP(E1784,extracto!C:C,1,FALSE)=E1784,"pagado","no pagado"),"no pagado")</f>
        <v>pagado</v>
      </c>
      <c r="J1784" s="52" t="str">
        <f t="shared" si="780"/>
        <v>pagado</v>
      </c>
      <c r="K1784" s="51" t="str">
        <f t="shared" ca="1" si="781"/>
        <v>excluir</v>
      </c>
      <c r="L1784" s="51" t="str">
        <f t="shared" ca="1" si="782"/>
        <v>no semana</v>
      </c>
      <c r="M1784" s="51" t="str">
        <f>IFERROR(VLOOKUP(E1784,'cheques a conf'!A:D,4,FALSE),"no clearing")</f>
        <v>no clearing</v>
      </c>
      <c r="N1784" s="51">
        <f t="shared" si="783"/>
        <v>12</v>
      </c>
      <c r="O1784" s="53">
        <f t="shared" si="784"/>
        <v>3</v>
      </c>
      <c r="P1784" s="53">
        <f t="shared" si="785"/>
        <v>2026</v>
      </c>
    </row>
    <row r="1785" spans="1:16" x14ac:dyDescent="0.25">
      <c r="A1785" s="21">
        <v>3000001391</v>
      </c>
      <c r="B1785" s="22">
        <v>46099</v>
      </c>
      <c r="C1785" s="20">
        <v>4487163.67</v>
      </c>
      <c r="D1785" s="21" t="s">
        <v>617</v>
      </c>
      <c r="E1785" s="21">
        <v>91002948</v>
      </c>
      <c r="F1785" s="20">
        <v>4487163.67</v>
      </c>
      <c r="G1785" s="22">
        <v>46101</v>
      </c>
      <c r="H1785" t="s">
        <v>79</v>
      </c>
      <c r="I1785" s="51" t="str">
        <f>IFERROR(IF(VLOOKUP(E1785,extracto!C:C,1,FALSE)=E1785,"pagado","no pagado"),"no pagado")</f>
        <v>pagado</v>
      </c>
      <c r="J1785" s="52" t="str">
        <f t="shared" si="780"/>
        <v>pagado</v>
      </c>
      <c r="K1785" s="51" t="str">
        <f t="shared" ca="1" si="781"/>
        <v>excluir</v>
      </c>
      <c r="L1785" s="51" t="str">
        <f t="shared" ca="1" si="782"/>
        <v>no semana</v>
      </c>
      <c r="M1785" s="51" t="str">
        <f>IFERROR(VLOOKUP(E1785,'cheques a conf'!A:D,4,FALSE),"no clearing")</f>
        <v>no clearing</v>
      </c>
      <c r="N1785" s="51">
        <f t="shared" si="783"/>
        <v>12</v>
      </c>
      <c r="O1785" s="53">
        <f t="shared" si="784"/>
        <v>3</v>
      </c>
      <c r="P1785" s="53">
        <f t="shared" si="785"/>
        <v>2026</v>
      </c>
    </row>
    <row r="1786" spans="1:16" x14ac:dyDescent="0.25">
      <c r="A1786" s="21">
        <v>3000001392</v>
      </c>
      <c r="B1786" s="22">
        <v>46099</v>
      </c>
      <c r="C1786" s="20">
        <v>4486995.76</v>
      </c>
      <c r="D1786" s="21" t="s">
        <v>616</v>
      </c>
      <c r="E1786" s="21">
        <v>91002949</v>
      </c>
      <c r="F1786" s="20">
        <v>4486995.76</v>
      </c>
      <c r="G1786" s="22">
        <v>46101</v>
      </c>
      <c r="H1786" t="s">
        <v>79</v>
      </c>
      <c r="I1786" s="51" t="str">
        <f>IFERROR(IF(VLOOKUP(E1786,extracto!C:C,1,FALSE)=E1786,"pagado","no pagado"),"no pagado")</f>
        <v>pagado</v>
      </c>
      <c r="J1786" s="52" t="str">
        <f t="shared" si="780"/>
        <v>pagado</v>
      </c>
      <c r="K1786" s="51" t="str">
        <f t="shared" ca="1" si="781"/>
        <v>excluir</v>
      </c>
      <c r="L1786" s="51" t="str">
        <f t="shared" ca="1" si="782"/>
        <v>no semana</v>
      </c>
      <c r="M1786" s="51" t="str">
        <f>IFERROR(VLOOKUP(E1786,'cheques a conf'!A:D,4,FALSE),"no clearing")</f>
        <v>no clearing</v>
      </c>
      <c r="N1786" s="51">
        <f t="shared" si="783"/>
        <v>12</v>
      </c>
      <c r="O1786" s="53">
        <f t="shared" si="784"/>
        <v>3</v>
      </c>
      <c r="P1786" s="53">
        <f t="shared" si="785"/>
        <v>2026</v>
      </c>
    </row>
    <row r="1787" spans="1:16" x14ac:dyDescent="0.25">
      <c r="A1787" s="21">
        <v>3000001393</v>
      </c>
      <c r="B1787" s="22">
        <v>46099</v>
      </c>
      <c r="C1787" s="20">
        <v>6730493.6399999997</v>
      </c>
      <c r="D1787" s="21" t="s">
        <v>619</v>
      </c>
      <c r="E1787" s="21">
        <v>91002950</v>
      </c>
      <c r="F1787" s="20">
        <v>6730493.6399999997</v>
      </c>
      <c r="G1787" s="22">
        <v>46101</v>
      </c>
      <c r="H1787" t="s">
        <v>79</v>
      </c>
      <c r="I1787" s="51" t="str">
        <f>IFERROR(IF(VLOOKUP(E1787,extracto!C:C,1,FALSE)=E1787,"pagado","no pagado"),"no pagado")</f>
        <v>pagado</v>
      </c>
      <c r="J1787" s="52" t="str">
        <f t="shared" si="780"/>
        <v>pagado</v>
      </c>
      <c r="K1787" s="51" t="str">
        <f t="shared" ca="1" si="781"/>
        <v>excluir</v>
      </c>
      <c r="L1787" s="51" t="str">
        <f t="shared" ca="1" si="782"/>
        <v>no semana</v>
      </c>
      <c r="M1787" s="51" t="str">
        <f>IFERROR(VLOOKUP(E1787,'cheques a conf'!A:D,4,FALSE),"no clearing")</f>
        <v>no clearing</v>
      </c>
      <c r="N1787" s="51">
        <f t="shared" si="783"/>
        <v>12</v>
      </c>
      <c r="O1787" s="53">
        <f t="shared" si="784"/>
        <v>3</v>
      </c>
      <c r="P1787" s="53">
        <f t="shared" si="785"/>
        <v>2026</v>
      </c>
    </row>
    <row r="1788" spans="1:16" x14ac:dyDescent="0.25">
      <c r="A1788" s="21">
        <v>3000001394</v>
      </c>
      <c r="B1788" s="22">
        <v>46099</v>
      </c>
      <c r="C1788" s="20">
        <v>28168255.800000001</v>
      </c>
      <c r="D1788" s="21" t="s">
        <v>593</v>
      </c>
      <c r="E1788" s="21">
        <v>91002951</v>
      </c>
      <c r="F1788" s="20">
        <v>28168255.800000001</v>
      </c>
      <c r="G1788" s="22">
        <v>46101</v>
      </c>
      <c r="H1788" t="s">
        <v>79</v>
      </c>
      <c r="I1788" s="51" t="str">
        <f>IFERROR(IF(VLOOKUP(E1788,extracto!C:C,1,FALSE)=E1788,"pagado","no pagado"),"no pagado")</f>
        <v>pagado</v>
      </c>
      <c r="J1788" s="52" t="str">
        <f t="shared" si="780"/>
        <v>pagado</v>
      </c>
      <c r="K1788" s="51" t="str">
        <f t="shared" ca="1" si="781"/>
        <v>excluir</v>
      </c>
      <c r="L1788" s="51" t="str">
        <f t="shared" ca="1" si="782"/>
        <v>no semana</v>
      </c>
      <c r="M1788" s="51" t="str">
        <f>IFERROR(VLOOKUP(E1788,'cheques a conf'!A:D,4,FALSE),"no clearing")</f>
        <v>no clearing</v>
      </c>
      <c r="N1788" s="51">
        <f t="shared" si="783"/>
        <v>12</v>
      </c>
      <c r="O1788" s="53">
        <f t="shared" si="784"/>
        <v>3</v>
      </c>
      <c r="P1788" s="53">
        <f t="shared" si="785"/>
        <v>2026</v>
      </c>
    </row>
    <row r="1789" spans="1:16" x14ac:dyDescent="0.25">
      <c r="A1789" s="21">
        <v>3000001395</v>
      </c>
      <c r="B1789" s="22">
        <v>46099</v>
      </c>
      <c r="C1789" s="20">
        <v>11058717.779999999</v>
      </c>
      <c r="D1789" s="21" t="s">
        <v>85</v>
      </c>
      <c r="E1789" s="21">
        <v>91002952</v>
      </c>
      <c r="F1789" s="20">
        <v>11058717.779999999</v>
      </c>
      <c r="G1789" s="22">
        <v>46101</v>
      </c>
      <c r="H1789" t="s">
        <v>79</v>
      </c>
      <c r="I1789" s="51" t="str">
        <f>IFERROR(IF(VLOOKUP(E1789,extracto!C:C,1,FALSE)=E1789,"pagado","no pagado"),"no pagado")</f>
        <v>pagado</v>
      </c>
      <c r="J1789" s="52" t="str">
        <f t="shared" si="780"/>
        <v>pagado</v>
      </c>
      <c r="K1789" s="51" t="str">
        <f t="shared" ca="1" si="781"/>
        <v>excluir</v>
      </c>
      <c r="L1789" s="51" t="str">
        <f t="shared" ca="1" si="782"/>
        <v>no semana</v>
      </c>
      <c r="M1789" s="51" t="str">
        <f>IFERROR(VLOOKUP(E1789,'cheques a conf'!A:D,4,FALSE),"no clearing")</f>
        <v>no clearing</v>
      </c>
      <c r="N1789" s="51">
        <f t="shared" si="783"/>
        <v>12</v>
      </c>
      <c r="O1789" s="53">
        <f t="shared" si="784"/>
        <v>3</v>
      </c>
      <c r="P1789" s="53">
        <f t="shared" si="785"/>
        <v>2026</v>
      </c>
    </row>
    <row r="1790" spans="1:16" x14ac:dyDescent="0.25">
      <c r="A1790" s="21">
        <v>3000001396</v>
      </c>
      <c r="B1790" s="22">
        <v>46099</v>
      </c>
      <c r="C1790" s="20">
        <v>27972869.77</v>
      </c>
      <c r="D1790" s="21" t="s">
        <v>613</v>
      </c>
      <c r="E1790" s="21">
        <v>91002953</v>
      </c>
      <c r="F1790" s="20">
        <v>27972869.77</v>
      </c>
      <c r="G1790" s="22">
        <v>46101</v>
      </c>
      <c r="H1790" t="s">
        <v>79</v>
      </c>
      <c r="I1790" s="51" t="str">
        <f>IFERROR(IF(VLOOKUP(E1790,extracto!C:C,1,FALSE)=E1790,"pagado","no pagado"),"no pagado")</f>
        <v>pagado</v>
      </c>
      <c r="J1790" s="52" t="str">
        <f t="shared" si="780"/>
        <v>pagado</v>
      </c>
      <c r="K1790" s="51" t="str">
        <f t="shared" ca="1" si="781"/>
        <v>excluir</v>
      </c>
      <c r="L1790" s="51" t="str">
        <f t="shared" ca="1" si="782"/>
        <v>no semana</v>
      </c>
      <c r="M1790" s="51" t="str">
        <f>IFERROR(VLOOKUP(E1790,'cheques a conf'!A:D,4,FALSE),"no clearing")</f>
        <v>no clearing</v>
      </c>
      <c r="N1790" s="51">
        <f t="shared" si="783"/>
        <v>12</v>
      </c>
      <c r="O1790" s="53">
        <f t="shared" si="784"/>
        <v>3</v>
      </c>
      <c r="P1790" s="53">
        <f t="shared" si="785"/>
        <v>2026</v>
      </c>
    </row>
    <row r="1791" spans="1:16" x14ac:dyDescent="0.25">
      <c r="A1791">
        <v>3000001443</v>
      </c>
      <c r="B1791" s="3">
        <v>46106</v>
      </c>
      <c r="C1791" s="4">
        <v>70000000</v>
      </c>
      <c r="D1791" t="s">
        <v>29</v>
      </c>
      <c r="E1791">
        <v>91002958</v>
      </c>
      <c r="F1791" s="4">
        <v>70000000</v>
      </c>
      <c r="G1791" s="3">
        <v>46108</v>
      </c>
      <c r="H1791" t="s">
        <v>79</v>
      </c>
      <c r="I1791" s="51" t="str">
        <f>IFERROR(IF(VLOOKUP(E1791,extracto!C:C,1,FALSE)=E1791,"pagado","no pagado"),"no pagado")</f>
        <v>pagado</v>
      </c>
      <c r="J1791" s="52" t="str">
        <f t="shared" si="780"/>
        <v>pagado</v>
      </c>
      <c r="K1791" s="51" t="str">
        <f t="shared" ca="1" si="781"/>
        <v>excluir</v>
      </c>
      <c r="L1791" s="51" t="str">
        <f t="shared" ca="1" si="782"/>
        <v>no semana</v>
      </c>
      <c r="M1791" s="51" t="str">
        <f>IFERROR(VLOOKUP(E1791,'cheques a conf'!A:D,4,FALSE),"no clearing")</f>
        <v>no clearing</v>
      </c>
      <c r="N1791" s="51">
        <f t="shared" si="783"/>
        <v>13</v>
      </c>
      <c r="O1791" s="53">
        <f t="shared" si="784"/>
        <v>3</v>
      </c>
      <c r="P1791" s="53">
        <f t="shared" si="785"/>
        <v>2026</v>
      </c>
    </row>
    <row r="1792" spans="1:16" x14ac:dyDescent="0.25">
      <c r="A1792">
        <v>3000001443</v>
      </c>
      <c r="B1792" s="3">
        <v>46106</v>
      </c>
      <c r="C1792" s="4">
        <v>73237662.680000007</v>
      </c>
      <c r="D1792" t="s">
        <v>29</v>
      </c>
      <c r="E1792">
        <v>91002959</v>
      </c>
      <c r="F1792" s="4">
        <v>73237662.680000007</v>
      </c>
      <c r="G1792" s="3">
        <v>46111</v>
      </c>
      <c r="H1792" t="s">
        <v>79</v>
      </c>
      <c r="I1792" s="51" t="str">
        <f>IFERROR(IF(VLOOKUP(E1792,extracto!C:C,1,FALSE)=E1792,"pagado","no pagado"),"no pagado")</f>
        <v>pagado</v>
      </c>
      <c r="J1792" s="52" t="str">
        <f t="shared" si="780"/>
        <v>pagado</v>
      </c>
      <c r="K1792" s="51" t="str">
        <f t="shared" ca="1" si="781"/>
        <v>excluir</v>
      </c>
      <c r="L1792" s="51" t="str">
        <f t="shared" ca="1" si="782"/>
        <v>no semana</v>
      </c>
      <c r="M1792" s="51" t="str">
        <f>IFERROR(VLOOKUP(E1792,'cheques a conf'!A:D,4,FALSE),"no clearing")</f>
        <v>no clearing</v>
      </c>
      <c r="N1792" s="51">
        <f t="shared" si="783"/>
        <v>14</v>
      </c>
      <c r="O1792" s="53">
        <f t="shared" si="784"/>
        <v>3</v>
      </c>
      <c r="P1792" s="53">
        <f t="shared" si="785"/>
        <v>2026</v>
      </c>
    </row>
    <row r="1793" spans="1:16" x14ac:dyDescent="0.25">
      <c r="A1793">
        <v>3000001439</v>
      </c>
      <c r="B1793" s="3">
        <v>46106</v>
      </c>
      <c r="C1793" s="4">
        <v>16625192.5</v>
      </c>
      <c r="D1793" t="s">
        <v>600</v>
      </c>
      <c r="E1793">
        <v>91002954</v>
      </c>
      <c r="F1793" s="4">
        <v>16625192.5</v>
      </c>
      <c r="G1793" s="3">
        <v>46108</v>
      </c>
      <c r="H1793" t="s">
        <v>79</v>
      </c>
      <c r="I1793" s="51" t="str">
        <f>IFERROR(IF(VLOOKUP(E1793,extracto!C:C,1,FALSE)=E1793,"pagado","no pagado"),"no pagado")</f>
        <v>pagado</v>
      </c>
      <c r="J1793" s="52" t="str">
        <f t="shared" si="780"/>
        <v>pagado</v>
      </c>
      <c r="K1793" s="51" t="str">
        <f t="shared" ca="1" si="781"/>
        <v>excluir</v>
      </c>
      <c r="L1793" s="51" t="str">
        <f t="shared" ca="1" si="782"/>
        <v>no semana</v>
      </c>
      <c r="M1793" s="51" t="str">
        <f>IFERROR(VLOOKUP(E1793,'cheques a conf'!A:D,4,FALSE),"no clearing")</f>
        <v>no clearing</v>
      </c>
      <c r="N1793" s="51">
        <f t="shared" si="783"/>
        <v>13</v>
      </c>
      <c r="O1793" s="53">
        <f t="shared" si="784"/>
        <v>3</v>
      </c>
      <c r="P1793" s="53">
        <f t="shared" si="785"/>
        <v>2026</v>
      </c>
    </row>
    <row r="1794" spans="1:16" x14ac:dyDescent="0.25">
      <c r="A1794">
        <v>3000001440</v>
      </c>
      <c r="B1794" s="3">
        <v>46106</v>
      </c>
      <c r="C1794" s="4">
        <v>6021324.8300000001</v>
      </c>
      <c r="D1794" t="s">
        <v>626</v>
      </c>
      <c r="E1794">
        <v>91002955</v>
      </c>
      <c r="F1794" s="4">
        <v>6021324.8300000001</v>
      </c>
      <c r="G1794" s="3">
        <v>46111</v>
      </c>
      <c r="H1794" t="s">
        <v>79</v>
      </c>
      <c r="I1794" s="51" t="str">
        <f>IFERROR(IF(VLOOKUP(E1794,extracto!C:C,1,FALSE)=E1794,"pagado","no pagado"),"no pagado")</f>
        <v>pagado</v>
      </c>
      <c r="J1794" s="52" t="str">
        <f t="shared" si="780"/>
        <v>pagado</v>
      </c>
      <c r="K1794" s="51" t="str">
        <f t="shared" ca="1" si="781"/>
        <v>excluir</v>
      </c>
      <c r="L1794" s="51" t="str">
        <f t="shared" ca="1" si="782"/>
        <v>no semana</v>
      </c>
      <c r="M1794" s="51" t="str">
        <f>IFERROR(VLOOKUP(E1794,'cheques a conf'!A:D,4,FALSE),"no clearing")</f>
        <v>no clearing</v>
      </c>
      <c r="N1794" s="51">
        <f t="shared" si="783"/>
        <v>14</v>
      </c>
      <c r="O1794" s="53">
        <f t="shared" si="784"/>
        <v>3</v>
      </c>
      <c r="P1794" s="53">
        <f t="shared" si="785"/>
        <v>2026</v>
      </c>
    </row>
    <row r="1795" spans="1:16" x14ac:dyDescent="0.25">
      <c r="A1795">
        <v>3000001441</v>
      </c>
      <c r="B1795" s="3">
        <v>46106</v>
      </c>
      <c r="C1795" s="4">
        <v>18563869.34</v>
      </c>
      <c r="D1795" t="s">
        <v>631</v>
      </c>
      <c r="E1795">
        <v>91002956</v>
      </c>
      <c r="F1795" s="4">
        <v>18563869.34</v>
      </c>
      <c r="G1795" s="3">
        <v>46111</v>
      </c>
      <c r="H1795" t="s">
        <v>79</v>
      </c>
      <c r="I1795" s="51" t="str">
        <f>IFERROR(IF(VLOOKUP(E1795,extracto!C:C,1,FALSE)=E1795,"pagado","no pagado"),"no pagado")</f>
        <v>pagado</v>
      </c>
      <c r="J1795" s="52" t="str">
        <f t="shared" si="780"/>
        <v>pagado</v>
      </c>
      <c r="K1795" s="51" t="str">
        <f t="shared" ca="1" si="781"/>
        <v>excluir</v>
      </c>
      <c r="L1795" s="51" t="str">
        <f t="shared" ca="1" si="782"/>
        <v>no semana</v>
      </c>
      <c r="M1795" s="51" t="str">
        <f>IFERROR(VLOOKUP(E1795,'cheques a conf'!A:D,4,FALSE),"no clearing")</f>
        <v>no clearing</v>
      </c>
      <c r="N1795" s="51">
        <f t="shared" si="783"/>
        <v>14</v>
      </c>
      <c r="O1795" s="53">
        <f t="shared" si="784"/>
        <v>3</v>
      </c>
      <c r="P1795" s="53">
        <f t="shared" si="785"/>
        <v>2026</v>
      </c>
    </row>
    <row r="1796" spans="1:16" x14ac:dyDescent="0.25">
      <c r="A1796">
        <v>3000001442</v>
      </c>
      <c r="B1796" s="3">
        <v>46106</v>
      </c>
      <c r="C1796" s="4">
        <v>17579717.789999999</v>
      </c>
      <c r="D1796" t="s">
        <v>597</v>
      </c>
      <c r="E1796">
        <v>91002957</v>
      </c>
      <c r="F1796" s="4">
        <v>17579717.789999999</v>
      </c>
      <c r="G1796" s="3">
        <v>46111</v>
      </c>
      <c r="H1796" t="s">
        <v>79</v>
      </c>
      <c r="I1796" s="51" t="str">
        <f>IFERROR(IF(VLOOKUP(E1796,extracto!C:C,1,FALSE)=E1796,"pagado","no pagado"),"no pagado")</f>
        <v>pagado</v>
      </c>
      <c r="J1796" s="52" t="str">
        <f t="shared" si="780"/>
        <v>pagado</v>
      </c>
      <c r="K1796" s="51" t="str">
        <f t="shared" ca="1" si="781"/>
        <v>excluir</v>
      </c>
      <c r="L1796" s="51" t="str">
        <f t="shared" ca="1" si="782"/>
        <v>no semana</v>
      </c>
      <c r="M1796" s="51" t="str">
        <f>IFERROR(VLOOKUP(E1796,'cheques a conf'!A:D,4,FALSE),"no clearing")</f>
        <v>no clearing</v>
      </c>
      <c r="N1796" s="51">
        <f t="shared" si="783"/>
        <v>14</v>
      </c>
      <c r="O1796" s="53">
        <f t="shared" si="784"/>
        <v>3</v>
      </c>
      <c r="P1796" s="53">
        <f t="shared" si="785"/>
        <v>2026</v>
      </c>
    </row>
    <row r="1797" spans="1:16" x14ac:dyDescent="0.25">
      <c r="A1797">
        <v>3000001444</v>
      </c>
      <c r="B1797" s="3">
        <v>46106</v>
      </c>
      <c r="C1797" s="4">
        <v>41662283.469999999</v>
      </c>
      <c r="D1797" t="s">
        <v>622</v>
      </c>
      <c r="E1797">
        <v>91002960</v>
      </c>
      <c r="F1797" s="4">
        <v>41662283.469999999</v>
      </c>
      <c r="G1797" s="3">
        <v>46111</v>
      </c>
      <c r="H1797" t="s">
        <v>79</v>
      </c>
      <c r="I1797" s="51" t="str">
        <f>IFERROR(IF(VLOOKUP(E1797,extracto!C:C,1,FALSE)=E1797,"pagado","no pagado"),"no pagado")</f>
        <v>pagado</v>
      </c>
      <c r="J1797" s="52" t="str">
        <f t="shared" si="780"/>
        <v>pagado</v>
      </c>
      <c r="K1797" s="51" t="str">
        <f t="shared" ca="1" si="781"/>
        <v>excluir</v>
      </c>
      <c r="L1797" s="51" t="str">
        <f t="shared" ca="1" si="782"/>
        <v>no semana</v>
      </c>
      <c r="M1797" s="51" t="str">
        <f>IFERROR(VLOOKUP(E1797,'cheques a conf'!A:D,4,FALSE),"no clearing")</f>
        <v>no clearing</v>
      </c>
      <c r="N1797" s="51">
        <f t="shared" si="783"/>
        <v>14</v>
      </c>
      <c r="O1797" s="53">
        <f t="shared" si="784"/>
        <v>3</v>
      </c>
      <c r="P1797" s="53">
        <f t="shared" si="785"/>
        <v>2026</v>
      </c>
    </row>
    <row r="1798" spans="1:16" x14ac:dyDescent="0.25">
      <c r="A1798">
        <v>3000001445</v>
      </c>
      <c r="B1798" s="3">
        <v>46106</v>
      </c>
      <c r="C1798" s="4">
        <v>6365278.1200000001</v>
      </c>
      <c r="D1798" t="s">
        <v>633</v>
      </c>
      <c r="E1798">
        <v>91002961</v>
      </c>
      <c r="F1798" s="4">
        <v>6365278.1200000001</v>
      </c>
      <c r="G1798" s="3">
        <v>46108</v>
      </c>
      <c r="H1798" t="s">
        <v>79</v>
      </c>
      <c r="I1798" s="51" t="str">
        <f>IFERROR(IF(VLOOKUP(E1798,extracto!C:C,1,FALSE)=E1798,"pagado","no pagado"),"no pagado")</f>
        <v>pagado</v>
      </c>
      <c r="J1798" s="52" t="str">
        <f t="shared" si="780"/>
        <v>pagado</v>
      </c>
      <c r="K1798" s="51" t="str">
        <f t="shared" ca="1" si="781"/>
        <v>excluir</v>
      </c>
      <c r="L1798" s="51" t="str">
        <f t="shared" ca="1" si="782"/>
        <v>no semana</v>
      </c>
      <c r="M1798" s="51" t="str">
        <f>IFERROR(VLOOKUP(E1798,'cheques a conf'!A:D,4,FALSE),"no clearing")</f>
        <v>no clearing</v>
      </c>
      <c r="N1798" s="51">
        <f t="shared" si="783"/>
        <v>13</v>
      </c>
      <c r="O1798" s="53">
        <f t="shared" si="784"/>
        <v>3</v>
      </c>
      <c r="P1798" s="53">
        <f t="shared" si="785"/>
        <v>2026</v>
      </c>
    </row>
    <row r="1799" spans="1:16" x14ac:dyDescent="0.25">
      <c r="A1799">
        <v>3000001446</v>
      </c>
      <c r="B1799" s="3">
        <v>46106</v>
      </c>
      <c r="C1799" s="4">
        <v>6447707.1699999999</v>
      </c>
      <c r="D1799" t="s">
        <v>851</v>
      </c>
      <c r="E1799">
        <v>91002962</v>
      </c>
      <c r="F1799" s="4">
        <v>6447707.1699999999</v>
      </c>
      <c r="G1799" s="3">
        <v>46108</v>
      </c>
      <c r="H1799" t="s">
        <v>79</v>
      </c>
      <c r="I1799" s="51" t="str">
        <f>IFERROR(IF(VLOOKUP(E1799,extracto!C:C,1,FALSE)=E1799,"pagado","no pagado"),"no pagado")</f>
        <v>pagado</v>
      </c>
      <c r="J1799" s="52" t="str">
        <f t="shared" si="780"/>
        <v>pagado</v>
      </c>
      <c r="K1799" s="51" t="str">
        <f t="shared" ca="1" si="781"/>
        <v>excluir</v>
      </c>
      <c r="L1799" s="51" t="str">
        <f t="shared" ca="1" si="782"/>
        <v>no semana</v>
      </c>
      <c r="M1799" s="51" t="str">
        <f>IFERROR(VLOOKUP(E1799,'cheques a conf'!A:D,4,FALSE),"no clearing")</f>
        <v>no clearing</v>
      </c>
      <c r="N1799" s="51">
        <f t="shared" si="783"/>
        <v>13</v>
      </c>
      <c r="O1799" s="53">
        <f t="shared" si="784"/>
        <v>3</v>
      </c>
      <c r="P1799" s="53">
        <f t="shared" si="785"/>
        <v>2026</v>
      </c>
    </row>
    <row r="1800" spans="1:16" x14ac:dyDescent="0.25">
      <c r="A1800">
        <v>3000001447</v>
      </c>
      <c r="B1800" s="3">
        <v>46106</v>
      </c>
      <c r="C1800" s="4">
        <v>13676438.4</v>
      </c>
      <c r="D1800" t="s">
        <v>743</v>
      </c>
      <c r="E1800">
        <v>91002963</v>
      </c>
      <c r="F1800" s="4">
        <v>13676438.4</v>
      </c>
      <c r="G1800" s="3">
        <v>46108</v>
      </c>
      <c r="H1800" t="s">
        <v>79</v>
      </c>
      <c r="I1800" s="51" t="str">
        <f>IFERROR(IF(VLOOKUP(E1800,extracto!C:C,1,FALSE)=E1800,"pagado","no pagado"),"no pagado")</f>
        <v>pagado</v>
      </c>
      <c r="J1800" s="52" t="str">
        <f t="shared" si="780"/>
        <v>pagado</v>
      </c>
      <c r="K1800" s="51" t="str">
        <f t="shared" ca="1" si="781"/>
        <v>excluir</v>
      </c>
      <c r="L1800" s="51" t="str">
        <f t="shared" ca="1" si="782"/>
        <v>no semana</v>
      </c>
      <c r="M1800" s="51" t="str">
        <f>IFERROR(VLOOKUP(E1800,'cheques a conf'!A:D,4,FALSE),"no clearing")</f>
        <v>no clearing</v>
      </c>
      <c r="N1800" s="51">
        <f t="shared" si="783"/>
        <v>13</v>
      </c>
      <c r="O1800" s="53">
        <f t="shared" si="784"/>
        <v>3</v>
      </c>
      <c r="P1800" s="53">
        <f t="shared" si="785"/>
        <v>2026</v>
      </c>
    </row>
    <row r="1801" spans="1:16" x14ac:dyDescent="0.25">
      <c r="A1801">
        <v>3000001448</v>
      </c>
      <c r="B1801" s="3">
        <v>46106</v>
      </c>
      <c r="C1801" s="4">
        <v>20365023.18</v>
      </c>
      <c r="D1801" t="s">
        <v>767</v>
      </c>
      <c r="E1801">
        <v>91002964</v>
      </c>
      <c r="F1801" s="4">
        <v>20365023.18</v>
      </c>
      <c r="G1801" s="3">
        <v>46108</v>
      </c>
      <c r="H1801" t="s">
        <v>79</v>
      </c>
      <c r="I1801" s="51" t="str">
        <f>IFERROR(IF(VLOOKUP(E1801,extracto!C:C,1,FALSE)=E1801,"pagado","no pagado"),"no pagado")</f>
        <v>pagado</v>
      </c>
      <c r="J1801" s="52" t="str">
        <f t="shared" si="780"/>
        <v>pagado</v>
      </c>
      <c r="K1801" s="51" t="str">
        <f t="shared" ca="1" si="781"/>
        <v>excluir</v>
      </c>
      <c r="L1801" s="51" t="str">
        <f t="shared" ca="1" si="782"/>
        <v>no semana</v>
      </c>
      <c r="M1801" s="51" t="str">
        <f>IFERROR(VLOOKUP(E1801,'cheques a conf'!A:D,4,FALSE),"no clearing")</f>
        <v>no clearing</v>
      </c>
      <c r="N1801" s="51">
        <f t="shared" si="783"/>
        <v>13</v>
      </c>
      <c r="O1801" s="53">
        <f t="shared" si="784"/>
        <v>3</v>
      </c>
      <c r="P1801" s="53">
        <f t="shared" si="785"/>
        <v>2026</v>
      </c>
    </row>
    <row r="1802" spans="1:16" x14ac:dyDescent="0.25">
      <c r="A1802">
        <v>3000001449</v>
      </c>
      <c r="B1802" s="3">
        <v>46106</v>
      </c>
      <c r="C1802" s="4">
        <v>24970255.57</v>
      </c>
      <c r="D1802" t="s">
        <v>642</v>
      </c>
      <c r="E1802">
        <v>91002965</v>
      </c>
      <c r="F1802" s="4">
        <v>24970255.57</v>
      </c>
      <c r="G1802" s="3">
        <v>46108</v>
      </c>
      <c r="H1802" t="s">
        <v>79</v>
      </c>
      <c r="I1802" s="51" t="str">
        <f>IFERROR(IF(VLOOKUP(E1802,extracto!C:C,1,FALSE)=E1802,"pagado","no pagado"),"no pagado")</f>
        <v>pagado</v>
      </c>
      <c r="J1802" s="52" t="str">
        <f t="shared" si="780"/>
        <v>pagado</v>
      </c>
      <c r="K1802" s="51" t="str">
        <f t="shared" ca="1" si="781"/>
        <v>excluir</v>
      </c>
      <c r="L1802" s="51" t="str">
        <f t="shared" ca="1" si="782"/>
        <v>no semana</v>
      </c>
      <c r="M1802" s="51" t="str">
        <f>IFERROR(VLOOKUP(E1802,'cheques a conf'!A:D,4,FALSE),"no clearing")</f>
        <v>no clearing</v>
      </c>
      <c r="N1802" s="51">
        <f t="shared" si="783"/>
        <v>13</v>
      </c>
      <c r="O1802" s="53">
        <f t="shared" si="784"/>
        <v>3</v>
      </c>
      <c r="P1802" s="53">
        <f t="shared" si="785"/>
        <v>2026</v>
      </c>
    </row>
    <row r="1803" spans="1:16" x14ac:dyDescent="0.25">
      <c r="A1803">
        <v>3000001450</v>
      </c>
      <c r="B1803" s="3">
        <v>46106</v>
      </c>
      <c r="C1803" s="4">
        <v>7885342.54</v>
      </c>
      <c r="D1803" t="s">
        <v>618</v>
      </c>
      <c r="E1803">
        <v>91002966</v>
      </c>
      <c r="F1803" s="4">
        <v>7885342.54</v>
      </c>
      <c r="G1803" s="3">
        <v>46111</v>
      </c>
      <c r="H1803" t="s">
        <v>79</v>
      </c>
      <c r="I1803" s="51" t="str">
        <f>IFERROR(IF(VLOOKUP(E1803,extracto!C:C,1,FALSE)=E1803,"pagado","no pagado"),"no pagado")</f>
        <v>pagado</v>
      </c>
      <c r="J1803" s="52" t="str">
        <f t="shared" si="780"/>
        <v>pagado</v>
      </c>
      <c r="K1803" s="51" t="str">
        <f t="shared" ca="1" si="781"/>
        <v>excluir</v>
      </c>
      <c r="L1803" s="51" t="str">
        <f t="shared" ca="1" si="782"/>
        <v>no semana</v>
      </c>
      <c r="M1803" s="51" t="str">
        <f>IFERROR(VLOOKUP(E1803,'cheques a conf'!A:D,4,FALSE),"no clearing")</f>
        <v>no clearing</v>
      </c>
      <c r="N1803" s="51">
        <f t="shared" si="783"/>
        <v>14</v>
      </c>
      <c r="O1803" s="53">
        <f t="shared" si="784"/>
        <v>3</v>
      </c>
      <c r="P1803" s="53">
        <f t="shared" si="785"/>
        <v>2026</v>
      </c>
    </row>
    <row r="1804" spans="1:16" x14ac:dyDescent="0.25">
      <c r="A1804">
        <v>3000001451</v>
      </c>
      <c r="B1804" s="3">
        <v>46106</v>
      </c>
      <c r="C1804" s="4">
        <v>9031077.9800000004</v>
      </c>
      <c r="D1804" t="s">
        <v>612</v>
      </c>
      <c r="E1804">
        <v>91002967</v>
      </c>
      <c r="F1804" s="4">
        <v>9031077.9800000004</v>
      </c>
      <c r="G1804" s="3">
        <v>46108</v>
      </c>
      <c r="H1804" t="s">
        <v>79</v>
      </c>
      <c r="I1804" s="51" t="str">
        <f>IFERROR(IF(VLOOKUP(E1804,extracto!C:C,1,FALSE)=E1804,"pagado","no pagado"),"no pagado")</f>
        <v>pagado</v>
      </c>
      <c r="J1804" s="52" t="str">
        <f t="shared" si="780"/>
        <v>pagado</v>
      </c>
      <c r="K1804" s="51" t="str">
        <f t="shared" ca="1" si="781"/>
        <v>excluir</v>
      </c>
      <c r="L1804" s="51" t="str">
        <f t="shared" ca="1" si="782"/>
        <v>no semana</v>
      </c>
      <c r="M1804" s="51" t="str">
        <f>IFERROR(VLOOKUP(E1804,'cheques a conf'!A:D,4,FALSE),"no clearing")</f>
        <v>no clearing</v>
      </c>
      <c r="N1804" s="51">
        <f t="shared" si="783"/>
        <v>13</v>
      </c>
      <c r="O1804" s="53">
        <f t="shared" si="784"/>
        <v>3</v>
      </c>
      <c r="P1804" s="53">
        <f t="shared" si="785"/>
        <v>2026</v>
      </c>
    </row>
    <row r="1805" spans="1:16" x14ac:dyDescent="0.25">
      <c r="A1805">
        <v>3000001452</v>
      </c>
      <c r="B1805" s="3">
        <v>46106</v>
      </c>
      <c r="C1805" s="4">
        <v>13859450.800000001</v>
      </c>
      <c r="D1805" t="s">
        <v>623</v>
      </c>
      <c r="E1805">
        <v>91002968</v>
      </c>
      <c r="F1805" s="4">
        <v>13859450.800000001</v>
      </c>
      <c r="G1805" s="3">
        <v>46108</v>
      </c>
      <c r="H1805" t="s">
        <v>79</v>
      </c>
      <c r="I1805" s="51" t="str">
        <f>IFERROR(IF(VLOOKUP(E1805,extracto!C:C,1,FALSE)=E1805,"pagado","no pagado"),"no pagado")</f>
        <v>pagado</v>
      </c>
      <c r="J1805" s="52" t="str">
        <f t="shared" si="780"/>
        <v>pagado</v>
      </c>
      <c r="K1805" s="51" t="str">
        <f t="shared" ca="1" si="781"/>
        <v>excluir</v>
      </c>
      <c r="L1805" s="51" t="str">
        <f t="shared" ca="1" si="782"/>
        <v>no semana</v>
      </c>
      <c r="M1805" s="51" t="str">
        <f>IFERROR(VLOOKUP(E1805,'cheques a conf'!A:D,4,FALSE),"no clearing")</f>
        <v>no clearing</v>
      </c>
      <c r="N1805" s="51">
        <f t="shared" si="783"/>
        <v>13</v>
      </c>
      <c r="O1805" s="53">
        <f t="shared" si="784"/>
        <v>3</v>
      </c>
      <c r="P1805" s="53">
        <f t="shared" si="785"/>
        <v>2026</v>
      </c>
    </row>
    <row r="1806" spans="1:16" x14ac:dyDescent="0.25">
      <c r="A1806">
        <v>3000001453</v>
      </c>
      <c r="B1806" s="3">
        <v>46106</v>
      </c>
      <c r="C1806" s="4">
        <v>6730493.6399999997</v>
      </c>
      <c r="D1806" t="s">
        <v>616</v>
      </c>
      <c r="E1806">
        <v>91002969</v>
      </c>
      <c r="F1806" s="4">
        <v>6730493.6399999997</v>
      </c>
      <c r="G1806" s="3">
        <v>46111</v>
      </c>
      <c r="H1806" t="s">
        <v>79</v>
      </c>
      <c r="I1806" s="51" t="str">
        <f>IFERROR(IF(VLOOKUP(E1806,extracto!C:C,1,FALSE)=E1806,"pagado","no pagado"),"no pagado")</f>
        <v>pagado</v>
      </c>
      <c r="J1806" s="52" t="str">
        <f t="shared" si="780"/>
        <v>pagado</v>
      </c>
      <c r="K1806" s="51" t="str">
        <f t="shared" ca="1" si="781"/>
        <v>excluir</v>
      </c>
      <c r="L1806" s="51" t="str">
        <f t="shared" ca="1" si="782"/>
        <v>no semana</v>
      </c>
      <c r="M1806" s="51" t="str">
        <f>IFERROR(VLOOKUP(E1806,'cheques a conf'!A:D,4,FALSE),"no clearing")</f>
        <v>no clearing</v>
      </c>
      <c r="N1806" s="51">
        <f t="shared" si="783"/>
        <v>14</v>
      </c>
      <c r="O1806" s="53">
        <f t="shared" si="784"/>
        <v>3</v>
      </c>
      <c r="P1806" s="53">
        <f t="shared" si="785"/>
        <v>2026</v>
      </c>
    </row>
    <row r="1807" spans="1:16" x14ac:dyDescent="0.25">
      <c r="A1807">
        <v>3000001454</v>
      </c>
      <c r="B1807" s="3">
        <v>46106</v>
      </c>
      <c r="C1807" s="4">
        <v>4686675</v>
      </c>
      <c r="D1807" t="s">
        <v>621</v>
      </c>
      <c r="E1807">
        <v>91002970</v>
      </c>
      <c r="F1807" s="4">
        <v>4686675</v>
      </c>
      <c r="G1807" s="3">
        <v>46108</v>
      </c>
      <c r="H1807" t="s">
        <v>79</v>
      </c>
      <c r="I1807" s="51" t="str">
        <f>IFERROR(IF(VLOOKUP(E1807,extracto!C:C,1,FALSE)=E1807,"pagado","no pagado"),"no pagado")</f>
        <v>pagado</v>
      </c>
      <c r="J1807" s="52" t="str">
        <f t="shared" ref="J1807:J1870" si="786">IF(I1807="pagado","pagado",IF(G1807&lt;$V$1-30,"fuera de fecha","en periodo de pago"))</f>
        <v>pagado</v>
      </c>
      <c r="K1807" s="51" t="str">
        <f t="shared" ref="K1807:K1870" ca="1" si="787">+IF(B1807&gt;$V$1,"excluir",IF(J1807="en periodo de pago",IF($V$1&gt;G1807,"a pagar","proximo a vencer"),"excluir"))</f>
        <v>excluir</v>
      </c>
      <c r="L1807" s="51" t="str">
        <f t="shared" ref="L1807:L1870" ca="1" si="788">+IF(K1807="proximo a vencer",IF($V$1+5&gt;G1807,"para la semana","no semana"),"no semana")</f>
        <v>no semana</v>
      </c>
      <c r="M1807" s="51" t="str">
        <f>IFERROR(VLOOKUP(E1807,'cheques a conf'!A:D,4,FALSE),"no clearing")</f>
        <v>no clearing</v>
      </c>
      <c r="N1807" s="51">
        <f t="shared" ref="N1807:N1870" si="789">+WEEKNUM(G1807,2)</f>
        <v>13</v>
      </c>
      <c r="O1807" s="53">
        <f t="shared" ref="O1807:O1870" si="790">+MONTH(G1807)</f>
        <v>3</v>
      </c>
      <c r="P1807" s="53">
        <f t="shared" ref="P1807:P1870" si="791">+YEAR(G1807)</f>
        <v>2026</v>
      </c>
    </row>
    <row r="1808" spans="1:16" x14ac:dyDescent="0.25">
      <c r="A1808" s="21">
        <v>3000007593</v>
      </c>
      <c r="B1808" s="22">
        <v>46108</v>
      </c>
      <c r="C1808" s="20">
        <v>2243497.88</v>
      </c>
      <c r="D1808" s="21" t="s">
        <v>623</v>
      </c>
      <c r="E1808" s="21">
        <v>2044</v>
      </c>
      <c r="F1808" s="20">
        <v>2243497.88</v>
      </c>
      <c r="G1808" s="22">
        <v>46111</v>
      </c>
      <c r="H1808" t="s">
        <v>32</v>
      </c>
      <c r="I1808" s="51" t="str">
        <f>IFERROR(IF(VLOOKUP(E1808,extracto!C:C,1,FALSE)=E1808,"pagado","no pagado"),"no pagado")</f>
        <v>pagado</v>
      </c>
      <c r="J1808" s="52" t="str">
        <f t="shared" si="786"/>
        <v>pagado</v>
      </c>
      <c r="K1808" s="51" t="str">
        <f t="shared" ca="1" si="787"/>
        <v>excluir</v>
      </c>
      <c r="L1808" s="51" t="str">
        <f t="shared" ca="1" si="788"/>
        <v>no semana</v>
      </c>
      <c r="M1808" s="51" t="str">
        <f>IFERROR(VLOOKUP(E1808,'cheques a conf'!A:D,4,FALSE),"no clearing")</f>
        <v>no clearing</v>
      </c>
      <c r="N1808" s="51">
        <f t="shared" si="789"/>
        <v>14</v>
      </c>
      <c r="O1808" s="53">
        <f t="shared" si="790"/>
        <v>3</v>
      </c>
      <c r="P1808" s="53">
        <f t="shared" si="791"/>
        <v>2026</v>
      </c>
    </row>
    <row r="1809" spans="1:16" x14ac:dyDescent="0.25">
      <c r="A1809" s="21">
        <v>3000001348</v>
      </c>
      <c r="B1809" s="22">
        <v>46108</v>
      </c>
      <c r="C1809" s="20">
        <v>19699035.510000002</v>
      </c>
      <c r="D1809" s="21" t="s">
        <v>740</v>
      </c>
      <c r="E1809" s="21">
        <v>91002971</v>
      </c>
      <c r="F1809" s="20">
        <v>19699035.510000002</v>
      </c>
      <c r="G1809" s="22">
        <v>46111</v>
      </c>
      <c r="H1809" t="s">
        <v>79</v>
      </c>
      <c r="I1809" s="51" t="str">
        <f>IFERROR(IF(VLOOKUP(E1809,extracto!C:C,1,FALSE)=E1809,"pagado","no pagado"),"no pagado")</f>
        <v>pagado</v>
      </c>
      <c r="J1809" s="52" t="str">
        <f t="shared" si="786"/>
        <v>pagado</v>
      </c>
      <c r="K1809" s="51" t="str">
        <f t="shared" ca="1" si="787"/>
        <v>excluir</v>
      </c>
      <c r="L1809" s="51" t="str">
        <f t="shared" ca="1" si="788"/>
        <v>no semana</v>
      </c>
      <c r="M1809" s="51" t="str">
        <f>IFERROR(VLOOKUP(E1809,'cheques a conf'!A:D,4,FALSE),"no clearing")</f>
        <v>no clearing</v>
      </c>
      <c r="N1809" s="51">
        <f t="shared" si="789"/>
        <v>14</v>
      </c>
      <c r="O1809" s="53">
        <f t="shared" si="790"/>
        <v>3</v>
      </c>
      <c r="P1809" s="53">
        <f t="shared" si="791"/>
        <v>2026</v>
      </c>
    </row>
    <row r="1810" spans="1:16" x14ac:dyDescent="0.25">
      <c r="A1810" s="21">
        <v>3000001554</v>
      </c>
      <c r="B1810" s="22">
        <v>46108</v>
      </c>
      <c r="C1810" s="20">
        <v>649200</v>
      </c>
      <c r="D1810" s="21" t="s">
        <v>583</v>
      </c>
      <c r="E1810" s="21">
        <v>61301826</v>
      </c>
      <c r="F1810" s="20">
        <v>649200</v>
      </c>
      <c r="G1810" s="22">
        <v>46111</v>
      </c>
      <c r="H1810" t="s">
        <v>79</v>
      </c>
      <c r="I1810" s="51" t="str">
        <f>IFERROR(IF(VLOOKUP(E1810,extracto!C:C,1,FALSE)=E1810,"pagado","no pagado"),"no pagado")</f>
        <v>pagado</v>
      </c>
      <c r="J1810" s="52" t="str">
        <f t="shared" si="786"/>
        <v>pagado</v>
      </c>
      <c r="K1810" s="51" t="str">
        <f t="shared" ca="1" si="787"/>
        <v>excluir</v>
      </c>
      <c r="L1810" s="51" t="str">
        <f t="shared" ca="1" si="788"/>
        <v>no semana</v>
      </c>
      <c r="M1810" s="51" t="str">
        <f>IFERROR(VLOOKUP(E1810,'cheques a conf'!A:D,4,FALSE),"no clearing")</f>
        <v>no clearing</v>
      </c>
      <c r="N1810" s="51">
        <f t="shared" si="789"/>
        <v>14</v>
      </c>
      <c r="O1810" s="53">
        <f t="shared" si="790"/>
        <v>3</v>
      </c>
      <c r="P1810" s="53">
        <f t="shared" si="791"/>
        <v>2026</v>
      </c>
    </row>
    <row r="1811" spans="1:16" x14ac:dyDescent="0.25">
      <c r="A1811" s="21">
        <v>3000001696</v>
      </c>
      <c r="B1811" s="22">
        <v>46118</v>
      </c>
      <c r="C1811" s="20">
        <v>23575430.25</v>
      </c>
      <c r="D1811" s="21" t="s">
        <v>812</v>
      </c>
      <c r="E1811" s="21">
        <v>91002972</v>
      </c>
      <c r="F1811" s="20">
        <v>23575430.25</v>
      </c>
      <c r="G1811" s="22">
        <v>46122</v>
      </c>
      <c r="H1811" t="s">
        <v>79</v>
      </c>
      <c r="I1811" s="51" t="str">
        <f>IFERROR(IF(VLOOKUP(E1811,extracto!C:C,1,FALSE)=E1811,"pagado","no pagado"),"no pagado")</f>
        <v>pagado</v>
      </c>
      <c r="J1811" s="52" t="str">
        <f t="shared" si="786"/>
        <v>pagado</v>
      </c>
      <c r="K1811" s="51" t="str">
        <f t="shared" ca="1" si="787"/>
        <v>excluir</v>
      </c>
      <c r="L1811" s="51" t="str">
        <f t="shared" ca="1" si="788"/>
        <v>no semana</v>
      </c>
      <c r="M1811" s="51" t="str">
        <f>IFERROR(VLOOKUP(E1811,'cheques a conf'!A:D,4,FALSE),"no clearing")</f>
        <v>no clearing</v>
      </c>
      <c r="N1811" s="51">
        <f t="shared" si="789"/>
        <v>15</v>
      </c>
      <c r="O1811" s="53">
        <f t="shared" si="790"/>
        <v>4</v>
      </c>
      <c r="P1811" s="53">
        <f t="shared" si="791"/>
        <v>2026</v>
      </c>
    </row>
    <row r="1812" spans="1:16" x14ac:dyDescent="0.25">
      <c r="A1812" s="21">
        <v>3000001697</v>
      </c>
      <c r="B1812" s="22">
        <v>46118</v>
      </c>
      <c r="C1812" s="20">
        <v>5739462.1500000004</v>
      </c>
      <c r="D1812" s="21" t="s">
        <v>628</v>
      </c>
      <c r="E1812" s="21">
        <v>91002973</v>
      </c>
      <c r="F1812" s="20">
        <v>5739462.1500000004</v>
      </c>
      <c r="G1812" s="22">
        <v>46122</v>
      </c>
      <c r="H1812" t="s">
        <v>79</v>
      </c>
      <c r="I1812" s="51" t="str">
        <f>IFERROR(IF(VLOOKUP(E1812,extracto!C:C,1,FALSE)=E1812,"pagado","no pagado"),"no pagado")</f>
        <v>pagado</v>
      </c>
      <c r="J1812" s="52" t="str">
        <f t="shared" si="786"/>
        <v>pagado</v>
      </c>
      <c r="K1812" s="51" t="str">
        <f t="shared" ca="1" si="787"/>
        <v>excluir</v>
      </c>
      <c r="L1812" s="51" t="str">
        <f t="shared" ca="1" si="788"/>
        <v>no semana</v>
      </c>
      <c r="M1812" s="51" t="str">
        <f>IFERROR(VLOOKUP(E1812,'cheques a conf'!A:D,4,FALSE),"no clearing")</f>
        <v>no clearing</v>
      </c>
      <c r="N1812" s="51">
        <f t="shared" si="789"/>
        <v>15</v>
      </c>
      <c r="O1812" s="53">
        <f t="shared" si="790"/>
        <v>4</v>
      </c>
      <c r="P1812" s="53">
        <f t="shared" si="791"/>
        <v>2026</v>
      </c>
    </row>
    <row r="1813" spans="1:16" x14ac:dyDescent="0.25">
      <c r="A1813" s="21">
        <v>3000001698</v>
      </c>
      <c r="B1813" s="22">
        <v>46118</v>
      </c>
      <c r="C1813" s="20">
        <v>35006943.399999999</v>
      </c>
      <c r="D1813" s="21" t="s">
        <v>600</v>
      </c>
      <c r="E1813" s="21">
        <v>91002974</v>
      </c>
      <c r="F1813" s="20">
        <v>35006943.399999999</v>
      </c>
      <c r="G1813" s="22">
        <v>46122</v>
      </c>
      <c r="H1813" t="s">
        <v>79</v>
      </c>
      <c r="I1813" s="51" t="str">
        <f>IFERROR(IF(VLOOKUP(E1813,extracto!C:C,1,FALSE)=E1813,"pagado","no pagado"),"no pagado")</f>
        <v>pagado</v>
      </c>
      <c r="J1813" s="52" t="str">
        <f t="shared" si="786"/>
        <v>pagado</v>
      </c>
      <c r="K1813" s="51" t="str">
        <f t="shared" ca="1" si="787"/>
        <v>excluir</v>
      </c>
      <c r="L1813" s="51" t="str">
        <f t="shared" ca="1" si="788"/>
        <v>no semana</v>
      </c>
      <c r="M1813" s="51" t="str">
        <f>IFERROR(VLOOKUP(E1813,'cheques a conf'!A:D,4,FALSE),"no clearing")</f>
        <v>no clearing</v>
      </c>
      <c r="N1813" s="51">
        <f t="shared" si="789"/>
        <v>15</v>
      </c>
      <c r="O1813" s="53">
        <f t="shared" si="790"/>
        <v>4</v>
      </c>
      <c r="P1813" s="53">
        <f t="shared" si="791"/>
        <v>2026</v>
      </c>
    </row>
    <row r="1814" spans="1:16" x14ac:dyDescent="0.25">
      <c r="A1814" s="21">
        <v>3000001699</v>
      </c>
      <c r="B1814" s="22">
        <v>46118</v>
      </c>
      <c r="C1814" s="20">
        <v>9703847.4000000004</v>
      </c>
      <c r="D1814" s="21" t="s">
        <v>743</v>
      </c>
      <c r="E1814" s="21">
        <v>91002975</v>
      </c>
      <c r="F1814" s="20">
        <v>9703847.4000000004</v>
      </c>
      <c r="G1814" s="22">
        <v>46122</v>
      </c>
      <c r="H1814" t="s">
        <v>79</v>
      </c>
      <c r="I1814" s="51" t="str">
        <f>IFERROR(IF(VLOOKUP(E1814,extracto!C:C,1,FALSE)=E1814,"pagado","no pagado"),"no pagado")</f>
        <v>pagado</v>
      </c>
      <c r="J1814" s="52" t="str">
        <f t="shared" si="786"/>
        <v>pagado</v>
      </c>
      <c r="K1814" s="51" t="str">
        <f t="shared" ca="1" si="787"/>
        <v>excluir</v>
      </c>
      <c r="L1814" s="51" t="str">
        <f t="shared" ca="1" si="788"/>
        <v>no semana</v>
      </c>
      <c r="M1814" s="51" t="str">
        <f>IFERROR(VLOOKUP(E1814,'cheques a conf'!A:D,4,FALSE),"no clearing")</f>
        <v>no clearing</v>
      </c>
      <c r="N1814" s="51">
        <f t="shared" si="789"/>
        <v>15</v>
      </c>
      <c r="O1814" s="53">
        <f t="shared" si="790"/>
        <v>4</v>
      </c>
      <c r="P1814" s="53">
        <f t="shared" si="791"/>
        <v>2026</v>
      </c>
    </row>
    <row r="1815" spans="1:16" x14ac:dyDescent="0.25">
      <c r="A1815" s="21">
        <v>3000001700</v>
      </c>
      <c r="B1815" s="22">
        <v>46118</v>
      </c>
      <c r="C1815" s="20">
        <v>9118231.4000000004</v>
      </c>
      <c r="D1815" s="21" t="s">
        <v>610</v>
      </c>
      <c r="E1815" s="21">
        <v>91002976</v>
      </c>
      <c r="F1815" s="20">
        <v>9118231.4000000004</v>
      </c>
      <c r="G1815" s="22">
        <v>46122</v>
      </c>
      <c r="H1815" t="s">
        <v>79</v>
      </c>
      <c r="I1815" s="51" t="str">
        <f>IFERROR(IF(VLOOKUP(E1815,extracto!C:C,1,FALSE)=E1815,"pagado","no pagado"),"no pagado")</f>
        <v>pagado</v>
      </c>
      <c r="J1815" s="52" t="str">
        <f t="shared" si="786"/>
        <v>pagado</v>
      </c>
      <c r="K1815" s="51" t="str">
        <f t="shared" ca="1" si="787"/>
        <v>excluir</v>
      </c>
      <c r="L1815" s="51" t="str">
        <f t="shared" ca="1" si="788"/>
        <v>no semana</v>
      </c>
      <c r="M1815" s="51" t="str">
        <f>IFERROR(VLOOKUP(E1815,'cheques a conf'!A:D,4,FALSE),"no clearing")</f>
        <v>no clearing</v>
      </c>
      <c r="N1815" s="51">
        <f t="shared" si="789"/>
        <v>15</v>
      </c>
      <c r="O1815" s="53">
        <f t="shared" si="790"/>
        <v>4</v>
      </c>
      <c r="P1815" s="53">
        <f t="shared" si="791"/>
        <v>2026</v>
      </c>
    </row>
    <row r="1816" spans="1:16" x14ac:dyDescent="0.25">
      <c r="A1816" s="21">
        <v>3000001701</v>
      </c>
      <c r="B1816" s="22">
        <v>46118</v>
      </c>
      <c r="C1816" s="20">
        <v>18851123.23</v>
      </c>
      <c r="D1816" s="21" t="s">
        <v>579</v>
      </c>
      <c r="E1816" s="21">
        <v>91002977</v>
      </c>
      <c r="F1816" s="20">
        <v>18851123.23</v>
      </c>
      <c r="G1816" s="22">
        <v>46122</v>
      </c>
      <c r="H1816" t="s">
        <v>79</v>
      </c>
      <c r="I1816" s="51" t="str">
        <f>IFERROR(IF(VLOOKUP(E1816,extracto!C:C,1,FALSE)=E1816,"pagado","no pagado"),"no pagado")</f>
        <v>pagado</v>
      </c>
      <c r="J1816" s="52" t="str">
        <f t="shared" si="786"/>
        <v>pagado</v>
      </c>
      <c r="K1816" s="51" t="str">
        <f t="shared" ca="1" si="787"/>
        <v>excluir</v>
      </c>
      <c r="L1816" s="51" t="str">
        <f t="shared" ca="1" si="788"/>
        <v>no semana</v>
      </c>
      <c r="M1816" s="51" t="str">
        <f>IFERROR(VLOOKUP(E1816,'cheques a conf'!A:D,4,FALSE),"no clearing")</f>
        <v>no clearing</v>
      </c>
      <c r="N1816" s="51">
        <f t="shared" si="789"/>
        <v>15</v>
      </c>
      <c r="O1816" s="53">
        <f t="shared" si="790"/>
        <v>4</v>
      </c>
      <c r="P1816" s="53">
        <f t="shared" si="791"/>
        <v>2026</v>
      </c>
    </row>
    <row r="1817" spans="1:16" x14ac:dyDescent="0.25">
      <c r="A1817" s="21">
        <v>3000001702</v>
      </c>
      <c r="B1817" s="22">
        <v>46118</v>
      </c>
      <c r="C1817" s="20">
        <v>9139264.1799999997</v>
      </c>
      <c r="D1817" s="21" t="s">
        <v>71</v>
      </c>
      <c r="E1817" s="21">
        <v>91002978</v>
      </c>
      <c r="F1817" s="20">
        <v>9139264.1799999997</v>
      </c>
      <c r="G1817" s="22">
        <v>46122</v>
      </c>
      <c r="H1817" t="s">
        <v>79</v>
      </c>
      <c r="I1817" s="51" t="str">
        <f>IFERROR(IF(VLOOKUP(E1817,extracto!C:C,1,FALSE)=E1817,"pagado","no pagado"),"no pagado")</f>
        <v>pagado</v>
      </c>
      <c r="J1817" s="52" t="str">
        <f t="shared" si="786"/>
        <v>pagado</v>
      </c>
      <c r="K1817" s="51" t="str">
        <f t="shared" ca="1" si="787"/>
        <v>excluir</v>
      </c>
      <c r="L1817" s="51" t="str">
        <f t="shared" ca="1" si="788"/>
        <v>no semana</v>
      </c>
      <c r="M1817" s="51" t="str">
        <f>IFERROR(VLOOKUP(E1817,'cheques a conf'!A:D,4,FALSE),"no clearing")</f>
        <v>no clearing</v>
      </c>
      <c r="N1817" s="51">
        <f t="shared" si="789"/>
        <v>15</v>
      </c>
      <c r="O1817" s="53">
        <f t="shared" si="790"/>
        <v>4</v>
      </c>
      <c r="P1817" s="53">
        <f t="shared" si="791"/>
        <v>2026</v>
      </c>
    </row>
    <row r="1818" spans="1:16" x14ac:dyDescent="0.25">
      <c r="A1818" s="21">
        <v>3000001766</v>
      </c>
      <c r="B1818" s="22">
        <v>46120</v>
      </c>
      <c r="C1818" s="20">
        <v>16593343.4</v>
      </c>
      <c r="D1818" s="21" t="s">
        <v>761</v>
      </c>
      <c r="E1818" s="21">
        <v>91002979</v>
      </c>
      <c r="F1818" s="20">
        <v>16593343.4</v>
      </c>
      <c r="G1818" s="22">
        <v>46125</v>
      </c>
      <c r="H1818" t="s">
        <v>79</v>
      </c>
      <c r="I1818" s="51" t="str">
        <f>IFERROR(IF(VLOOKUP(E1818,extracto!C:C,1,FALSE)=E1818,"pagado","no pagado"),"no pagado")</f>
        <v>pagado</v>
      </c>
      <c r="J1818" s="52" t="str">
        <f t="shared" si="786"/>
        <v>pagado</v>
      </c>
      <c r="K1818" s="51" t="str">
        <f t="shared" ca="1" si="787"/>
        <v>excluir</v>
      </c>
      <c r="L1818" s="51" t="str">
        <f t="shared" ca="1" si="788"/>
        <v>no semana</v>
      </c>
      <c r="M1818" s="51" t="str">
        <f>IFERROR(VLOOKUP(E1818,'cheques a conf'!A:D,4,FALSE),"no clearing")</f>
        <v>no clearing</v>
      </c>
      <c r="N1818" s="51">
        <f t="shared" si="789"/>
        <v>16</v>
      </c>
      <c r="O1818" s="53">
        <f t="shared" si="790"/>
        <v>4</v>
      </c>
      <c r="P1818" s="53">
        <f t="shared" si="791"/>
        <v>2026</v>
      </c>
    </row>
    <row r="1819" spans="1:16" x14ac:dyDescent="0.25">
      <c r="A1819" s="21">
        <v>3000001767</v>
      </c>
      <c r="B1819" s="22">
        <v>46120</v>
      </c>
      <c r="C1819" s="20">
        <v>19457607.149999999</v>
      </c>
      <c r="D1819" s="21" t="s">
        <v>593</v>
      </c>
      <c r="E1819" s="21">
        <v>91002980</v>
      </c>
      <c r="F1819" s="20">
        <v>19457607.149999999</v>
      </c>
      <c r="G1819" s="22">
        <v>46125</v>
      </c>
      <c r="H1819" t="s">
        <v>79</v>
      </c>
      <c r="I1819" s="51" t="str">
        <f>IFERROR(IF(VLOOKUP(E1819,extracto!C:C,1,FALSE)=E1819,"pagado","no pagado"),"no pagado")</f>
        <v>pagado</v>
      </c>
      <c r="J1819" s="52" t="str">
        <f t="shared" si="786"/>
        <v>pagado</v>
      </c>
      <c r="K1819" s="51" t="str">
        <f t="shared" ca="1" si="787"/>
        <v>excluir</v>
      </c>
      <c r="L1819" s="51" t="str">
        <f t="shared" ca="1" si="788"/>
        <v>no semana</v>
      </c>
      <c r="M1819" s="51" t="str">
        <f>IFERROR(VLOOKUP(E1819,'cheques a conf'!A:D,4,FALSE),"no clearing")</f>
        <v>no clearing</v>
      </c>
      <c r="N1819" s="51">
        <f t="shared" si="789"/>
        <v>16</v>
      </c>
      <c r="O1819" s="53">
        <f t="shared" si="790"/>
        <v>4</v>
      </c>
      <c r="P1819" s="53">
        <f t="shared" si="791"/>
        <v>2026</v>
      </c>
    </row>
    <row r="1820" spans="1:16" x14ac:dyDescent="0.25">
      <c r="A1820" s="21">
        <v>3000001768</v>
      </c>
      <c r="B1820" s="22">
        <v>46120</v>
      </c>
      <c r="C1820" s="20">
        <v>3996370.85</v>
      </c>
      <c r="D1820" s="21" t="s">
        <v>688</v>
      </c>
      <c r="E1820" s="21">
        <v>91002981</v>
      </c>
      <c r="F1820" s="20">
        <v>3996370.85</v>
      </c>
      <c r="G1820" s="22">
        <v>46125</v>
      </c>
      <c r="H1820" t="s">
        <v>79</v>
      </c>
      <c r="I1820" s="51" t="str">
        <f>IFERROR(IF(VLOOKUP(E1820,extracto!C:C,1,FALSE)=E1820,"pagado","no pagado"),"no pagado")</f>
        <v>pagado</v>
      </c>
      <c r="J1820" s="52" t="str">
        <f t="shared" si="786"/>
        <v>pagado</v>
      </c>
      <c r="K1820" s="51" t="str">
        <f t="shared" ca="1" si="787"/>
        <v>excluir</v>
      </c>
      <c r="L1820" s="51" t="str">
        <f t="shared" ca="1" si="788"/>
        <v>no semana</v>
      </c>
      <c r="M1820" s="51" t="str">
        <f>IFERROR(VLOOKUP(E1820,'cheques a conf'!A:D,4,FALSE),"no clearing")</f>
        <v>no clearing</v>
      </c>
      <c r="N1820" s="51">
        <f t="shared" si="789"/>
        <v>16</v>
      </c>
      <c r="O1820" s="53">
        <f t="shared" si="790"/>
        <v>4</v>
      </c>
      <c r="P1820" s="53">
        <f t="shared" si="791"/>
        <v>2026</v>
      </c>
    </row>
    <row r="1821" spans="1:16" x14ac:dyDescent="0.25">
      <c r="A1821" s="21">
        <v>3000001769</v>
      </c>
      <c r="B1821" s="22">
        <v>46120</v>
      </c>
      <c r="C1821" s="20">
        <v>2243497.87</v>
      </c>
      <c r="D1821" s="21" t="s">
        <v>619</v>
      </c>
      <c r="E1821" s="21">
        <v>91002982</v>
      </c>
      <c r="F1821" s="20">
        <v>2243497.87</v>
      </c>
      <c r="G1821" s="22">
        <v>46125</v>
      </c>
      <c r="H1821" t="s">
        <v>79</v>
      </c>
      <c r="I1821" s="51" t="str">
        <f>IFERROR(IF(VLOOKUP(E1821,extracto!C:C,1,FALSE)=E1821,"pagado","no pagado"),"no pagado")</f>
        <v>pagado</v>
      </c>
      <c r="J1821" s="52" t="str">
        <f t="shared" si="786"/>
        <v>pagado</v>
      </c>
      <c r="K1821" s="51" t="str">
        <f t="shared" ca="1" si="787"/>
        <v>excluir</v>
      </c>
      <c r="L1821" s="51" t="str">
        <f t="shared" ca="1" si="788"/>
        <v>no semana</v>
      </c>
      <c r="M1821" s="51" t="str">
        <f>IFERROR(VLOOKUP(E1821,'cheques a conf'!A:D,4,FALSE),"no clearing")</f>
        <v>no clearing</v>
      </c>
      <c r="N1821" s="51">
        <f t="shared" si="789"/>
        <v>16</v>
      </c>
      <c r="O1821" s="53">
        <f t="shared" si="790"/>
        <v>4</v>
      </c>
      <c r="P1821" s="53">
        <f t="shared" si="791"/>
        <v>2026</v>
      </c>
    </row>
    <row r="1822" spans="1:16" x14ac:dyDescent="0.25">
      <c r="A1822" s="21">
        <v>3000001770</v>
      </c>
      <c r="B1822" s="22">
        <v>46120</v>
      </c>
      <c r="C1822" s="20">
        <v>2243665.7999999998</v>
      </c>
      <c r="D1822" s="21" t="s">
        <v>616</v>
      </c>
      <c r="E1822" s="21">
        <v>91002983</v>
      </c>
      <c r="F1822" s="20">
        <v>2243665.7999999998</v>
      </c>
      <c r="G1822" s="22">
        <v>46125</v>
      </c>
      <c r="H1822" t="s">
        <v>79</v>
      </c>
      <c r="I1822" s="51" t="str">
        <f>IFERROR(IF(VLOOKUP(E1822,extracto!C:C,1,FALSE)=E1822,"pagado","no pagado"),"no pagado")</f>
        <v>pagado</v>
      </c>
      <c r="J1822" s="52" t="str">
        <f t="shared" si="786"/>
        <v>pagado</v>
      </c>
      <c r="K1822" s="51" t="str">
        <f t="shared" ca="1" si="787"/>
        <v>excluir</v>
      </c>
      <c r="L1822" s="51" t="str">
        <f t="shared" ca="1" si="788"/>
        <v>no semana</v>
      </c>
      <c r="M1822" s="51" t="str">
        <f>IFERROR(VLOOKUP(E1822,'cheques a conf'!A:D,4,FALSE),"no clearing")</f>
        <v>no clearing</v>
      </c>
      <c r="N1822" s="51">
        <f t="shared" si="789"/>
        <v>16</v>
      </c>
      <c r="O1822" s="53">
        <f t="shared" si="790"/>
        <v>4</v>
      </c>
      <c r="P1822" s="53">
        <f t="shared" si="791"/>
        <v>2026</v>
      </c>
    </row>
    <row r="1823" spans="1:16" x14ac:dyDescent="0.25">
      <c r="A1823" s="21">
        <v>3000001771</v>
      </c>
      <c r="B1823" s="22">
        <v>46120</v>
      </c>
      <c r="C1823" s="20">
        <v>2040745.01</v>
      </c>
      <c r="D1823" s="21" t="s">
        <v>667</v>
      </c>
      <c r="E1823" s="21">
        <v>91002984</v>
      </c>
      <c r="F1823" s="20">
        <v>2040745.01</v>
      </c>
      <c r="G1823" s="22">
        <v>46125</v>
      </c>
      <c r="H1823" t="s">
        <v>79</v>
      </c>
      <c r="I1823" s="51" t="str">
        <f>IFERROR(IF(VLOOKUP(E1823,extracto!C:C,1,FALSE)=E1823,"pagado","no pagado"),"no pagado")</f>
        <v>pagado</v>
      </c>
      <c r="J1823" s="52" t="str">
        <f t="shared" si="786"/>
        <v>pagado</v>
      </c>
      <c r="K1823" s="51" t="str">
        <f t="shared" ca="1" si="787"/>
        <v>excluir</v>
      </c>
      <c r="L1823" s="51" t="str">
        <f t="shared" ca="1" si="788"/>
        <v>no semana</v>
      </c>
      <c r="M1823" s="51" t="str">
        <f>IFERROR(VLOOKUP(E1823,'cheques a conf'!A:D,4,FALSE),"no clearing")</f>
        <v>no clearing</v>
      </c>
      <c r="N1823" s="51">
        <f t="shared" si="789"/>
        <v>16</v>
      </c>
      <c r="O1823" s="53">
        <f t="shared" si="790"/>
        <v>4</v>
      </c>
      <c r="P1823" s="53">
        <f t="shared" si="791"/>
        <v>2026</v>
      </c>
    </row>
    <row r="1824" spans="1:16" x14ac:dyDescent="0.25">
      <c r="A1824" s="21">
        <v>3000001772</v>
      </c>
      <c r="B1824" s="22">
        <v>46120</v>
      </c>
      <c r="C1824" s="20">
        <v>4290889.25</v>
      </c>
      <c r="D1824" s="21" t="s">
        <v>85</v>
      </c>
      <c r="E1824" s="21">
        <v>91002985</v>
      </c>
      <c r="F1824" s="20">
        <v>4290889.25</v>
      </c>
      <c r="G1824" s="22">
        <v>46125</v>
      </c>
      <c r="H1824" t="s">
        <v>79</v>
      </c>
      <c r="I1824" s="51" t="str">
        <f>IFERROR(IF(VLOOKUP(E1824,extracto!C:C,1,FALSE)=E1824,"pagado","no pagado"),"no pagado")</f>
        <v>pagado</v>
      </c>
      <c r="J1824" s="52" t="str">
        <f t="shared" si="786"/>
        <v>pagado</v>
      </c>
      <c r="K1824" s="51" t="str">
        <f t="shared" ca="1" si="787"/>
        <v>excluir</v>
      </c>
      <c r="L1824" s="51" t="str">
        <f t="shared" ca="1" si="788"/>
        <v>no semana</v>
      </c>
      <c r="M1824" s="51" t="str">
        <f>IFERROR(VLOOKUP(E1824,'cheques a conf'!A:D,4,FALSE),"no clearing")</f>
        <v>no clearing</v>
      </c>
      <c r="N1824" s="51">
        <f t="shared" si="789"/>
        <v>16</v>
      </c>
      <c r="O1824" s="53">
        <f t="shared" si="790"/>
        <v>4</v>
      </c>
      <c r="P1824" s="53">
        <f t="shared" si="791"/>
        <v>2026</v>
      </c>
    </row>
    <row r="1825" spans="1:16" x14ac:dyDescent="0.25">
      <c r="A1825" s="21">
        <v>3000001773</v>
      </c>
      <c r="B1825" s="22">
        <v>46120</v>
      </c>
      <c r="C1825" s="20">
        <v>2527351.7799999998</v>
      </c>
      <c r="D1825" s="21" t="s">
        <v>642</v>
      </c>
      <c r="E1825" s="21">
        <v>91002986</v>
      </c>
      <c r="F1825" s="20">
        <v>2527351.7799999998</v>
      </c>
      <c r="G1825" s="22">
        <v>46125</v>
      </c>
      <c r="H1825" t="s">
        <v>79</v>
      </c>
      <c r="I1825" s="51" t="str">
        <f>IFERROR(IF(VLOOKUP(E1825,extracto!C:C,1,FALSE)=E1825,"pagado","no pagado"),"no pagado")</f>
        <v>pagado</v>
      </c>
      <c r="J1825" s="52" t="str">
        <f t="shared" si="786"/>
        <v>pagado</v>
      </c>
      <c r="K1825" s="51" t="str">
        <f t="shared" ca="1" si="787"/>
        <v>excluir</v>
      </c>
      <c r="L1825" s="51" t="str">
        <f t="shared" ca="1" si="788"/>
        <v>no semana</v>
      </c>
      <c r="M1825" s="51" t="str">
        <f>IFERROR(VLOOKUP(E1825,'cheques a conf'!A:D,4,FALSE),"no clearing")</f>
        <v>no clearing</v>
      </c>
      <c r="N1825" s="51">
        <f t="shared" si="789"/>
        <v>16</v>
      </c>
      <c r="O1825" s="53">
        <f t="shared" si="790"/>
        <v>4</v>
      </c>
      <c r="P1825" s="53">
        <f t="shared" si="791"/>
        <v>2026</v>
      </c>
    </row>
    <row r="1826" spans="1:16" x14ac:dyDescent="0.25">
      <c r="A1826" s="21">
        <v>3000001871</v>
      </c>
      <c r="B1826" s="22">
        <v>46125</v>
      </c>
      <c r="C1826" s="20">
        <v>1400000</v>
      </c>
      <c r="D1826" s="21" t="s">
        <v>583</v>
      </c>
      <c r="E1826" s="21">
        <v>61301827</v>
      </c>
      <c r="F1826" s="20">
        <v>1400000</v>
      </c>
      <c r="G1826" s="22">
        <v>46127</v>
      </c>
      <c r="H1826" t="s">
        <v>79</v>
      </c>
      <c r="I1826" s="51" t="str">
        <f>IFERROR(IF(VLOOKUP(E1826,extracto!C:C,1,FALSE)=E1826,"pagado","no pagado"),"no pagado")</f>
        <v>pagado</v>
      </c>
      <c r="J1826" s="52" t="str">
        <f t="shared" si="786"/>
        <v>pagado</v>
      </c>
      <c r="K1826" s="51" t="str">
        <f t="shared" ca="1" si="787"/>
        <v>excluir</v>
      </c>
      <c r="L1826" s="51" t="str">
        <f t="shared" ca="1" si="788"/>
        <v>no semana</v>
      </c>
      <c r="M1826" s="51" t="str">
        <f>IFERROR(VLOOKUP(E1826,'cheques a conf'!A:D,4,FALSE),"no clearing")</f>
        <v>no clearing</v>
      </c>
      <c r="N1826" s="51">
        <f t="shared" si="789"/>
        <v>16</v>
      </c>
      <c r="O1826" s="53">
        <f t="shared" si="790"/>
        <v>4</v>
      </c>
      <c r="P1826" s="53">
        <f t="shared" si="791"/>
        <v>2026</v>
      </c>
    </row>
    <row r="1827" spans="1:16" x14ac:dyDescent="0.25">
      <c r="A1827" s="21">
        <v>3000001943</v>
      </c>
      <c r="B1827" s="22">
        <v>46126</v>
      </c>
      <c r="C1827" s="20">
        <v>459580.12</v>
      </c>
      <c r="D1827" s="21" t="s">
        <v>852</v>
      </c>
      <c r="E1827" s="21">
        <v>61301828</v>
      </c>
      <c r="F1827" s="20">
        <v>459580.12</v>
      </c>
      <c r="G1827" s="22">
        <v>46128</v>
      </c>
      <c r="H1827" t="s">
        <v>79</v>
      </c>
      <c r="I1827" s="51" t="str">
        <f>IFERROR(IF(VLOOKUP(E1827,extracto!C:C,1,FALSE)=E1827,"pagado","no pagado"),"no pagado")</f>
        <v>pagado</v>
      </c>
      <c r="J1827" s="52" t="str">
        <f t="shared" si="786"/>
        <v>pagado</v>
      </c>
      <c r="K1827" s="51" t="str">
        <f t="shared" ca="1" si="787"/>
        <v>excluir</v>
      </c>
      <c r="L1827" s="51" t="str">
        <f t="shared" ca="1" si="788"/>
        <v>no semana</v>
      </c>
      <c r="M1827" s="51" t="str">
        <f>IFERROR(VLOOKUP(E1827,'cheques a conf'!A:D,4,FALSE),"no clearing")</f>
        <v>no clearing</v>
      </c>
      <c r="N1827" s="51">
        <f t="shared" si="789"/>
        <v>16</v>
      </c>
      <c r="O1827" s="53">
        <f t="shared" si="790"/>
        <v>4</v>
      </c>
      <c r="P1827" s="53">
        <f t="shared" si="791"/>
        <v>2026</v>
      </c>
    </row>
    <row r="1828" spans="1:16" x14ac:dyDescent="0.25">
      <c r="A1828" s="21">
        <v>3000001880</v>
      </c>
      <c r="B1828" s="22">
        <v>46125</v>
      </c>
      <c r="C1828" s="20">
        <v>44368343.399999999</v>
      </c>
      <c r="D1828" s="21" t="s">
        <v>629</v>
      </c>
      <c r="E1828" s="21">
        <v>91002987</v>
      </c>
      <c r="F1828" s="20">
        <v>44368343.399999999</v>
      </c>
      <c r="G1828" s="22">
        <v>46127</v>
      </c>
      <c r="H1828" t="s">
        <v>79</v>
      </c>
      <c r="I1828" s="51" t="str">
        <f>IFERROR(IF(VLOOKUP(E1828,extracto!C:C,1,FALSE)=E1828,"pagado","no pagado"),"no pagado")</f>
        <v>pagado</v>
      </c>
      <c r="J1828" s="52" t="str">
        <f t="shared" si="786"/>
        <v>pagado</v>
      </c>
      <c r="K1828" s="51" t="str">
        <f t="shared" ca="1" si="787"/>
        <v>excluir</v>
      </c>
      <c r="L1828" s="51" t="str">
        <f t="shared" ca="1" si="788"/>
        <v>no semana</v>
      </c>
      <c r="M1828" s="51" t="str">
        <f>IFERROR(VLOOKUP(E1828,'cheques a conf'!A:D,4,FALSE),"no clearing")</f>
        <v>no clearing</v>
      </c>
      <c r="N1828" s="51">
        <f t="shared" si="789"/>
        <v>16</v>
      </c>
      <c r="O1828" s="53">
        <f t="shared" si="790"/>
        <v>4</v>
      </c>
      <c r="P1828" s="53">
        <f t="shared" si="791"/>
        <v>2026</v>
      </c>
    </row>
    <row r="1829" spans="1:16" x14ac:dyDescent="0.25">
      <c r="A1829" s="21">
        <v>3000001881</v>
      </c>
      <c r="B1829" s="22">
        <v>46125</v>
      </c>
      <c r="C1829" s="20">
        <v>10242029.73</v>
      </c>
      <c r="D1829" s="21" t="s">
        <v>607</v>
      </c>
      <c r="E1829" s="21">
        <v>91002988</v>
      </c>
      <c r="F1829" s="20">
        <v>10242029.73</v>
      </c>
      <c r="G1829" s="22">
        <v>46127</v>
      </c>
      <c r="H1829" t="s">
        <v>79</v>
      </c>
      <c r="I1829" s="51" t="str">
        <f>IFERROR(IF(VLOOKUP(E1829,extracto!C:C,1,FALSE)=E1829,"pagado","no pagado"),"no pagado")</f>
        <v>pagado</v>
      </c>
      <c r="J1829" s="52" t="str">
        <f t="shared" si="786"/>
        <v>pagado</v>
      </c>
      <c r="K1829" s="51" t="str">
        <f t="shared" ca="1" si="787"/>
        <v>excluir</v>
      </c>
      <c r="L1829" s="51" t="str">
        <f t="shared" ca="1" si="788"/>
        <v>no semana</v>
      </c>
      <c r="M1829" s="51" t="str">
        <f>IFERROR(VLOOKUP(E1829,'cheques a conf'!A:D,4,FALSE),"no clearing")</f>
        <v>no clearing</v>
      </c>
      <c r="N1829" s="51">
        <f t="shared" si="789"/>
        <v>16</v>
      </c>
      <c r="O1829" s="53">
        <f t="shared" si="790"/>
        <v>4</v>
      </c>
      <c r="P1829" s="53">
        <f t="shared" si="791"/>
        <v>2026</v>
      </c>
    </row>
    <row r="1830" spans="1:16" x14ac:dyDescent="0.25">
      <c r="A1830" s="21">
        <v>3000001883</v>
      </c>
      <c r="B1830" s="22">
        <v>46125</v>
      </c>
      <c r="C1830" s="20">
        <v>6113834.4000000004</v>
      </c>
      <c r="D1830" s="21" t="s">
        <v>182</v>
      </c>
      <c r="E1830" s="21">
        <v>91002989</v>
      </c>
      <c r="F1830" s="20">
        <v>6113834.4000000004</v>
      </c>
      <c r="G1830" s="22">
        <v>46127</v>
      </c>
      <c r="H1830" t="s">
        <v>79</v>
      </c>
      <c r="I1830" s="51" t="str">
        <f>IFERROR(IF(VLOOKUP(E1830,extracto!C:C,1,FALSE)=E1830,"pagado","no pagado"),"no pagado")</f>
        <v>pagado</v>
      </c>
      <c r="J1830" s="52" t="str">
        <f t="shared" si="786"/>
        <v>pagado</v>
      </c>
      <c r="K1830" s="51" t="str">
        <f t="shared" ca="1" si="787"/>
        <v>excluir</v>
      </c>
      <c r="L1830" s="51" t="str">
        <f t="shared" ca="1" si="788"/>
        <v>no semana</v>
      </c>
      <c r="M1830" s="51" t="str">
        <f>IFERROR(VLOOKUP(E1830,'cheques a conf'!A:D,4,FALSE),"no clearing")</f>
        <v>no clearing</v>
      </c>
      <c r="N1830" s="51">
        <f t="shared" si="789"/>
        <v>16</v>
      </c>
      <c r="O1830" s="53">
        <f t="shared" si="790"/>
        <v>4</v>
      </c>
      <c r="P1830" s="53">
        <f t="shared" si="791"/>
        <v>2026</v>
      </c>
    </row>
    <row r="1831" spans="1:16" x14ac:dyDescent="0.25">
      <c r="A1831" s="21">
        <v>3000001884</v>
      </c>
      <c r="B1831" s="22">
        <v>46125</v>
      </c>
      <c r="C1831" s="20">
        <v>22548375</v>
      </c>
      <c r="D1831" s="21" t="s">
        <v>592</v>
      </c>
      <c r="E1831" s="21">
        <v>91002990</v>
      </c>
      <c r="F1831" s="20">
        <v>22548375</v>
      </c>
      <c r="G1831" s="22">
        <v>46127</v>
      </c>
      <c r="H1831" t="s">
        <v>79</v>
      </c>
      <c r="I1831" s="51" t="str">
        <f>IFERROR(IF(VLOOKUP(E1831,extracto!C:C,1,FALSE)=E1831,"pagado","no pagado"),"no pagado")</f>
        <v>pagado</v>
      </c>
      <c r="J1831" s="52" t="str">
        <f t="shared" si="786"/>
        <v>pagado</v>
      </c>
      <c r="K1831" s="51" t="str">
        <f t="shared" ca="1" si="787"/>
        <v>excluir</v>
      </c>
      <c r="L1831" s="51" t="str">
        <f t="shared" ca="1" si="788"/>
        <v>no semana</v>
      </c>
      <c r="M1831" s="51" t="str">
        <f>IFERROR(VLOOKUP(E1831,'cheques a conf'!A:D,4,FALSE),"no clearing")</f>
        <v>no clearing</v>
      </c>
      <c r="N1831" s="51">
        <f t="shared" si="789"/>
        <v>16</v>
      </c>
      <c r="O1831" s="53">
        <f t="shared" si="790"/>
        <v>4</v>
      </c>
      <c r="P1831" s="53">
        <f t="shared" si="791"/>
        <v>2026</v>
      </c>
    </row>
    <row r="1832" spans="1:16" x14ac:dyDescent="0.25">
      <c r="A1832" s="21">
        <v>3000001885</v>
      </c>
      <c r="B1832" s="22">
        <v>46125</v>
      </c>
      <c r="C1832" s="20">
        <v>5131056.05</v>
      </c>
      <c r="D1832" s="21" t="s">
        <v>613</v>
      </c>
      <c r="E1832" s="21">
        <v>91002991</v>
      </c>
      <c r="F1832" s="20">
        <v>5131056.05</v>
      </c>
      <c r="G1832" s="22">
        <v>46127</v>
      </c>
      <c r="H1832" t="s">
        <v>79</v>
      </c>
      <c r="I1832" s="51" t="str">
        <f>IFERROR(IF(VLOOKUP(E1832,extracto!C:C,1,FALSE)=E1832,"pagado","no pagado"),"no pagado")</f>
        <v>pagado</v>
      </c>
      <c r="J1832" s="52" t="str">
        <f t="shared" si="786"/>
        <v>pagado</v>
      </c>
      <c r="K1832" s="51" t="str">
        <f t="shared" ca="1" si="787"/>
        <v>excluir</v>
      </c>
      <c r="L1832" s="51" t="str">
        <f t="shared" ca="1" si="788"/>
        <v>no semana</v>
      </c>
      <c r="M1832" s="51" t="str">
        <f>IFERROR(VLOOKUP(E1832,'cheques a conf'!A:D,4,FALSE),"no clearing")</f>
        <v>no clearing</v>
      </c>
      <c r="N1832" s="51">
        <f t="shared" si="789"/>
        <v>16</v>
      </c>
      <c r="O1832" s="53">
        <f t="shared" si="790"/>
        <v>4</v>
      </c>
      <c r="P1832" s="53">
        <f t="shared" si="791"/>
        <v>2026</v>
      </c>
    </row>
    <row r="1833" spans="1:16" x14ac:dyDescent="0.25">
      <c r="A1833" s="21">
        <v>3000001886</v>
      </c>
      <c r="B1833" s="22">
        <v>46125</v>
      </c>
      <c r="C1833" s="20">
        <v>10826452.17</v>
      </c>
      <c r="D1833" s="21" t="s">
        <v>740</v>
      </c>
      <c r="E1833" s="21">
        <v>91002992</v>
      </c>
      <c r="F1833" s="20">
        <v>10826452.17</v>
      </c>
      <c r="G1833" s="22">
        <v>46127</v>
      </c>
      <c r="H1833" t="s">
        <v>79</v>
      </c>
      <c r="I1833" s="51" t="str">
        <f>IFERROR(IF(VLOOKUP(E1833,extracto!C:C,1,FALSE)=E1833,"pagado","no pagado"),"no pagado")</f>
        <v>pagado</v>
      </c>
      <c r="J1833" s="52" t="str">
        <f t="shared" si="786"/>
        <v>pagado</v>
      </c>
      <c r="K1833" s="51" t="str">
        <f t="shared" ca="1" si="787"/>
        <v>excluir</v>
      </c>
      <c r="L1833" s="51" t="str">
        <f t="shared" ca="1" si="788"/>
        <v>no semana</v>
      </c>
      <c r="M1833" s="51" t="str">
        <f>IFERROR(VLOOKUP(E1833,'cheques a conf'!A:D,4,FALSE),"no clearing")</f>
        <v>no clearing</v>
      </c>
      <c r="N1833" s="51">
        <f t="shared" si="789"/>
        <v>16</v>
      </c>
      <c r="O1833" s="53">
        <f t="shared" si="790"/>
        <v>4</v>
      </c>
      <c r="P1833" s="53">
        <f t="shared" si="791"/>
        <v>2026</v>
      </c>
    </row>
    <row r="1834" spans="1:16" x14ac:dyDescent="0.25">
      <c r="A1834" s="21">
        <v>3000001887</v>
      </c>
      <c r="B1834" s="22">
        <v>46125</v>
      </c>
      <c r="C1834" s="20">
        <v>173851885.88999999</v>
      </c>
      <c r="D1834" s="21" t="s">
        <v>29</v>
      </c>
      <c r="E1834" s="21">
        <v>91002993</v>
      </c>
      <c r="F1834" s="20">
        <v>173851885.88999999</v>
      </c>
      <c r="G1834" s="22">
        <v>46127</v>
      </c>
      <c r="H1834" t="s">
        <v>79</v>
      </c>
      <c r="I1834" s="51" t="str">
        <f>IFERROR(IF(VLOOKUP(E1834,extracto!C:C,1,FALSE)=E1834,"pagado","no pagado"),"no pagado")</f>
        <v>pagado</v>
      </c>
      <c r="J1834" s="52" t="str">
        <f t="shared" si="786"/>
        <v>pagado</v>
      </c>
      <c r="K1834" s="51" t="str">
        <f t="shared" ca="1" si="787"/>
        <v>excluir</v>
      </c>
      <c r="L1834" s="51" t="str">
        <f t="shared" ca="1" si="788"/>
        <v>no semana</v>
      </c>
      <c r="M1834" s="51" t="str">
        <f>IFERROR(VLOOKUP(E1834,'cheques a conf'!A:D,4,FALSE),"no clearing")</f>
        <v>no clearing</v>
      </c>
      <c r="N1834" s="51">
        <f t="shared" si="789"/>
        <v>16</v>
      </c>
      <c r="O1834" s="53">
        <f t="shared" si="790"/>
        <v>4</v>
      </c>
      <c r="P1834" s="53">
        <f t="shared" si="791"/>
        <v>2026</v>
      </c>
    </row>
    <row r="1835" spans="1:16" x14ac:dyDescent="0.25">
      <c r="A1835" s="21">
        <v>3000001888</v>
      </c>
      <c r="B1835" s="22">
        <v>46125</v>
      </c>
      <c r="C1835" s="20">
        <v>21749242.460000001</v>
      </c>
      <c r="D1835" s="21" t="s">
        <v>74</v>
      </c>
      <c r="E1835" s="21">
        <v>91002994</v>
      </c>
      <c r="F1835" s="20">
        <v>21749242.460000001</v>
      </c>
      <c r="G1835" s="22">
        <v>46128</v>
      </c>
      <c r="H1835" t="s">
        <v>79</v>
      </c>
      <c r="I1835" s="51" t="str">
        <f>IFERROR(IF(VLOOKUP(E1835,extracto!C:C,1,FALSE)=E1835,"pagado","no pagado"),"no pagado")</f>
        <v>pagado</v>
      </c>
      <c r="J1835" s="52" t="str">
        <f t="shared" si="786"/>
        <v>pagado</v>
      </c>
      <c r="K1835" s="51" t="str">
        <f t="shared" ca="1" si="787"/>
        <v>excluir</v>
      </c>
      <c r="L1835" s="51" t="str">
        <f t="shared" ca="1" si="788"/>
        <v>no semana</v>
      </c>
      <c r="M1835" s="51" t="str">
        <f>IFERROR(VLOOKUP(E1835,'cheques a conf'!A:D,4,FALSE),"no clearing")</f>
        <v>no clearing</v>
      </c>
      <c r="N1835" s="51">
        <f t="shared" si="789"/>
        <v>16</v>
      </c>
      <c r="O1835" s="53">
        <f t="shared" si="790"/>
        <v>4</v>
      </c>
      <c r="P1835" s="53">
        <f t="shared" si="791"/>
        <v>2026</v>
      </c>
    </row>
    <row r="1836" spans="1:16" x14ac:dyDescent="0.25">
      <c r="A1836" s="21">
        <v>3000001882</v>
      </c>
      <c r="B1836" s="22">
        <v>46125</v>
      </c>
      <c r="C1836" s="20">
        <v>15085000</v>
      </c>
      <c r="D1836" s="21" t="s">
        <v>595</v>
      </c>
      <c r="E1836" s="21">
        <v>91002995</v>
      </c>
      <c r="F1836" s="20">
        <v>15085000</v>
      </c>
      <c r="G1836" s="22">
        <v>46127</v>
      </c>
      <c r="H1836" t="s">
        <v>79</v>
      </c>
      <c r="I1836" s="51" t="str">
        <f>IFERROR(IF(VLOOKUP(E1836,extracto!C:C,1,FALSE)=E1836,"pagado","no pagado"),"no pagado")</f>
        <v>pagado</v>
      </c>
      <c r="J1836" s="52" t="str">
        <f t="shared" si="786"/>
        <v>pagado</v>
      </c>
      <c r="K1836" s="51" t="str">
        <f t="shared" ca="1" si="787"/>
        <v>excluir</v>
      </c>
      <c r="L1836" s="51" t="str">
        <f t="shared" ca="1" si="788"/>
        <v>no semana</v>
      </c>
      <c r="M1836" s="51" t="str">
        <f>IFERROR(VLOOKUP(E1836,'cheques a conf'!A:D,4,FALSE),"no clearing")</f>
        <v>no clearing</v>
      </c>
      <c r="N1836" s="51">
        <f t="shared" si="789"/>
        <v>16</v>
      </c>
      <c r="O1836" s="53">
        <f t="shared" si="790"/>
        <v>4</v>
      </c>
      <c r="P1836" s="53">
        <f t="shared" si="791"/>
        <v>2026</v>
      </c>
    </row>
    <row r="1837" spans="1:16" x14ac:dyDescent="0.25">
      <c r="A1837" s="21">
        <v>3000001882</v>
      </c>
      <c r="B1837" s="22">
        <v>46125</v>
      </c>
      <c r="C1837" s="20">
        <v>12500000</v>
      </c>
      <c r="D1837" s="21" t="s">
        <v>595</v>
      </c>
      <c r="E1837" s="21">
        <v>91002996</v>
      </c>
      <c r="F1837" s="20">
        <v>12500000</v>
      </c>
      <c r="G1837" s="22">
        <v>46127</v>
      </c>
      <c r="H1837" t="s">
        <v>79</v>
      </c>
      <c r="I1837" s="51" t="str">
        <f>IFERROR(IF(VLOOKUP(E1837,extracto!C:C,1,FALSE)=E1837,"pagado","no pagado"),"no pagado")</f>
        <v>pagado</v>
      </c>
      <c r="J1837" s="52" t="str">
        <f t="shared" si="786"/>
        <v>pagado</v>
      </c>
      <c r="K1837" s="51" t="str">
        <f t="shared" ca="1" si="787"/>
        <v>excluir</v>
      </c>
      <c r="L1837" s="51" t="str">
        <f t="shared" ca="1" si="788"/>
        <v>no semana</v>
      </c>
      <c r="M1837" s="51" t="str">
        <f>IFERROR(VLOOKUP(E1837,'cheques a conf'!A:D,4,FALSE),"no clearing")</f>
        <v>no clearing</v>
      </c>
      <c r="N1837" s="51">
        <f t="shared" si="789"/>
        <v>16</v>
      </c>
      <c r="O1837" s="53">
        <f t="shared" si="790"/>
        <v>4</v>
      </c>
      <c r="P1837" s="53">
        <f t="shared" si="791"/>
        <v>2026</v>
      </c>
    </row>
    <row r="1838" spans="1:16" x14ac:dyDescent="0.25">
      <c r="A1838" s="21">
        <v>3000001882</v>
      </c>
      <c r="B1838" s="22">
        <v>46125</v>
      </c>
      <c r="C1838" s="20">
        <v>8000000</v>
      </c>
      <c r="D1838" s="21" t="s">
        <v>595</v>
      </c>
      <c r="E1838" s="21">
        <v>91002997</v>
      </c>
      <c r="F1838" s="20">
        <v>8000000</v>
      </c>
      <c r="G1838" s="22">
        <v>46127</v>
      </c>
      <c r="H1838" t="s">
        <v>79</v>
      </c>
      <c r="I1838" s="51" t="str">
        <f>IFERROR(IF(VLOOKUP(E1838,extracto!C:C,1,FALSE)=E1838,"pagado","no pagado"),"no pagado")</f>
        <v>pagado</v>
      </c>
      <c r="J1838" s="52" t="str">
        <f t="shared" si="786"/>
        <v>pagado</v>
      </c>
      <c r="K1838" s="51" t="str">
        <f t="shared" ca="1" si="787"/>
        <v>excluir</v>
      </c>
      <c r="L1838" s="51" t="str">
        <f t="shared" ca="1" si="788"/>
        <v>no semana</v>
      </c>
      <c r="M1838" s="51" t="str">
        <f>IFERROR(VLOOKUP(E1838,'cheques a conf'!A:D,4,FALSE),"no clearing")</f>
        <v>no clearing</v>
      </c>
      <c r="N1838" s="51">
        <f t="shared" si="789"/>
        <v>16</v>
      </c>
      <c r="O1838" s="53">
        <f t="shared" si="790"/>
        <v>4</v>
      </c>
      <c r="P1838" s="53">
        <f t="shared" si="791"/>
        <v>2026</v>
      </c>
    </row>
    <row r="1839" spans="1:16" x14ac:dyDescent="0.25">
      <c r="A1839" s="21">
        <v>3000001882</v>
      </c>
      <c r="B1839" s="22">
        <v>46125</v>
      </c>
      <c r="C1839" s="20">
        <v>4619219</v>
      </c>
      <c r="D1839" s="21" t="s">
        <v>595</v>
      </c>
      <c r="E1839" s="21">
        <v>91002998</v>
      </c>
      <c r="F1839" s="20">
        <v>4619219</v>
      </c>
      <c r="G1839" s="22">
        <v>46127</v>
      </c>
      <c r="H1839" t="s">
        <v>79</v>
      </c>
      <c r="I1839" s="51" t="str">
        <f>IFERROR(IF(VLOOKUP(E1839,extracto!C:C,1,FALSE)=E1839,"pagado","no pagado"),"no pagado")</f>
        <v>pagado</v>
      </c>
      <c r="J1839" s="52" t="str">
        <f t="shared" si="786"/>
        <v>pagado</v>
      </c>
      <c r="K1839" s="51" t="str">
        <f t="shared" ca="1" si="787"/>
        <v>excluir</v>
      </c>
      <c r="L1839" s="51" t="str">
        <f t="shared" ca="1" si="788"/>
        <v>no semana</v>
      </c>
      <c r="M1839" s="51" t="str">
        <f>IFERROR(VLOOKUP(E1839,'cheques a conf'!A:D,4,FALSE),"no clearing")</f>
        <v>no clearing</v>
      </c>
      <c r="N1839" s="51">
        <f t="shared" si="789"/>
        <v>16</v>
      </c>
      <c r="O1839" s="53">
        <f t="shared" si="790"/>
        <v>4</v>
      </c>
      <c r="P1839" s="53">
        <f t="shared" si="791"/>
        <v>2026</v>
      </c>
    </row>
    <row r="1840" spans="1:16" x14ac:dyDescent="0.25">
      <c r="A1840" s="21">
        <v>3000001882</v>
      </c>
      <c r="B1840" s="22">
        <v>46125</v>
      </c>
      <c r="C1840" s="20">
        <v>2149975</v>
      </c>
      <c r="D1840" s="21" t="s">
        <v>595</v>
      </c>
      <c r="E1840" s="21">
        <v>91002999</v>
      </c>
      <c r="F1840" s="20">
        <v>2149975</v>
      </c>
      <c r="G1840" s="22">
        <v>46127</v>
      </c>
      <c r="H1840" t="s">
        <v>79</v>
      </c>
      <c r="I1840" s="51" t="str">
        <f>IFERROR(IF(VLOOKUP(E1840,extracto!C:C,1,FALSE)=E1840,"pagado","no pagado"),"no pagado")</f>
        <v>pagado</v>
      </c>
      <c r="J1840" s="52" t="str">
        <f t="shared" si="786"/>
        <v>pagado</v>
      </c>
      <c r="K1840" s="51" t="str">
        <f t="shared" ca="1" si="787"/>
        <v>excluir</v>
      </c>
      <c r="L1840" s="51" t="str">
        <f t="shared" ca="1" si="788"/>
        <v>no semana</v>
      </c>
      <c r="M1840" s="51" t="str">
        <f>IFERROR(VLOOKUP(E1840,'cheques a conf'!A:D,4,FALSE),"no clearing")</f>
        <v>no clearing</v>
      </c>
      <c r="N1840" s="51">
        <f t="shared" si="789"/>
        <v>16</v>
      </c>
      <c r="O1840" s="53">
        <f t="shared" si="790"/>
        <v>4</v>
      </c>
      <c r="P1840" s="53">
        <f t="shared" si="791"/>
        <v>2026</v>
      </c>
    </row>
    <row r="1841" spans="1:16" x14ac:dyDescent="0.25">
      <c r="A1841" s="21">
        <v>3000001882</v>
      </c>
      <c r="B1841" s="22">
        <v>46125</v>
      </c>
      <c r="C1841" s="20">
        <v>147744535.21000001</v>
      </c>
      <c r="D1841" s="21" t="s">
        <v>595</v>
      </c>
      <c r="E1841" s="21">
        <v>91003000</v>
      </c>
      <c r="F1841" s="20">
        <v>147744535.21000001</v>
      </c>
      <c r="G1841" s="22">
        <v>46128</v>
      </c>
      <c r="H1841" t="s">
        <v>79</v>
      </c>
      <c r="I1841" s="51" t="str">
        <f>IFERROR(IF(VLOOKUP(E1841,extracto!C:C,1,FALSE)=E1841,"pagado","no pagado"),"no pagado")</f>
        <v>pagado</v>
      </c>
      <c r="J1841" s="52" t="str">
        <f t="shared" si="786"/>
        <v>pagado</v>
      </c>
      <c r="K1841" s="51" t="str">
        <f t="shared" ca="1" si="787"/>
        <v>excluir</v>
      </c>
      <c r="L1841" s="51" t="str">
        <f t="shared" ca="1" si="788"/>
        <v>no semana</v>
      </c>
      <c r="M1841" s="51" t="str">
        <f>IFERROR(VLOOKUP(E1841,'cheques a conf'!A:D,4,FALSE),"no clearing")</f>
        <v>no clearing</v>
      </c>
      <c r="N1841" s="51">
        <f t="shared" si="789"/>
        <v>16</v>
      </c>
      <c r="O1841" s="53">
        <f t="shared" si="790"/>
        <v>4</v>
      </c>
      <c r="P1841" s="53">
        <f t="shared" si="791"/>
        <v>2026</v>
      </c>
    </row>
    <row r="1842" spans="1:16" x14ac:dyDescent="0.25">
      <c r="A1842" s="21">
        <v>3000001890</v>
      </c>
      <c r="B1842" s="22">
        <v>46125</v>
      </c>
      <c r="C1842" s="20">
        <v>1947595.77</v>
      </c>
      <c r="D1842" s="21" t="s">
        <v>790</v>
      </c>
      <c r="E1842" s="21">
        <v>91003001</v>
      </c>
      <c r="F1842" s="20">
        <v>1947595.77</v>
      </c>
      <c r="G1842" s="22">
        <v>46127</v>
      </c>
      <c r="H1842" t="s">
        <v>79</v>
      </c>
      <c r="I1842" s="51" t="str">
        <f>IFERROR(IF(VLOOKUP(E1842,extracto!C:C,1,FALSE)=E1842,"pagado","no pagado"),"no pagado")</f>
        <v>pagado</v>
      </c>
      <c r="J1842" s="52" t="str">
        <f t="shared" si="786"/>
        <v>pagado</v>
      </c>
      <c r="K1842" s="51" t="str">
        <f t="shared" ca="1" si="787"/>
        <v>excluir</v>
      </c>
      <c r="L1842" s="51" t="str">
        <f t="shared" ca="1" si="788"/>
        <v>no semana</v>
      </c>
      <c r="M1842" s="51" t="str">
        <f>IFERROR(VLOOKUP(E1842,'cheques a conf'!A:D,4,FALSE),"no clearing")</f>
        <v>no clearing</v>
      </c>
      <c r="N1842" s="51">
        <f t="shared" si="789"/>
        <v>16</v>
      </c>
      <c r="O1842" s="53">
        <f t="shared" si="790"/>
        <v>4</v>
      </c>
      <c r="P1842" s="53">
        <f t="shared" si="791"/>
        <v>2026</v>
      </c>
    </row>
    <row r="1843" spans="1:16" x14ac:dyDescent="0.25">
      <c r="A1843" s="21">
        <v>3000001890</v>
      </c>
      <c r="B1843" s="22">
        <v>46125</v>
      </c>
      <c r="C1843" s="20">
        <v>2326904.62</v>
      </c>
      <c r="D1843" s="21" t="s">
        <v>790</v>
      </c>
      <c r="E1843" s="21">
        <v>91003002</v>
      </c>
      <c r="F1843" s="20">
        <v>2326904.62</v>
      </c>
      <c r="G1843" s="22">
        <v>46127</v>
      </c>
      <c r="H1843" t="s">
        <v>79</v>
      </c>
      <c r="I1843" s="51" t="str">
        <f>IFERROR(IF(VLOOKUP(E1843,extracto!C:C,1,FALSE)=E1843,"pagado","no pagado"),"no pagado")</f>
        <v>pagado</v>
      </c>
      <c r="J1843" s="52" t="str">
        <f t="shared" si="786"/>
        <v>pagado</v>
      </c>
      <c r="K1843" s="51" t="str">
        <f t="shared" ca="1" si="787"/>
        <v>excluir</v>
      </c>
      <c r="L1843" s="51" t="str">
        <f t="shared" ca="1" si="788"/>
        <v>no semana</v>
      </c>
      <c r="M1843" s="51" t="str">
        <f>IFERROR(VLOOKUP(E1843,'cheques a conf'!A:D,4,FALSE),"no clearing")</f>
        <v>no clearing</v>
      </c>
      <c r="N1843" s="51">
        <f t="shared" si="789"/>
        <v>16</v>
      </c>
      <c r="O1843" s="53">
        <f t="shared" si="790"/>
        <v>4</v>
      </c>
      <c r="P1843" s="53">
        <f t="shared" si="791"/>
        <v>2026</v>
      </c>
    </row>
    <row r="1844" spans="1:16" x14ac:dyDescent="0.25">
      <c r="A1844" s="21">
        <v>3000001890</v>
      </c>
      <c r="B1844" s="22">
        <v>46125</v>
      </c>
      <c r="C1844" s="20">
        <v>1954667.92</v>
      </c>
      <c r="D1844" s="21" t="s">
        <v>790</v>
      </c>
      <c r="E1844" s="21">
        <v>91003003</v>
      </c>
      <c r="F1844" s="20">
        <v>1954667.92</v>
      </c>
      <c r="G1844" s="22">
        <v>46127</v>
      </c>
      <c r="H1844" t="s">
        <v>79</v>
      </c>
      <c r="I1844" s="51" t="str">
        <f>IFERROR(IF(VLOOKUP(E1844,extracto!C:C,1,FALSE)=E1844,"pagado","no pagado"),"no pagado")</f>
        <v>no pagado</v>
      </c>
      <c r="J1844" s="52" t="str">
        <f t="shared" ca="1" si="786"/>
        <v>fuera de fecha</v>
      </c>
      <c r="K1844" s="51" t="str">
        <f t="shared" ca="1" si="787"/>
        <v>excluir</v>
      </c>
      <c r="L1844" s="51" t="str">
        <f t="shared" ca="1" si="788"/>
        <v>no semana</v>
      </c>
      <c r="M1844" s="51" t="str">
        <f>IFERROR(VLOOKUP(E1844,'cheques a conf'!A:D,4,FALSE),"no clearing")</f>
        <v>no clearing</v>
      </c>
      <c r="N1844" s="51">
        <f t="shared" si="789"/>
        <v>16</v>
      </c>
      <c r="O1844" s="53">
        <f t="shared" si="790"/>
        <v>4</v>
      </c>
      <c r="P1844" s="53">
        <f t="shared" si="791"/>
        <v>2026</v>
      </c>
    </row>
    <row r="1845" spans="1:16" x14ac:dyDescent="0.25">
      <c r="A1845" s="21">
        <v>3000001890</v>
      </c>
      <c r="B1845" s="22">
        <v>46125</v>
      </c>
      <c r="C1845" s="20">
        <v>3029304.79</v>
      </c>
      <c r="D1845" s="21" t="s">
        <v>790</v>
      </c>
      <c r="E1845" s="21">
        <v>91003004</v>
      </c>
      <c r="F1845" s="20">
        <v>3029304.79</v>
      </c>
      <c r="G1845" s="22">
        <v>46127</v>
      </c>
      <c r="H1845" t="s">
        <v>79</v>
      </c>
      <c r="I1845" s="51" t="str">
        <f>IFERROR(IF(VLOOKUP(E1845,extracto!C:C,1,FALSE)=E1845,"pagado","no pagado"),"no pagado")</f>
        <v>pagado</v>
      </c>
      <c r="J1845" s="52" t="str">
        <f t="shared" si="786"/>
        <v>pagado</v>
      </c>
      <c r="K1845" s="51" t="str">
        <f t="shared" ca="1" si="787"/>
        <v>excluir</v>
      </c>
      <c r="L1845" s="51" t="str">
        <f t="shared" ca="1" si="788"/>
        <v>no semana</v>
      </c>
      <c r="M1845" s="51" t="str">
        <f>IFERROR(VLOOKUP(E1845,'cheques a conf'!A:D,4,FALSE),"no clearing")</f>
        <v>no clearing</v>
      </c>
      <c r="N1845" s="51">
        <f t="shared" si="789"/>
        <v>16</v>
      </c>
      <c r="O1845" s="53">
        <f t="shared" si="790"/>
        <v>4</v>
      </c>
      <c r="P1845" s="53">
        <f t="shared" si="791"/>
        <v>2026</v>
      </c>
    </row>
    <row r="1846" spans="1:16" x14ac:dyDescent="0.25">
      <c r="A1846" s="21">
        <v>3000001890</v>
      </c>
      <c r="B1846" s="22">
        <v>46125</v>
      </c>
      <c r="C1846" s="20">
        <v>3597606.51</v>
      </c>
      <c r="D1846" s="21" t="s">
        <v>790</v>
      </c>
      <c r="E1846" s="21">
        <v>91003005</v>
      </c>
      <c r="F1846" s="20">
        <v>3597606.51</v>
      </c>
      <c r="G1846" s="22">
        <v>46127</v>
      </c>
      <c r="H1846" t="s">
        <v>79</v>
      </c>
      <c r="I1846" s="51" t="str">
        <f>IFERROR(IF(VLOOKUP(E1846,extracto!C:C,1,FALSE)=E1846,"pagado","no pagado"),"no pagado")</f>
        <v>no pagado</v>
      </c>
      <c r="J1846" s="52" t="str">
        <f t="shared" ca="1" si="786"/>
        <v>fuera de fecha</v>
      </c>
      <c r="K1846" s="51" t="str">
        <f t="shared" ca="1" si="787"/>
        <v>excluir</v>
      </c>
      <c r="L1846" s="51" t="str">
        <f t="shared" ca="1" si="788"/>
        <v>no semana</v>
      </c>
      <c r="M1846" s="51" t="str">
        <f>IFERROR(VLOOKUP(E1846,'cheques a conf'!A:D,4,FALSE),"no clearing")</f>
        <v>no clearing</v>
      </c>
      <c r="N1846" s="51">
        <f t="shared" si="789"/>
        <v>16</v>
      </c>
      <c r="O1846" s="53">
        <f t="shared" si="790"/>
        <v>4</v>
      </c>
      <c r="P1846" s="53">
        <f t="shared" si="791"/>
        <v>2026</v>
      </c>
    </row>
    <row r="1847" spans="1:16" x14ac:dyDescent="0.25">
      <c r="A1847" s="21">
        <v>3000001890</v>
      </c>
      <c r="B1847" s="22">
        <v>46125</v>
      </c>
      <c r="C1847" s="20">
        <v>27269382.5</v>
      </c>
      <c r="D1847" s="21" t="s">
        <v>790</v>
      </c>
      <c r="E1847" s="21">
        <v>91003006</v>
      </c>
      <c r="F1847" s="20">
        <v>27269382.5</v>
      </c>
      <c r="G1847" s="22">
        <v>46127</v>
      </c>
      <c r="H1847" t="s">
        <v>79</v>
      </c>
      <c r="I1847" s="51" t="str">
        <f>IFERROR(IF(VLOOKUP(E1847,extracto!C:C,1,FALSE)=E1847,"pagado","no pagado"),"no pagado")</f>
        <v>pagado</v>
      </c>
      <c r="J1847" s="52" t="str">
        <f t="shared" si="786"/>
        <v>pagado</v>
      </c>
      <c r="K1847" s="51" t="str">
        <f t="shared" ca="1" si="787"/>
        <v>excluir</v>
      </c>
      <c r="L1847" s="51" t="str">
        <f t="shared" ca="1" si="788"/>
        <v>no semana</v>
      </c>
      <c r="M1847" s="51" t="str">
        <f>IFERROR(VLOOKUP(E1847,'cheques a conf'!A:D,4,FALSE),"no clearing")</f>
        <v>no clearing</v>
      </c>
      <c r="N1847" s="51">
        <f t="shared" si="789"/>
        <v>16</v>
      </c>
      <c r="O1847" s="53">
        <f t="shared" si="790"/>
        <v>4</v>
      </c>
      <c r="P1847" s="53">
        <f t="shared" si="791"/>
        <v>2026</v>
      </c>
    </row>
    <row r="1848" spans="1:16" x14ac:dyDescent="0.25">
      <c r="A1848" s="21">
        <v>3000001890</v>
      </c>
      <c r="B1848" s="22">
        <v>46125</v>
      </c>
      <c r="C1848" s="20">
        <v>31651343.399999999</v>
      </c>
      <c r="D1848" s="21" t="s">
        <v>790</v>
      </c>
      <c r="E1848" s="21">
        <v>91003007</v>
      </c>
      <c r="F1848" s="20">
        <v>31651343.399999999</v>
      </c>
      <c r="G1848" s="22">
        <v>46127</v>
      </c>
      <c r="H1848" t="s">
        <v>79</v>
      </c>
      <c r="I1848" s="51" t="str">
        <f>IFERROR(IF(VLOOKUP(E1848,extracto!C:C,1,FALSE)=E1848,"pagado","no pagado"),"no pagado")</f>
        <v>pagado</v>
      </c>
      <c r="J1848" s="52" t="str">
        <f t="shared" si="786"/>
        <v>pagado</v>
      </c>
      <c r="K1848" s="51" t="str">
        <f t="shared" ca="1" si="787"/>
        <v>excluir</v>
      </c>
      <c r="L1848" s="51" t="str">
        <f t="shared" ca="1" si="788"/>
        <v>no semana</v>
      </c>
      <c r="M1848" s="51" t="str">
        <f>IFERROR(VLOOKUP(E1848,'cheques a conf'!A:D,4,FALSE),"no clearing")</f>
        <v>no clearing</v>
      </c>
      <c r="N1848" s="51">
        <f t="shared" si="789"/>
        <v>16</v>
      </c>
      <c r="O1848" s="53">
        <f t="shared" si="790"/>
        <v>4</v>
      </c>
      <c r="P1848" s="53">
        <f t="shared" si="791"/>
        <v>2026</v>
      </c>
    </row>
    <row r="1849" spans="1:16" x14ac:dyDescent="0.25">
      <c r="A1849" s="21">
        <v>3000001890</v>
      </c>
      <c r="B1849" s="22">
        <v>46125</v>
      </c>
      <c r="C1849" s="20">
        <v>3510098.49</v>
      </c>
      <c r="D1849" s="21" t="s">
        <v>790</v>
      </c>
      <c r="E1849" s="21">
        <v>91003008</v>
      </c>
      <c r="F1849" s="20">
        <v>3510098.49</v>
      </c>
      <c r="G1849" s="22">
        <v>46127</v>
      </c>
      <c r="H1849" t="s">
        <v>79</v>
      </c>
      <c r="I1849" s="51" t="str">
        <f>IFERROR(IF(VLOOKUP(E1849,extracto!C:C,1,FALSE)=E1849,"pagado","no pagado"),"no pagado")</f>
        <v>pagado</v>
      </c>
      <c r="J1849" s="52" t="str">
        <f t="shared" si="786"/>
        <v>pagado</v>
      </c>
      <c r="K1849" s="51" t="str">
        <f t="shared" ca="1" si="787"/>
        <v>excluir</v>
      </c>
      <c r="L1849" s="51" t="str">
        <f t="shared" ca="1" si="788"/>
        <v>no semana</v>
      </c>
      <c r="M1849" s="51" t="str">
        <f>IFERROR(VLOOKUP(E1849,'cheques a conf'!A:D,4,FALSE),"no clearing")</f>
        <v>no clearing</v>
      </c>
      <c r="N1849" s="51">
        <f t="shared" si="789"/>
        <v>16</v>
      </c>
      <c r="O1849" s="53">
        <f t="shared" si="790"/>
        <v>4</v>
      </c>
      <c r="P1849" s="53">
        <f t="shared" si="791"/>
        <v>2026</v>
      </c>
    </row>
    <row r="1850" spans="1:16" x14ac:dyDescent="0.25">
      <c r="A1850" s="21">
        <v>3000001953</v>
      </c>
      <c r="B1850" s="22">
        <v>46126</v>
      </c>
      <c r="C1850" s="20">
        <v>12396489.369999999</v>
      </c>
      <c r="D1850" s="21" t="s">
        <v>619</v>
      </c>
      <c r="E1850" s="21">
        <v>91003009</v>
      </c>
      <c r="F1850" s="20">
        <v>12396489.369999999</v>
      </c>
      <c r="G1850" s="22">
        <v>46129</v>
      </c>
      <c r="H1850" t="s">
        <v>79</v>
      </c>
      <c r="I1850" s="51" t="str">
        <f>IFERROR(IF(VLOOKUP(E1850,extracto!C:C,1,FALSE)=E1850,"pagado","no pagado"),"no pagado")</f>
        <v>pagado</v>
      </c>
      <c r="J1850" s="52" t="str">
        <f t="shared" si="786"/>
        <v>pagado</v>
      </c>
      <c r="K1850" s="51" t="str">
        <f t="shared" ca="1" si="787"/>
        <v>excluir</v>
      </c>
      <c r="L1850" s="51" t="str">
        <f t="shared" ca="1" si="788"/>
        <v>no semana</v>
      </c>
      <c r="M1850" s="51" t="str">
        <f>IFERROR(VLOOKUP(E1850,'cheques a conf'!A:D,4,FALSE),"no clearing")</f>
        <v>no clearing</v>
      </c>
      <c r="N1850" s="51">
        <f t="shared" si="789"/>
        <v>16</v>
      </c>
      <c r="O1850" s="53">
        <f t="shared" si="790"/>
        <v>4</v>
      </c>
      <c r="P1850" s="53">
        <f t="shared" si="791"/>
        <v>2026</v>
      </c>
    </row>
    <row r="1851" spans="1:16" x14ac:dyDescent="0.25">
      <c r="A1851" s="21">
        <v>3000001952</v>
      </c>
      <c r="B1851" s="22">
        <v>46126</v>
      </c>
      <c r="C1851" s="20">
        <v>5257062.96</v>
      </c>
      <c r="D1851" s="21" t="s">
        <v>618</v>
      </c>
      <c r="E1851" s="21">
        <v>91003010</v>
      </c>
      <c r="F1851" s="20">
        <v>5257062.96</v>
      </c>
      <c r="G1851" s="22">
        <v>46129</v>
      </c>
      <c r="H1851" t="s">
        <v>79</v>
      </c>
      <c r="I1851" s="51" t="str">
        <f>IFERROR(IF(VLOOKUP(E1851,extracto!C:C,1,FALSE)=E1851,"pagado","no pagado"),"no pagado")</f>
        <v>pagado</v>
      </c>
      <c r="J1851" s="52" t="str">
        <f t="shared" si="786"/>
        <v>pagado</v>
      </c>
      <c r="K1851" s="51" t="str">
        <f t="shared" ca="1" si="787"/>
        <v>excluir</v>
      </c>
      <c r="L1851" s="51" t="str">
        <f t="shared" ca="1" si="788"/>
        <v>no semana</v>
      </c>
      <c r="M1851" s="51" t="str">
        <f>IFERROR(VLOOKUP(E1851,'cheques a conf'!A:D,4,FALSE),"no clearing")</f>
        <v>no clearing</v>
      </c>
      <c r="N1851" s="51">
        <f t="shared" si="789"/>
        <v>16</v>
      </c>
      <c r="O1851" s="53">
        <f t="shared" si="790"/>
        <v>4</v>
      </c>
      <c r="P1851" s="53">
        <f t="shared" si="791"/>
        <v>2026</v>
      </c>
    </row>
    <row r="1852" spans="1:16" x14ac:dyDescent="0.25">
      <c r="A1852" s="21">
        <v>3000001951</v>
      </c>
      <c r="B1852" s="22">
        <v>46126</v>
      </c>
      <c r="C1852" s="20">
        <v>11312633.49</v>
      </c>
      <c r="D1852" s="21" t="s">
        <v>613</v>
      </c>
      <c r="E1852" s="21">
        <v>91003011</v>
      </c>
      <c r="F1852" s="20">
        <v>11312633.49</v>
      </c>
      <c r="G1852" s="22">
        <v>46129</v>
      </c>
      <c r="H1852" t="s">
        <v>79</v>
      </c>
      <c r="I1852" s="51" t="str">
        <f>IFERROR(IF(VLOOKUP(E1852,extracto!C:C,1,FALSE)=E1852,"pagado","no pagado"),"no pagado")</f>
        <v>pagado</v>
      </c>
      <c r="J1852" s="52" t="str">
        <f t="shared" si="786"/>
        <v>pagado</v>
      </c>
      <c r="K1852" s="51" t="str">
        <f t="shared" ca="1" si="787"/>
        <v>excluir</v>
      </c>
      <c r="L1852" s="51" t="str">
        <f t="shared" ca="1" si="788"/>
        <v>no semana</v>
      </c>
      <c r="M1852" s="51" t="str">
        <f>IFERROR(VLOOKUP(E1852,'cheques a conf'!A:D,4,FALSE),"no clearing")</f>
        <v>no clearing</v>
      </c>
      <c r="N1852" s="51">
        <f t="shared" si="789"/>
        <v>16</v>
      </c>
      <c r="O1852" s="53">
        <f t="shared" si="790"/>
        <v>4</v>
      </c>
      <c r="P1852" s="53">
        <f t="shared" si="791"/>
        <v>2026</v>
      </c>
    </row>
    <row r="1853" spans="1:16" x14ac:dyDescent="0.25">
      <c r="A1853" s="21">
        <v>3000001950</v>
      </c>
      <c r="B1853" s="22">
        <v>46126</v>
      </c>
      <c r="C1853" s="20">
        <v>7416248.1600000001</v>
      </c>
      <c r="D1853" s="21" t="s">
        <v>692</v>
      </c>
      <c r="E1853" s="21">
        <v>91003012</v>
      </c>
      <c r="F1853" s="20">
        <v>7416248.1600000001</v>
      </c>
      <c r="G1853" s="22">
        <v>46129</v>
      </c>
      <c r="H1853" t="s">
        <v>79</v>
      </c>
      <c r="I1853" s="51" t="str">
        <f>IFERROR(IF(VLOOKUP(E1853,extracto!C:C,1,FALSE)=E1853,"pagado","no pagado"),"no pagado")</f>
        <v>no pagado</v>
      </c>
      <c r="J1853" s="52" t="str">
        <f t="shared" ca="1" si="786"/>
        <v>fuera de fecha</v>
      </c>
      <c r="K1853" s="51" t="str">
        <f t="shared" ca="1" si="787"/>
        <v>excluir</v>
      </c>
      <c r="L1853" s="51" t="str">
        <f t="shared" ca="1" si="788"/>
        <v>no semana</v>
      </c>
      <c r="M1853" s="51" t="str">
        <f>IFERROR(VLOOKUP(E1853,'cheques a conf'!A:D,4,FALSE),"no clearing")</f>
        <v>no clearing</v>
      </c>
      <c r="N1853" s="51">
        <f t="shared" si="789"/>
        <v>16</v>
      </c>
      <c r="O1853" s="53">
        <f t="shared" si="790"/>
        <v>4</v>
      </c>
      <c r="P1853" s="53">
        <f t="shared" si="791"/>
        <v>2026</v>
      </c>
    </row>
    <row r="1854" spans="1:16" x14ac:dyDescent="0.25">
      <c r="A1854" s="21">
        <v>3000001944</v>
      </c>
      <c r="B1854" s="22">
        <v>46126</v>
      </c>
      <c r="C1854" s="20">
        <v>8499850.9199999999</v>
      </c>
      <c r="D1854" s="21" t="s">
        <v>86</v>
      </c>
      <c r="E1854" s="21">
        <v>91003013</v>
      </c>
      <c r="F1854" s="20">
        <v>8499850.9199999999</v>
      </c>
      <c r="G1854" s="22">
        <v>46132</v>
      </c>
      <c r="H1854" t="s">
        <v>79</v>
      </c>
      <c r="I1854" s="51" t="str">
        <f>IFERROR(IF(VLOOKUP(E1854,extracto!C:C,1,FALSE)=E1854,"pagado","no pagado"),"no pagado")</f>
        <v>pagado</v>
      </c>
      <c r="J1854" s="52" t="str">
        <f t="shared" si="786"/>
        <v>pagado</v>
      </c>
      <c r="K1854" s="51" t="str">
        <f t="shared" ca="1" si="787"/>
        <v>excluir</v>
      </c>
      <c r="L1854" s="51" t="str">
        <f t="shared" ca="1" si="788"/>
        <v>no semana</v>
      </c>
      <c r="M1854" s="51" t="str">
        <f>IFERROR(VLOOKUP(E1854,'cheques a conf'!A:D,4,FALSE),"no clearing")</f>
        <v>no clearing</v>
      </c>
      <c r="N1854" s="51">
        <f t="shared" si="789"/>
        <v>17</v>
      </c>
      <c r="O1854" s="53">
        <f t="shared" si="790"/>
        <v>4</v>
      </c>
      <c r="P1854" s="53">
        <f t="shared" si="791"/>
        <v>2026</v>
      </c>
    </row>
    <row r="1855" spans="1:16" x14ac:dyDescent="0.25">
      <c r="A1855" s="21">
        <v>3000001945</v>
      </c>
      <c r="B1855" s="22">
        <v>46126</v>
      </c>
      <c r="C1855" s="20">
        <v>19714253.350000001</v>
      </c>
      <c r="D1855" s="21" t="s">
        <v>72</v>
      </c>
      <c r="E1855" s="21">
        <v>91003014</v>
      </c>
      <c r="F1855" s="20">
        <v>19714253.350000001</v>
      </c>
      <c r="G1855" s="22">
        <v>46132</v>
      </c>
      <c r="H1855" t="s">
        <v>79</v>
      </c>
      <c r="I1855" s="51" t="str">
        <f>IFERROR(IF(VLOOKUP(E1855,extracto!C:C,1,FALSE)=E1855,"pagado","no pagado"),"no pagado")</f>
        <v>pagado</v>
      </c>
      <c r="J1855" s="52" t="str">
        <f t="shared" si="786"/>
        <v>pagado</v>
      </c>
      <c r="K1855" s="51" t="str">
        <f t="shared" ca="1" si="787"/>
        <v>excluir</v>
      </c>
      <c r="L1855" s="51" t="str">
        <f t="shared" ca="1" si="788"/>
        <v>no semana</v>
      </c>
      <c r="M1855" s="51" t="str">
        <f>IFERROR(VLOOKUP(E1855,'cheques a conf'!A:D,4,FALSE),"no clearing")</f>
        <v>no clearing</v>
      </c>
      <c r="N1855" s="51">
        <f t="shared" si="789"/>
        <v>17</v>
      </c>
      <c r="O1855" s="53">
        <f t="shared" si="790"/>
        <v>4</v>
      </c>
      <c r="P1855" s="53">
        <f t="shared" si="791"/>
        <v>2026</v>
      </c>
    </row>
    <row r="1856" spans="1:16" x14ac:dyDescent="0.25">
      <c r="A1856" s="21">
        <v>3000001946</v>
      </c>
      <c r="B1856" s="22">
        <v>46126</v>
      </c>
      <c r="C1856" s="20">
        <v>15277327.029999999</v>
      </c>
      <c r="D1856" s="21" t="s">
        <v>626</v>
      </c>
      <c r="E1856" s="21">
        <v>91003015</v>
      </c>
      <c r="F1856" s="20">
        <v>15277327.029999999</v>
      </c>
      <c r="G1856" s="22">
        <v>46132</v>
      </c>
      <c r="H1856" t="s">
        <v>79</v>
      </c>
      <c r="I1856" s="51" t="str">
        <f>IFERROR(IF(VLOOKUP(E1856,extracto!C:C,1,FALSE)=E1856,"pagado","no pagado"),"no pagado")</f>
        <v>pagado</v>
      </c>
      <c r="J1856" s="52" t="str">
        <f t="shared" si="786"/>
        <v>pagado</v>
      </c>
      <c r="K1856" s="51" t="str">
        <f t="shared" ca="1" si="787"/>
        <v>excluir</v>
      </c>
      <c r="L1856" s="51" t="str">
        <f t="shared" ca="1" si="788"/>
        <v>no semana</v>
      </c>
      <c r="M1856" s="51" t="str">
        <f>IFERROR(VLOOKUP(E1856,'cheques a conf'!A:D,4,FALSE),"no clearing")</f>
        <v>no clearing</v>
      </c>
      <c r="N1856" s="51">
        <f t="shared" si="789"/>
        <v>17</v>
      </c>
      <c r="O1856" s="53">
        <f t="shared" si="790"/>
        <v>4</v>
      </c>
      <c r="P1856" s="53">
        <f t="shared" si="791"/>
        <v>2026</v>
      </c>
    </row>
    <row r="1857" spans="1:16" x14ac:dyDescent="0.25">
      <c r="A1857" s="21">
        <v>3000001947</v>
      </c>
      <c r="B1857" s="22">
        <v>46126</v>
      </c>
      <c r="C1857" s="20">
        <v>12428257.5</v>
      </c>
      <c r="D1857" s="21" t="s">
        <v>631</v>
      </c>
      <c r="E1857" s="21">
        <v>91003016</v>
      </c>
      <c r="F1857" s="20">
        <v>12428257.5</v>
      </c>
      <c r="G1857" s="22">
        <v>46132</v>
      </c>
      <c r="H1857" t="s">
        <v>79</v>
      </c>
      <c r="I1857" s="51" t="str">
        <f>IFERROR(IF(VLOOKUP(E1857,extracto!C:C,1,FALSE)=E1857,"pagado","no pagado"),"no pagado")</f>
        <v>pagado</v>
      </c>
      <c r="J1857" s="52" t="str">
        <f t="shared" si="786"/>
        <v>pagado</v>
      </c>
      <c r="K1857" s="51" t="str">
        <f t="shared" ca="1" si="787"/>
        <v>excluir</v>
      </c>
      <c r="L1857" s="51" t="str">
        <f t="shared" ca="1" si="788"/>
        <v>no semana</v>
      </c>
      <c r="M1857" s="51" t="str">
        <f>IFERROR(VLOOKUP(E1857,'cheques a conf'!A:D,4,FALSE),"no clearing")</f>
        <v>no clearing</v>
      </c>
      <c r="N1857" s="51">
        <f t="shared" si="789"/>
        <v>17</v>
      </c>
      <c r="O1857" s="53">
        <f t="shared" si="790"/>
        <v>4</v>
      </c>
      <c r="P1857" s="53">
        <f t="shared" si="791"/>
        <v>2026</v>
      </c>
    </row>
    <row r="1858" spans="1:16" x14ac:dyDescent="0.25">
      <c r="A1858" s="21">
        <v>3000001948</v>
      </c>
      <c r="B1858" s="22">
        <v>46126</v>
      </c>
      <c r="C1858" s="20">
        <v>27538833.109999999</v>
      </c>
      <c r="D1858" s="21" t="s">
        <v>595</v>
      </c>
      <c r="E1858" s="21">
        <v>91003017</v>
      </c>
      <c r="F1858" s="20">
        <v>27538833.109999999</v>
      </c>
      <c r="G1858" s="22">
        <v>46132</v>
      </c>
      <c r="H1858" t="s">
        <v>79</v>
      </c>
      <c r="I1858" s="51" t="str">
        <f>IFERROR(IF(VLOOKUP(E1858,extracto!C:C,1,FALSE)=E1858,"pagado","no pagado"),"no pagado")</f>
        <v>pagado</v>
      </c>
      <c r="J1858" s="52" t="str">
        <f t="shared" si="786"/>
        <v>pagado</v>
      </c>
      <c r="K1858" s="51" t="str">
        <f t="shared" ca="1" si="787"/>
        <v>excluir</v>
      </c>
      <c r="L1858" s="51" t="str">
        <f t="shared" ca="1" si="788"/>
        <v>no semana</v>
      </c>
      <c r="M1858" s="51" t="str">
        <f>IFERROR(VLOOKUP(E1858,'cheques a conf'!A:D,4,FALSE),"no clearing")</f>
        <v>no clearing</v>
      </c>
      <c r="N1858" s="51">
        <f t="shared" si="789"/>
        <v>17</v>
      </c>
      <c r="O1858" s="53">
        <f t="shared" si="790"/>
        <v>4</v>
      </c>
      <c r="P1858" s="53">
        <f t="shared" si="791"/>
        <v>2026</v>
      </c>
    </row>
    <row r="1859" spans="1:16" x14ac:dyDescent="0.25">
      <c r="A1859" s="21">
        <v>3000001949</v>
      </c>
      <c r="B1859" s="22">
        <v>46126</v>
      </c>
      <c r="C1859" s="20">
        <v>23521840.329999998</v>
      </c>
      <c r="D1859" s="21" t="s">
        <v>644</v>
      </c>
      <c r="E1859" s="21">
        <v>91003018</v>
      </c>
      <c r="F1859" s="20">
        <v>23521840.329999998</v>
      </c>
      <c r="G1859" s="22">
        <v>46132</v>
      </c>
      <c r="H1859" t="s">
        <v>79</v>
      </c>
      <c r="I1859" s="51" t="str">
        <f>IFERROR(IF(VLOOKUP(E1859,extracto!C:C,1,FALSE)=E1859,"pagado","no pagado"),"no pagado")</f>
        <v>pagado</v>
      </c>
      <c r="J1859" s="52" t="str">
        <f t="shared" si="786"/>
        <v>pagado</v>
      </c>
      <c r="K1859" s="51" t="str">
        <f t="shared" ca="1" si="787"/>
        <v>excluir</v>
      </c>
      <c r="L1859" s="51" t="str">
        <f t="shared" ca="1" si="788"/>
        <v>no semana</v>
      </c>
      <c r="M1859" s="51" t="str">
        <f>IFERROR(VLOOKUP(E1859,'cheques a conf'!A:D,4,FALSE),"no clearing")</f>
        <v>no clearing</v>
      </c>
      <c r="N1859" s="51">
        <f t="shared" si="789"/>
        <v>17</v>
      </c>
      <c r="O1859" s="53">
        <f t="shared" si="790"/>
        <v>4</v>
      </c>
      <c r="P1859" s="53">
        <f t="shared" si="791"/>
        <v>2026</v>
      </c>
    </row>
    <row r="1860" spans="1:16" x14ac:dyDescent="0.25">
      <c r="A1860" s="21">
        <v>3000002030</v>
      </c>
      <c r="B1860" s="22">
        <v>46128</v>
      </c>
      <c r="C1860" s="20">
        <v>23311830.98</v>
      </c>
      <c r="D1860" s="21" t="s">
        <v>592</v>
      </c>
      <c r="E1860" s="21">
        <v>91003019</v>
      </c>
      <c r="F1860" s="20">
        <v>23311830.98</v>
      </c>
      <c r="G1860" s="3">
        <v>46133</v>
      </c>
      <c r="H1860" t="s">
        <v>79</v>
      </c>
      <c r="I1860" s="51" t="str">
        <f>IFERROR(IF(VLOOKUP(E1860,extracto!C:C,1,FALSE)=E1860,"pagado","no pagado"),"no pagado")</f>
        <v>pagado</v>
      </c>
      <c r="J1860" s="52" t="str">
        <f t="shared" si="786"/>
        <v>pagado</v>
      </c>
      <c r="K1860" s="51" t="str">
        <f t="shared" ca="1" si="787"/>
        <v>excluir</v>
      </c>
      <c r="L1860" s="51" t="str">
        <f t="shared" ca="1" si="788"/>
        <v>no semana</v>
      </c>
      <c r="M1860" s="51" t="str">
        <f>IFERROR(VLOOKUP(E1860,'cheques a conf'!A:D,4,FALSE),"no clearing")</f>
        <v>no clearing</v>
      </c>
      <c r="N1860" s="51">
        <f t="shared" si="789"/>
        <v>17</v>
      </c>
      <c r="O1860" s="53">
        <f t="shared" si="790"/>
        <v>4</v>
      </c>
      <c r="P1860" s="53">
        <f t="shared" si="791"/>
        <v>2026</v>
      </c>
    </row>
    <row r="1861" spans="1:16" x14ac:dyDescent="0.25">
      <c r="A1861" s="21">
        <v>3000002087</v>
      </c>
      <c r="B1861" s="22">
        <v>46132</v>
      </c>
      <c r="C1861" s="20">
        <v>2000000</v>
      </c>
      <c r="D1861" s="21" t="s">
        <v>33</v>
      </c>
      <c r="E1861" s="21">
        <v>91003020</v>
      </c>
      <c r="F1861" s="20">
        <v>2000000</v>
      </c>
      <c r="G1861" s="22">
        <v>46134</v>
      </c>
      <c r="H1861" t="s">
        <v>79</v>
      </c>
      <c r="I1861" s="51" t="str">
        <f>IFERROR(IF(VLOOKUP(E1861,extracto!C:C,1,FALSE)=E1861,"pagado","no pagado"),"no pagado")</f>
        <v>pagado</v>
      </c>
      <c r="J1861" s="52" t="str">
        <f t="shared" si="786"/>
        <v>pagado</v>
      </c>
      <c r="K1861" s="51" t="str">
        <f t="shared" ca="1" si="787"/>
        <v>excluir</v>
      </c>
      <c r="L1861" s="51" t="str">
        <f t="shared" ca="1" si="788"/>
        <v>no semana</v>
      </c>
      <c r="M1861" s="51" t="str">
        <f>IFERROR(VLOOKUP(E1861,'cheques a conf'!A:D,4,FALSE),"no clearing")</f>
        <v>no clearing</v>
      </c>
      <c r="N1861" s="51">
        <f t="shared" si="789"/>
        <v>17</v>
      </c>
      <c r="O1861" s="53">
        <f t="shared" si="790"/>
        <v>4</v>
      </c>
      <c r="P1861" s="53">
        <f t="shared" si="791"/>
        <v>2026</v>
      </c>
    </row>
    <row r="1862" spans="1:16" x14ac:dyDescent="0.25">
      <c r="A1862" s="21">
        <v>3000002087</v>
      </c>
      <c r="B1862" s="22">
        <v>46132</v>
      </c>
      <c r="C1862" s="20">
        <v>2000000</v>
      </c>
      <c r="D1862" s="21" t="s">
        <v>33</v>
      </c>
      <c r="E1862" s="21">
        <v>91003021</v>
      </c>
      <c r="F1862" s="20">
        <v>2000000</v>
      </c>
      <c r="G1862" s="22">
        <v>46164</v>
      </c>
      <c r="H1862" t="s">
        <v>79</v>
      </c>
      <c r="I1862" s="51" t="str">
        <f>IFERROR(IF(VLOOKUP(E1862,extracto!C:C,1,FALSE)=E1862,"pagado","no pagado"),"no pagado")</f>
        <v>pagado</v>
      </c>
      <c r="J1862" s="52" t="str">
        <f t="shared" si="786"/>
        <v>pagado</v>
      </c>
      <c r="K1862" s="51" t="str">
        <f t="shared" ca="1" si="787"/>
        <v>excluir</v>
      </c>
      <c r="L1862" s="51" t="str">
        <f t="shared" ca="1" si="788"/>
        <v>no semana</v>
      </c>
      <c r="M1862" s="51" t="str">
        <f>IFERROR(VLOOKUP(E1862,'cheques a conf'!A:D,4,FALSE),"no clearing")</f>
        <v>no clearing</v>
      </c>
      <c r="N1862" s="51">
        <f t="shared" si="789"/>
        <v>21</v>
      </c>
      <c r="O1862" s="53">
        <f t="shared" si="790"/>
        <v>5</v>
      </c>
      <c r="P1862" s="53">
        <f t="shared" si="791"/>
        <v>2026</v>
      </c>
    </row>
    <row r="1863" spans="1:16" x14ac:dyDescent="0.25">
      <c r="A1863" s="21">
        <v>3000002087</v>
      </c>
      <c r="B1863" s="22">
        <v>46132</v>
      </c>
      <c r="C1863" s="20">
        <v>2573127.7799999998</v>
      </c>
      <c r="D1863" s="21" t="s">
        <v>33</v>
      </c>
      <c r="E1863" s="21">
        <v>91003022</v>
      </c>
      <c r="F1863" s="20">
        <v>2573127.7799999998</v>
      </c>
      <c r="G1863" s="22">
        <v>46195</v>
      </c>
      <c r="H1863" t="s">
        <v>79</v>
      </c>
      <c r="I1863" s="51" t="str">
        <f>IFERROR(IF(VLOOKUP(E1863,extracto!C:C,1,FALSE)=E1863,"pagado","no pagado"),"no pagado")</f>
        <v>pagado</v>
      </c>
      <c r="J1863" s="52" t="str">
        <f t="shared" si="786"/>
        <v>pagado</v>
      </c>
      <c r="K1863" s="51" t="str">
        <f t="shared" ca="1" si="787"/>
        <v>excluir</v>
      </c>
      <c r="L1863" s="51" t="str">
        <f t="shared" ca="1" si="788"/>
        <v>no semana</v>
      </c>
      <c r="M1863" s="51" t="str">
        <f>IFERROR(VLOOKUP(E1863,'cheques a conf'!A:D,4,FALSE),"no clearing")</f>
        <v>no clearing</v>
      </c>
      <c r="N1863" s="51">
        <f t="shared" si="789"/>
        <v>26</v>
      </c>
      <c r="O1863" s="53">
        <f t="shared" si="790"/>
        <v>6</v>
      </c>
      <c r="P1863" s="53">
        <f t="shared" si="791"/>
        <v>2026</v>
      </c>
    </row>
    <row r="1864" spans="1:16" x14ac:dyDescent="0.25">
      <c r="A1864" s="21">
        <v>3000002088</v>
      </c>
      <c r="B1864" s="22">
        <v>46132</v>
      </c>
      <c r="C1864" s="20">
        <v>4543274.22</v>
      </c>
      <c r="D1864" s="21" t="s">
        <v>78</v>
      </c>
      <c r="E1864" s="21">
        <v>91003023</v>
      </c>
      <c r="F1864" s="20">
        <v>4543274.22</v>
      </c>
      <c r="G1864" s="22">
        <v>46134</v>
      </c>
      <c r="H1864" t="s">
        <v>79</v>
      </c>
      <c r="I1864" s="51" t="str">
        <f>IFERROR(IF(VLOOKUP(E1864,extracto!C:C,1,FALSE)=E1864,"pagado","no pagado"),"no pagado")</f>
        <v>pagado</v>
      </c>
      <c r="J1864" s="52" t="str">
        <f t="shared" si="786"/>
        <v>pagado</v>
      </c>
      <c r="K1864" s="51" t="str">
        <f t="shared" ca="1" si="787"/>
        <v>excluir</v>
      </c>
      <c r="L1864" s="51" t="str">
        <f t="shared" ca="1" si="788"/>
        <v>no semana</v>
      </c>
      <c r="M1864" s="51" t="str">
        <f>IFERROR(VLOOKUP(E1864,'cheques a conf'!A:D,4,FALSE),"no clearing")</f>
        <v>no clearing</v>
      </c>
      <c r="N1864" s="51">
        <f t="shared" si="789"/>
        <v>17</v>
      </c>
      <c r="O1864" s="53">
        <f t="shared" si="790"/>
        <v>4</v>
      </c>
      <c r="P1864" s="53">
        <f t="shared" si="791"/>
        <v>2026</v>
      </c>
    </row>
    <row r="1865" spans="1:16" x14ac:dyDescent="0.25">
      <c r="A1865" s="21">
        <v>3000002089</v>
      </c>
      <c r="B1865" s="22">
        <v>46132</v>
      </c>
      <c r="C1865" s="20">
        <v>11327967.66</v>
      </c>
      <c r="D1865" s="21" t="s">
        <v>607</v>
      </c>
      <c r="E1865" s="21">
        <v>91003024</v>
      </c>
      <c r="F1865" s="20">
        <v>11327967.66</v>
      </c>
      <c r="G1865" s="22">
        <v>46134</v>
      </c>
      <c r="H1865" t="s">
        <v>79</v>
      </c>
      <c r="I1865" s="51" t="str">
        <f>IFERROR(IF(VLOOKUP(E1865,extracto!C:C,1,FALSE)=E1865,"pagado","no pagado"),"no pagado")</f>
        <v>pagado</v>
      </c>
      <c r="J1865" s="52" t="str">
        <f t="shared" si="786"/>
        <v>pagado</v>
      </c>
      <c r="K1865" s="51" t="str">
        <f t="shared" ca="1" si="787"/>
        <v>excluir</v>
      </c>
      <c r="L1865" s="51" t="str">
        <f t="shared" ca="1" si="788"/>
        <v>no semana</v>
      </c>
      <c r="M1865" s="51" t="str">
        <f>IFERROR(VLOOKUP(E1865,'cheques a conf'!A:D,4,FALSE),"no clearing")</f>
        <v>no clearing</v>
      </c>
      <c r="N1865" s="51">
        <f t="shared" si="789"/>
        <v>17</v>
      </c>
      <c r="O1865" s="53">
        <f t="shared" si="790"/>
        <v>4</v>
      </c>
      <c r="P1865" s="53">
        <f t="shared" si="791"/>
        <v>2026</v>
      </c>
    </row>
    <row r="1866" spans="1:16" x14ac:dyDescent="0.25">
      <c r="A1866" s="21">
        <v>3000002090</v>
      </c>
      <c r="B1866" s="22">
        <v>46132</v>
      </c>
      <c r="C1866" s="20">
        <v>19279785.890000001</v>
      </c>
      <c r="D1866" s="21" t="s">
        <v>72</v>
      </c>
      <c r="E1866" s="21">
        <v>91003025</v>
      </c>
      <c r="F1866" s="20">
        <v>19279785.890000001</v>
      </c>
      <c r="G1866" s="22">
        <v>46134</v>
      </c>
      <c r="H1866" t="s">
        <v>79</v>
      </c>
      <c r="I1866" s="51" t="str">
        <f>IFERROR(IF(VLOOKUP(E1866,extracto!C:C,1,FALSE)=E1866,"pagado","no pagado"),"no pagado")</f>
        <v>pagado</v>
      </c>
      <c r="J1866" s="52" t="str">
        <f t="shared" si="786"/>
        <v>pagado</v>
      </c>
      <c r="K1866" s="51" t="str">
        <f t="shared" ca="1" si="787"/>
        <v>excluir</v>
      </c>
      <c r="L1866" s="51" t="str">
        <f t="shared" ca="1" si="788"/>
        <v>no semana</v>
      </c>
      <c r="M1866" s="51" t="str">
        <f>IFERROR(VLOOKUP(E1866,'cheques a conf'!A:D,4,FALSE),"no clearing")</f>
        <v>no clearing</v>
      </c>
      <c r="N1866" s="51">
        <f t="shared" si="789"/>
        <v>17</v>
      </c>
      <c r="O1866" s="53">
        <f t="shared" si="790"/>
        <v>4</v>
      </c>
      <c r="P1866" s="53">
        <f t="shared" si="791"/>
        <v>2026</v>
      </c>
    </row>
    <row r="1867" spans="1:16" x14ac:dyDescent="0.25">
      <c r="A1867" s="21">
        <v>3000002091</v>
      </c>
      <c r="B1867" s="22">
        <v>46132</v>
      </c>
      <c r="C1867" s="20">
        <v>189544258.16</v>
      </c>
      <c r="D1867" s="21" t="s">
        <v>29</v>
      </c>
      <c r="E1867" s="21">
        <v>91003026</v>
      </c>
      <c r="F1867" s="20">
        <v>189544258.16</v>
      </c>
      <c r="G1867" s="22">
        <v>46134</v>
      </c>
      <c r="H1867" t="s">
        <v>79</v>
      </c>
      <c r="I1867" s="51" t="str">
        <f>IFERROR(IF(VLOOKUP(E1867,extracto!C:C,1,FALSE)=E1867,"pagado","no pagado"),"no pagado")</f>
        <v>pagado</v>
      </c>
      <c r="J1867" s="52" t="str">
        <f t="shared" si="786"/>
        <v>pagado</v>
      </c>
      <c r="K1867" s="51" t="str">
        <f t="shared" ca="1" si="787"/>
        <v>excluir</v>
      </c>
      <c r="L1867" s="51" t="str">
        <f t="shared" ca="1" si="788"/>
        <v>no semana</v>
      </c>
      <c r="M1867" s="51" t="str">
        <f>IFERROR(VLOOKUP(E1867,'cheques a conf'!A:D,4,FALSE),"no clearing")</f>
        <v>no clearing</v>
      </c>
      <c r="N1867" s="51">
        <f t="shared" si="789"/>
        <v>17</v>
      </c>
      <c r="O1867" s="53">
        <f t="shared" si="790"/>
        <v>4</v>
      </c>
      <c r="P1867" s="53">
        <f t="shared" si="791"/>
        <v>2026</v>
      </c>
    </row>
    <row r="1868" spans="1:16" x14ac:dyDescent="0.25">
      <c r="A1868" s="21">
        <v>3000002092</v>
      </c>
      <c r="B1868" s="22">
        <v>46132</v>
      </c>
      <c r="C1868" s="20">
        <v>5608563.4000000004</v>
      </c>
      <c r="D1868" s="21" t="s">
        <v>825</v>
      </c>
      <c r="E1868" s="21">
        <v>91003027</v>
      </c>
      <c r="F1868" s="20">
        <v>5608563.4000000004</v>
      </c>
      <c r="G1868" s="22">
        <v>46134</v>
      </c>
      <c r="H1868" t="s">
        <v>79</v>
      </c>
      <c r="I1868" s="51" t="str">
        <f>IFERROR(IF(VLOOKUP(E1868,extracto!C:C,1,FALSE)=E1868,"pagado","no pagado"),"no pagado")</f>
        <v>pagado</v>
      </c>
      <c r="J1868" s="52" t="str">
        <f t="shared" si="786"/>
        <v>pagado</v>
      </c>
      <c r="K1868" s="51" t="str">
        <f t="shared" ca="1" si="787"/>
        <v>excluir</v>
      </c>
      <c r="L1868" s="51" t="str">
        <f t="shared" ca="1" si="788"/>
        <v>no semana</v>
      </c>
      <c r="M1868" s="51" t="str">
        <f>IFERROR(VLOOKUP(E1868,'cheques a conf'!A:D,4,FALSE),"no clearing")</f>
        <v>no clearing</v>
      </c>
      <c r="N1868" s="51">
        <f t="shared" si="789"/>
        <v>17</v>
      </c>
      <c r="O1868" s="53">
        <f t="shared" si="790"/>
        <v>4</v>
      </c>
      <c r="P1868" s="53">
        <f t="shared" si="791"/>
        <v>2026</v>
      </c>
    </row>
    <row r="1869" spans="1:16" x14ac:dyDescent="0.25">
      <c r="A1869" s="21">
        <v>3000002093</v>
      </c>
      <c r="B1869" s="22">
        <v>46132</v>
      </c>
      <c r="C1869" s="20">
        <v>5193980</v>
      </c>
      <c r="D1869" s="21" t="s">
        <v>853</v>
      </c>
      <c r="E1869" s="21">
        <v>91003028</v>
      </c>
      <c r="F1869" s="20">
        <v>5193980</v>
      </c>
      <c r="G1869" s="22">
        <v>46135</v>
      </c>
      <c r="H1869" t="s">
        <v>79</v>
      </c>
      <c r="I1869" s="51" t="str">
        <f>IFERROR(IF(VLOOKUP(E1869,extracto!C:C,1,FALSE)=E1869,"pagado","no pagado"),"no pagado")</f>
        <v>pagado</v>
      </c>
      <c r="J1869" s="52" t="str">
        <f t="shared" si="786"/>
        <v>pagado</v>
      </c>
      <c r="K1869" s="51" t="str">
        <f t="shared" ca="1" si="787"/>
        <v>excluir</v>
      </c>
      <c r="L1869" s="51" t="str">
        <f t="shared" ca="1" si="788"/>
        <v>no semana</v>
      </c>
      <c r="M1869" s="51" t="str">
        <f>IFERROR(VLOOKUP(E1869,'cheques a conf'!A:D,4,FALSE),"no clearing")</f>
        <v>no clearing</v>
      </c>
      <c r="N1869" s="51">
        <f t="shared" si="789"/>
        <v>17</v>
      </c>
      <c r="O1869" s="53">
        <f t="shared" si="790"/>
        <v>4</v>
      </c>
      <c r="P1869" s="53">
        <f t="shared" si="791"/>
        <v>2026</v>
      </c>
    </row>
    <row r="1870" spans="1:16" x14ac:dyDescent="0.25">
      <c r="A1870" s="21">
        <v>3000002136</v>
      </c>
      <c r="B1870" s="22">
        <v>46133</v>
      </c>
      <c r="C1870" s="20">
        <v>14831765.09</v>
      </c>
      <c r="D1870" s="21" t="s">
        <v>854</v>
      </c>
      <c r="E1870" s="21">
        <v>91003029</v>
      </c>
      <c r="F1870" s="20">
        <v>14831765.09</v>
      </c>
      <c r="G1870" s="22">
        <v>46136</v>
      </c>
      <c r="H1870" t="s">
        <v>79</v>
      </c>
      <c r="I1870" s="51" t="str">
        <f>IFERROR(IF(VLOOKUP(E1870,extracto!C:C,1,FALSE)=E1870,"pagado","no pagado"),"no pagado")</f>
        <v>no pagado</v>
      </c>
      <c r="J1870" s="52" t="str">
        <f t="shared" ca="1" si="786"/>
        <v>fuera de fecha</v>
      </c>
      <c r="K1870" s="51" t="str">
        <f t="shared" ca="1" si="787"/>
        <v>excluir</v>
      </c>
      <c r="L1870" s="51" t="str">
        <f t="shared" ca="1" si="788"/>
        <v>no semana</v>
      </c>
      <c r="M1870" s="51" t="str">
        <f>IFERROR(VLOOKUP(E1870,'cheques a conf'!A:D,4,FALSE),"no clearing")</f>
        <v>no clearing</v>
      </c>
      <c r="N1870" s="51">
        <f t="shared" si="789"/>
        <v>17</v>
      </c>
      <c r="O1870" s="53">
        <f t="shared" si="790"/>
        <v>4</v>
      </c>
      <c r="P1870" s="53">
        <f t="shared" si="791"/>
        <v>2026</v>
      </c>
    </row>
    <row r="1871" spans="1:16" x14ac:dyDescent="0.25">
      <c r="A1871" s="21">
        <v>3000002137</v>
      </c>
      <c r="B1871" s="22">
        <v>46133</v>
      </c>
      <c r="C1871" s="20">
        <v>3420636.3</v>
      </c>
      <c r="D1871" s="21" t="s">
        <v>669</v>
      </c>
      <c r="E1871" s="21">
        <v>91003030</v>
      </c>
      <c r="F1871" s="20">
        <v>3420636.3</v>
      </c>
      <c r="G1871" s="22">
        <v>46136</v>
      </c>
      <c r="H1871" t="s">
        <v>79</v>
      </c>
      <c r="I1871" s="51" t="str">
        <f>IFERROR(IF(VLOOKUP(E1871,extracto!C:C,1,FALSE)=E1871,"pagado","no pagado"),"no pagado")</f>
        <v>no pagado</v>
      </c>
      <c r="J1871" s="52" t="str">
        <f t="shared" ref="J1871:J1919" ca="1" si="792">IF(I1871="pagado","pagado",IF(G1871&lt;$V$1-30,"fuera de fecha","en periodo de pago"))</f>
        <v>fuera de fecha</v>
      </c>
      <c r="K1871" s="51" t="str">
        <f t="shared" ref="K1871:K1919" ca="1" si="793">+IF(B1871&gt;$V$1,"excluir",IF(J1871="en periodo de pago",IF($V$1&gt;G1871,"a pagar","proximo a vencer"),"excluir"))</f>
        <v>excluir</v>
      </c>
      <c r="L1871" s="51" t="str">
        <f t="shared" ref="L1871:L1919" ca="1" si="794">+IF(K1871="proximo a vencer",IF($V$1+5&gt;G1871,"para la semana","no semana"),"no semana")</f>
        <v>no semana</v>
      </c>
      <c r="M1871" s="51" t="str">
        <f>IFERROR(VLOOKUP(E1871,'cheques a conf'!A:D,4,FALSE),"no clearing")</f>
        <v>no clearing</v>
      </c>
      <c r="N1871" s="51">
        <f t="shared" ref="N1871:N1919" si="795">+WEEKNUM(G1871,2)</f>
        <v>17</v>
      </c>
      <c r="O1871" s="53">
        <f t="shared" ref="O1871:O1919" si="796">+MONTH(G1871)</f>
        <v>4</v>
      </c>
      <c r="P1871" s="53">
        <f t="shared" ref="P1871:P1919" si="797">+YEAR(G1871)</f>
        <v>2026</v>
      </c>
    </row>
    <row r="1872" spans="1:16" x14ac:dyDescent="0.25">
      <c r="A1872" s="21">
        <v>3000002138</v>
      </c>
      <c r="B1872" s="22">
        <v>46133</v>
      </c>
      <c r="C1872" s="20">
        <v>8567468.9800000004</v>
      </c>
      <c r="D1872" s="21" t="s">
        <v>654</v>
      </c>
      <c r="E1872" s="21">
        <v>91003031</v>
      </c>
      <c r="F1872" s="20">
        <v>8567468.9800000004</v>
      </c>
      <c r="G1872" s="22">
        <v>46136</v>
      </c>
      <c r="H1872" t="s">
        <v>79</v>
      </c>
      <c r="I1872" s="51" t="str">
        <f>IFERROR(IF(VLOOKUP(E1872,extracto!C:C,1,FALSE)=E1872,"pagado","no pagado"),"no pagado")</f>
        <v>pagado</v>
      </c>
      <c r="J1872" s="52" t="str">
        <f t="shared" si="792"/>
        <v>pagado</v>
      </c>
      <c r="K1872" s="51" t="str">
        <f t="shared" ca="1" si="793"/>
        <v>excluir</v>
      </c>
      <c r="L1872" s="51" t="str">
        <f t="shared" ca="1" si="794"/>
        <v>no semana</v>
      </c>
      <c r="M1872" s="51" t="str">
        <f>IFERROR(VLOOKUP(E1872,'cheques a conf'!A:D,4,FALSE),"no clearing")</f>
        <v>no clearing</v>
      </c>
      <c r="N1872" s="51">
        <f t="shared" si="795"/>
        <v>17</v>
      </c>
      <c r="O1872" s="53">
        <f t="shared" si="796"/>
        <v>4</v>
      </c>
      <c r="P1872" s="53">
        <f t="shared" si="797"/>
        <v>2026</v>
      </c>
    </row>
    <row r="1873" spans="1:16" x14ac:dyDescent="0.25">
      <c r="A1873" s="21">
        <v>3000002139</v>
      </c>
      <c r="B1873" s="22">
        <v>46133</v>
      </c>
      <c r="C1873" s="20">
        <v>5133802.09</v>
      </c>
      <c r="D1873" s="21" t="s">
        <v>31</v>
      </c>
      <c r="E1873" s="21">
        <v>91003032</v>
      </c>
      <c r="F1873" s="20">
        <v>5133802.09</v>
      </c>
      <c r="G1873" s="22">
        <v>46136</v>
      </c>
      <c r="H1873" t="s">
        <v>79</v>
      </c>
      <c r="I1873" s="51" t="str">
        <f>IFERROR(IF(VLOOKUP(E1873,extracto!C:C,1,FALSE)=E1873,"pagado","no pagado"),"no pagado")</f>
        <v>no pagado</v>
      </c>
      <c r="J1873" s="52" t="str">
        <f t="shared" ca="1" si="792"/>
        <v>fuera de fecha</v>
      </c>
      <c r="K1873" s="51" t="str">
        <f t="shared" ca="1" si="793"/>
        <v>excluir</v>
      </c>
      <c r="L1873" s="51" t="str">
        <f t="shared" ca="1" si="794"/>
        <v>no semana</v>
      </c>
      <c r="M1873" s="51" t="str">
        <f>IFERROR(VLOOKUP(E1873,'cheques a conf'!A:D,4,FALSE),"no clearing")</f>
        <v>no clearing</v>
      </c>
      <c r="N1873" s="51">
        <f t="shared" si="795"/>
        <v>17</v>
      </c>
      <c r="O1873" s="53">
        <f t="shared" si="796"/>
        <v>4</v>
      </c>
      <c r="P1873" s="53">
        <f t="shared" si="797"/>
        <v>2026</v>
      </c>
    </row>
    <row r="1874" spans="1:16" x14ac:dyDescent="0.25">
      <c r="A1874" s="21">
        <v>3000002140</v>
      </c>
      <c r="B1874" s="22">
        <v>46133</v>
      </c>
      <c r="C1874" s="20">
        <v>7751298.9699999997</v>
      </c>
      <c r="D1874" s="21" t="s">
        <v>650</v>
      </c>
      <c r="E1874" s="21">
        <v>91003033</v>
      </c>
      <c r="F1874" s="20">
        <v>7751298.9699999997</v>
      </c>
      <c r="G1874" s="22">
        <v>46136</v>
      </c>
      <c r="H1874" t="s">
        <v>79</v>
      </c>
      <c r="I1874" s="51" t="str">
        <f>IFERROR(IF(VLOOKUP(E1874,extracto!C:C,1,FALSE)=E1874,"pagado","no pagado"),"no pagado")</f>
        <v>no pagado</v>
      </c>
      <c r="J1874" s="52" t="str">
        <f t="shared" ca="1" si="792"/>
        <v>fuera de fecha</v>
      </c>
      <c r="K1874" s="51" t="str">
        <f t="shared" ca="1" si="793"/>
        <v>excluir</v>
      </c>
      <c r="L1874" s="51" t="str">
        <f t="shared" ca="1" si="794"/>
        <v>no semana</v>
      </c>
      <c r="M1874" s="51" t="str">
        <f>IFERROR(VLOOKUP(E1874,'cheques a conf'!A:D,4,FALSE),"no clearing")</f>
        <v>no clearing</v>
      </c>
      <c r="N1874" s="51">
        <f t="shared" si="795"/>
        <v>17</v>
      </c>
      <c r="O1874" s="53">
        <f t="shared" si="796"/>
        <v>4</v>
      </c>
      <c r="P1874" s="53">
        <f t="shared" si="797"/>
        <v>2026</v>
      </c>
    </row>
    <row r="1875" spans="1:16" x14ac:dyDescent="0.25">
      <c r="A1875" s="21">
        <v>3000002141</v>
      </c>
      <c r="B1875" s="22">
        <v>46133</v>
      </c>
      <c r="C1875" s="20">
        <v>23905685.699999999</v>
      </c>
      <c r="D1875" s="21" t="s">
        <v>642</v>
      </c>
      <c r="E1875" s="21">
        <v>91003034</v>
      </c>
      <c r="F1875" s="20">
        <v>23905685.699999999</v>
      </c>
      <c r="G1875" s="22">
        <v>46136</v>
      </c>
      <c r="H1875" t="s">
        <v>79</v>
      </c>
      <c r="I1875" s="51" t="str">
        <f>IFERROR(IF(VLOOKUP(E1875,extracto!C:C,1,FALSE)=E1875,"pagado","no pagado"),"no pagado")</f>
        <v>no pagado</v>
      </c>
      <c r="J1875" s="52" t="str">
        <f t="shared" ca="1" si="792"/>
        <v>fuera de fecha</v>
      </c>
      <c r="K1875" s="51" t="str">
        <f t="shared" ca="1" si="793"/>
        <v>excluir</v>
      </c>
      <c r="L1875" s="51" t="str">
        <f t="shared" ca="1" si="794"/>
        <v>no semana</v>
      </c>
      <c r="M1875" s="51" t="str">
        <f>IFERROR(VLOOKUP(E1875,'cheques a conf'!A:D,4,FALSE),"no clearing")</f>
        <v>no clearing</v>
      </c>
      <c r="N1875" s="51">
        <f t="shared" si="795"/>
        <v>17</v>
      </c>
      <c r="O1875" s="53">
        <f t="shared" si="796"/>
        <v>4</v>
      </c>
      <c r="P1875" s="53">
        <f t="shared" si="797"/>
        <v>2026</v>
      </c>
    </row>
    <row r="1876" spans="1:16" x14ac:dyDescent="0.25">
      <c r="A1876" s="21">
        <v>3000002142</v>
      </c>
      <c r="B1876" s="22">
        <v>46133</v>
      </c>
      <c r="C1876" s="20">
        <v>6380801.7599999998</v>
      </c>
      <c r="D1876" s="21" t="s">
        <v>708</v>
      </c>
      <c r="E1876" s="21">
        <v>91003035</v>
      </c>
      <c r="F1876" s="20">
        <v>6380801.7599999998</v>
      </c>
      <c r="G1876" s="22">
        <v>46136</v>
      </c>
      <c r="H1876" t="s">
        <v>79</v>
      </c>
      <c r="I1876" s="51" t="str">
        <f>IFERROR(IF(VLOOKUP(E1876,extracto!C:C,1,FALSE)=E1876,"pagado","no pagado"),"no pagado")</f>
        <v>no pagado</v>
      </c>
      <c r="J1876" s="52" t="str">
        <f t="shared" ca="1" si="792"/>
        <v>fuera de fecha</v>
      </c>
      <c r="K1876" s="51" t="str">
        <f t="shared" ca="1" si="793"/>
        <v>excluir</v>
      </c>
      <c r="L1876" s="51" t="str">
        <f t="shared" ca="1" si="794"/>
        <v>no semana</v>
      </c>
      <c r="M1876" s="51" t="str">
        <f>IFERROR(VLOOKUP(E1876,'cheques a conf'!A:D,4,FALSE),"no clearing")</f>
        <v>no clearing</v>
      </c>
      <c r="N1876" s="51">
        <f t="shared" si="795"/>
        <v>17</v>
      </c>
      <c r="O1876" s="53">
        <f t="shared" si="796"/>
        <v>4</v>
      </c>
      <c r="P1876" s="53">
        <f t="shared" si="797"/>
        <v>2026</v>
      </c>
    </row>
    <row r="1877" spans="1:16" x14ac:dyDescent="0.25">
      <c r="A1877" s="21">
        <v>3000002056</v>
      </c>
      <c r="B1877" s="22">
        <v>46132</v>
      </c>
      <c r="C1877" s="20">
        <v>30330400</v>
      </c>
      <c r="D1877" s="21" t="s">
        <v>25</v>
      </c>
      <c r="E1877" s="21">
        <v>95780900</v>
      </c>
      <c r="F1877" s="20">
        <v>30330400</v>
      </c>
      <c r="G1877" s="22">
        <v>46132</v>
      </c>
      <c r="H1877" t="s">
        <v>79</v>
      </c>
      <c r="I1877" s="51" t="str">
        <f>IFERROR(IF(VLOOKUP(E1877,extracto!C:C,1,FALSE)=E1877,"pagado","no pagado"),"no pagado")</f>
        <v>pagado</v>
      </c>
      <c r="J1877" s="52" t="str">
        <f t="shared" si="792"/>
        <v>pagado</v>
      </c>
      <c r="K1877" s="51" t="str">
        <f t="shared" ca="1" si="793"/>
        <v>excluir</v>
      </c>
      <c r="L1877" s="51" t="str">
        <f t="shared" ca="1" si="794"/>
        <v>no semana</v>
      </c>
      <c r="M1877" s="51" t="str">
        <f>IFERROR(VLOOKUP(E1877,'cheques a conf'!A:D,4,FALSE),"no clearing")</f>
        <v>no clearing</v>
      </c>
      <c r="N1877" s="51">
        <f t="shared" si="795"/>
        <v>17</v>
      </c>
      <c r="O1877" s="53">
        <f t="shared" si="796"/>
        <v>4</v>
      </c>
      <c r="P1877" s="53">
        <f t="shared" si="797"/>
        <v>2026</v>
      </c>
    </row>
    <row r="1878" spans="1:16" x14ac:dyDescent="0.25">
      <c r="A1878" s="21">
        <v>3000002182</v>
      </c>
      <c r="B1878" s="22">
        <v>46134</v>
      </c>
      <c r="C1878" s="20">
        <v>222414331.91999999</v>
      </c>
      <c r="D1878" s="21" t="s">
        <v>25</v>
      </c>
      <c r="E1878" s="21">
        <v>91003036</v>
      </c>
      <c r="F1878" s="20">
        <v>222414331.91999999</v>
      </c>
      <c r="G1878" s="22">
        <v>46136</v>
      </c>
      <c r="H1878" t="s">
        <v>79</v>
      </c>
      <c r="I1878" s="51" t="str">
        <f>IFERROR(IF(VLOOKUP(E1878,extracto!C:C,1,FALSE)=E1878,"pagado","no pagado"),"no pagado")</f>
        <v>no pagado</v>
      </c>
      <c r="J1878" s="52" t="str">
        <f t="shared" ca="1" si="792"/>
        <v>fuera de fecha</v>
      </c>
      <c r="K1878" s="51" t="str">
        <f t="shared" ca="1" si="793"/>
        <v>excluir</v>
      </c>
      <c r="L1878" s="51" t="str">
        <f t="shared" ca="1" si="794"/>
        <v>no semana</v>
      </c>
      <c r="M1878" s="51" t="str">
        <f>IFERROR(VLOOKUP(E1878,'cheques a conf'!A:D,4,FALSE),"no clearing")</f>
        <v>no clearing</v>
      </c>
      <c r="N1878" s="51">
        <f t="shared" si="795"/>
        <v>17</v>
      </c>
      <c r="O1878" s="53">
        <f t="shared" si="796"/>
        <v>4</v>
      </c>
      <c r="P1878" s="53">
        <f t="shared" si="797"/>
        <v>2026</v>
      </c>
    </row>
    <row r="1879" spans="1:16" x14ac:dyDescent="0.25">
      <c r="A1879" s="21">
        <v>3000002183</v>
      </c>
      <c r="B1879" s="22">
        <v>46134</v>
      </c>
      <c r="C1879" s="20">
        <v>350514.88</v>
      </c>
      <c r="D1879" s="21" t="s">
        <v>530</v>
      </c>
      <c r="E1879" s="21">
        <v>61301829</v>
      </c>
      <c r="F1879" s="20">
        <v>350514.88</v>
      </c>
      <c r="G1879" s="22">
        <v>46135</v>
      </c>
      <c r="H1879" t="s">
        <v>79</v>
      </c>
      <c r="I1879" s="51" t="str">
        <f>IFERROR(IF(VLOOKUP(E1879,extracto!C:C,1,FALSE)=E1879,"pagado","no pagado"),"no pagado")</f>
        <v>pagado</v>
      </c>
      <c r="J1879" s="52" t="str">
        <f t="shared" si="792"/>
        <v>pagado</v>
      </c>
      <c r="K1879" s="51" t="str">
        <f t="shared" ca="1" si="793"/>
        <v>excluir</v>
      </c>
      <c r="L1879" s="51" t="str">
        <f t="shared" ca="1" si="794"/>
        <v>no semana</v>
      </c>
      <c r="M1879" s="51" t="str">
        <f>IFERROR(VLOOKUP(E1879,'cheques a conf'!A:D,4,FALSE),"no clearing")</f>
        <v>no clearing</v>
      </c>
      <c r="N1879" s="51">
        <f t="shared" si="795"/>
        <v>17</v>
      </c>
      <c r="O1879" s="53">
        <f t="shared" si="796"/>
        <v>4</v>
      </c>
      <c r="P1879" s="53">
        <f t="shared" si="797"/>
        <v>2026</v>
      </c>
    </row>
    <row r="1880" spans="1:16" x14ac:dyDescent="0.25">
      <c r="A1880" s="21">
        <v>3000002223</v>
      </c>
      <c r="B1880" s="22">
        <v>46136</v>
      </c>
      <c r="C1880" s="20">
        <v>6893841.6399999997</v>
      </c>
      <c r="D1880" s="21" t="s">
        <v>626</v>
      </c>
      <c r="E1880" s="21">
        <v>91003037</v>
      </c>
      <c r="F1880" s="20">
        <v>6893841.6399999997</v>
      </c>
      <c r="G1880" s="22">
        <v>46136</v>
      </c>
      <c r="H1880" t="s">
        <v>79</v>
      </c>
      <c r="I1880" s="51" t="str">
        <f>IFERROR(IF(VLOOKUP(E1880,extracto!C:C,1,FALSE)=E1880,"pagado","no pagado"),"no pagado")</f>
        <v>pagado</v>
      </c>
      <c r="J1880" s="52" t="str">
        <f t="shared" si="792"/>
        <v>pagado</v>
      </c>
      <c r="K1880" s="51" t="str">
        <f t="shared" ca="1" si="793"/>
        <v>excluir</v>
      </c>
      <c r="L1880" s="51" t="str">
        <f t="shared" ca="1" si="794"/>
        <v>no semana</v>
      </c>
      <c r="M1880" s="51" t="str">
        <f>IFERROR(VLOOKUP(E1880,'cheques a conf'!A:D,4,FALSE),"no clearing")</f>
        <v>no clearing</v>
      </c>
      <c r="N1880" s="51">
        <f t="shared" si="795"/>
        <v>17</v>
      </c>
      <c r="O1880" s="53">
        <f t="shared" si="796"/>
        <v>4</v>
      </c>
      <c r="P1880" s="53">
        <f t="shared" si="797"/>
        <v>2026</v>
      </c>
    </row>
    <row r="1881" spans="1:16" x14ac:dyDescent="0.25">
      <c r="A1881" s="21">
        <v>3000002224</v>
      </c>
      <c r="B1881" s="22">
        <v>46136</v>
      </c>
      <c r="C1881" s="20">
        <v>42625439.039999999</v>
      </c>
      <c r="D1881" s="21" t="s">
        <v>622</v>
      </c>
      <c r="E1881" s="21">
        <v>91003038</v>
      </c>
      <c r="F1881" s="20">
        <v>42625439.039999999</v>
      </c>
      <c r="G1881" s="22">
        <v>46136</v>
      </c>
      <c r="H1881" t="s">
        <v>79</v>
      </c>
      <c r="I1881" s="51" t="str">
        <f>IFERROR(IF(VLOOKUP(E1881,extracto!C:C,1,FALSE)=E1881,"pagado","no pagado"),"no pagado")</f>
        <v>pagado</v>
      </c>
      <c r="J1881" s="52" t="str">
        <f t="shared" si="792"/>
        <v>pagado</v>
      </c>
      <c r="K1881" s="51" t="str">
        <f t="shared" ca="1" si="793"/>
        <v>excluir</v>
      </c>
      <c r="L1881" s="51" t="str">
        <f t="shared" ca="1" si="794"/>
        <v>no semana</v>
      </c>
      <c r="M1881" s="51" t="str">
        <f>IFERROR(VLOOKUP(E1881,'cheques a conf'!A:D,4,FALSE),"no clearing")</f>
        <v>no clearing</v>
      </c>
      <c r="N1881" s="51">
        <f t="shared" si="795"/>
        <v>17</v>
      </c>
      <c r="O1881" s="53">
        <f t="shared" si="796"/>
        <v>4</v>
      </c>
      <c r="P1881" s="53">
        <f t="shared" si="797"/>
        <v>2026</v>
      </c>
    </row>
    <row r="1882" spans="1:16" x14ac:dyDescent="0.25">
      <c r="A1882" s="21">
        <v>3000002225</v>
      </c>
      <c r="B1882" s="22">
        <v>46136</v>
      </c>
      <c r="C1882" s="20">
        <v>26623627.559999999</v>
      </c>
      <c r="D1882" s="21" t="s">
        <v>631</v>
      </c>
      <c r="E1882" s="21">
        <v>91003039</v>
      </c>
      <c r="F1882" s="20">
        <v>26623627.559999999</v>
      </c>
      <c r="G1882" s="22">
        <v>46136</v>
      </c>
      <c r="H1882" t="s">
        <v>79</v>
      </c>
      <c r="I1882" s="51" t="str">
        <f>IFERROR(IF(VLOOKUP(E1882,extracto!C:C,1,FALSE)=E1882,"pagado","no pagado"),"no pagado")</f>
        <v>pagado</v>
      </c>
      <c r="J1882" s="52" t="str">
        <f t="shared" si="792"/>
        <v>pagado</v>
      </c>
      <c r="K1882" s="51" t="str">
        <f t="shared" ca="1" si="793"/>
        <v>excluir</v>
      </c>
      <c r="L1882" s="51" t="str">
        <f t="shared" ca="1" si="794"/>
        <v>no semana</v>
      </c>
      <c r="M1882" s="51" t="str">
        <f>IFERROR(VLOOKUP(E1882,'cheques a conf'!A:D,4,FALSE),"no clearing")</f>
        <v>no clearing</v>
      </c>
      <c r="N1882" s="51">
        <f t="shared" si="795"/>
        <v>17</v>
      </c>
      <c r="O1882" s="53">
        <f t="shared" si="796"/>
        <v>4</v>
      </c>
      <c r="P1882" s="53">
        <f t="shared" si="797"/>
        <v>2026</v>
      </c>
    </row>
    <row r="1883" spans="1:16" x14ac:dyDescent="0.25">
      <c r="A1883" s="21">
        <v>3000002296</v>
      </c>
      <c r="B1883" s="22">
        <v>46139</v>
      </c>
      <c r="C1883" s="20">
        <v>14600000</v>
      </c>
      <c r="D1883" s="21" t="s">
        <v>855</v>
      </c>
      <c r="E1883" s="21">
        <v>61301830</v>
      </c>
      <c r="F1883" s="20">
        <v>14600000</v>
      </c>
      <c r="G1883" s="22">
        <v>46139</v>
      </c>
      <c r="H1883" t="s">
        <v>79</v>
      </c>
      <c r="I1883" s="51" t="str">
        <f>IFERROR(IF(VLOOKUP(E1883,extracto!C:C,1,FALSE)=E1883,"pagado","no pagado"),"no pagado")</f>
        <v>no pagado</v>
      </c>
      <c r="J1883" s="52" t="str">
        <f t="shared" ca="1" si="792"/>
        <v>fuera de fecha</v>
      </c>
      <c r="K1883" s="51" t="str">
        <f t="shared" ca="1" si="793"/>
        <v>excluir</v>
      </c>
      <c r="L1883" s="51" t="str">
        <f t="shared" ca="1" si="794"/>
        <v>no semana</v>
      </c>
      <c r="M1883" s="51" t="str">
        <f>IFERROR(VLOOKUP(E1883,'cheques a conf'!A:D,4,FALSE),"no clearing")</f>
        <v>no clearing</v>
      </c>
      <c r="N1883" s="51">
        <f t="shared" si="795"/>
        <v>18</v>
      </c>
      <c r="O1883" s="53">
        <f t="shared" si="796"/>
        <v>4</v>
      </c>
      <c r="P1883" s="53">
        <f t="shared" si="797"/>
        <v>2026</v>
      </c>
    </row>
    <row r="1884" spans="1:16" x14ac:dyDescent="0.25">
      <c r="A1884" s="21">
        <v>3000002296</v>
      </c>
      <c r="B1884" s="22">
        <v>46139</v>
      </c>
      <c r="C1884" s="20">
        <v>14600000</v>
      </c>
      <c r="D1884" s="21" t="s">
        <v>855</v>
      </c>
      <c r="E1884" s="21">
        <v>61301831</v>
      </c>
      <c r="F1884" s="20">
        <v>14600000</v>
      </c>
      <c r="G1884" s="22">
        <v>46139</v>
      </c>
      <c r="H1884" t="s">
        <v>79</v>
      </c>
      <c r="I1884" s="51" t="str">
        <f>IFERROR(IF(VLOOKUP(E1884,extracto!C:C,1,FALSE)=E1884,"pagado","no pagado"),"no pagado")</f>
        <v>no pagado</v>
      </c>
      <c r="J1884" s="52" t="str">
        <f t="shared" ca="1" si="792"/>
        <v>fuera de fecha</v>
      </c>
      <c r="K1884" s="51" t="str">
        <f t="shared" ca="1" si="793"/>
        <v>excluir</v>
      </c>
      <c r="L1884" s="51" t="str">
        <f t="shared" ca="1" si="794"/>
        <v>no semana</v>
      </c>
      <c r="M1884" s="51" t="str">
        <f>IFERROR(VLOOKUP(E1884,'cheques a conf'!A:D,4,FALSE),"no clearing")</f>
        <v>no clearing</v>
      </c>
      <c r="N1884" s="51">
        <f t="shared" si="795"/>
        <v>18</v>
      </c>
      <c r="O1884" s="53">
        <f t="shared" si="796"/>
        <v>4</v>
      </c>
      <c r="P1884" s="53">
        <f t="shared" si="797"/>
        <v>2026</v>
      </c>
    </row>
    <row r="1885" spans="1:16" x14ac:dyDescent="0.25">
      <c r="A1885" s="21">
        <v>3000002296</v>
      </c>
      <c r="B1885" s="22">
        <v>46139</v>
      </c>
      <c r="C1885" s="20">
        <v>14600000</v>
      </c>
      <c r="D1885" s="21" t="s">
        <v>855</v>
      </c>
      <c r="E1885" s="21">
        <v>61301832</v>
      </c>
      <c r="F1885" s="20">
        <v>14600000</v>
      </c>
      <c r="G1885" s="22">
        <v>46139</v>
      </c>
      <c r="H1885" t="s">
        <v>79</v>
      </c>
      <c r="I1885" s="51" t="str">
        <f>IFERROR(IF(VLOOKUP(E1885,extracto!C:C,1,FALSE)=E1885,"pagado","no pagado"),"no pagado")</f>
        <v>no pagado</v>
      </c>
      <c r="J1885" s="52" t="str">
        <f t="shared" ca="1" si="792"/>
        <v>fuera de fecha</v>
      </c>
      <c r="K1885" s="51" t="str">
        <f t="shared" ca="1" si="793"/>
        <v>excluir</v>
      </c>
      <c r="L1885" s="51" t="str">
        <f t="shared" ca="1" si="794"/>
        <v>no semana</v>
      </c>
      <c r="M1885" s="51" t="str">
        <f>IFERROR(VLOOKUP(E1885,'cheques a conf'!A:D,4,FALSE),"no clearing")</f>
        <v>no clearing</v>
      </c>
      <c r="N1885" s="51">
        <f t="shared" si="795"/>
        <v>18</v>
      </c>
      <c r="O1885" s="53">
        <f t="shared" si="796"/>
        <v>4</v>
      </c>
      <c r="P1885" s="53">
        <f t="shared" si="797"/>
        <v>2026</v>
      </c>
    </row>
    <row r="1886" spans="1:16" x14ac:dyDescent="0.25">
      <c r="A1886" s="21">
        <v>3000002296</v>
      </c>
      <c r="B1886" s="22">
        <v>46139</v>
      </c>
      <c r="C1886" s="20">
        <v>14600000</v>
      </c>
      <c r="D1886" s="21" t="s">
        <v>855</v>
      </c>
      <c r="E1886" s="21">
        <v>61301833</v>
      </c>
      <c r="F1886" s="20">
        <v>14600000</v>
      </c>
      <c r="G1886" s="22">
        <v>46139</v>
      </c>
      <c r="H1886" t="s">
        <v>79</v>
      </c>
      <c r="I1886" s="51" t="str">
        <f>IFERROR(IF(VLOOKUP(E1886,extracto!C:C,1,FALSE)=E1886,"pagado","no pagado"),"no pagado")</f>
        <v>no pagado</v>
      </c>
      <c r="J1886" s="52" t="str">
        <f t="shared" ca="1" si="792"/>
        <v>fuera de fecha</v>
      </c>
      <c r="K1886" s="51" t="str">
        <f t="shared" ca="1" si="793"/>
        <v>excluir</v>
      </c>
      <c r="L1886" s="51" t="str">
        <f t="shared" ca="1" si="794"/>
        <v>no semana</v>
      </c>
      <c r="M1886" s="51" t="str">
        <f>IFERROR(VLOOKUP(E1886,'cheques a conf'!A:D,4,FALSE),"no clearing")</f>
        <v>no clearing</v>
      </c>
      <c r="N1886" s="51">
        <f t="shared" si="795"/>
        <v>18</v>
      </c>
      <c r="O1886" s="53">
        <f t="shared" si="796"/>
        <v>4</v>
      </c>
      <c r="P1886" s="53">
        <f t="shared" si="797"/>
        <v>2026</v>
      </c>
    </row>
    <row r="1887" spans="1:16" x14ac:dyDescent="0.25">
      <c r="A1887" s="21">
        <v>3000002296</v>
      </c>
      <c r="B1887" s="22">
        <v>46139</v>
      </c>
      <c r="C1887" s="20">
        <v>14519180.300000001</v>
      </c>
      <c r="D1887" s="21" t="s">
        <v>855</v>
      </c>
      <c r="E1887" s="21">
        <v>61301834</v>
      </c>
      <c r="F1887" s="20">
        <v>14519180.300000001</v>
      </c>
      <c r="G1887" s="22">
        <v>46139</v>
      </c>
      <c r="H1887" t="s">
        <v>79</v>
      </c>
      <c r="I1887" s="51" t="str">
        <f>IFERROR(IF(VLOOKUP(E1887,extracto!C:C,1,FALSE)=E1887,"pagado","no pagado"),"no pagado")</f>
        <v>no pagado</v>
      </c>
      <c r="J1887" s="52" t="str">
        <f t="shared" ca="1" si="792"/>
        <v>fuera de fecha</v>
      </c>
      <c r="K1887" s="51" t="str">
        <f t="shared" ca="1" si="793"/>
        <v>excluir</v>
      </c>
      <c r="L1887" s="51" t="str">
        <f t="shared" ca="1" si="794"/>
        <v>no semana</v>
      </c>
      <c r="M1887" s="51" t="str">
        <f>IFERROR(VLOOKUP(E1887,'cheques a conf'!A:D,4,FALSE),"no clearing")</f>
        <v>no clearing</v>
      </c>
      <c r="N1887" s="51">
        <f t="shared" si="795"/>
        <v>18</v>
      </c>
      <c r="O1887" s="53">
        <f t="shared" si="796"/>
        <v>4</v>
      </c>
      <c r="P1887" s="53">
        <f t="shared" si="797"/>
        <v>2026</v>
      </c>
    </row>
    <row r="1888" spans="1:16" x14ac:dyDescent="0.25">
      <c r="A1888" s="21">
        <v>3000002280</v>
      </c>
      <c r="B1888" s="22">
        <v>46139</v>
      </c>
      <c r="C1888" s="20">
        <v>4490853.6500000004</v>
      </c>
      <c r="D1888" s="21" t="s">
        <v>767</v>
      </c>
      <c r="E1888" s="21">
        <v>91003040</v>
      </c>
      <c r="F1888" s="20">
        <v>4490853.6500000004</v>
      </c>
      <c r="G1888" s="22">
        <v>46139</v>
      </c>
      <c r="H1888" t="s">
        <v>79</v>
      </c>
      <c r="I1888" s="51" t="str">
        <f>IFERROR(IF(VLOOKUP(E1888,extracto!C:C,1,FALSE)=E1888,"pagado","no pagado"),"no pagado")</f>
        <v>pagado</v>
      </c>
      <c r="J1888" s="52" t="str">
        <f t="shared" si="792"/>
        <v>pagado</v>
      </c>
      <c r="K1888" s="51" t="str">
        <f t="shared" ca="1" si="793"/>
        <v>excluir</v>
      </c>
      <c r="L1888" s="51" t="str">
        <f t="shared" ca="1" si="794"/>
        <v>no semana</v>
      </c>
      <c r="M1888" s="51" t="str">
        <f>IFERROR(VLOOKUP(E1888,'cheques a conf'!A:D,4,FALSE),"no clearing")</f>
        <v>no clearing</v>
      </c>
      <c r="N1888" s="51">
        <f t="shared" si="795"/>
        <v>18</v>
      </c>
      <c r="O1888" s="53">
        <f t="shared" si="796"/>
        <v>4</v>
      </c>
      <c r="P1888" s="53">
        <f t="shared" si="797"/>
        <v>2026</v>
      </c>
    </row>
    <row r="1889" spans="1:16" x14ac:dyDescent="0.25">
      <c r="A1889" s="21">
        <v>3000002281</v>
      </c>
      <c r="B1889" s="22">
        <v>46139</v>
      </c>
      <c r="C1889" s="20">
        <v>10384519.9</v>
      </c>
      <c r="D1889" s="21" t="s">
        <v>856</v>
      </c>
      <c r="E1889" s="21">
        <v>91003041</v>
      </c>
      <c r="F1889" s="20">
        <v>10384519.9</v>
      </c>
      <c r="G1889" s="22">
        <v>46139</v>
      </c>
      <c r="H1889" t="s">
        <v>79</v>
      </c>
      <c r="I1889" s="51" t="str">
        <f>IFERROR(IF(VLOOKUP(E1889,extracto!C:C,1,FALSE)=E1889,"pagado","no pagado"),"no pagado")</f>
        <v>pagado</v>
      </c>
      <c r="J1889" s="52" t="str">
        <f t="shared" si="792"/>
        <v>pagado</v>
      </c>
      <c r="K1889" s="51" t="str">
        <f t="shared" ca="1" si="793"/>
        <v>excluir</v>
      </c>
      <c r="L1889" s="51" t="str">
        <f t="shared" ca="1" si="794"/>
        <v>no semana</v>
      </c>
      <c r="M1889" s="51" t="str">
        <f>IFERROR(VLOOKUP(E1889,'cheques a conf'!A:D,4,FALSE),"no clearing")</f>
        <v>no clearing</v>
      </c>
      <c r="N1889" s="51">
        <f t="shared" si="795"/>
        <v>18</v>
      </c>
      <c r="O1889" s="53">
        <f t="shared" si="796"/>
        <v>4</v>
      </c>
      <c r="P1889" s="53">
        <f t="shared" si="797"/>
        <v>2026</v>
      </c>
    </row>
    <row r="1890" spans="1:16" x14ac:dyDescent="0.25">
      <c r="A1890" s="21">
        <v>3000002282</v>
      </c>
      <c r="B1890" s="22">
        <v>46139</v>
      </c>
      <c r="C1890" s="20">
        <v>4588053.75</v>
      </c>
      <c r="D1890" s="21" t="s">
        <v>857</v>
      </c>
      <c r="E1890" s="21">
        <v>91003042</v>
      </c>
      <c r="F1890" s="20">
        <v>4588053.75</v>
      </c>
      <c r="G1890" s="22">
        <v>46139</v>
      </c>
      <c r="H1890" t="s">
        <v>79</v>
      </c>
      <c r="I1890" s="51" t="str">
        <f>IFERROR(IF(VLOOKUP(E1890,extracto!C:C,1,FALSE)=E1890,"pagado","no pagado"),"no pagado")</f>
        <v>no pagado</v>
      </c>
      <c r="J1890" s="52" t="str">
        <f t="shared" ca="1" si="792"/>
        <v>fuera de fecha</v>
      </c>
      <c r="K1890" s="51" t="str">
        <f t="shared" ca="1" si="793"/>
        <v>excluir</v>
      </c>
      <c r="L1890" s="51" t="str">
        <f t="shared" ca="1" si="794"/>
        <v>no semana</v>
      </c>
      <c r="M1890" s="51" t="str">
        <f>IFERROR(VLOOKUP(E1890,'cheques a conf'!A:D,4,FALSE),"no clearing")</f>
        <v>no clearing</v>
      </c>
      <c r="N1890" s="51">
        <f t="shared" si="795"/>
        <v>18</v>
      </c>
      <c r="O1890" s="53">
        <f t="shared" si="796"/>
        <v>4</v>
      </c>
      <c r="P1890" s="53">
        <f t="shared" si="797"/>
        <v>2026</v>
      </c>
    </row>
    <row r="1891" spans="1:16" x14ac:dyDescent="0.25">
      <c r="A1891" s="21">
        <v>3000002283</v>
      </c>
      <c r="B1891" s="22">
        <v>46139</v>
      </c>
      <c r="C1891" s="20">
        <v>33111550.079999998</v>
      </c>
      <c r="D1891" s="21" t="s">
        <v>626</v>
      </c>
      <c r="E1891" s="21">
        <v>91003043</v>
      </c>
      <c r="F1891" s="20">
        <v>33111550.079999998</v>
      </c>
      <c r="G1891" s="22">
        <v>46139</v>
      </c>
      <c r="H1891" t="s">
        <v>79</v>
      </c>
      <c r="I1891" s="51" t="str">
        <f>IFERROR(IF(VLOOKUP(E1891,extracto!C:C,1,FALSE)=E1891,"pagado","no pagado"),"no pagado")</f>
        <v>pagado</v>
      </c>
      <c r="J1891" s="52" t="str">
        <f t="shared" si="792"/>
        <v>pagado</v>
      </c>
      <c r="K1891" s="51" t="str">
        <f t="shared" ca="1" si="793"/>
        <v>excluir</v>
      </c>
      <c r="L1891" s="51" t="str">
        <f t="shared" ca="1" si="794"/>
        <v>no semana</v>
      </c>
      <c r="M1891" s="51" t="str">
        <f>IFERROR(VLOOKUP(E1891,'cheques a conf'!A:D,4,FALSE),"no clearing")</f>
        <v>no clearing</v>
      </c>
      <c r="N1891" s="51">
        <f t="shared" si="795"/>
        <v>18</v>
      </c>
      <c r="O1891" s="53">
        <f t="shared" si="796"/>
        <v>4</v>
      </c>
      <c r="P1891" s="53">
        <f t="shared" si="797"/>
        <v>2026</v>
      </c>
    </row>
    <row r="1892" spans="1:16" x14ac:dyDescent="0.25">
      <c r="A1892" s="21">
        <v>3000002284</v>
      </c>
      <c r="B1892" s="22">
        <v>46139</v>
      </c>
      <c r="C1892" s="20">
        <v>9180648.7300000004</v>
      </c>
      <c r="D1892" s="21" t="s">
        <v>657</v>
      </c>
      <c r="E1892" s="21">
        <v>91003044</v>
      </c>
      <c r="F1892" s="20">
        <v>9180648.7300000004</v>
      </c>
      <c r="G1892" s="22">
        <v>46139</v>
      </c>
      <c r="H1892" t="s">
        <v>79</v>
      </c>
      <c r="I1892" s="51" t="str">
        <f>IFERROR(IF(VLOOKUP(E1892,extracto!C:C,1,FALSE)=E1892,"pagado","no pagado"),"no pagado")</f>
        <v>pagado</v>
      </c>
      <c r="J1892" s="52" t="str">
        <f t="shared" si="792"/>
        <v>pagado</v>
      </c>
      <c r="K1892" s="51" t="str">
        <f t="shared" ca="1" si="793"/>
        <v>excluir</v>
      </c>
      <c r="L1892" s="51" t="str">
        <f t="shared" ca="1" si="794"/>
        <v>no semana</v>
      </c>
      <c r="M1892" s="51" t="str">
        <f>IFERROR(VLOOKUP(E1892,'cheques a conf'!A:D,4,FALSE),"no clearing")</f>
        <v>no clearing</v>
      </c>
      <c r="N1892" s="51">
        <f t="shared" si="795"/>
        <v>18</v>
      </c>
      <c r="O1892" s="53">
        <f t="shared" si="796"/>
        <v>4</v>
      </c>
      <c r="P1892" s="53">
        <f t="shared" si="797"/>
        <v>2026</v>
      </c>
    </row>
    <row r="1893" spans="1:16" x14ac:dyDescent="0.25">
      <c r="A1893" s="21">
        <v>3000002285</v>
      </c>
      <c r="B1893" s="22">
        <v>46139</v>
      </c>
      <c r="C1893" s="20">
        <v>3190003.44</v>
      </c>
      <c r="D1893" s="21" t="s">
        <v>663</v>
      </c>
      <c r="E1893" s="21">
        <v>91003045</v>
      </c>
      <c r="F1893" s="20">
        <v>3190003.44</v>
      </c>
      <c r="G1893" s="22">
        <v>46139</v>
      </c>
      <c r="H1893" t="s">
        <v>79</v>
      </c>
      <c r="I1893" s="51" t="str">
        <f>IFERROR(IF(VLOOKUP(E1893,extracto!C:C,1,FALSE)=E1893,"pagado","no pagado"),"no pagado")</f>
        <v>pagado</v>
      </c>
      <c r="J1893" s="52" t="str">
        <f t="shared" si="792"/>
        <v>pagado</v>
      </c>
      <c r="K1893" s="51" t="str">
        <f t="shared" ca="1" si="793"/>
        <v>excluir</v>
      </c>
      <c r="L1893" s="51" t="str">
        <f t="shared" ca="1" si="794"/>
        <v>no semana</v>
      </c>
      <c r="M1893" s="51" t="str">
        <f>IFERROR(VLOOKUP(E1893,'cheques a conf'!A:D,4,FALSE),"no clearing")</f>
        <v>no clearing</v>
      </c>
      <c r="N1893" s="51">
        <f t="shared" si="795"/>
        <v>18</v>
      </c>
      <c r="O1893" s="53">
        <f t="shared" si="796"/>
        <v>4</v>
      </c>
      <c r="P1893" s="53">
        <f t="shared" si="797"/>
        <v>2026</v>
      </c>
    </row>
    <row r="1894" spans="1:16" x14ac:dyDescent="0.25">
      <c r="A1894" s="21">
        <v>3000002286</v>
      </c>
      <c r="B1894" s="22">
        <v>46139</v>
      </c>
      <c r="C1894" s="20">
        <v>4074680.69</v>
      </c>
      <c r="D1894" s="21" t="s">
        <v>702</v>
      </c>
      <c r="E1894" s="21">
        <v>91003046</v>
      </c>
      <c r="F1894" s="20">
        <v>4074680.69</v>
      </c>
      <c r="G1894" s="22">
        <v>46139</v>
      </c>
      <c r="H1894" t="s">
        <v>79</v>
      </c>
      <c r="I1894" s="51" t="str">
        <f>IFERROR(IF(VLOOKUP(E1894,extracto!C:C,1,FALSE)=E1894,"pagado","no pagado"),"no pagado")</f>
        <v>no pagado</v>
      </c>
      <c r="J1894" s="52" t="str">
        <f t="shared" ca="1" si="792"/>
        <v>fuera de fecha</v>
      </c>
      <c r="K1894" s="51" t="str">
        <f t="shared" ca="1" si="793"/>
        <v>excluir</v>
      </c>
      <c r="L1894" s="51" t="str">
        <f t="shared" ca="1" si="794"/>
        <v>no semana</v>
      </c>
      <c r="M1894" s="51" t="str">
        <f>IFERROR(VLOOKUP(E1894,'cheques a conf'!A:D,4,FALSE),"no clearing")</f>
        <v>no clearing</v>
      </c>
      <c r="N1894" s="51">
        <f t="shared" si="795"/>
        <v>18</v>
      </c>
      <c r="O1894" s="53">
        <f t="shared" si="796"/>
        <v>4</v>
      </c>
      <c r="P1894" s="53">
        <f t="shared" si="797"/>
        <v>2026</v>
      </c>
    </row>
    <row r="1895" spans="1:16" x14ac:dyDescent="0.25">
      <c r="A1895" s="21">
        <v>3000002287</v>
      </c>
      <c r="B1895" s="22">
        <v>46139</v>
      </c>
      <c r="C1895" s="20">
        <v>47033595.619999997</v>
      </c>
      <c r="D1895" s="21" t="s">
        <v>644</v>
      </c>
      <c r="E1895" s="21">
        <v>91003047</v>
      </c>
      <c r="F1895" s="20">
        <v>47033595.619999997</v>
      </c>
      <c r="G1895" s="22">
        <v>46139</v>
      </c>
      <c r="H1895" t="s">
        <v>79</v>
      </c>
      <c r="I1895" s="51" t="str">
        <f>IFERROR(IF(VLOOKUP(E1895,extracto!C:C,1,FALSE)=E1895,"pagado","no pagado"),"no pagado")</f>
        <v>pagado</v>
      </c>
      <c r="J1895" s="52" t="str">
        <f t="shared" si="792"/>
        <v>pagado</v>
      </c>
      <c r="K1895" s="51" t="str">
        <f t="shared" ca="1" si="793"/>
        <v>excluir</v>
      </c>
      <c r="L1895" s="51" t="str">
        <f t="shared" ca="1" si="794"/>
        <v>no semana</v>
      </c>
      <c r="M1895" s="51" t="str">
        <f>IFERROR(VLOOKUP(E1895,'cheques a conf'!A:D,4,FALSE),"no clearing")</f>
        <v>no clearing</v>
      </c>
      <c r="N1895" s="51">
        <f t="shared" si="795"/>
        <v>18</v>
      </c>
      <c r="O1895" s="53">
        <f t="shared" si="796"/>
        <v>4</v>
      </c>
      <c r="P1895" s="53">
        <f t="shared" si="797"/>
        <v>2026</v>
      </c>
    </row>
    <row r="1896" spans="1:16" x14ac:dyDescent="0.25">
      <c r="A1896" s="21">
        <v>3000002289</v>
      </c>
      <c r="B1896" s="22">
        <v>46139</v>
      </c>
      <c r="C1896" s="20">
        <v>3267634.21</v>
      </c>
      <c r="D1896" s="21" t="s">
        <v>672</v>
      </c>
      <c r="E1896" s="21">
        <v>91003049</v>
      </c>
      <c r="F1896" s="20">
        <v>3267634.21</v>
      </c>
      <c r="G1896" s="22">
        <v>46139</v>
      </c>
      <c r="H1896" t="s">
        <v>79</v>
      </c>
      <c r="I1896" s="51" t="str">
        <f>IFERROR(IF(VLOOKUP(E1896,extracto!C:C,1,FALSE)=E1896,"pagado","no pagado"),"no pagado")</f>
        <v>pagado</v>
      </c>
      <c r="J1896" s="52" t="str">
        <f t="shared" si="792"/>
        <v>pagado</v>
      </c>
      <c r="K1896" s="51" t="str">
        <f t="shared" ca="1" si="793"/>
        <v>excluir</v>
      </c>
      <c r="L1896" s="51" t="str">
        <f t="shared" ca="1" si="794"/>
        <v>no semana</v>
      </c>
      <c r="M1896" s="51" t="str">
        <f>IFERROR(VLOOKUP(E1896,'cheques a conf'!A:D,4,FALSE),"no clearing")</f>
        <v>no clearing</v>
      </c>
      <c r="N1896" s="51">
        <f t="shared" si="795"/>
        <v>18</v>
      </c>
      <c r="O1896" s="53">
        <f t="shared" si="796"/>
        <v>4</v>
      </c>
      <c r="P1896" s="53">
        <f t="shared" si="797"/>
        <v>2026</v>
      </c>
    </row>
    <row r="1897" spans="1:16" x14ac:dyDescent="0.25">
      <c r="A1897" s="21">
        <v>3000002290</v>
      </c>
      <c r="B1897" s="22">
        <v>46139</v>
      </c>
      <c r="C1897" s="20">
        <v>5530828.9400000004</v>
      </c>
      <c r="D1897" s="21" t="s">
        <v>675</v>
      </c>
      <c r="E1897" s="21">
        <v>91003050</v>
      </c>
      <c r="F1897" s="20">
        <v>5530828.9400000004</v>
      </c>
      <c r="G1897" s="22">
        <v>46139</v>
      </c>
      <c r="H1897" t="s">
        <v>79</v>
      </c>
      <c r="I1897" s="51" t="str">
        <f>IFERROR(IF(VLOOKUP(E1897,extracto!C:C,1,FALSE)=E1897,"pagado","no pagado"),"no pagado")</f>
        <v>no pagado</v>
      </c>
      <c r="J1897" s="52" t="str">
        <f t="shared" ca="1" si="792"/>
        <v>fuera de fecha</v>
      </c>
      <c r="K1897" s="51" t="str">
        <f t="shared" ca="1" si="793"/>
        <v>excluir</v>
      </c>
      <c r="L1897" s="51" t="str">
        <f t="shared" ca="1" si="794"/>
        <v>no semana</v>
      </c>
      <c r="M1897" s="51" t="str">
        <f>IFERROR(VLOOKUP(E1897,'cheques a conf'!A:D,4,FALSE),"no clearing")</f>
        <v>no clearing</v>
      </c>
      <c r="N1897" s="51">
        <f t="shared" si="795"/>
        <v>18</v>
      </c>
      <c r="O1897" s="53">
        <f t="shared" si="796"/>
        <v>4</v>
      </c>
      <c r="P1897" s="53">
        <f t="shared" si="797"/>
        <v>2026</v>
      </c>
    </row>
    <row r="1898" spans="1:16" x14ac:dyDescent="0.25">
      <c r="A1898" s="21">
        <v>3000002291</v>
      </c>
      <c r="B1898" s="22">
        <v>46139</v>
      </c>
      <c r="C1898" s="20">
        <v>5011443.46</v>
      </c>
      <c r="D1898" s="21" t="s">
        <v>68</v>
      </c>
      <c r="E1898" s="21">
        <v>91003051</v>
      </c>
      <c r="F1898" s="20">
        <v>5011443.46</v>
      </c>
      <c r="G1898" s="22">
        <v>46139</v>
      </c>
      <c r="H1898" t="s">
        <v>79</v>
      </c>
      <c r="I1898" s="51" t="str">
        <f>IFERROR(IF(VLOOKUP(E1898,extracto!C:C,1,FALSE)=E1898,"pagado","no pagado"),"no pagado")</f>
        <v>no pagado</v>
      </c>
      <c r="J1898" s="52" t="str">
        <f t="shared" ca="1" si="792"/>
        <v>fuera de fecha</v>
      </c>
      <c r="K1898" s="51" t="str">
        <f t="shared" ca="1" si="793"/>
        <v>excluir</v>
      </c>
      <c r="L1898" s="51" t="str">
        <f t="shared" ca="1" si="794"/>
        <v>no semana</v>
      </c>
      <c r="M1898" s="51" t="str">
        <f>IFERROR(VLOOKUP(E1898,'cheques a conf'!A:D,4,FALSE),"no clearing")</f>
        <v>no clearing</v>
      </c>
      <c r="N1898" s="51">
        <f t="shared" si="795"/>
        <v>18</v>
      </c>
      <c r="O1898" s="53">
        <f t="shared" si="796"/>
        <v>4</v>
      </c>
      <c r="P1898" s="53">
        <f t="shared" si="797"/>
        <v>2026</v>
      </c>
    </row>
    <row r="1899" spans="1:16" x14ac:dyDescent="0.25">
      <c r="A1899" s="21">
        <v>3000002292</v>
      </c>
      <c r="B1899" s="22">
        <v>46139</v>
      </c>
      <c r="C1899" s="20">
        <v>29425910.899999999</v>
      </c>
      <c r="D1899" s="21" t="s">
        <v>621</v>
      </c>
      <c r="E1899" s="21">
        <v>91003052</v>
      </c>
      <c r="F1899" s="20">
        <v>29425910.899999999</v>
      </c>
      <c r="G1899" s="22">
        <v>46139</v>
      </c>
      <c r="H1899" t="s">
        <v>79</v>
      </c>
      <c r="I1899" s="51" t="str">
        <f>IFERROR(IF(VLOOKUP(E1899,extracto!C:C,1,FALSE)=E1899,"pagado","no pagado"),"no pagado")</f>
        <v>pagado</v>
      </c>
      <c r="J1899" s="52" t="str">
        <f t="shared" si="792"/>
        <v>pagado</v>
      </c>
      <c r="K1899" s="51" t="str">
        <f t="shared" ca="1" si="793"/>
        <v>excluir</v>
      </c>
      <c r="L1899" s="51" t="str">
        <f t="shared" ca="1" si="794"/>
        <v>no semana</v>
      </c>
      <c r="M1899" s="51" t="str">
        <f>IFERROR(VLOOKUP(E1899,'cheques a conf'!A:D,4,FALSE),"no clearing")</f>
        <v>no clearing</v>
      </c>
      <c r="N1899" s="51">
        <f t="shared" si="795"/>
        <v>18</v>
      </c>
      <c r="O1899" s="53">
        <f t="shared" si="796"/>
        <v>4</v>
      </c>
      <c r="P1899" s="53">
        <f t="shared" si="797"/>
        <v>2026</v>
      </c>
    </row>
    <row r="1900" spans="1:16" x14ac:dyDescent="0.25">
      <c r="A1900" s="21">
        <v>3000002293</v>
      </c>
      <c r="B1900" s="22">
        <v>46139</v>
      </c>
      <c r="C1900" s="20">
        <v>10211869.41</v>
      </c>
      <c r="D1900" s="21" t="s">
        <v>83</v>
      </c>
      <c r="E1900" s="21">
        <v>91003053</v>
      </c>
      <c r="F1900" s="20">
        <v>10211869.41</v>
      </c>
      <c r="G1900" s="22">
        <v>46139</v>
      </c>
      <c r="H1900" t="s">
        <v>79</v>
      </c>
      <c r="I1900" s="51" t="str">
        <f>IFERROR(IF(VLOOKUP(E1900,extracto!C:C,1,FALSE)=E1900,"pagado","no pagado"),"no pagado")</f>
        <v>pagado</v>
      </c>
      <c r="J1900" s="52" t="str">
        <f t="shared" si="792"/>
        <v>pagado</v>
      </c>
      <c r="K1900" s="51" t="str">
        <f t="shared" ca="1" si="793"/>
        <v>excluir</v>
      </c>
      <c r="L1900" s="51" t="str">
        <f t="shared" ca="1" si="794"/>
        <v>no semana</v>
      </c>
      <c r="M1900" s="51" t="str">
        <f>IFERROR(VLOOKUP(E1900,'cheques a conf'!A:D,4,FALSE),"no clearing")</f>
        <v>no clearing</v>
      </c>
      <c r="N1900" s="51">
        <f t="shared" si="795"/>
        <v>18</v>
      </c>
      <c r="O1900" s="53">
        <f t="shared" si="796"/>
        <v>4</v>
      </c>
      <c r="P1900" s="53">
        <f t="shared" si="797"/>
        <v>2026</v>
      </c>
    </row>
    <row r="1901" spans="1:16" x14ac:dyDescent="0.25">
      <c r="A1901" s="21">
        <v>3000002294</v>
      </c>
      <c r="B1901" s="22">
        <v>46139</v>
      </c>
      <c r="C1901" s="20">
        <v>19764000</v>
      </c>
      <c r="D1901" s="21" t="s">
        <v>761</v>
      </c>
      <c r="E1901" s="21">
        <v>91003054</v>
      </c>
      <c r="F1901" s="20">
        <v>19764000</v>
      </c>
      <c r="G1901" s="22">
        <v>46139</v>
      </c>
      <c r="H1901" t="s">
        <v>79</v>
      </c>
      <c r="I1901" s="51" t="str">
        <f>IFERROR(IF(VLOOKUP(E1901,extracto!C:C,1,FALSE)=E1901,"pagado","no pagado"),"no pagado")</f>
        <v>pagado</v>
      </c>
      <c r="J1901" s="52" t="str">
        <f t="shared" si="792"/>
        <v>pagado</v>
      </c>
      <c r="K1901" s="51" t="str">
        <f t="shared" ca="1" si="793"/>
        <v>excluir</v>
      </c>
      <c r="L1901" s="51" t="str">
        <f t="shared" ca="1" si="794"/>
        <v>no semana</v>
      </c>
      <c r="M1901" s="51" t="str">
        <f>IFERROR(VLOOKUP(E1901,'cheques a conf'!A:D,4,FALSE),"no clearing")</f>
        <v>no clearing</v>
      </c>
      <c r="N1901" s="51">
        <f t="shared" si="795"/>
        <v>18</v>
      </c>
      <c r="O1901" s="53">
        <f t="shared" si="796"/>
        <v>4</v>
      </c>
      <c r="P1901" s="53">
        <f t="shared" si="797"/>
        <v>2026</v>
      </c>
    </row>
    <row r="1902" spans="1:16" x14ac:dyDescent="0.25">
      <c r="A1902" s="21">
        <v>3000002295</v>
      </c>
      <c r="B1902" s="22">
        <v>46139</v>
      </c>
      <c r="C1902" s="20">
        <v>3149017.23</v>
      </c>
      <c r="D1902" s="21" t="s">
        <v>664</v>
      </c>
      <c r="E1902" s="21">
        <v>91003055</v>
      </c>
      <c r="F1902" s="20">
        <v>3149017.23</v>
      </c>
      <c r="G1902" s="22">
        <v>46139</v>
      </c>
      <c r="H1902" t="s">
        <v>79</v>
      </c>
      <c r="I1902" s="51" t="str">
        <f>IFERROR(IF(VLOOKUP(E1902,extracto!C:C,1,FALSE)=E1902,"pagado","no pagado"),"no pagado")</f>
        <v>pagado</v>
      </c>
      <c r="J1902" s="52" t="str">
        <f t="shared" si="792"/>
        <v>pagado</v>
      </c>
      <c r="K1902" s="51" t="str">
        <f t="shared" ca="1" si="793"/>
        <v>excluir</v>
      </c>
      <c r="L1902" s="51" t="str">
        <f t="shared" ca="1" si="794"/>
        <v>no semana</v>
      </c>
      <c r="M1902" s="51" t="str">
        <f>IFERROR(VLOOKUP(E1902,'cheques a conf'!A:D,4,FALSE),"no clearing")</f>
        <v>no clearing</v>
      </c>
      <c r="N1902" s="51">
        <f t="shared" si="795"/>
        <v>18</v>
      </c>
      <c r="O1902" s="53">
        <f t="shared" si="796"/>
        <v>4</v>
      </c>
      <c r="P1902" s="53">
        <f t="shared" si="797"/>
        <v>2026</v>
      </c>
    </row>
    <row r="1903" spans="1:16" x14ac:dyDescent="0.25">
      <c r="A1903" s="21">
        <v>3000002288</v>
      </c>
      <c r="B1903" s="22">
        <v>46139</v>
      </c>
      <c r="C1903" s="20">
        <v>19780904.050000001</v>
      </c>
      <c r="D1903" s="21" t="s">
        <v>631</v>
      </c>
      <c r="E1903" s="21">
        <v>91003048</v>
      </c>
      <c r="F1903" s="20">
        <v>19780904.050000001</v>
      </c>
      <c r="G1903" s="22">
        <v>46139</v>
      </c>
      <c r="H1903" t="s">
        <v>79</v>
      </c>
      <c r="I1903" s="51" t="str">
        <f>IFERROR(IF(VLOOKUP(E1903,extracto!C:C,1,FALSE)=E1903,"pagado","no pagado"),"no pagado")</f>
        <v>pagado</v>
      </c>
      <c r="J1903" s="52" t="str">
        <f t="shared" si="792"/>
        <v>pagado</v>
      </c>
      <c r="K1903" s="51" t="str">
        <f t="shared" ca="1" si="793"/>
        <v>excluir</v>
      </c>
      <c r="L1903" s="51" t="str">
        <f t="shared" ca="1" si="794"/>
        <v>no semana</v>
      </c>
      <c r="M1903" s="51" t="str">
        <f>IFERROR(VLOOKUP(E1903,'cheques a conf'!A:D,4,FALSE),"no clearing")</f>
        <v>no clearing</v>
      </c>
      <c r="N1903" s="51">
        <f t="shared" si="795"/>
        <v>18</v>
      </c>
      <c r="O1903" s="53">
        <f t="shared" si="796"/>
        <v>4</v>
      </c>
      <c r="P1903" s="53">
        <f t="shared" si="797"/>
        <v>2026</v>
      </c>
    </row>
    <row r="1904" spans="1:16" x14ac:dyDescent="0.25">
      <c r="A1904" s="21">
        <v>3000002340</v>
      </c>
      <c r="B1904" s="22">
        <v>46140</v>
      </c>
      <c r="C1904" s="20">
        <v>3000000</v>
      </c>
      <c r="D1904" s="21" t="s">
        <v>583</v>
      </c>
      <c r="E1904" s="21">
        <v>61301835</v>
      </c>
      <c r="F1904" s="20">
        <v>3000000</v>
      </c>
      <c r="G1904" s="22">
        <v>46140</v>
      </c>
      <c r="H1904" t="s">
        <v>79</v>
      </c>
      <c r="I1904" s="51" t="str">
        <f>IFERROR(IF(VLOOKUP(E1904,extracto!C:C,1,FALSE)=E1904,"pagado","no pagado"),"no pagado")</f>
        <v>pagado</v>
      </c>
      <c r="J1904" s="52" t="str">
        <f t="shared" si="792"/>
        <v>pagado</v>
      </c>
      <c r="K1904" s="51" t="str">
        <f t="shared" ca="1" si="793"/>
        <v>excluir</v>
      </c>
      <c r="L1904" s="51" t="str">
        <f t="shared" ca="1" si="794"/>
        <v>no semana</v>
      </c>
      <c r="M1904" s="51" t="str">
        <f>IFERROR(VLOOKUP(E1904,'cheques a conf'!A:D,4,FALSE),"no clearing")</f>
        <v>no clearing</v>
      </c>
      <c r="N1904" s="51">
        <f t="shared" si="795"/>
        <v>18</v>
      </c>
      <c r="O1904" s="53">
        <f t="shared" si="796"/>
        <v>4</v>
      </c>
      <c r="P1904" s="53">
        <f t="shared" si="797"/>
        <v>2026</v>
      </c>
    </row>
    <row r="1905" spans="1:16" x14ac:dyDescent="0.25">
      <c r="A1905" s="21">
        <v>3000002342</v>
      </c>
      <c r="B1905" s="22">
        <v>46141</v>
      </c>
      <c r="C1905" s="20">
        <v>50000000</v>
      </c>
      <c r="D1905" s="21" t="s">
        <v>858</v>
      </c>
      <c r="E1905" s="21">
        <v>91003056</v>
      </c>
      <c r="F1905" s="20">
        <v>50000000</v>
      </c>
      <c r="G1905" s="22">
        <v>46142</v>
      </c>
      <c r="H1905" t="s">
        <v>79</v>
      </c>
      <c r="I1905" s="51" t="str">
        <f>IFERROR(IF(VLOOKUP(E1905,extracto!C:C,1,FALSE)=E1905,"pagado","no pagado"),"no pagado")</f>
        <v>no pagado</v>
      </c>
      <c r="J1905" s="52" t="str">
        <f t="shared" ca="1" si="792"/>
        <v>fuera de fecha</v>
      </c>
      <c r="K1905" s="51" t="str">
        <f t="shared" ca="1" si="793"/>
        <v>excluir</v>
      </c>
      <c r="L1905" s="51" t="str">
        <f t="shared" ca="1" si="794"/>
        <v>no semana</v>
      </c>
      <c r="M1905" s="51" t="str">
        <f>IFERROR(VLOOKUP(E1905,'cheques a conf'!A:D,4,FALSE),"no clearing")</f>
        <v>no clearing</v>
      </c>
      <c r="N1905" s="51">
        <f t="shared" si="795"/>
        <v>18</v>
      </c>
      <c r="O1905" s="53">
        <f t="shared" si="796"/>
        <v>4</v>
      </c>
      <c r="P1905" s="53">
        <f t="shared" si="797"/>
        <v>2026</v>
      </c>
    </row>
    <row r="1906" spans="1:16" x14ac:dyDescent="0.25">
      <c r="A1906" s="21">
        <v>3000002342</v>
      </c>
      <c r="B1906" s="22">
        <v>46141</v>
      </c>
      <c r="C1906" s="20">
        <v>57830447.140000001</v>
      </c>
      <c r="D1906" s="21" t="s">
        <v>858</v>
      </c>
      <c r="E1906" s="21">
        <v>91003057</v>
      </c>
      <c r="F1906" s="20">
        <v>57830447.140000001</v>
      </c>
      <c r="G1906" s="22">
        <v>46146</v>
      </c>
      <c r="H1906" t="s">
        <v>79</v>
      </c>
      <c r="I1906" s="51" t="str">
        <f>IFERROR(IF(VLOOKUP(E1906,extracto!C:C,1,FALSE)=E1906,"pagado","no pagado"),"no pagado")</f>
        <v>pagado</v>
      </c>
      <c r="J1906" s="52" t="str">
        <f t="shared" si="792"/>
        <v>pagado</v>
      </c>
      <c r="K1906" s="51" t="str">
        <f t="shared" ca="1" si="793"/>
        <v>excluir</v>
      </c>
      <c r="L1906" s="51" t="str">
        <f t="shared" ca="1" si="794"/>
        <v>no semana</v>
      </c>
      <c r="M1906" s="51" t="str">
        <f>IFERROR(VLOOKUP(E1906,'cheques a conf'!A:D,4,FALSE),"no clearing")</f>
        <v>no clearing</v>
      </c>
      <c r="N1906" s="51">
        <f t="shared" si="795"/>
        <v>19</v>
      </c>
      <c r="O1906" s="53">
        <f t="shared" si="796"/>
        <v>5</v>
      </c>
      <c r="P1906" s="53">
        <f t="shared" si="797"/>
        <v>2026</v>
      </c>
    </row>
    <row r="1907" spans="1:16" x14ac:dyDescent="0.25">
      <c r="A1907" s="21">
        <v>3000002392</v>
      </c>
      <c r="B1907" s="22">
        <v>46141</v>
      </c>
      <c r="C1907" s="20">
        <v>2856663.29</v>
      </c>
      <c r="D1907" s="21" t="s">
        <v>659</v>
      </c>
      <c r="E1907" s="21">
        <v>61301836</v>
      </c>
      <c r="F1907" s="20">
        <v>2856663.29</v>
      </c>
      <c r="G1907" s="22">
        <v>46142</v>
      </c>
      <c r="H1907" t="s">
        <v>79</v>
      </c>
      <c r="I1907" s="51" t="str">
        <f>IFERROR(IF(VLOOKUP(E1907,extracto!C:C,1,FALSE)=E1907,"pagado","no pagado"),"no pagado")</f>
        <v>pagado</v>
      </c>
      <c r="J1907" s="52" t="str">
        <f t="shared" si="792"/>
        <v>pagado</v>
      </c>
      <c r="K1907" s="51" t="str">
        <f t="shared" ca="1" si="793"/>
        <v>excluir</v>
      </c>
      <c r="L1907" s="51" t="str">
        <f t="shared" ca="1" si="794"/>
        <v>no semana</v>
      </c>
      <c r="M1907" s="51" t="str">
        <f>IFERROR(VLOOKUP(E1907,'cheques a conf'!A:D,4,FALSE),"no clearing")</f>
        <v>no clearing</v>
      </c>
      <c r="N1907" s="51">
        <f t="shared" si="795"/>
        <v>18</v>
      </c>
      <c r="O1907" s="53">
        <f t="shared" si="796"/>
        <v>4</v>
      </c>
      <c r="P1907" s="53">
        <f t="shared" si="797"/>
        <v>2026</v>
      </c>
    </row>
    <row r="1908" spans="1:16" x14ac:dyDescent="0.25">
      <c r="A1908" s="21">
        <v>3000002423</v>
      </c>
      <c r="B1908" s="22">
        <v>46142</v>
      </c>
      <c r="C1908" s="20">
        <v>10000000</v>
      </c>
      <c r="D1908" s="21" t="s">
        <v>790</v>
      </c>
      <c r="E1908" s="21">
        <v>91003058</v>
      </c>
      <c r="F1908" s="20">
        <v>10000000</v>
      </c>
      <c r="G1908" s="22">
        <v>46149</v>
      </c>
      <c r="H1908" t="s">
        <v>79</v>
      </c>
      <c r="I1908" s="51" t="str">
        <f>IFERROR(IF(VLOOKUP(E1908,extracto!C:C,1,FALSE)=E1908,"pagado","no pagado"),"no pagado")</f>
        <v>pagado</v>
      </c>
      <c r="J1908" s="52" t="str">
        <f t="shared" si="792"/>
        <v>pagado</v>
      </c>
      <c r="K1908" s="51" t="str">
        <f t="shared" ca="1" si="793"/>
        <v>excluir</v>
      </c>
      <c r="L1908" s="51" t="str">
        <f t="shared" ca="1" si="794"/>
        <v>no semana</v>
      </c>
      <c r="M1908" s="51" t="str">
        <f>IFERROR(VLOOKUP(E1908,'cheques a conf'!A:D,4,FALSE),"no clearing")</f>
        <v>no clearing</v>
      </c>
      <c r="N1908" s="51">
        <f t="shared" si="795"/>
        <v>19</v>
      </c>
      <c r="O1908" s="53">
        <f t="shared" si="796"/>
        <v>5</v>
      </c>
      <c r="P1908" s="53">
        <f t="shared" si="797"/>
        <v>2026</v>
      </c>
    </row>
    <row r="1909" spans="1:16" x14ac:dyDescent="0.25">
      <c r="A1909" s="21">
        <v>3000002423</v>
      </c>
      <c r="B1909" s="22">
        <v>46142</v>
      </c>
      <c r="C1909" s="20">
        <v>10000000</v>
      </c>
      <c r="D1909" s="21" t="s">
        <v>790</v>
      </c>
      <c r="E1909" s="21">
        <v>91003059</v>
      </c>
      <c r="F1909" s="20">
        <v>10000000</v>
      </c>
      <c r="G1909" s="22">
        <v>46149</v>
      </c>
      <c r="H1909" t="s">
        <v>79</v>
      </c>
      <c r="I1909" s="51" t="str">
        <f>IFERROR(IF(VLOOKUP(E1909,extracto!C:C,1,FALSE)=E1909,"pagado","no pagado"),"no pagado")</f>
        <v>pagado</v>
      </c>
      <c r="J1909" s="52" t="str">
        <f t="shared" si="792"/>
        <v>pagado</v>
      </c>
      <c r="K1909" s="51" t="str">
        <f t="shared" ca="1" si="793"/>
        <v>excluir</v>
      </c>
      <c r="L1909" s="51" t="str">
        <f t="shared" ca="1" si="794"/>
        <v>no semana</v>
      </c>
      <c r="M1909" s="51" t="str">
        <f>IFERROR(VLOOKUP(E1909,'cheques a conf'!A:D,4,FALSE),"no clearing")</f>
        <v>no clearing</v>
      </c>
      <c r="N1909" s="51">
        <f t="shared" si="795"/>
        <v>19</v>
      </c>
      <c r="O1909" s="53">
        <f t="shared" si="796"/>
        <v>5</v>
      </c>
      <c r="P1909" s="53">
        <f t="shared" si="797"/>
        <v>2026</v>
      </c>
    </row>
    <row r="1910" spans="1:16" x14ac:dyDescent="0.25">
      <c r="A1910" s="21">
        <v>3000002423</v>
      </c>
      <c r="B1910" s="22">
        <v>46142</v>
      </c>
      <c r="C1910" s="20">
        <v>10000000</v>
      </c>
      <c r="D1910" s="21" t="s">
        <v>790</v>
      </c>
      <c r="E1910" s="21">
        <v>91003060</v>
      </c>
      <c r="F1910" s="20">
        <v>10000000</v>
      </c>
      <c r="G1910" s="22">
        <v>46149</v>
      </c>
      <c r="H1910" t="s">
        <v>79</v>
      </c>
      <c r="I1910" s="51" t="str">
        <f>IFERROR(IF(VLOOKUP(E1910,extracto!C:C,1,FALSE)=E1910,"pagado","no pagado"),"no pagado")</f>
        <v>pagado</v>
      </c>
      <c r="J1910" s="52" t="str">
        <f t="shared" si="792"/>
        <v>pagado</v>
      </c>
      <c r="K1910" s="51" t="str">
        <f t="shared" ca="1" si="793"/>
        <v>excluir</v>
      </c>
      <c r="L1910" s="51" t="str">
        <f t="shared" ca="1" si="794"/>
        <v>no semana</v>
      </c>
      <c r="M1910" s="51" t="str">
        <f>IFERROR(VLOOKUP(E1910,'cheques a conf'!A:D,4,FALSE),"no clearing")</f>
        <v>no clearing</v>
      </c>
      <c r="N1910" s="51">
        <f t="shared" si="795"/>
        <v>19</v>
      </c>
      <c r="O1910" s="53">
        <f t="shared" si="796"/>
        <v>5</v>
      </c>
      <c r="P1910" s="53">
        <f t="shared" si="797"/>
        <v>2026</v>
      </c>
    </row>
    <row r="1911" spans="1:16" x14ac:dyDescent="0.25">
      <c r="A1911" s="21">
        <v>3000002423</v>
      </c>
      <c r="B1911" s="22">
        <v>46142</v>
      </c>
      <c r="C1911" s="20">
        <v>10000000</v>
      </c>
      <c r="D1911" s="21" t="s">
        <v>790</v>
      </c>
      <c r="E1911" s="21">
        <v>91003061</v>
      </c>
      <c r="F1911" s="20">
        <v>10000000</v>
      </c>
      <c r="G1911" s="22">
        <v>46150</v>
      </c>
      <c r="H1911" t="s">
        <v>79</v>
      </c>
      <c r="I1911" s="51" t="str">
        <f>IFERROR(IF(VLOOKUP(E1911,extracto!C:C,1,FALSE)=E1911,"pagado","no pagado"),"no pagado")</f>
        <v>pagado</v>
      </c>
      <c r="J1911" s="52" t="str">
        <f t="shared" si="792"/>
        <v>pagado</v>
      </c>
      <c r="K1911" s="51" t="str">
        <f t="shared" ca="1" si="793"/>
        <v>excluir</v>
      </c>
      <c r="L1911" s="51" t="str">
        <f t="shared" ca="1" si="794"/>
        <v>no semana</v>
      </c>
      <c r="M1911" s="51" t="str">
        <f>IFERROR(VLOOKUP(E1911,'cheques a conf'!A:D,4,FALSE),"no clearing")</f>
        <v>no clearing</v>
      </c>
      <c r="N1911" s="51">
        <f t="shared" si="795"/>
        <v>19</v>
      </c>
      <c r="O1911" s="53">
        <f t="shared" si="796"/>
        <v>5</v>
      </c>
      <c r="P1911" s="53">
        <f t="shared" si="797"/>
        <v>2026</v>
      </c>
    </row>
    <row r="1912" spans="1:16" x14ac:dyDescent="0.25">
      <c r="A1912" s="21">
        <v>3000002423</v>
      </c>
      <c r="B1912" s="22">
        <v>46142</v>
      </c>
      <c r="C1912" s="20">
        <v>5000000</v>
      </c>
      <c r="D1912" s="21" t="s">
        <v>790</v>
      </c>
      <c r="E1912" s="21">
        <v>91003062</v>
      </c>
      <c r="F1912" s="20">
        <v>5000000</v>
      </c>
      <c r="G1912" s="22">
        <v>46150</v>
      </c>
      <c r="H1912" t="s">
        <v>79</v>
      </c>
      <c r="I1912" s="51" t="str">
        <f>IFERROR(IF(VLOOKUP(E1912,extracto!C:C,1,FALSE)=E1912,"pagado","no pagado"),"no pagado")</f>
        <v>pagado</v>
      </c>
      <c r="J1912" s="52" t="str">
        <f t="shared" si="792"/>
        <v>pagado</v>
      </c>
      <c r="K1912" s="51" t="str">
        <f t="shared" ca="1" si="793"/>
        <v>excluir</v>
      </c>
      <c r="L1912" s="51" t="str">
        <f t="shared" ca="1" si="794"/>
        <v>no semana</v>
      </c>
      <c r="M1912" s="51" t="str">
        <f>IFERROR(VLOOKUP(E1912,'cheques a conf'!A:D,4,FALSE),"no clearing")</f>
        <v>no clearing</v>
      </c>
      <c r="N1912" s="51">
        <f t="shared" si="795"/>
        <v>19</v>
      </c>
      <c r="O1912" s="53">
        <f t="shared" si="796"/>
        <v>5</v>
      </c>
      <c r="P1912" s="53">
        <f t="shared" si="797"/>
        <v>2026</v>
      </c>
    </row>
    <row r="1913" spans="1:16" x14ac:dyDescent="0.25">
      <c r="A1913" s="21">
        <v>3000002423</v>
      </c>
      <c r="B1913" s="22">
        <v>46142</v>
      </c>
      <c r="C1913" s="20">
        <v>5000000</v>
      </c>
      <c r="D1913" s="21" t="s">
        <v>790</v>
      </c>
      <c r="E1913" s="21">
        <v>91003063</v>
      </c>
      <c r="F1913" s="20">
        <v>5000000</v>
      </c>
      <c r="G1913" s="22">
        <v>46150</v>
      </c>
      <c r="H1913" t="s">
        <v>79</v>
      </c>
      <c r="I1913" s="51" t="str">
        <f>IFERROR(IF(VLOOKUP(E1913,extracto!C:C,1,FALSE)=E1913,"pagado","no pagado"),"no pagado")</f>
        <v>pagado</v>
      </c>
      <c r="J1913" s="52" t="str">
        <f t="shared" si="792"/>
        <v>pagado</v>
      </c>
      <c r="K1913" s="51" t="str">
        <f t="shared" ca="1" si="793"/>
        <v>excluir</v>
      </c>
      <c r="L1913" s="51" t="str">
        <f t="shared" ca="1" si="794"/>
        <v>no semana</v>
      </c>
      <c r="M1913" s="51" t="str">
        <f>IFERROR(VLOOKUP(E1913,'cheques a conf'!A:D,4,FALSE),"no clearing")</f>
        <v>no clearing</v>
      </c>
      <c r="N1913" s="51">
        <f t="shared" si="795"/>
        <v>19</v>
      </c>
      <c r="O1913" s="53">
        <f t="shared" si="796"/>
        <v>5</v>
      </c>
      <c r="P1913" s="53">
        <f t="shared" si="797"/>
        <v>2026</v>
      </c>
    </row>
    <row r="1914" spans="1:16" x14ac:dyDescent="0.25">
      <c r="A1914" s="21">
        <v>3000002423</v>
      </c>
      <c r="B1914" s="22">
        <v>46142</v>
      </c>
      <c r="C1914" s="20">
        <v>5000000</v>
      </c>
      <c r="D1914" s="21" t="s">
        <v>790</v>
      </c>
      <c r="E1914" s="21">
        <v>91003064</v>
      </c>
      <c r="F1914" s="20">
        <v>5000000</v>
      </c>
      <c r="G1914" s="22">
        <v>46150</v>
      </c>
      <c r="H1914" t="s">
        <v>79</v>
      </c>
      <c r="I1914" s="51" t="str">
        <f>IFERROR(IF(VLOOKUP(E1914,extracto!C:C,1,FALSE)=E1914,"pagado","no pagado"),"no pagado")</f>
        <v>pagado</v>
      </c>
      <c r="J1914" s="52" t="str">
        <f t="shared" si="792"/>
        <v>pagado</v>
      </c>
      <c r="K1914" s="51" t="str">
        <f t="shared" ca="1" si="793"/>
        <v>excluir</v>
      </c>
      <c r="L1914" s="51" t="str">
        <f t="shared" ca="1" si="794"/>
        <v>no semana</v>
      </c>
      <c r="M1914" s="51" t="str">
        <f>IFERROR(VLOOKUP(E1914,'cheques a conf'!A:D,4,FALSE),"no clearing")</f>
        <v>no clearing</v>
      </c>
      <c r="N1914" s="51">
        <f t="shared" si="795"/>
        <v>19</v>
      </c>
      <c r="O1914" s="53">
        <f t="shared" si="796"/>
        <v>5</v>
      </c>
      <c r="P1914" s="53">
        <f t="shared" si="797"/>
        <v>2026</v>
      </c>
    </row>
    <row r="1915" spans="1:16" x14ac:dyDescent="0.25">
      <c r="A1915" s="21">
        <v>3000002423</v>
      </c>
      <c r="B1915" s="22">
        <v>46142</v>
      </c>
      <c r="C1915" s="20">
        <v>5000000</v>
      </c>
      <c r="D1915" s="21" t="s">
        <v>790</v>
      </c>
      <c r="E1915" s="21">
        <v>91003065</v>
      </c>
      <c r="F1915" s="20">
        <v>5000000</v>
      </c>
      <c r="G1915" s="22">
        <v>46150</v>
      </c>
      <c r="H1915" t="s">
        <v>79</v>
      </c>
      <c r="I1915" s="51" t="str">
        <f>IFERROR(IF(VLOOKUP(E1915,extracto!C:C,1,FALSE)=E1915,"pagado","no pagado"),"no pagado")</f>
        <v>pagado</v>
      </c>
      <c r="J1915" s="52" t="str">
        <f t="shared" si="792"/>
        <v>pagado</v>
      </c>
      <c r="K1915" s="51" t="str">
        <f t="shared" ca="1" si="793"/>
        <v>excluir</v>
      </c>
      <c r="L1915" s="51" t="str">
        <f t="shared" ca="1" si="794"/>
        <v>no semana</v>
      </c>
      <c r="M1915" s="51" t="str">
        <f>IFERROR(VLOOKUP(E1915,'cheques a conf'!A:D,4,FALSE),"no clearing")</f>
        <v>no clearing</v>
      </c>
      <c r="N1915" s="51">
        <f t="shared" si="795"/>
        <v>19</v>
      </c>
      <c r="O1915" s="53">
        <f t="shared" si="796"/>
        <v>5</v>
      </c>
      <c r="P1915" s="53">
        <f t="shared" si="797"/>
        <v>2026</v>
      </c>
    </row>
    <row r="1916" spans="1:16" x14ac:dyDescent="0.25">
      <c r="A1916" s="21">
        <v>3000002423</v>
      </c>
      <c r="B1916" s="22">
        <v>46142</v>
      </c>
      <c r="C1916" s="20">
        <v>5000000</v>
      </c>
      <c r="D1916" s="21" t="s">
        <v>790</v>
      </c>
      <c r="E1916" s="21">
        <v>91003066</v>
      </c>
      <c r="F1916" s="20">
        <v>5000000</v>
      </c>
      <c r="G1916" s="22">
        <v>46150</v>
      </c>
      <c r="H1916" t="s">
        <v>79</v>
      </c>
      <c r="I1916" s="51" t="str">
        <f>IFERROR(IF(VLOOKUP(E1916,extracto!C:C,1,FALSE)=E1916,"pagado","no pagado"),"no pagado")</f>
        <v>pagado</v>
      </c>
      <c r="J1916" s="52" t="str">
        <f t="shared" si="792"/>
        <v>pagado</v>
      </c>
      <c r="K1916" s="51" t="str">
        <f t="shared" ca="1" si="793"/>
        <v>excluir</v>
      </c>
      <c r="L1916" s="51" t="str">
        <f t="shared" ca="1" si="794"/>
        <v>no semana</v>
      </c>
      <c r="M1916" s="51" t="str">
        <f>IFERROR(VLOOKUP(E1916,'cheques a conf'!A:D,4,FALSE),"no clearing")</f>
        <v>no clearing</v>
      </c>
      <c r="N1916" s="51">
        <f t="shared" si="795"/>
        <v>19</v>
      </c>
      <c r="O1916" s="53">
        <f t="shared" si="796"/>
        <v>5</v>
      </c>
      <c r="P1916" s="53">
        <f t="shared" si="797"/>
        <v>2026</v>
      </c>
    </row>
    <row r="1917" spans="1:16" x14ac:dyDescent="0.25">
      <c r="A1917" s="21">
        <v>3000002423</v>
      </c>
      <c r="B1917" s="22">
        <v>46142</v>
      </c>
      <c r="C1917" s="20">
        <v>5000000</v>
      </c>
      <c r="D1917" s="21" t="s">
        <v>790</v>
      </c>
      <c r="E1917" s="21">
        <v>91003067</v>
      </c>
      <c r="F1917" s="20">
        <v>5000000</v>
      </c>
      <c r="G1917" s="22">
        <v>46150</v>
      </c>
      <c r="H1917" t="s">
        <v>79</v>
      </c>
      <c r="I1917" s="51" t="str">
        <f>IFERROR(IF(VLOOKUP(E1917,extracto!C:C,1,FALSE)=E1917,"pagado","no pagado"),"no pagado")</f>
        <v>pagado</v>
      </c>
      <c r="J1917" s="52" t="str">
        <f t="shared" si="792"/>
        <v>pagado</v>
      </c>
      <c r="K1917" s="51" t="str">
        <f t="shared" ca="1" si="793"/>
        <v>excluir</v>
      </c>
      <c r="L1917" s="51" t="str">
        <f t="shared" ca="1" si="794"/>
        <v>no semana</v>
      </c>
      <c r="M1917" s="51" t="str">
        <f>IFERROR(VLOOKUP(E1917,'cheques a conf'!A:D,4,FALSE),"no clearing")</f>
        <v>no clearing</v>
      </c>
      <c r="N1917" s="51">
        <f t="shared" si="795"/>
        <v>19</v>
      </c>
      <c r="O1917" s="53">
        <f t="shared" si="796"/>
        <v>5</v>
      </c>
      <c r="P1917" s="53">
        <f t="shared" si="797"/>
        <v>2026</v>
      </c>
    </row>
    <row r="1918" spans="1:16" x14ac:dyDescent="0.25">
      <c r="A1918" s="21">
        <v>3000002423</v>
      </c>
      <c r="B1918" s="22">
        <v>46142</v>
      </c>
      <c r="C1918" s="20">
        <v>5000000</v>
      </c>
      <c r="D1918" s="21" t="s">
        <v>790</v>
      </c>
      <c r="E1918" s="21">
        <v>91003068</v>
      </c>
      <c r="F1918" s="20">
        <v>5000000</v>
      </c>
      <c r="G1918" s="22">
        <v>46150</v>
      </c>
      <c r="H1918" t="s">
        <v>79</v>
      </c>
      <c r="I1918" s="51" t="str">
        <f>IFERROR(IF(VLOOKUP(E1918,extracto!C:C,1,FALSE)=E1918,"pagado","no pagado"),"no pagado")</f>
        <v>pagado</v>
      </c>
      <c r="J1918" s="52" t="str">
        <f t="shared" si="792"/>
        <v>pagado</v>
      </c>
      <c r="K1918" s="51" t="str">
        <f t="shared" ca="1" si="793"/>
        <v>excluir</v>
      </c>
      <c r="L1918" s="51" t="str">
        <f t="shared" ca="1" si="794"/>
        <v>no semana</v>
      </c>
      <c r="M1918" s="51" t="str">
        <f>IFERROR(VLOOKUP(E1918,'cheques a conf'!A:D,4,FALSE),"no clearing")</f>
        <v>no clearing</v>
      </c>
      <c r="N1918" s="51">
        <f t="shared" si="795"/>
        <v>19</v>
      </c>
      <c r="O1918" s="53">
        <f t="shared" si="796"/>
        <v>5</v>
      </c>
      <c r="P1918" s="53">
        <f t="shared" si="797"/>
        <v>2026</v>
      </c>
    </row>
    <row r="1919" spans="1:16" x14ac:dyDescent="0.25">
      <c r="A1919" s="21">
        <v>3000002423</v>
      </c>
      <c r="B1919" s="22">
        <v>46142</v>
      </c>
      <c r="C1919" s="20">
        <v>8780695.2899999991</v>
      </c>
      <c r="D1919" s="21" t="s">
        <v>790</v>
      </c>
      <c r="E1919" s="21">
        <v>91003069</v>
      </c>
      <c r="F1919" s="20">
        <v>8780695.2899999991</v>
      </c>
      <c r="G1919" s="22">
        <v>46150</v>
      </c>
      <c r="H1919" t="s">
        <v>79</v>
      </c>
      <c r="I1919" s="51" t="str">
        <f>IFERROR(IF(VLOOKUP(E1919,extracto!C:C,1,FALSE)=E1919,"pagado","no pagado"),"no pagado")</f>
        <v>pagado</v>
      </c>
      <c r="J1919" s="52" t="str">
        <f t="shared" si="792"/>
        <v>pagado</v>
      </c>
      <c r="K1919" s="51" t="str">
        <f t="shared" ca="1" si="793"/>
        <v>excluir</v>
      </c>
      <c r="L1919" s="51" t="str">
        <f t="shared" ca="1" si="794"/>
        <v>no semana</v>
      </c>
      <c r="M1919" s="51" t="str">
        <f>IFERROR(VLOOKUP(E1919,'cheques a conf'!A:D,4,FALSE),"no clearing")</f>
        <v>no clearing</v>
      </c>
      <c r="N1919" s="51">
        <f t="shared" si="795"/>
        <v>19</v>
      </c>
      <c r="O1919" s="53">
        <f t="shared" si="796"/>
        <v>5</v>
      </c>
      <c r="P1919" s="53">
        <f t="shared" si="797"/>
        <v>2026</v>
      </c>
    </row>
    <row r="1920" spans="1:16" x14ac:dyDescent="0.25">
      <c r="A1920" s="21">
        <v>3000002447</v>
      </c>
      <c r="B1920" s="22">
        <v>46146</v>
      </c>
      <c r="C1920" s="20">
        <v>45000000</v>
      </c>
      <c r="D1920" s="21" t="s">
        <v>484</v>
      </c>
      <c r="E1920" s="21">
        <v>91003070</v>
      </c>
      <c r="F1920" s="20">
        <v>45000000</v>
      </c>
      <c r="G1920" s="22">
        <v>46148</v>
      </c>
      <c r="H1920" t="s">
        <v>79</v>
      </c>
      <c r="I1920" s="51" t="str">
        <f>IFERROR(IF(VLOOKUP(E1920,extracto!C:C,1,FALSE)=E1920,"pagado","no pagado"),"no pagado")</f>
        <v>pagado</v>
      </c>
      <c r="J1920" s="52" t="str">
        <f t="shared" ref="J1920:J1950" si="798">IF(I1920="pagado","pagado",IF(G1920&lt;$V$1-30,"fuera de fecha","en periodo de pago"))</f>
        <v>pagado</v>
      </c>
      <c r="K1920" s="51" t="str">
        <f t="shared" ref="K1920:K1950" ca="1" si="799">+IF(B1920&gt;$V$1,"excluir",IF(J1920="en periodo de pago",IF($V$1&gt;G1920,"a pagar","proximo a vencer"),"excluir"))</f>
        <v>excluir</v>
      </c>
      <c r="L1920" s="51" t="str">
        <f t="shared" ref="L1920:L1950" ca="1" si="800">+IF(K1920="proximo a vencer",IF($V$1+5&gt;G1920,"para la semana","no semana"),"no semana")</f>
        <v>no semana</v>
      </c>
      <c r="M1920" s="51" t="str">
        <f>IFERROR(VLOOKUP(E1920,'cheques a conf'!A:D,4,FALSE),"no clearing")</f>
        <v>no clearing</v>
      </c>
      <c r="N1920" s="51">
        <f t="shared" ref="N1920:N1950" si="801">+WEEKNUM(G1920,2)</f>
        <v>19</v>
      </c>
      <c r="O1920" s="53">
        <f t="shared" ref="O1920:O1950" si="802">+MONTH(G1920)</f>
        <v>5</v>
      </c>
      <c r="P1920" s="53">
        <f t="shared" ref="P1920:P1950" si="803">+YEAR(G1920)</f>
        <v>2026</v>
      </c>
    </row>
    <row r="1921" spans="1:16" x14ac:dyDescent="0.25">
      <c r="A1921" s="21">
        <v>3000002447</v>
      </c>
      <c r="B1921" s="22">
        <v>46146</v>
      </c>
      <c r="C1921" s="20">
        <v>45796981.350000001</v>
      </c>
      <c r="D1921" s="21" t="s">
        <v>484</v>
      </c>
      <c r="E1921" s="21">
        <v>91003071</v>
      </c>
      <c r="F1921" s="20">
        <v>45796981.350000001</v>
      </c>
      <c r="G1921" s="22">
        <v>46148</v>
      </c>
      <c r="H1921" t="s">
        <v>79</v>
      </c>
      <c r="I1921" s="51" t="str">
        <f>IFERROR(IF(VLOOKUP(E1921,extracto!C:C,1,FALSE)=E1921,"pagado","no pagado"),"no pagado")</f>
        <v>pagado</v>
      </c>
      <c r="J1921" s="52" t="str">
        <f t="shared" si="798"/>
        <v>pagado</v>
      </c>
      <c r="K1921" s="51" t="str">
        <f t="shared" ca="1" si="799"/>
        <v>excluir</v>
      </c>
      <c r="L1921" s="51" t="str">
        <f t="shared" ca="1" si="800"/>
        <v>no semana</v>
      </c>
      <c r="M1921" s="51" t="str">
        <f>IFERROR(VLOOKUP(E1921,'cheques a conf'!A:D,4,FALSE),"no clearing")</f>
        <v>no clearing</v>
      </c>
      <c r="N1921" s="51">
        <f t="shared" si="801"/>
        <v>19</v>
      </c>
      <c r="O1921" s="53">
        <f t="shared" si="802"/>
        <v>5</v>
      </c>
      <c r="P1921" s="53">
        <f t="shared" si="803"/>
        <v>2026</v>
      </c>
    </row>
    <row r="1922" spans="1:16" x14ac:dyDescent="0.25">
      <c r="A1922" s="21">
        <v>3000002447</v>
      </c>
      <c r="B1922" s="22">
        <v>46146</v>
      </c>
      <c r="C1922" s="20">
        <v>30250</v>
      </c>
      <c r="D1922" s="21" t="s">
        <v>484</v>
      </c>
      <c r="E1922" s="21">
        <v>91003072</v>
      </c>
      <c r="F1922" s="20">
        <v>30250</v>
      </c>
      <c r="G1922" s="22">
        <v>46148</v>
      </c>
      <c r="H1922" t="s">
        <v>79</v>
      </c>
      <c r="I1922" s="51" t="str">
        <f>IFERROR(IF(VLOOKUP(E1922,extracto!C:C,1,FALSE)=E1922,"pagado","no pagado"),"no pagado")</f>
        <v>no pagado</v>
      </c>
      <c r="J1922" s="52" t="str">
        <f t="shared" ca="1" si="798"/>
        <v>fuera de fecha</v>
      </c>
      <c r="K1922" s="51" t="str">
        <f t="shared" ca="1" si="799"/>
        <v>excluir</v>
      </c>
      <c r="L1922" s="51" t="str">
        <f t="shared" ca="1" si="800"/>
        <v>no semana</v>
      </c>
      <c r="M1922" s="51" t="str">
        <f>IFERROR(VLOOKUP(E1922,'cheques a conf'!A:D,4,FALSE),"no clearing")</f>
        <v>no clearing</v>
      </c>
      <c r="N1922" s="51">
        <f t="shared" si="801"/>
        <v>19</v>
      </c>
      <c r="O1922" s="53">
        <f t="shared" si="802"/>
        <v>5</v>
      </c>
      <c r="P1922" s="53">
        <f t="shared" si="803"/>
        <v>2026</v>
      </c>
    </row>
    <row r="1923" spans="1:16" x14ac:dyDescent="0.25">
      <c r="A1923" s="21">
        <v>3000002447</v>
      </c>
      <c r="B1923" s="22">
        <v>46146</v>
      </c>
      <c r="C1923" s="20">
        <v>18459650.890000001</v>
      </c>
      <c r="D1923" s="21" t="s">
        <v>484</v>
      </c>
      <c r="E1923" s="21">
        <v>91003073</v>
      </c>
      <c r="F1923" s="20">
        <v>18459650.890000001</v>
      </c>
      <c r="G1923" s="22">
        <v>46148</v>
      </c>
      <c r="H1923" t="s">
        <v>79</v>
      </c>
      <c r="I1923" s="51" t="str">
        <f>IFERROR(IF(VLOOKUP(E1923,extracto!C:C,1,FALSE)=E1923,"pagado","no pagado"),"no pagado")</f>
        <v>pagado</v>
      </c>
      <c r="J1923" s="52" t="str">
        <f t="shared" si="798"/>
        <v>pagado</v>
      </c>
      <c r="K1923" s="51" t="str">
        <f t="shared" ca="1" si="799"/>
        <v>excluir</v>
      </c>
      <c r="L1923" s="51" t="str">
        <f t="shared" ca="1" si="800"/>
        <v>no semana</v>
      </c>
      <c r="M1923" s="51" t="str">
        <f>IFERROR(VLOOKUP(E1923,'cheques a conf'!A:D,4,FALSE),"no clearing")</f>
        <v>no clearing</v>
      </c>
      <c r="N1923" s="51">
        <f t="shared" si="801"/>
        <v>19</v>
      </c>
      <c r="O1923" s="53">
        <f t="shared" si="802"/>
        <v>5</v>
      </c>
      <c r="P1923" s="53">
        <f t="shared" si="803"/>
        <v>2026</v>
      </c>
    </row>
    <row r="1924" spans="1:16" x14ac:dyDescent="0.25">
      <c r="A1924" s="21">
        <v>3000002447</v>
      </c>
      <c r="B1924" s="22">
        <v>46146</v>
      </c>
      <c r="C1924" s="20">
        <v>657119.32999999996</v>
      </c>
      <c r="D1924" s="21" t="s">
        <v>484</v>
      </c>
      <c r="E1924" s="21">
        <v>91003074</v>
      </c>
      <c r="F1924" s="20">
        <v>657119.32999999996</v>
      </c>
      <c r="G1924" s="22">
        <v>46148</v>
      </c>
      <c r="H1924" t="s">
        <v>79</v>
      </c>
      <c r="I1924" s="51" t="str">
        <f>IFERROR(IF(VLOOKUP(E1924,extracto!C:C,1,FALSE)=E1924,"pagado","no pagado"),"no pagado")</f>
        <v>no pagado</v>
      </c>
      <c r="J1924" s="52" t="str">
        <f t="shared" ca="1" si="798"/>
        <v>fuera de fecha</v>
      </c>
      <c r="K1924" s="51" t="str">
        <f t="shared" ca="1" si="799"/>
        <v>excluir</v>
      </c>
      <c r="L1924" s="51" t="str">
        <f t="shared" ca="1" si="800"/>
        <v>no semana</v>
      </c>
      <c r="M1924" s="51" t="str">
        <f>IFERROR(VLOOKUP(E1924,'cheques a conf'!A:D,4,FALSE),"no clearing")</f>
        <v>no clearing</v>
      </c>
      <c r="N1924" s="51">
        <f t="shared" si="801"/>
        <v>19</v>
      </c>
      <c r="O1924" s="53">
        <f t="shared" si="802"/>
        <v>5</v>
      </c>
      <c r="P1924" s="53">
        <f t="shared" si="803"/>
        <v>2026</v>
      </c>
    </row>
    <row r="1925" spans="1:16" x14ac:dyDescent="0.25">
      <c r="A1925" s="21">
        <v>3000002448</v>
      </c>
      <c r="B1925" s="22">
        <v>46146</v>
      </c>
      <c r="C1925" s="20">
        <v>45000000</v>
      </c>
      <c r="D1925" s="21" t="s">
        <v>484</v>
      </c>
      <c r="E1925" s="21">
        <v>91003075</v>
      </c>
      <c r="F1925" s="20">
        <v>45000000</v>
      </c>
      <c r="G1925" s="22">
        <v>46148</v>
      </c>
      <c r="H1925" t="s">
        <v>79</v>
      </c>
      <c r="I1925" s="51" t="str">
        <f>IFERROR(IF(VLOOKUP(E1925,extracto!C:C,1,FALSE)=E1925,"pagado","no pagado"),"no pagado")</f>
        <v>pagado</v>
      </c>
      <c r="J1925" s="52" t="str">
        <f t="shared" si="798"/>
        <v>pagado</v>
      </c>
      <c r="K1925" s="51" t="str">
        <f t="shared" ca="1" si="799"/>
        <v>excluir</v>
      </c>
      <c r="L1925" s="51" t="str">
        <f t="shared" ca="1" si="800"/>
        <v>no semana</v>
      </c>
      <c r="M1925" s="51" t="str">
        <f>IFERROR(VLOOKUP(E1925,'cheques a conf'!A:D,4,FALSE),"no clearing")</f>
        <v>no clearing</v>
      </c>
      <c r="N1925" s="51">
        <f t="shared" si="801"/>
        <v>19</v>
      </c>
      <c r="O1925" s="53">
        <f t="shared" si="802"/>
        <v>5</v>
      </c>
      <c r="P1925" s="53">
        <f t="shared" si="803"/>
        <v>2026</v>
      </c>
    </row>
    <row r="1926" spans="1:16" x14ac:dyDescent="0.25">
      <c r="A1926" s="21">
        <v>3000002448</v>
      </c>
      <c r="B1926" s="22">
        <v>46146</v>
      </c>
      <c r="C1926" s="20">
        <v>45796981.350000001</v>
      </c>
      <c r="D1926" s="21" t="s">
        <v>484</v>
      </c>
      <c r="E1926" s="21">
        <v>91003076</v>
      </c>
      <c r="F1926" s="20">
        <v>45796981.350000001</v>
      </c>
      <c r="G1926" s="22">
        <v>46148</v>
      </c>
      <c r="H1926" t="s">
        <v>79</v>
      </c>
      <c r="I1926" s="51" t="str">
        <f>IFERROR(IF(VLOOKUP(E1926,extracto!C:C,1,FALSE)=E1926,"pagado","no pagado"),"no pagado")</f>
        <v>pagado</v>
      </c>
      <c r="J1926" s="52" t="str">
        <f t="shared" si="798"/>
        <v>pagado</v>
      </c>
      <c r="K1926" s="51" t="str">
        <f t="shared" ca="1" si="799"/>
        <v>excluir</v>
      </c>
      <c r="L1926" s="51" t="str">
        <f t="shared" ca="1" si="800"/>
        <v>no semana</v>
      </c>
      <c r="M1926" s="51" t="str">
        <f>IFERROR(VLOOKUP(E1926,'cheques a conf'!A:D,4,FALSE),"no clearing")</f>
        <v>no clearing</v>
      </c>
      <c r="N1926" s="51">
        <f t="shared" si="801"/>
        <v>19</v>
      </c>
      <c r="O1926" s="53">
        <f t="shared" si="802"/>
        <v>5</v>
      </c>
      <c r="P1926" s="53">
        <f t="shared" si="803"/>
        <v>2026</v>
      </c>
    </row>
    <row r="1927" spans="1:16" x14ac:dyDescent="0.25">
      <c r="A1927" s="21">
        <v>3000002448</v>
      </c>
      <c r="B1927" s="22">
        <v>46146</v>
      </c>
      <c r="C1927" s="20">
        <v>30250</v>
      </c>
      <c r="D1927" s="21" t="s">
        <v>484</v>
      </c>
      <c r="E1927" s="21">
        <v>91003077</v>
      </c>
      <c r="F1927" s="20">
        <v>30250</v>
      </c>
      <c r="G1927" s="22">
        <v>46148</v>
      </c>
      <c r="H1927" t="s">
        <v>79</v>
      </c>
      <c r="I1927" s="51" t="str">
        <f>IFERROR(IF(VLOOKUP(E1927,extracto!C:C,1,FALSE)=E1927,"pagado","no pagado"),"no pagado")</f>
        <v>no pagado</v>
      </c>
      <c r="J1927" s="52" t="str">
        <f t="shared" ca="1" si="798"/>
        <v>fuera de fecha</v>
      </c>
      <c r="K1927" s="51" t="str">
        <f t="shared" ca="1" si="799"/>
        <v>excluir</v>
      </c>
      <c r="L1927" s="51" t="str">
        <f t="shared" ca="1" si="800"/>
        <v>no semana</v>
      </c>
      <c r="M1927" s="51" t="str">
        <f>IFERROR(VLOOKUP(E1927,'cheques a conf'!A:D,4,FALSE),"no clearing")</f>
        <v>no clearing</v>
      </c>
      <c r="N1927" s="51">
        <f t="shared" si="801"/>
        <v>19</v>
      </c>
      <c r="O1927" s="53">
        <f t="shared" si="802"/>
        <v>5</v>
      </c>
      <c r="P1927" s="53">
        <f t="shared" si="803"/>
        <v>2026</v>
      </c>
    </row>
    <row r="1928" spans="1:16" x14ac:dyDescent="0.25">
      <c r="A1928" s="21">
        <v>3000002448</v>
      </c>
      <c r="B1928" s="22">
        <v>46146</v>
      </c>
      <c r="C1928" s="20">
        <v>18459650.890000001</v>
      </c>
      <c r="D1928" s="21" t="s">
        <v>484</v>
      </c>
      <c r="E1928" s="21">
        <v>91003078</v>
      </c>
      <c r="F1928" s="20">
        <v>18459650.890000001</v>
      </c>
      <c r="G1928" s="22">
        <v>46148</v>
      </c>
      <c r="H1928" t="s">
        <v>79</v>
      </c>
      <c r="I1928" s="51" t="str">
        <f>IFERROR(IF(VLOOKUP(E1928,extracto!C:C,1,FALSE)=E1928,"pagado","no pagado"),"no pagado")</f>
        <v>pagado</v>
      </c>
      <c r="J1928" s="52" t="str">
        <f t="shared" si="798"/>
        <v>pagado</v>
      </c>
      <c r="K1928" s="51" t="str">
        <f t="shared" ca="1" si="799"/>
        <v>excluir</v>
      </c>
      <c r="L1928" s="51" t="str">
        <f t="shared" ca="1" si="800"/>
        <v>no semana</v>
      </c>
      <c r="M1928" s="51" t="str">
        <f>IFERROR(VLOOKUP(E1928,'cheques a conf'!A:D,4,FALSE),"no clearing")</f>
        <v>no clearing</v>
      </c>
      <c r="N1928" s="51">
        <f t="shared" si="801"/>
        <v>19</v>
      </c>
      <c r="O1928" s="53">
        <f t="shared" si="802"/>
        <v>5</v>
      </c>
      <c r="P1928" s="53">
        <f t="shared" si="803"/>
        <v>2026</v>
      </c>
    </row>
    <row r="1929" spans="1:16" x14ac:dyDescent="0.25">
      <c r="A1929" s="21">
        <v>3000002448</v>
      </c>
      <c r="B1929" s="22">
        <v>46146</v>
      </c>
      <c r="C1929" s="20">
        <v>657119.32999999996</v>
      </c>
      <c r="D1929" s="21" t="s">
        <v>484</v>
      </c>
      <c r="E1929" s="21">
        <v>91003079</v>
      </c>
      <c r="F1929" s="20">
        <v>657119.32999999996</v>
      </c>
      <c r="G1929" s="22">
        <v>46148</v>
      </c>
      <c r="H1929" t="s">
        <v>79</v>
      </c>
      <c r="I1929" s="51" t="str">
        <f>IFERROR(IF(VLOOKUP(E1929,extracto!C:C,1,FALSE)=E1929,"pagado","no pagado"),"no pagado")</f>
        <v>no pagado</v>
      </c>
      <c r="J1929" s="52" t="str">
        <f t="shared" ca="1" si="798"/>
        <v>fuera de fecha</v>
      </c>
      <c r="K1929" s="51" t="str">
        <f t="shared" ca="1" si="799"/>
        <v>excluir</v>
      </c>
      <c r="L1929" s="51" t="str">
        <f t="shared" ca="1" si="800"/>
        <v>no semana</v>
      </c>
      <c r="M1929" s="51" t="str">
        <f>IFERROR(VLOOKUP(E1929,'cheques a conf'!A:D,4,FALSE),"no clearing")</f>
        <v>no clearing</v>
      </c>
      <c r="N1929" s="51">
        <f t="shared" si="801"/>
        <v>19</v>
      </c>
      <c r="O1929" s="53">
        <f t="shared" si="802"/>
        <v>5</v>
      </c>
      <c r="P1929" s="53">
        <f t="shared" si="803"/>
        <v>2026</v>
      </c>
    </row>
    <row r="1930" spans="1:16" x14ac:dyDescent="0.25">
      <c r="A1930" s="21">
        <v>3000002478</v>
      </c>
      <c r="B1930" s="22">
        <v>46147</v>
      </c>
      <c r="C1930" s="20">
        <v>1500000</v>
      </c>
      <c r="D1930" s="21" t="s">
        <v>583</v>
      </c>
      <c r="E1930" s="21">
        <v>61301837</v>
      </c>
      <c r="F1930" s="20">
        <v>1500000</v>
      </c>
      <c r="G1930" s="22">
        <v>46149</v>
      </c>
      <c r="H1930" t="s">
        <v>79</v>
      </c>
      <c r="I1930" s="51" t="str">
        <f>IFERROR(IF(VLOOKUP(E1930,extracto!C:C,1,FALSE)=E1930,"pagado","no pagado"),"no pagado")</f>
        <v>pagado</v>
      </c>
      <c r="J1930" s="52" t="str">
        <f t="shared" si="798"/>
        <v>pagado</v>
      </c>
      <c r="K1930" s="51" t="str">
        <f t="shared" ca="1" si="799"/>
        <v>excluir</v>
      </c>
      <c r="L1930" s="51" t="str">
        <f t="shared" ca="1" si="800"/>
        <v>no semana</v>
      </c>
      <c r="M1930" s="51" t="str">
        <f>IFERROR(VLOOKUP(E1930,'cheques a conf'!A:D,4,FALSE),"no clearing")</f>
        <v>no clearing</v>
      </c>
      <c r="N1930" s="51">
        <f t="shared" si="801"/>
        <v>19</v>
      </c>
      <c r="O1930" s="53">
        <f t="shared" si="802"/>
        <v>5</v>
      </c>
      <c r="P1930" s="53">
        <f t="shared" si="803"/>
        <v>2026</v>
      </c>
    </row>
    <row r="1931" spans="1:16" x14ac:dyDescent="0.25">
      <c r="A1931" s="21">
        <v>3000002479</v>
      </c>
      <c r="B1931" s="22">
        <v>46147</v>
      </c>
      <c r="C1931" s="20">
        <v>3320230</v>
      </c>
      <c r="D1931" s="21" t="s">
        <v>25</v>
      </c>
      <c r="E1931" s="21">
        <v>95780901</v>
      </c>
      <c r="F1931" s="20">
        <v>3320230</v>
      </c>
      <c r="G1931" s="22">
        <v>46148</v>
      </c>
      <c r="H1931" t="s">
        <v>79</v>
      </c>
      <c r="I1931" s="51" t="str">
        <f>IFERROR(IF(VLOOKUP(E1931,extracto!C:C,1,FALSE)=E1931,"pagado","no pagado"),"no pagado")</f>
        <v>no pagado</v>
      </c>
      <c r="J1931" s="52" t="str">
        <f t="shared" ca="1" si="798"/>
        <v>fuera de fecha</v>
      </c>
      <c r="K1931" s="51" t="str">
        <f t="shared" ca="1" si="799"/>
        <v>excluir</v>
      </c>
      <c r="L1931" s="51" t="str">
        <f t="shared" ca="1" si="800"/>
        <v>no semana</v>
      </c>
      <c r="M1931" s="51" t="str">
        <f>IFERROR(VLOOKUP(E1931,'cheques a conf'!A:D,4,FALSE),"no clearing")</f>
        <v>no clearing</v>
      </c>
      <c r="N1931" s="51">
        <f t="shared" si="801"/>
        <v>19</v>
      </c>
      <c r="O1931" s="53">
        <f t="shared" si="802"/>
        <v>5</v>
      </c>
      <c r="P1931" s="53">
        <f t="shared" si="803"/>
        <v>2026</v>
      </c>
    </row>
    <row r="1932" spans="1:16" x14ac:dyDescent="0.25">
      <c r="A1932" s="21">
        <v>3000002483</v>
      </c>
      <c r="B1932" s="22">
        <v>46147</v>
      </c>
      <c r="C1932" s="20">
        <v>6167688.8499999996</v>
      </c>
      <c r="D1932" s="21" t="s">
        <v>667</v>
      </c>
      <c r="E1932" s="21">
        <v>61301838</v>
      </c>
      <c r="F1932" s="20">
        <v>6167688.8499999996</v>
      </c>
      <c r="G1932" s="22">
        <v>46150</v>
      </c>
      <c r="H1932" t="s">
        <v>79</v>
      </c>
      <c r="I1932" s="51" t="str">
        <f>IFERROR(IF(VLOOKUP(E1932,extracto!C:C,1,FALSE)=E1932,"pagado","no pagado"),"no pagado")</f>
        <v>pagado</v>
      </c>
      <c r="J1932" s="52" t="str">
        <f t="shared" si="798"/>
        <v>pagado</v>
      </c>
      <c r="K1932" s="51" t="str">
        <f t="shared" ca="1" si="799"/>
        <v>excluir</v>
      </c>
      <c r="L1932" s="51" t="str">
        <f t="shared" ca="1" si="800"/>
        <v>no semana</v>
      </c>
      <c r="M1932" s="51" t="str">
        <f>IFERROR(VLOOKUP(E1932,'cheques a conf'!A:D,4,FALSE),"no clearing")</f>
        <v>no clearing</v>
      </c>
      <c r="N1932" s="51">
        <f t="shared" si="801"/>
        <v>19</v>
      </c>
      <c r="O1932" s="53">
        <f t="shared" si="802"/>
        <v>5</v>
      </c>
      <c r="P1932" s="53">
        <f t="shared" si="803"/>
        <v>2026</v>
      </c>
    </row>
    <row r="1933" spans="1:16" x14ac:dyDescent="0.25">
      <c r="A1933" s="21">
        <v>3000002486</v>
      </c>
      <c r="B1933" s="22">
        <v>46147</v>
      </c>
      <c r="C1933" s="20">
        <v>1989790.52</v>
      </c>
      <c r="D1933" s="21" t="s">
        <v>659</v>
      </c>
      <c r="E1933" s="21">
        <v>61301839</v>
      </c>
      <c r="F1933" s="20">
        <v>1989790.52</v>
      </c>
      <c r="G1933" s="22">
        <v>46150</v>
      </c>
      <c r="H1933" t="s">
        <v>79</v>
      </c>
      <c r="I1933" s="51" t="str">
        <f>IFERROR(IF(VLOOKUP(E1933,extracto!C:C,1,FALSE)=E1933,"pagado","no pagado"),"no pagado")</f>
        <v>pagado</v>
      </c>
      <c r="J1933" s="52" t="str">
        <f t="shared" si="798"/>
        <v>pagado</v>
      </c>
      <c r="K1933" s="51" t="str">
        <f t="shared" ca="1" si="799"/>
        <v>excluir</v>
      </c>
      <c r="L1933" s="51" t="str">
        <f t="shared" ca="1" si="800"/>
        <v>no semana</v>
      </c>
      <c r="M1933" s="51" t="str">
        <f>IFERROR(VLOOKUP(E1933,'cheques a conf'!A:D,4,FALSE),"no clearing")</f>
        <v>no clearing</v>
      </c>
      <c r="N1933" s="51">
        <f t="shared" si="801"/>
        <v>19</v>
      </c>
      <c r="O1933" s="53">
        <f t="shared" si="802"/>
        <v>5</v>
      </c>
      <c r="P1933" s="53">
        <f t="shared" si="803"/>
        <v>2026</v>
      </c>
    </row>
    <row r="1934" spans="1:16" x14ac:dyDescent="0.25">
      <c r="A1934" s="21">
        <v>3000002480</v>
      </c>
      <c r="B1934" s="22">
        <v>46147</v>
      </c>
      <c r="C1934" s="20">
        <v>6246803.4000000004</v>
      </c>
      <c r="D1934" s="21" t="s">
        <v>39</v>
      </c>
      <c r="E1934" s="21">
        <v>91003080</v>
      </c>
      <c r="F1934" s="20">
        <v>6246803.4000000004</v>
      </c>
      <c r="G1934" s="22">
        <v>46150</v>
      </c>
      <c r="H1934" t="s">
        <v>79</v>
      </c>
      <c r="I1934" s="51" t="str">
        <f>IFERROR(IF(VLOOKUP(E1934,extracto!C:C,1,FALSE)=E1934,"pagado","no pagado"),"no pagado")</f>
        <v>pagado</v>
      </c>
      <c r="J1934" s="52" t="str">
        <f t="shared" si="798"/>
        <v>pagado</v>
      </c>
      <c r="K1934" s="51" t="str">
        <f t="shared" ca="1" si="799"/>
        <v>excluir</v>
      </c>
      <c r="L1934" s="51" t="str">
        <f t="shared" ca="1" si="800"/>
        <v>no semana</v>
      </c>
      <c r="M1934" s="51" t="str">
        <f>IFERROR(VLOOKUP(E1934,'cheques a conf'!A:D,4,FALSE),"no clearing")</f>
        <v>no clearing</v>
      </c>
      <c r="N1934" s="51">
        <f t="shared" si="801"/>
        <v>19</v>
      </c>
      <c r="O1934" s="53">
        <f t="shared" si="802"/>
        <v>5</v>
      </c>
      <c r="P1934" s="53">
        <f t="shared" si="803"/>
        <v>2026</v>
      </c>
    </row>
    <row r="1935" spans="1:16" x14ac:dyDescent="0.25">
      <c r="A1935" s="21">
        <v>3000002481</v>
      </c>
      <c r="B1935" s="22">
        <v>46147</v>
      </c>
      <c r="C1935" s="20">
        <v>22028025</v>
      </c>
      <c r="D1935" s="21" t="s">
        <v>743</v>
      </c>
      <c r="E1935" s="21">
        <v>91003081</v>
      </c>
      <c r="F1935" s="20">
        <v>22028025</v>
      </c>
      <c r="G1935" s="22">
        <v>46150</v>
      </c>
      <c r="H1935" t="s">
        <v>79</v>
      </c>
      <c r="I1935" s="51" t="str">
        <f>IFERROR(IF(VLOOKUP(E1935,extracto!C:C,1,FALSE)=E1935,"pagado","no pagado"),"no pagado")</f>
        <v>pagado</v>
      </c>
      <c r="J1935" s="52" t="str">
        <f t="shared" si="798"/>
        <v>pagado</v>
      </c>
      <c r="K1935" s="51" t="str">
        <f t="shared" ca="1" si="799"/>
        <v>excluir</v>
      </c>
      <c r="L1935" s="51" t="str">
        <f t="shared" ca="1" si="800"/>
        <v>no semana</v>
      </c>
      <c r="M1935" s="51" t="str">
        <f>IFERROR(VLOOKUP(E1935,'cheques a conf'!A:D,4,FALSE),"no clearing")</f>
        <v>no clearing</v>
      </c>
      <c r="N1935" s="51">
        <f t="shared" si="801"/>
        <v>19</v>
      </c>
      <c r="O1935" s="53">
        <f t="shared" si="802"/>
        <v>5</v>
      </c>
      <c r="P1935" s="53">
        <f t="shared" si="803"/>
        <v>2026</v>
      </c>
    </row>
    <row r="1936" spans="1:16" x14ac:dyDescent="0.25">
      <c r="A1936" s="21">
        <v>3000002482</v>
      </c>
      <c r="B1936" s="22">
        <v>46147</v>
      </c>
      <c r="C1936" s="20">
        <v>5709023.4000000004</v>
      </c>
      <c r="D1936" s="21" t="s">
        <v>587</v>
      </c>
      <c r="E1936" s="21">
        <v>91003082</v>
      </c>
      <c r="F1936" s="20">
        <v>5709023.4000000004</v>
      </c>
      <c r="G1936" s="22">
        <v>46150</v>
      </c>
      <c r="H1936" t="s">
        <v>79</v>
      </c>
      <c r="I1936" s="51" t="str">
        <f>IFERROR(IF(VLOOKUP(E1936,extracto!C:C,1,FALSE)=E1936,"pagado","no pagado"),"no pagado")</f>
        <v>pagado</v>
      </c>
      <c r="J1936" s="52" t="str">
        <f t="shared" si="798"/>
        <v>pagado</v>
      </c>
      <c r="K1936" s="51" t="str">
        <f t="shared" ca="1" si="799"/>
        <v>excluir</v>
      </c>
      <c r="L1936" s="51" t="str">
        <f t="shared" ca="1" si="800"/>
        <v>no semana</v>
      </c>
      <c r="M1936" s="51" t="str">
        <f>IFERROR(VLOOKUP(E1936,'cheques a conf'!A:D,4,FALSE),"no clearing")</f>
        <v>no clearing</v>
      </c>
      <c r="N1936" s="51">
        <f t="shared" si="801"/>
        <v>19</v>
      </c>
      <c r="O1936" s="53">
        <f t="shared" si="802"/>
        <v>5</v>
      </c>
      <c r="P1936" s="53">
        <f t="shared" si="803"/>
        <v>2026</v>
      </c>
    </row>
    <row r="1937" spans="1:16" x14ac:dyDescent="0.25">
      <c r="A1937" s="21">
        <v>3000002484</v>
      </c>
      <c r="B1937" s="22">
        <v>46147</v>
      </c>
      <c r="C1937" s="20">
        <v>15171638.5</v>
      </c>
      <c r="D1937" s="21" t="s">
        <v>89</v>
      </c>
      <c r="E1937" s="21">
        <v>91003083</v>
      </c>
      <c r="F1937" s="20">
        <v>15171638.5</v>
      </c>
      <c r="G1937" s="22">
        <v>46150</v>
      </c>
      <c r="H1937" t="s">
        <v>79</v>
      </c>
      <c r="I1937" s="51" t="str">
        <f>IFERROR(IF(VLOOKUP(E1937,extracto!C:C,1,FALSE)=E1937,"pagado","no pagado"),"no pagado")</f>
        <v>pagado</v>
      </c>
      <c r="J1937" s="52" t="str">
        <f t="shared" si="798"/>
        <v>pagado</v>
      </c>
      <c r="K1937" s="51" t="str">
        <f t="shared" ca="1" si="799"/>
        <v>excluir</v>
      </c>
      <c r="L1937" s="51" t="str">
        <f t="shared" ca="1" si="800"/>
        <v>no semana</v>
      </c>
      <c r="M1937" s="51" t="str">
        <f>IFERROR(VLOOKUP(E1937,'cheques a conf'!A:D,4,FALSE),"no clearing")</f>
        <v>no clearing</v>
      </c>
      <c r="N1937" s="51">
        <f t="shared" si="801"/>
        <v>19</v>
      </c>
      <c r="O1937" s="53">
        <f t="shared" si="802"/>
        <v>5</v>
      </c>
      <c r="P1937" s="53">
        <f t="shared" si="803"/>
        <v>2026</v>
      </c>
    </row>
    <row r="1938" spans="1:16" x14ac:dyDescent="0.25">
      <c r="A1938" s="21">
        <v>3000002485</v>
      </c>
      <c r="B1938" s="22">
        <v>46147</v>
      </c>
      <c r="C1938" s="20">
        <v>3056012.13</v>
      </c>
      <c r="D1938" s="21" t="s">
        <v>616</v>
      </c>
      <c r="E1938" s="21">
        <v>91003084</v>
      </c>
      <c r="F1938" s="20">
        <v>3056012.13</v>
      </c>
      <c r="G1938" s="22">
        <v>46150</v>
      </c>
      <c r="H1938" t="s">
        <v>79</v>
      </c>
      <c r="I1938" s="51" t="str">
        <f>IFERROR(IF(VLOOKUP(E1938,extracto!C:C,1,FALSE)=E1938,"pagado","no pagado"),"no pagado")</f>
        <v>pagado</v>
      </c>
      <c r="J1938" s="52" t="str">
        <f t="shared" si="798"/>
        <v>pagado</v>
      </c>
      <c r="K1938" s="51" t="str">
        <f t="shared" ca="1" si="799"/>
        <v>excluir</v>
      </c>
      <c r="L1938" s="51" t="str">
        <f t="shared" ca="1" si="800"/>
        <v>no semana</v>
      </c>
      <c r="M1938" s="51" t="str">
        <f>IFERROR(VLOOKUP(E1938,'cheques a conf'!A:D,4,FALSE),"no clearing")</f>
        <v>no clearing</v>
      </c>
      <c r="N1938" s="51">
        <f t="shared" si="801"/>
        <v>19</v>
      </c>
      <c r="O1938" s="53">
        <f t="shared" si="802"/>
        <v>5</v>
      </c>
      <c r="P1938" s="53">
        <f t="shared" si="803"/>
        <v>2026</v>
      </c>
    </row>
    <row r="1939" spans="1:16" x14ac:dyDescent="0.25">
      <c r="A1939" s="21">
        <v>3000002487</v>
      </c>
      <c r="B1939" s="22">
        <v>46147</v>
      </c>
      <c r="C1939" s="20">
        <v>18806823.469999999</v>
      </c>
      <c r="D1939" s="21" t="s">
        <v>613</v>
      </c>
      <c r="E1939" s="21">
        <v>91003085</v>
      </c>
      <c r="F1939" s="20">
        <v>18806823.469999999</v>
      </c>
      <c r="G1939" s="22">
        <v>46150</v>
      </c>
      <c r="H1939" t="s">
        <v>79</v>
      </c>
      <c r="I1939" s="51" t="str">
        <f>IFERROR(IF(VLOOKUP(E1939,extracto!C:C,1,FALSE)=E1939,"pagado","no pagado"),"no pagado")</f>
        <v>pagado</v>
      </c>
      <c r="J1939" s="52" t="str">
        <f t="shared" si="798"/>
        <v>pagado</v>
      </c>
      <c r="K1939" s="51" t="str">
        <f t="shared" ca="1" si="799"/>
        <v>excluir</v>
      </c>
      <c r="L1939" s="51" t="str">
        <f t="shared" ca="1" si="800"/>
        <v>no semana</v>
      </c>
      <c r="M1939" s="51" t="str">
        <f>IFERROR(VLOOKUP(E1939,'cheques a conf'!A:D,4,FALSE),"no clearing")</f>
        <v>no clearing</v>
      </c>
      <c r="N1939" s="51">
        <f t="shared" si="801"/>
        <v>19</v>
      </c>
      <c r="O1939" s="53">
        <f t="shared" si="802"/>
        <v>5</v>
      </c>
      <c r="P1939" s="53">
        <f t="shared" si="803"/>
        <v>2026</v>
      </c>
    </row>
    <row r="1940" spans="1:16" x14ac:dyDescent="0.25">
      <c r="A1940" s="21">
        <v>3000002488</v>
      </c>
      <c r="B1940" s="22">
        <v>46147</v>
      </c>
      <c r="C1940" s="20">
        <v>5598760.7199999997</v>
      </c>
      <c r="D1940" s="21" t="s">
        <v>612</v>
      </c>
      <c r="E1940" s="21">
        <v>91003086</v>
      </c>
      <c r="F1940" s="20">
        <v>5598760.7199999997</v>
      </c>
      <c r="G1940" s="22">
        <v>46150</v>
      </c>
      <c r="H1940" t="s">
        <v>79</v>
      </c>
      <c r="I1940" s="51" t="str">
        <f>IFERROR(IF(VLOOKUP(E1940,extracto!C:C,1,FALSE)=E1940,"pagado","no pagado"),"no pagado")</f>
        <v>pagado</v>
      </c>
      <c r="J1940" s="52" t="str">
        <f t="shared" si="798"/>
        <v>pagado</v>
      </c>
      <c r="K1940" s="51" t="str">
        <f t="shared" ca="1" si="799"/>
        <v>excluir</v>
      </c>
      <c r="L1940" s="51" t="str">
        <f t="shared" ca="1" si="800"/>
        <v>no semana</v>
      </c>
      <c r="M1940" s="51" t="str">
        <f>IFERROR(VLOOKUP(E1940,'cheques a conf'!A:D,4,FALSE),"no clearing")</f>
        <v>no clearing</v>
      </c>
      <c r="N1940" s="51">
        <f t="shared" si="801"/>
        <v>19</v>
      </c>
      <c r="O1940" s="53">
        <f t="shared" si="802"/>
        <v>5</v>
      </c>
      <c r="P1940" s="53">
        <f t="shared" si="803"/>
        <v>2026</v>
      </c>
    </row>
    <row r="1941" spans="1:16" x14ac:dyDescent="0.25">
      <c r="A1941" s="21">
        <v>3000002489</v>
      </c>
      <c r="B1941" s="22">
        <v>46147</v>
      </c>
      <c r="C1941" s="20">
        <v>21527151.829999998</v>
      </c>
      <c r="D1941" s="21" t="s">
        <v>618</v>
      </c>
      <c r="E1941" s="21">
        <v>91003087</v>
      </c>
      <c r="F1941" s="20">
        <v>21527151.829999998</v>
      </c>
      <c r="G1941" s="22">
        <v>46150</v>
      </c>
      <c r="H1941" t="s">
        <v>79</v>
      </c>
      <c r="I1941" s="51" t="str">
        <f>IFERROR(IF(VLOOKUP(E1941,extracto!C:C,1,FALSE)=E1941,"pagado","no pagado"),"no pagado")</f>
        <v>pagado</v>
      </c>
      <c r="J1941" s="52" t="str">
        <f t="shared" si="798"/>
        <v>pagado</v>
      </c>
      <c r="K1941" s="51" t="str">
        <f t="shared" ca="1" si="799"/>
        <v>excluir</v>
      </c>
      <c r="L1941" s="51" t="str">
        <f t="shared" ca="1" si="800"/>
        <v>no semana</v>
      </c>
      <c r="M1941" s="51" t="str">
        <f>IFERROR(VLOOKUP(E1941,'cheques a conf'!A:D,4,FALSE),"no clearing")</f>
        <v>no clearing</v>
      </c>
      <c r="N1941" s="51">
        <f t="shared" si="801"/>
        <v>19</v>
      </c>
      <c r="O1941" s="53">
        <f t="shared" si="802"/>
        <v>5</v>
      </c>
      <c r="P1941" s="53">
        <f t="shared" si="803"/>
        <v>2026</v>
      </c>
    </row>
    <row r="1942" spans="1:16" x14ac:dyDescent="0.25">
      <c r="A1942" s="21">
        <v>3000002490</v>
      </c>
      <c r="B1942" s="22">
        <v>46147</v>
      </c>
      <c r="C1942" s="20">
        <v>10189865.58</v>
      </c>
      <c r="D1942" s="21" t="s">
        <v>650</v>
      </c>
      <c r="E1942" s="21">
        <v>91003088</v>
      </c>
      <c r="F1942" s="20">
        <v>10189865.58</v>
      </c>
      <c r="G1942" s="22">
        <v>46150</v>
      </c>
      <c r="H1942" t="s">
        <v>79</v>
      </c>
      <c r="I1942" s="51" t="str">
        <f>IFERROR(IF(VLOOKUP(E1942,extracto!C:C,1,FALSE)=E1942,"pagado","no pagado"),"no pagado")</f>
        <v>pagado</v>
      </c>
      <c r="J1942" s="52" t="str">
        <f t="shared" si="798"/>
        <v>pagado</v>
      </c>
      <c r="K1942" s="51" t="str">
        <f t="shared" ca="1" si="799"/>
        <v>excluir</v>
      </c>
      <c r="L1942" s="51" t="str">
        <f t="shared" ca="1" si="800"/>
        <v>no semana</v>
      </c>
      <c r="M1942" s="51" t="str">
        <f>IFERROR(VLOOKUP(E1942,'cheques a conf'!A:D,4,FALSE),"no clearing")</f>
        <v>no clearing</v>
      </c>
      <c r="N1942" s="51">
        <f t="shared" si="801"/>
        <v>19</v>
      </c>
      <c r="O1942" s="53">
        <f t="shared" si="802"/>
        <v>5</v>
      </c>
      <c r="P1942" s="53">
        <f t="shared" si="803"/>
        <v>2026</v>
      </c>
    </row>
    <row r="1943" spans="1:16" x14ac:dyDescent="0.25">
      <c r="A1943" s="21">
        <v>3000002491</v>
      </c>
      <c r="B1943" s="22">
        <v>46147</v>
      </c>
      <c r="C1943" s="20">
        <v>2238697.2799999998</v>
      </c>
      <c r="D1943" s="21" t="s">
        <v>1720</v>
      </c>
      <c r="E1943" s="21">
        <v>91003089</v>
      </c>
      <c r="F1943" s="20">
        <v>2238697.2799999998</v>
      </c>
      <c r="G1943" s="22">
        <v>46150</v>
      </c>
      <c r="H1943" t="s">
        <v>79</v>
      </c>
      <c r="I1943" s="51" t="str">
        <f>IFERROR(IF(VLOOKUP(E1943,extracto!C:C,1,FALSE)=E1943,"pagado","no pagado"),"no pagado")</f>
        <v>pagado</v>
      </c>
      <c r="J1943" s="52" t="str">
        <f t="shared" si="798"/>
        <v>pagado</v>
      </c>
      <c r="K1943" s="51" t="str">
        <f t="shared" ca="1" si="799"/>
        <v>excluir</v>
      </c>
      <c r="L1943" s="51" t="str">
        <f t="shared" ca="1" si="800"/>
        <v>no semana</v>
      </c>
      <c r="M1943" s="51" t="str">
        <f>IFERROR(VLOOKUP(E1943,'cheques a conf'!A:D,4,FALSE),"no clearing")</f>
        <v>no clearing</v>
      </c>
      <c r="N1943" s="51">
        <f t="shared" si="801"/>
        <v>19</v>
      </c>
      <c r="O1943" s="53">
        <f t="shared" si="802"/>
        <v>5</v>
      </c>
      <c r="P1943" s="53">
        <f t="shared" si="803"/>
        <v>2026</v>
      </c>
    </row>
    <row r="1944" spans="1:16" x14ac:dyDescent="0.25">
      <c r="A1944" s="21">
        <v>3000002492</v>
      </c>
      <c r="B1944" s="22">
        <v>46147</v>
      </c>
      <c r="C1944" s="20">
        <v>11829504.689999999</v>
      </c>
      <c r="D1944" s="21" t="s">
        <v>657</v>
      </c>
      <c r="E1944" s="21">
        <v>91003090</v>
      </c>
      <c r="F1944" s="20">
        <v>11829504.689999999</v>
      </c>
      <c r="G1944" s="22">
        <v>46150</v>
      </c>
      <c r="H1944" t="s">
        <v>79</v>
      </c>
      <c r="I1944" s="51" t="str">
        <f>IFERROR(IF(VLOOKUP(E1944,extracto!C:C,1,FALSE)=E1944,"pagado","no pagado"),"no pagado")</f>
        <v>pagado</v>
      </c>
      <c r="J1944" s="52" t="str">
        <f t="shared" si="798"/>
        <v>pagado</v>
      </c>
      <c r="K1944" s="51" t="str">
        <f t="shared" ca="1" si="799"/>
        <v>excluir</v>
      </c>
      <c r="L1944" s="51" t="str">
        <f t="shared" ca="1" si="800"/>
        <v>no semana</v>
      </c>
      <c r="M1944" s="51" t="str">
        <f>IFERROR(VLOOKUP(E1944,'cheques a conf'!A:D,4,FALSE),"no clearing")</f>
        <v>no clearing</v>
      </c>
      <c r="N1944" s="51">
        <f t="shared" si="801"/>
        <v>19</v>
      </c>
      <c r="O1944" s="53">
        <f t="shared" si="802"/>
        <v>5</v>
      </c>
      <c r="P1944" s="53">
        <f t="shared" si="803"/>
        <v>2026</v>
      </c>
    </row>
    <row r="1945" spans="1:16" x14ac:dyDescent="0.25">
      <c r="A1945" s="21">
        <v>3000002493</v>
      </c>
      <c r="B1945" s="22">
        <v>46147</v>
      </c>
      <c r="C1945" s="20">
        <v>2237657.85</v>
      </c>
      <c r="D1945" s="21" t="s">
        <v>704</v>
      </c>
      <c r="E1945" s="21">
        <v>91003091</v>
      </c>
      <c r="F1945" s="20">
        <v>2237657.85</v>
      </c>
      <c r="G1945" s="22">
        <v>46150</v>
      </c>
      <c r="H1945" t="s">
        <v>79</v>
      </c>
      <c r="I1945" s="51" t="str">
        <f>IFERROR(IF(VLOOKUP(E1945,extracto!C:C,1,FALSE)=E1945,"pagado","no pagado"),"no pagado")</f>
        <v>pagado</v>
      </c>
      <c r="J1945" s="52" t="str">
        <f t="shared" si="798"/>
        <v>pagado</v>
      </c>
      <c r="K1945" s="51" t="str">
        <f t="shared" ca="1" si="799"/>
        <v>excluir</v>
      </c>
      <c r="L1945" s="51" t="str">
        <f t="shared" ca="1" si="800"/>
        <v>no semana</v>
      </c>
      <c r="M1945" s="51" t="str">
        <f>IFERROR(VLOOKUP(E1945,'cheques a conf'!A:D,4,FALSE),"no clearing")</f>
        <v>no clearing</v>
      </c>
      <c r="N1945" s="51">
        <f t="shared" si="801"/>
        <v>19</v>
      </c>
      <c r="O1945" s="53">
        <f t="shared" si="802"/>
        <v>5</v>
      </c>
      <c r="P1945" s="53">
        <f t="shared" si="803"/>
        <v>2026</v>
      </c>
    </row>
    <row r="1946" spans="1:16" x14ac:dyDescent="0.25">
      <c r="A1946" s="21">
        <v>3000002494</v>
      </c>
      <c r="B1946" s="22">
        <v>46147</v>
      </c>
      <c r="C1946" s="20">
        <v>3716293.1</v>
      </c>
      <c r="D1946" s="21" t="s">
        <v>691</v>
      </c>
      <c r="E1946" s="21">
        <v>91003092</v>
      </c>
      <c r="F1946" s="20">
        <v>3716293.1</v>
      </c>
      <c r="G1946" s="22">
        <v>46150</v>
      </c>
      <c r="H1946" t="s">
        <v>79</v>
      </c>
      <c r="I1946" s="51" t="str">
        <f>IFERROR(IF(VLOOKUP(E1946,extracto!C:C,1,FALSE)=E1946,"pagado","no pagado"),"no pagado")</f>
        <v>pagado</v>
      </c>
      <c r="J1946" s="52" t="str">
        <f t="shared" si="798"/>
        <v>pagado</v>
      </c>
      <c r="K1946" s="51" t="str">
        <f t="shared" ca="1" si="799"/>
        <v>excluir</v>
      </c>
      <c r="L1946" s="51" t="str">
        <f t="shared" ca="1" si="800"/>
        <v>no semana</v>
      </c>
      <c r="M1946" s="51" t="str">
        <f>IFERROR(VLOOKUP(E1946,'cheques a conf'!A:D,4,FALSE),"no clearing")</f>
        <v>no clearing</v>
      </c>
      <c r="N1946" s="51">
        <f t="shared" si="801"/>
        <v>19</v>
      </c>
      <c r="O1946" s="53">
        <f t="shared" si="802"/>
        <v>5</v>
      </c>
      <c r="P1946" s="53">
        <f t="shared" si="803"/>
        <v>2026</v>
      </c>
    </row>
    <row r="1947" spans="1:16" x14ac:dyDescent="0.25">
      <c r="A1947" s="21">
        <v>3000002495</v>
      </c>
      <c r="B1947" s="22">
        <v>46147</v>
      </c>
      <c r="C1947" s="20">
        <v>4536566.55</v>
      </c>
      <c r="D1947" s="21" t="s">
        <v>669</v>
      </c>
      <c r="E1947" s="21">
        <v>91003093</v>
      </c>
      <c r="F1947" s="20">
        <v>4536566.55</v>
      </c>
      <c r="G1947" s="22">
        <v>46150</v>
      </c>
      <c r="H1947" t="s">
        <v>79</v>
      </c>
      <c r="I1947" s="51" t="str">
        <f>IFERROR(IF(VLOOKUP(E1947,extracto!C:C,1,FALSE)=E1947,"pagado","no pagado"),"no pagado")</f>
        <v>pagado</v>
      </c>
      <c r="J1947" s="52" t="str">
        <f t="shared" si="798"/>
        <v>pagado</v>
      </c>
      <c r="K1947" s="51" t="str">
        <f t="shared" ca="1" si="799"/>
        <v>excluir</v>
      </c>
      <c r="L1947" s="51" t="str">
        <f t="shared" ca="1" si="800"/>
        <v>no semana</v>
      </c>
      <c r="M1947" s="51" t="str">
        <f>IFERROR(VLOOKUP(E1947,'cheques a conf'!A:D,4,FALSE),"no clearing")</f>
        <v>no clearing</v>
      </c>
      <c r="N1947" s="51">
        <f t="shared" si="801"/>
        <v>19</v>
      </c>
      <c r="O1947" s="53">
        <f t="shared" si="802"/>
        <v>5</v>
      </c>
      <c r="P1947" s="53">
        <f t="shared" si="803"/>
        <v>2026</v>
      </c>
    </row>
    <row r="1948" spans="1:16" x14ac:dyDescent="0.25">
      <c r="A1948" s="21">
        <v>3000002496</v>
      </c>
      <c r="B1948" s="22">
        <v>46147</v>
      </c>
      <c r="C1948" s="20">
        <v>2161912.81</v>
      </c>
      <c r="D1948" s="21" t="s">
        <v>737</v>
      </c>
      <c r="E1948" s="21">
        <v>91003094</v>
      </c>
      <c r="F1948" s="20">
        <v>2161912.81</v>
      </c>
      <c r="G1948" s="22">
        <v>46150</v>
      </c>
      <c r="H1948" t="s">
        <v>79</v>
      </c>
      <c r="I1948" s="51" t="str">
        <f>IFERROR(IF(VLOOKUP(E1948,extracto!C:C,1,FALSE)=E1948,"pagado","no pagado"),"no pagado")</f>
        <v>pagado</v>
      </c>
      <c r="J1948" s="52" t="str">
        <f t="shared" si="798"/>
        <v>pagado</v>
      </c>
      <c r="K1948" s="51" t="str">
        <f t="shared" ca="1" si="799"/>
        <v>excluir</v>
      </c>
      <c r="L1948" s="51" t="str">
        <f t="shared" ca="1" si="800"/>
        <v>no semana</v>
      </c>
      <c r="M1948" s="51" t="str">
        <f>IFERROR(VLOOKUP(E1948,'cheques a conf'!A:D,4,FALSE),"no clearing")</f>
        <v>no clearing</v>
      </c>
      <c r="N1948" s="51">
        <f t="shared" si="801"/>
        <v>19</v>
      </c>
      <c r="O1948" s="53">
        <f t="shared" si="802"/>
        <v>5</v>
      </c>
      <c r="P1948" s="53">
        <f t="shared" si="803"/>
        <v>2026</v>
      </c>
    </row>
    <row r="1949" spans="1:16" x14ac:dyDescent="0.25">
      <c r="A1949" s="21">
        <v>3000002497</v>
      </c>
      <c r="B1949" s="22">
        <v>46148</v>
      </c>
      <c r="C1949" s="20">
        <v>5064950.8499999996</v>
      </c>
      <c r="D1949" s="21" t="s">
        <v>580</v>
      </c>
      <c r="E1949" s="21">
        <v>91003095</v>
      </c>
      <c r="F1949" s="20">
        <v>5064950.8499999996</v>
      </c>
      <c r="G1949" s="22">
        <v>46150</v>
      </c>
      <c r="H1949" t="s">
        <v>79</v>
      </c>
      <c r="I1949" s="51" t="str">
        <f>IFERROR(IF(VLOOKUP(E1949,extracto!C:C,1,FALSE)=E1949,"pagado","no pagado"),"no pagado")</f>
        <v>pagado</v>
      </c>
      <c r="J1949" s="52" t="str">
        <f t="shared" si="798"/>
        <v>pagado</v>
      </c>
      <c r="K1949" s="51" t="str">
        <f t="shared" ca="1" si="799"/>
        <v>excluir</v>
      </c>
      <c r="L1949" s="51" t="str">
        <f t="shared" ca="1" si="800"/>
        <v>no semana</v>
      </c>
      <c r="M1949" s="51" t="str">
        <f>IFERROR(VLOOKUP(E1949,'cheques a conf'!A:D,4,FALSE),"no clearing")</f>
        <v>no clearing</v>
      </c>
      <c r="N1949" s="51">
        <f t="shared" si="801"/>
        <v>19</v>
      </c>
      <c r="O1949" s="53">
        <f t="shared" si="802"/>
        <v>5</v>
      </c>
      <c r="P1949" s="53">
        <f t="shared" si="803"/>
        <v>2026</v>
      </c>
    </row>
    <row r="1950" spans="1:16" x14ac:dyDescent="0.25">
      <c r="A1950" s="21">
        <v>3000002497</v>
      </c>
      <c r="B1950" s="22">
        <v>46148</v>
      </c>
      <c r="C1950" s="20">
        <v>10020951.16</v>
      </c>
      <c r="D1950" s="21" t="s">
        <v>580</v>
      </c>
      <c r="E1950" s="21">
        <v>91003096</v>
      </c>
      <c r="F1950" s="20">
        <v>10020951.16</v>
      </c>
      <c r="G1950" s="22">
        <v>46150</v>
      </c>
      <c r="H1950" t="s">
        <v>79</v>
      </c>
      <c r="I1950" s="51" t="str">
        <f>IFERROR(IF(VLOOKUP(E1950,extracto!C:C,1,FALSE)=E1950,"pagado","no pagado"),"no pagado")</f>
        <v>pagado</v>
      </c>
      <c r="J1950" s="52" t="str">
        <f t="shared" si="798"/>
        <v>pagado</v>
      </c>
      <c r="K1950" s="51" t="str">
        <f t="shared" ca="1" si="799"/>
        <v>excluir</v>
      </c>
      <c r="L1950" s="51" t="str">
        <f t="shared" ca="1" si="800"/>
        <v>no semana</v>
      </c>
      <c r="M1950" s="51" t="str">
        <f>IFERROR(VLOOKUP(E1950,'cheques a conf'!A:D,4,FALSE),"no clearing")</f>
        <v>no clearing</v>
      </c>
      <c r="N1950" s="51">
        <f t="shared" si="801"/>
        <v>19</v>
      </c>
      <c r="O1950" s="53">
        <f t="shared" si="802"/>
        <v>5</v>
      </c>
      <c r="P1950" s="53">
        <f t="shared" si="803"/>
        <v>2026</v>
      </c>
    </row>
    <row r="1951" spans="1:16" x14ac:dyDescent="0.25">
      <c r="A1951" s="21">
        <v>3000002635</v>
      </c>
      <c r="B1951" s="22">
        <v>46154</v>
      </c>
      <c r="C1951" s="20">
        <v>35000000</v>
      </c>
      <c r="D1951" s="21" t="s">
        <v>1721</v>
      </c>
      <c r="E1951" s="21">
        <v>91003116</v>
      </c>
      <c r="F1951" s="20">
        <v>35000000</v>
      </c>
      <c r="G1951" s="22">
        <v>46176</v>
      </c>
      <c r="H1951" t="s">
        <v>79</v>
      </c>
      <c r="I1951" s="51" t="str">
        <f>IFERROR(IF(VLOOKUP(E1951,extracto!C:C,1,FALSE)=E1951,"pagado","no pagado"),"no pagado")</f>
        <v>pagado</v>
      </c>
      <c r="J1951" s="52" t="str">
        <f t="shared" ref="J1951:J1952" si="804">IF(I1951="pagado","pagado",IF(G1951&lt;$V$1-30,"fuera de fecha","en periodo de pago"))</f>
        <v>pagado</v>
      </c>
      <c r="K1951" s="51" t="str">
        <f t="shared" ref="K1951:K1952" ca="1" si="805">+IF(B1951&gt;$V$1,"excluir",IF(J1951="en periodo de pago",IF($V$1&gt;G1951,"a pagar","proximo a vencer"),"excluir"))</f>
        <v>excluir</v>
      </c>
      <c r="L1951" s="51" t="str">
        <f t="shared" ref="L1951:L1952" ca="1" si="806">+IF(K1951="proximo a vencer",IF($V$1+5&gt;G1951,"para la semana","no semana"),"no semana")</f>
        <v>no semana</v>
      </c>
      <c r="M1951" s="51" t="str">
        <f>IFERROR(VLOOKUP(E1951,'cheques a conf'!A:D,4,FALSE),"no clearing")</f>
        <v>no clearing</v>
      </c>
      <c r="N1951" s="51">
        <f t="shared" ref="N1951:N1952" si="807">+WEEKNUM(G1951,2)</f>
        <v>23</v>
      </c>
      <c r="O1951" s="53">
        <f t="shared" ref="O1951:O1952" si="808">+MONTH(G1951)</f>
        <v>6</v>
      </c>
      <c r="P1951" s="53">
        <f t="shared" ref="P1951:P1952" si="809">+YEAR(G1951)</f>
        <v>2026</v>
      </c>
    </row>
    <row r="1952" spans="1:16" x14ac:dyDescent="0.25">
      <c r="A1952" s="21">
        <v>3000002635</v>
      </c>
      <c r="B1952" s="22">
        <v>46154</v>
      </c>
      <c r="C1952" s="20">
        <v>34832829.740000002</v>
      </c>
      <c r="D1952" s="21" t="s">
        <v>1721</v>
      </c>
      <c r="E1952" s="21">
        <v>91003117</v>
      </c>
      <c r="F1952" s="20">
        <v>34832829.740000002</v>
      </c>
      <c r="G1952" s="22">
        <v>46176</v>
      </c>
      <c r="H1952" t="s">
        <v>79</v>
      </c>
      <c r="I1952" s="51" t="str">
        <f>IFERROR(IF(VLOOKUP(E1952,extracto!C:C,1,FALSE)=E1952,"pagado","no pagado"),"no pagado")</f>
        <v>pagado</v>
      </c>
      <c r="J1952" s="52" t="str">
        <f t="shared" si="804"/>
        <v>pagado</v>
      </c>
      <c r="K1952" s="51" t="str">
        <f t="shared" ca="1" si="805"/>
        <v>excluir</v>
      </c>
      <c r="L1952" s="51" t="str">
        <f t="shared" ca="1" si="806"/>
        <v>no semana</v>
      </c>
      <c r="M1952" s="51" t="str">
        <f>IFERROR(VLOOKUP(E1952,'cheques a conf'!A:D,4,FALSE),"no clearing")</f>
        <v>no clearing</v>
      </c>
      <c r="N1952" s="51">
        <f t="shared" si="807"/>
        <v>23</v>
      </c>
      <c r="O1952" s="53">
        <f t="shared" si="808"/>
        <v>6</v>
      </c>
      <c r="P1952" s="53">
        <f t="shared" si="809"/>
        <v>2026</v>
      </c>
    </row>
    <row r="1953" spans="1:16" x14ac:dyDescent="0.25">
      <c r="A1953" s="21">
        <v>3000002709</v>
      </c>
      <c r="B1953" s="22">
        <v>46154</v>
      </c>
      <c r="C1953" s="20">
        <v>20000000</v>
      </c>
      <c r="D1953" s="21" t="s">
        <v>613</v>
      </c>
      <c r="E1953" s="21">
        <v>91003127</v>
      </c>
      <c r="F1953" s="20">
        <v>20000000</v>
      </c>
      <c r="G1953" s="22">
        <v>46157</v>
      </c>
      <c r="H1953" t="s">
        <v>79</v>
      </c>
      <c r="I1953" s="51" t="str">
        <f>IFERROR(IF(VLOOKUP(E1953,extracto!C:C,1,FALSE)=E1953,"pagado","no pagado"),"no pagado")</f>
        <v>pagado</v>
      </c>
      <c r="J1953" s="52" t="str">
        <f t="shared" ref="J1953:J1982" si="810">IF(I1953="pagado","pagado",IF(G1953&lt;$V$1-30,"fuera de fecha","en periodo de pago"))</f>
        <v>pagado</v>
      </c>
      <c r="K1953" s="51" t="str">
        <f t="shared" ref="K1953:K1982" ca="1" si="811">+IF(B1953&gt;$V$1,"excluir",IF(J1953="en periodo de pago",IF($V$1&gt;G1953,"a pagar","proximo a vencer"),"excluir"))</f>
        <v>excluir</v>
      </c>
      <c r="L1953" s="51" t="str">
        <f t="shared" ref="L1953:L1982" ca="1" si="812">+IF(K1953="proximo a vencer",IF($V$1+5&gt;G1953,"para la semana","no semana"),"no semana")</f>
        <v>no semana</v>
      </c>
      <c r="M1953" s="51" t="str">
        <f>IFERROR(VLOOKUP(E1953,'cheques a conf'!A:D,4,FALSE),"no clearing")</f>
        <v>no clearing</v>
      </c>
      <c r="N1953" s="51">
        <f t="shared" ref="N1953:N1982" si="813">+WEEKNUM(G1953,2)</f>
        <v>20</v>
      </c>
      <c r="O1953" s="53">
        <f t="shared" ref="O1953:O1982" si="814">+MONTH(G1953)</f>
        <v>5</v>
      </c>
      <c r="P1953" s="53">
        <f t="shared" ref="P1953:P1982" si="815">+YEAR(G1953)</f>
        <v>2026</v>
      </c>
    </row>
    <row r="1954" spans="1:16" x14ac:dyDescent="0.25">
      <c r="A1954" s="21">
        <v>3000002709</v>
      </c>
      <c r="B1954" s="22">
        <v>46154</v>
      </c>
      <c r="C1954" s="20">
        <v>22094015.399999999</v>
      </c>
      <c r="D1954" s="21" t="s">
        <v>613</v>
      </c>
      <c r="E1954" s="21">
        <v>91003128</v>
      </c>
      <c r="F1954" s="20">
        <v>22094015.399999999</v>
      </c>
      <c r="G1954" s="22">
        <v>46157</v>
      </c>
      <c r="H1954" t="s">
        <v>79</v>
      </c>
      <c r="I1954" s="51" t="str">
        <f>IFERROR(IF(VLOOKUP(E1954,extracto!C:C,1,FALSE)=E1954,"pagado","no pagado"),"no pagado")</f>
        <v>pagado</v>
      </c>
      <c r="J1954" s="52" t="str">
        <f t="shared" si="810"/>
        <v>pagado</v>
      </c>
      <c r="K1954" s="51" t="str">
        <f t="shared" ca="1" si="811"/>
        <v>excluir</v>
      </c>
      <c r="L1954" s="51" t="str">
        <f t="shared" ca="1" si="812"/>
        <v>no semana</v>
      </c>
      <c r="M1954" s="51" t="str">
        <f>IFERROR(VLOOKUP(E1954,'cheques a conf'!A:D,4,FALSE),"no clearing")</f>
        <v>no clearing</v>
      </c>
      <c r="N1954" s="51">
        <f t="shared" si="813"/>
        <v>20</v>
      </c>
      <c r="O1954" s="53">
        <f t="shared" si="814"/>
        <v>5</v>
      </c>
      <c r="P1954" s="53">
        <f t="shared" si="815"/>
        <v>2026</v>
      </c>
    </row>
    <row r="1955" spans="1:16" x14ac:dyDescent="0.25">
      <c r="A1955" s="21">
        <v>3000002636</v>
      </c>
      <c r="B1955" s="22">
        <v>46154</v>
      </c>
      <c r="C1955" s="20">
        <v>173710874.16999999</v>
      </c>
      <c r="D1955" s="21" t="s">
        <v>29</v>
      </c>
      <c r="E1955" s="21">
        <v>91003097</v>
      </c>
      <c r="F1955" s="20">
        <v>173710874.16999999</v>
      </c>
      <c r="G1955" s="22">
        <v>46155</v>
      </c>
      <c r="H1955" t="s">
        <v>79</v>
      </c>
      <c r="I1955" s="51" t="str">
        <f>IFERROR(IF(VLOOKUP(E1955,extracto!C:C,1,FALSE)=E1955,"pagado","no pagado"),"no pagado")</f>
        <v>pagado</v>
      </c>
      <c r="J1955" s="52" t="str">
        <f t="shared" si="810"/>
        <v>pagado</v>
      </c>
      <c r="K1955" s="51" t="str">
        <f t="shared" ca="1" si="811"/>
        <v>excluir</v>
      </c>
      <c r="L1955" s="51" t="str">
        <f t="shared" ca="1" si="812"/>
        <v>no semana</v>
      </c>
      <c r="M1955" s="51" t="str">
        <f>IFERROR(VLOOKUP(E1955,'cheques a conf'!A:D,4,FALSE),"no clearing")</f>
        <v>no clearing</v>
      </c>
      <c r="N1955" s="51">
        <f t="shared" si="813"/>
        <v>20</v>
      </c>
      <c r="O1955" s="53">
        <f t="shared" si="814"/>
        <v>5</v>
      </c>
      <c r="P1955" s="53">
        <f t="shared" si="815"/>
        <v>2026</v>
      </c>
    </row>
    <row r="1956" spans="1:16" x14ac:dyDescent="0.25">
      <c r="A1956" s="21">
        <v>3000002637</v>
      </c>
      <c r="B1956" s="22">
        <v>46154</v>
      </c>
      <c r="C1956" s="20">
        <v>5445534.4199999999</v>
      </c>
      <c r="D1956" s="21" t="s">
        <v>71</v>
      </c>
      <c r="E1956" s="21">
        <v>91003098</v>
      </c>
      <c r="F1956" s="20">
        <v>5445534.4199999999</v>
      </c>
      <c r="G1956" s="22">
        <v>46155</v>
      </c>
      <c r="H1956" t="s">
        <v>79</v>
      </c>
      <c r="I1956" s="51" t="str">
        <f>IFERROR(IF(VLOOKUP(E1956,extracto!C:C,1,FALSE)=E1956,"pagado","no pagado"),"no pagado")</f>
        <v>pagado</v>
      </c>
      <c r="J1956" s="52" t="str">
        <f t="shared" si="810"/>
        <v>pagado</v>
      </c>
      <c r="K1956" s="51" t="str">
        <f t="shared" ca="1" si="811"/>
        <v>excluir</v>
      </c>
      <c r="L1956" s="51" t="str">
        <f t="shared" ca="1" si="812"/>
        <v>no semana</v>
      </c>
      <c r="M1956" s="51" t="str">
        <f>IFERROR(VLOOKUP(E1956,'cheques a conf'!A:D,4,FALSE),"no clearing")</f>
        <v>no clearing</v>
      </c>
      <c r="N1956" s="51">
        <f t="shared" si="813"/>
        <v>20</v>
      </c>
      <c r="O1956" s="53">
        <f t="shared" si="814"/>
        <v>5</v>
      </c>
      <c r="P1956" s="53">
        <f t="shared" si="815"/>
        <v>2026</v>
      </c>
    </row>
    <row r="1957" spans="1:16" x14ac:dyDescent="0.25">
      <c r="A1957" s="21">
        <v>3000002638</v>
      </c>
      <c r="B1957" s="22">
        <v>46154</v>
      </c>
      <c r="C1957" s="20">
        <v>44368343.399999999</v>
      </c>
      <c r="D1957" s="21" t="s">
        <v>629</v>
      </c>
      <c r="E1957" s="21">
        <v>91003099</v>
      </c>
      <c r="F1957" s="20">
        <v>44368343.399999999</v>
      </c>
      <c r="G1957" s="22">
        <v>46155</v>
      </c>
      <c r="H1957" t="s">
        <v>79</v>
      </c>
      <c r="I1957" s="51" t="str">
        <f>IFERROR(IF(VLOOKUP(E1957,extracto!C:C,1,FALSE)=E1957,"pagado","no pagado"),"no pagado")</f>
        <v>pagado</v>
      </c>
      <c r="J1957" s="52" t="str">
        <f t="shared" si="810"/>
        <v>pagado</v>
      </c>
      <c r="K1957" s="51" t="str">
        <f t="shared" ca="1" si="811"/>
        <v>excluir</v>
      </c>
      <c r="L1957" s="51" t="str">
        <f t="shared" ca="1" si="812"/>
        <v>no semana</v>
      </c>
      <c r="M1957" s="51" t="str">
        <f>IFERROR(VLOOKUP(E1957,'cheques a conf'!A:D,4,FALSE),"no clearing")</f>
        <v>no clearing</v>
      </c>
      <c r="N1957" s="51">
        <f t="shared" si="813"/>
        <v>20</v>
      </c>
      <c r="O1957" s="53">
        <f t="shared" si="814"/>
        <v>5</v>
      </c>
      <c r="P1957" s="53">
        <f t="shared" si="815"/>
        <v>2026</v>
      </c>
    </row>
    <row r="1958" spans="1:16" x14ac:dyDescent="0.25">
      <c r="A1958" s="21">
        <v>3000002639</v>
      </c>
      <c r="B1958" s="22">
        <v>46154</v>
      </c>
      <c r="C1958" s="20">
        <v>7964741.1100000003</v>
      </c>
      <c r="D1958" s="21" t="s">
        <v>639</v>
      </c>
      <c r="E1958" s="21">
        <v>91003100</v>
      </c>
      <c r="F1958" s="20">
        <v>7964741.1100000003</v>
      </c>
      <c r="G1958" s="22">
        <v>46155</v>
      </c>
      <c r="H1958" t="s">
        <v>79</v>
      </c>
      <c r="I1958" s="51" t="str">
        <f>IFERROR(IF(VLOOKUP(E1958,extracto!C:C,1,FALSE)=E1958,"pagado","no pagado"),"no pagado")</f>
        <v>pagado</v>
      </c>
      <c r="J1958" s="52" t="str">
        <f t="shared" si="810"/>
        <v>pagado</v>
      </c>
      <c r="K1958" s="51" t="str">
        <f t="shared" ca="1" si="811"/>
        <v>excluir</v>
      </c>
      <c r="L1958" s="51" t="str">
        <f t="shared" ca="1" si="812"/>
        <v>no semana</v>
      </c>
      <c r="M1958" s="51" t="str">
        <f>IFERROR(VLOOKUP(E1958,'cheques a conf'!A:D,4,FALSE),"no clearing")</f>
        <v>no clearing</v>
      </c>
      <c r="N1958" s="51">
        <f t="shared" si="813"/>
        <v>20</v>
      </c>
      <c r="O1958" s="53">
        <f t="shared" si="814"/>
        <v>5</v>
      </c>
      <c r="P1958" s="53">
        <f t="shared" si="815"/>
        <v>2026</v>
      </c>
    </row>
    <row r="1959" spans="1:16" x14ac:dyDescent="0.25">
      <c r="A1959" s="21">
        <v>3000002640</v>
      </c>
      <c r="B1959" s="22">
        <v>46154</v>
      </c>
      <c r="C1959" s="20">
        <v>25394426.609999999</v>
      </c>
      <c r="D1959" s="21" t="s">
        <v>74</v>
      </c>
      <c r="E1959" s="21">
        <v>91003101</v>
      </c>
      <c r="F1959" s="20">
        <v>25394426.609999999</v>
      </c>
      <c r="G1959" s="22">
        <v>46155</v>
      </c>
      <c r="H1959" t="s">
        <v>79</v>
      </c>
      <c r="I1959" s="51" t="str">
        <f>IFERROR(IF(VLOOKUP(E1959,extracto!C:C,1,FALSE)=E1959,"pagado","no pagado"),"no pagado")</f>
        <v>pagado</v>
      </c>
      <c r="J1959" s="52" t="str">
        <f t="shared" si="810"/>
        <v>pagado</v>
      </c>
      <c r="K1959" s="51" t="str">
        <f t="shared" ca="1" si="811"/>
        <v>excluir</v>
      </c>
      <c r="L1959" s="51" t="str">
        <f t="shared" ca="1" si="812"/>
        <v>no semana</v>
      </c>
      <c r="M1959" s="51" t="str">
        <f>IFERROR(VLOOKUP(E1959,'cheques a conf'!A:D,4,FALSE),"no clearing")</f>
        <v>no clearing</v>
      </c>
      <c r="N1959" s="51">
        <f t="shared" si="813"/>
        <v>20</v>
      </c>
      <c r="O1959" s="53">
        <f t="shared" si="814"/>
        <v>5</v>
      </c>
      <c r="P1959" s="53">
        <f t="shared" si="815"/>
        <v>2026</v>
      </c>
    </row>
    <row r="1960" spans="1:16" x14ac:dyDescent="0.25">
      <c r="A1960" s="21">
        <v>3000002641</v>
      </c>
      <c r="B1960" s="22">
        <v>46154</v>
      </c>
      <c r="C1960" s="20">
        <v>11867365.5</v>
      </c>
      <c r="D1960" s="21" t="s">
        <v>740</v>
      </c>
      <c r="E1960" s="21">
        <v>91003102</v>
      </c>
      <c r="F1960" s="20">
        <v>11867365.5</v>
      </c>
      <c r="G1960" s="22">
        <v>46155</v>
      </c>
      <c r="H1960" t="s">
        <v>79</v>
      </c>
      <c r="I1960" s="51" t="str">
        <f>IFERROR(IF(VLOOKUP(E1960,extracto!C:C,1,FALSE)=E1960,"pagado","no pagado"),"no pagado")</f>
        <v>pagado</v>
      </c>
      <c r="J1960" s="52" t="str">
        <f t="shared" si="810"/>
        <v>pagado</v>
      </c>
      <c r="K1960" s="51" t="str">
        <f t="shared" ca="1" si="811"/>
        <v>excluir</v>
      </c>
      <c r="L1960" s="51" t="str">
        <f t="shared" ca="1" si="812"/>
        <v>no semana</v>
      </c>
      <c r="M1960" s="51" t="str">
        <f>IFERROR(VLOOKUP(E1960,'cheques a conf'!A:D,4,FALSE),"no clearing")</f>
        <v>no clearing</v>
      </c>
      <c r="N1960" s="51">
        <f t="shared" si="813"/>
        <v>20</v>
      </c>
      <c r="O1960" s="53">
        <f t="shared" si="814"/>
        <v>5</v>
      </c>
      <c r="P1960" s="53">
        <f t="shared" si="815"/>
        <v>2026</v>
      </c>
    </row>
    <row r="1961" spans="1:16" x14ac:dyDescent="0.25">
      <c r="A1961" s="21">
        <v>3000002642</v>
      </c>
      <c r="B1961" s="22">
        <v>46154</v>
      </c>
      <c r="C1961" s="20">
        <v>14058127.23</v>
      </c>
      <c r="D1961" s="21" t="s">
        <v>86</v>
      </c>
      <c r="E1961" s="21">
        <v>91003103</v>
      </c>
      <c r="F1961" s="20">
        <v>14058127.23</v>
      </c>
      <c r="G1961" s="22">
        <v>46155</v>
      </c>
      <c r="H1961" t="s">
        <v>79</v>
      </c>
      <c r="I1961" s="51" t="str">
        <f>IFERROR(IF(VLOOKUP(E1961,extracto!C:C,1,FALSE)=E1961,"pagado","no pagado"),"no pagado")</f>
        <v>pagado</v>
      </c>
      <c r="J1961" s="52" t="str">
        <f t="shared" si="810"/>
        <v>pagado</v>
      </c>
      <c r="K1961" s="51" t="str">
        <f t="shared" ca="1" si="811"/>
        <v>excluir</v>
      </c>
      <c r="L1961" s="51" t="str">
        <f t="shared" ca="1" si="812"/>
        <v>no semana</v>
      </c>
      <c r="M1961" s="51" t="str">
        <f>IFERROR(VLOOKUP(E1961,'cheques a conf'!A:D,4,FALSE),"no clearing")</f>
        <v>no clearing</v>
      </c>
      <c r="N1961" s="51">
        <f t="shared" si="813"/>
        <v>20</v>
      </c>
      <c r="O1961" s="53">
        <f t="shared" si="814"/>
        <v>5</v>
      </c>
      <c r="P1961" s="53">
        <f t="shared" si="815"/>
        <v>2026</v>
      </c>
    </row>
    <row r="1962" spans="1:16" x14ac:dyDescent="0.25">
      <c r="A1962" s="21">
        <v>3000002643</v>
      </c>
      <c r="B1962" s="22">
        <v>46154</v>
      </c>
      <c r="C1962" s="20">
        <v>38363892.060000002</v>
      </c>
      <c r="D1962" s="21" t="s">
        <v>596</v>
      </c>
      <c r="E1962" s="21">
        <v>91003104</v>
      </c>
      <c r="F1962" s="20">
        <v>38363892.060000002</v>
      </c>
      <c r="G1962" s="22">
        <v>46155</v>
      </c>
      <c r="H1962" t="s">
        <v>79</v>
      </c>
      <c r="I1962" s="51" t="str">
        <f>IFERROR(IF(VLOOKUP(E1962,extracto!C:C,1,FALSE)=E1962,"pagado","no pagado"),"no pagado")</f>
        <v>pagado</v>
      </c>
      <c r="J1962" s="52" t="str">
        <f t="shared" si="810"/>
        <v>pagado</v>
      </c>
      <c r="K1962" s="51" t="str">
        <f t="shared" ca="1" si="811"/>
        <v>excluir</v>
      </c>
      <c r="L1962" s="51" t="str">
        <f t="shared" ca="1" si="812"/>
        <v>no semana</v>
      </c>
      <c r="M1962" s="51" t="str">
        <f>IFERROR(VLOOKUP(E1962,'cheques a conf'!A:D,4,FALSE),"no clearing")</f>
        <v>no clearing</v>
      </c>
      <c r="N1962" s="51">
        <f t="shared" si="813"/>
        <v>20</v>
      </c>
      <c r="O1962" s="53">
        <f t="shared" si="814"/>
        <v>5</v>
      </c>
      <c r="P1962" s="53">
        <f t="shared" si="815"/>
        <v>2026</v>
      </c>
    </row>
    <row r="1963" spans="1:16" x14ac:dyDescent="0.25">
      <c r="A1963" s="21">
        <v>3000002644</v>
      </c>
      <c r="B1963" s="22">
        <v>46154</v>
      </c>
      <c r="C1963" s="20">
        <v>6043958.4900000002</v>
      </c>
      <c r="D1963" s="21" t="s">
        <v>586</v>
      </c>
      <c r="E1963" s="21">
        <v>91003105</v>
      </c>
      <c r="F1963" s="20">
        <v>6043958.4900000002</v>
      </c>
      <c r="G1963" s="22">
        <v>46155</v>
      </c>
      <c r="H1963" t="s">
        <v>79</v>
      </c>
      <c r="I1963" s="51" t="str">
        <f>IFERROR(IF(VLOOKUP(E1963,extracto!C:C,1,FALSE)=E1963,"pagado","no pagado"),"no pagado")</f>
        <v>pagado</v>
      </c>
      <c r="J1963" s="52" t="str">
        <f t="shared" si="810"/>
        <v>pagado</v>
      </c>
      <c r="K1963" s="51" t="str">
        <f t="shared" ca="1" si="811"/>
        <v>excluir</v>
      </c>
      <c r="L1963" s="51" t="str">
        <f t="shared" ca="1" si="812"/>
        <v>no semana</v>
      </c>
      <c r="M1963" s="51" t="str">
        <f>IFERROR(VLOOKUP(E1963,'cheques a conf'!A:D,4,FALSE),"no clearing")</f>
        <v>no clearing</v>
      </c>
      <c r="N1963" s="51">
        <f t="shared" si="813"/>
        <v>20</v>
      </c>
      <c r="O1963" s="53">
        <f t="shared" si="814"/>
        <v>5</v>
      </c>
      <c r="P1963" s="53">
        <f t="shared" si="815"/>
        <v>2026</v>
      </c>
    </row>
    <row r="1964" spans="1:16" x14ac:dyDescent="0.25">
      <c r="A1964" s="21">
        <v>3000002645</v>
      </c>
      <c r="B1964" s="22">
        <v>46154</v>
      </c>
      <c r="C1964" s="20">
        <v>6793880.7999999998</v>
      </c>
      <c r="D1964" s="21" t="s">
        <v>675</v>
      </c>
      <c r="E1964" s="21">
        <v>91003106</v>
      </c>
      <c r="F1964" s="20">
        <v>6793880.7999999998</v>
      </c>
      <c r="G1964" s="22">
        <v>46155</v>
      </c>
      <c r="H1964" t="s">
        <v>79</v>
      </c>
      <c r="I1964" s="51" t="str">
        <f>IFERROR(IF(VLOOKUP(E1964,extracto!C:C,1,FALSE)=E1964,"pagado","no pagado"),"no pagado")</f>
        <v>pagado</v>
      </c>
      <c r="J1964" s="52" t="str">
        <f t="shared" si="810"/>
        <v>pagado</v>
      </c>
      <c r="K1964" s="51" t="str">
        <f t="shared" ca="1" si="811"/>
        <v>excluir</v>
      </c>
      <c r="L1964" s="51" t="str">
        <f t="shared" ca="1" si="812"/>
        <v>no semana</v>
      </c>
      <c r="M1964" s="51" t="str">
        <f>IFERROR(VLOOKUP(E1964,'cheques a conf'!A:D,4,FALSE),"no clearing")</f>
        <v>no clearing</v>
      </c>
      <c r="N1964" s="51">
        <f t="shared" si="813"/>
        <v>20</v>
      </c>
      <c r="O1964" s="53">
        <f t="shared" si="814"/>
        <v>5</v>
      </c>
      <c r="P1964" s="53">
        <f t="shared" si="815"/>
        <v>2026</v>
      </c>
    </row>
    <row r="1965" spans="1:16" x14ac:dyDescent="0.25">
      <c r="A1965" s="21">
        <v>3000002646</v>
      </c>
      <c r="B1965" s="22">
        <v>46154</v>
      </c>
      <c r="C1965" s="20">
        <v>8658934.8499999996</v>
      </c>
      <c r="D1965" s="21" t="s">
        <v>31</v>
      </c>
      <c r="E1965" s="21">
        <v>91003107</v>
      </c>
      <c r="F1965" s="20">
        <v>8658934.8499999996</v>
      </c>
      <c r="G1965" s="22">
        <v>46155</v>
      </c>
      <c r="H1965" t="s">
        <v>79</v>
      </c>
      <c r="I1965" s="51" t="str">
        <f>IFERROR(IF(VLOOKUP(E1965,extracto!C:C,1,FALSE)=E1965,"pagado","no pagado"),"no pagado")</f>
        <v>pagado</v>
      </c>
      <c r="J1965" s="52" t="str">
        <f t="shared" si="810"/>
        <v>pagado</v>
      </c>
      <c r="K1965" s="51" t="str">
        <f t="shared" ca="1" si="811"/>
        <v>excluir</v>
      </c>
      <c r="L1965" s="51" t="str">
        <f t="shared" ca="1" si="812"/>
        <v>no semana</v>
      </c>
      <c r="M1965" s="51" t="str">
        <f>IFERROR(VLOOKUP(E1965,'cheques a conf'!A:D,4,FALSE),"no clearing")</f>
        <v>no clearing</v>
      </c>
      <c r="N1965" s="51">
        <f t="shared" si="813"/>
        <v>20</v>
      </c>
      <c r="O1965" s="53">
        <f t="shared" si="814"/>
        <v>5</v>
      </c>
      <c r="P1965" s="53">
        <f t="shared" si="815"/>
        <v>2026</v>
      </c>
    </row>
    <row r="1966" spans="1:16" x14ac:dyDescent="0.25">
      <c r="A1966" s="21">
        <v>3000002647</v>
      </c>
      <c r="B1966" s="22">
        <v>46154</v>
      </c>
      <c r="C1966" s="20">
        <v>4887290.55</v>
      </c>
      <c r="D1966" s="21" t="s">
        <v>651</v>
      </c>
      <c r="E1966" s="21">
        <v>91003108</v>
      </c>
      <c r="F1966" s="20">
        <v>4887290.55</v>
      </c>
      <c r="G1966" s="22">
        <v>46155</v>
      </c>
      <c r="H1966" t="s">
        <v>79</v>
      </c>
      <c r="I1966" s="51" t="str">
        <f>IFERROR(IF(VLOOKUP(E1966,extracto!C:C,1,FALSE)=E1966,"pagado","no pagado"),"no pagado")</f>
        <v>pagado</v>
      </c>
      <c r="J1966" s="52" t="str">
        <f t="shared" si="810"/>
        <v>pagado</v>
      </c>
      <c r="K1966" s="51" t="str">
        <f t="shared" ca="1" si="811"/>
        <v>excluir</v>
      </c>
      <c r="L1966" s="51" t="str">
        <f t="shared" ca="1" si="812"/>
        <v>no semana</v>
      </c>
      <c r="M1966" s="51" t="str">
        <f>IFERROR(VLOOKUP(E1966,'cheques a conf'!A:D,4,FALSE),"no clearing")</f>
        <v>no clearing</v>
      </c>
      <c r="N1966" s="51">
        <f t="shared" si="813"/>
        <v>20</v>
      </c>
      <c r="O1966" s="53">
        <f t="shared" si="814"/>
        <v>5</v>
      </c>
      <c r="P1966" s="53">
        <f t="shared" si="815"/>
        <v>2026</v>
      </c>
    </row>
    <row r="1967" spans="1:16" x14ac:dyDescent="0.25">
      <c r="A1967" s="21">
        <v>3000002648</v>
      </c>
      <c r="B1967" s="22">
        <v>46154</v>
      </c>
      <c r="C1967" s="20">
        <v>9318577.6199999992</v>
      </c>
      <c r="D1967" s="21" t="s">
        <v>1722</v>
      </c>
      <c r="E1967" s="21">
        <v>91003109</v>
      </c>
      <c r="F1967" s="20">
        <v>9318577.6199999992</v>
      </c>
      <c r="G1967" s="22">
        <v>46155</v>
      </c>
      <c r="H1967" t="s">
        <v>79</v>
      </c>
      <c r="I1967" s="51" t="str">
        <f>IFERROR(IF(VLOOKUP(E1967,extracto!C:C,1,FALSE)=E1967,"pagado","no pagado"),"no pagado")</f>
        <v>pagado</v>
      </c>
      <c r="J1967" s="52" t="str">
        <f t="shared" si="810"/>
        <v>pagado</v>
      </c>
      <c r="K1967" s="51" t="str">
        <f t="shared" ca="1" si="811"/>
        <v>excluir</v>
      </c>
      <c r="L1967" s="51" t="str">
        <f t="shared" ca="1" si="812"/>
        <v>no semana</v>
      </c>
      <c r="M1967" s="51" t="str">
        <f>IFERROR(VLOOKUP(E1967,'cheques a conf'!A:D,4,FALSE),"no clearing")</f>
        <v>no clearing</v>
      </c>
      <c r="N1967" s="51">
        <f t="shared" si="813"/>
        <v>20</v>
      </c>
      <c r="O1967" s="53">
        <f t="shared" si="814"/>
        <v>5</v>
      </c>
      <c r="P1967" s="53">
        <f t="shared" si="815"/>
        <v>2026</v>
      </c>
    </row>
    <row r="1968" spans="1:16" x14ac:dyDescent="0.25">
      <c r="A1968" s="21">
        <v>3000002649</v>
      </c>
      <c r="B1968" s="22">
        <v>46154</v>
      </c>
      <c r="C1968" s="20">
        <v>3999841.95</v>
      </c>
      <c r="D1968" s="21" t="s">
        <v>76</v>
      </c>
      <c r="E1968" s="21">
        <v>91003110</v>
      </c>
      <c r="F1968" s="20">
        <v>3999841.95</v>
      </c>
      <c r="G1968" s="22">
        <v>46155</v>
      </c>
      <c r="H1968" t="s">
        <v>79</v>
      </c>
      <c r="I1968" s="51" t="str">
        <f>IFERROR(IF(VLOOKUP(E1968,extracto!C:C,1,FALSE)=E1968,"pagado","no pagado"),"no pagado")</f>
        <v>pagado</v>
      </c>
      <c r="J1968" s="52" t="str">
        <f t="shared" si="810"/>
        <v>pagado</v>
      </c>
      <c r="K1968" s="51" t="str">
        <f t="shared" ca="1" si="811"/>
        <v>excluir</v>
      </c>
      <c r="L1968" s="51" t="str">
        <f t="shared" ca="1" si="812"/>
        <v>no semana</v>
      </c>
      <c r="M1968" s="51" t="str">
        <f>IFERROR(VLOOKUP(E1968,'cheques a conf'!A:D,4,FALSE),"no clearing")</f>
        <v>no clearing</v>
      </c>
      <c r="N1968" s="51">
        <f t="shared" si="813"/>
        <v>20</v>
      </c>
      <c r="O1968" s="53">
        <f t="shared" si="814"/>
        <v>5</v>
      </c>
      <c r="P1968" s="53">
        <f t="shared" si="815"/>
        <v>2026</v>
      </c>
    </row>
    <row r="1969" spans="1:16" x14ac:dyDescent="0.25">
      <c r="A1969" s="21">
        <v>3000002650</v>
      </c>
      <c r="B1969" s="22">
        <v>46154</v>
      </c>
      <c r="C1969" s="20">
        <v>3551708.4</v>
      </c>
      <c r="D1969" s="21" t="s">
        <v>793</v>
      </c>
      <c r="E1969" s="21">
        <v>91003111</v>
      </c>
      <c r="F1969" s="20">
        <v>3551708.4</v>
      </c>
      <c r="G1969" s="22">
        <v>46155</v>
      </c>
      <c r="H1969" t="s">
        <v>79</v>
      </c>
      <c r="I1969" s="51" t="str">
        <f>IFERROR(IF(VLOOKUP(E1969,extracto!C:C,1,FALSE)=E1969,"pagado","no pagado"),"no pagado")</f>
        <v>pagado</v>
      </c>
      <c r="J1969" s="52" t="str">
        <f t="shared" si="810"/>
        <v>pagado</v>
      </c>
      <c r="K1969" s="51" t="str">
        <f t="shared" ca="1" si="811"/>
        <v>excluir</v>
      </c>
      <c r="L1969" s="51" t="str">
        <f t="shared" ca="1" si="812"/>
        <v>no semana</v>
      </c>
      <c r="M1969" s="51" t="str">
        <f>IFERROR(VLOOKUP(E1969,'cheques a conf'!A:D,4,FALSE),"no clearing")</f>
        <v>no clearing</v>
      </c>
      <c r="N1969" s="51">
        <f t="shared" si="813"/>
        <v>20</v>
      </c>
      <c r="O1969" s="53">
        <f t="shared" si="814"/>
        <v>5</v>
      </c>
      <c r="P1969" s="53">
        <f t="shared" si="815"/>
        <v>2026</v>
      </c>
    </row>
    <row r="1970" spans="1:16" x14ac:dyDescent="0.25">
      <c r="A1970" s="21">
        <v>3000002651</v>
      </c>
      <c r="B1970" s="22">
        <v>46154</v>
      </c>
      <c r="C1970" s="20">
        <v>12873220.869999999</v>
      </c>
      <c r="D1970" s="21" t="s">
        <v>33</v>
      </c>
      <c r="E1970" s="21">
        <v>91003112</v>
      </c>
      <c r="F1970" s="20">
        <v>12873220.869999999</v>
      </c>
      <c r="G1970" s="22">
        <v>46155</v>
      </c>
      <c r="H1970" t="s">
        <v>79</v>
      </c>
      <c r="I1970" s="51" t="str">
        <f>IFERROR(IF(VLOOKUP(E1970,extracto!C:C,1,FALSE)=E1970,"pagado","no pagado"),"no pagado")</f>
        <v>pagado</v>
      </c>
      <c r="J1970" s="52" t="str">
        <f t="shared" si="810"/>
        <v>pagado</v>
      </c>
      <c r="K1970" s="51" t="str">
        <f t="shared" ca="1" si="811"/>
        <v>excluir</v>
      </c>
      <c r="L1970" s="51" t="str">
        <f t="shared" ca="1" si="812"/>
        <v>no semana</v>
      </c>
      <c r="M1970" s="51" t="str">
        <f>IFERROR(VLOOKUP(E1970,'cheques a conf'!A:D,4,FALSE),"no clearing")</f>
        <v>no clearing</v>
      </c>
      <c r="N1970" s="51">
        <f t="shared" si="813"/>
        <v>20</v>
      </c>
      <c r="O1970" s="53">
        <f t="shared" si="814"/>
        <v>5</v>
      </c>
      <c r="P1970" s="53">
        <f t="shared" si="815"/>
        <v>2026</v>
      </c>
    </row>
    <row r="1971" spans="1:16" x14ac:dyDescent="0.25">
      <c r="A1971" s="21">
        <v>3000002652</v>
      </c>
      <c r="B1971" s="22">
        <v>46154</v>
      </c>
      <c r="C1971" s="20">
        <v>5375231.9500000002</v>
      </c>
      <c r="D1971" s="21" t="s">
        <v>66</v>
      </c>
      <c r="E1971" s="21">
        <v>91003113</v>
      </c>
      <c r="F1971" s="20">
        <v>5375231.9500000002</v>
      </c>
      <c r="G1971" s="22">
        <v>46155</v>
      </c>
      <c r="H1971" t="s">
        <v>79</v>
      </c>
      <c r="I1971" s="51" t="str">
        <f>IFERROR(IF(VLOOKUP(E1971,extracto!C:C,1,FALSE)=E1971,"pagado","no pagado"),"no pagado")</f>
        <v>pagado</v>
      </c>
      <c r="J1971" s="52" t="str">
        <f t="shared" si="810"/>
        <v>pagado</v>
      </c>
      <c r="K1971" s="51" t="str">
        <f t="shared" ca="1" si="811"/>
        <v>excluir</v>
      </c>
      <c r="L1971" s="51" t="str">
        <f t="shared" ca="1" si="812"/>
        <v>no semana</v>
      </c>
      <c r="M1971" s="51" t="str">
        <f>IFERROR(VLOOKUP(E1971,'cheques a conf'!A:D,4,FALSE),"no clearing")</f>
        <v>no clearing</v>
      </c>
      <c r="N1971" s="51">
        <f t="shared" si="813"/>
        <v>20</v>
      </c>
      <c r="O1971" s="53">
        <f t="shared" si="814"/>
        <v>5</v>
      </c>
      <c r="P1971" s="53">
        <f t="shared" si="815"/>
        <v>2026</v>
      </c>
    </row>
    <row r="1972" spans="1:16" x14ac:dyDescent="0.25">
      <c r="A1972" s="21">
        <v>3000002653</v>
      </c>
      <c r="B1972" s="22">
        <v>46154</v>
      </c>
      <c r="C1972" s="20">
        <v>21704180.800000001</v>
      </c>
      <c r="D1972" s="21" t="s">
        <v>595</v>
      </c>
      <c r="E1972" s="21">
        <v>91003114</v>
      </c>
      <c r="F1972" s="20">
        <v>21704180.800000001</v>
      </c>
      <c r="G1972" s="22">
        <v>46156</v>
      </c>
      <c r="H1972" t="s">
        <v>79</v>
      </c>
      <c r="I1972" s="51" t="str">
        <f>IFERROR(IF(VLOOKUP(E1972,extracto!C:C,1,FALSE)=E1972,"pagado","no pagado"),"no pagado")</f>
        <v>pagado</v>
      </c>
      <c r="J1972" s="52" t="str">
        <f t="shared" si="810"/>
        <v>pagado</v>
      </c>
      <c r="K1972" s="51" t="str">
        <f t="shared" ca="1" si="811"/>
        <v>excluir</v>
      </c>
      <c r="L1972" s="51" t="str">
        <f t="shared" ca="1" si="812"/>
        <v>no semana</v>
      </c>
      <c r="M1972" s="51" t="str">
        <f>IFERROR(VLOOKUP(E1972,'cheques a conf'!A:D,4,FALSE),"no clearing")</f>
        <v>no clearing</v>
      </c>
      <c r="N1972" s="51">
        <f t="shared" si="813"/>
        <v>20</v>
      </c>
      <c r="O1972" s="53">
        <f t="shared" si="814"/>
        <v>5</v>
      </c>
      <c r="P1972" s="53">
        <f t="shared" si="815"/>
        <v>2026</v>
      </c>
    </row>
    <row r="1973" spans="1:16" x14ac:dyDescent="0.25">
      <c r="A1973" s="21">
        <v>3000002654</v>
      </c>
      <c r="B1973" s="22">
        <v>46154</v>
      </c>
      <c r="C1973" s="20">
        <v>11884741</v>
      </c>
      <c r="D1973" s="21" t="s">
        <v>1723</v>
      </c>
      <c r="E1973" s="21">
        <v>91003115</v>
      </c>
      <c r="F1973" s="20">
        <v>11884741</v>
      </c>
      <c r="G1973" s="22">
        <v>46156</v>
      </c>
      <c r="H1973" t="s">
        <v>79</v>
      </c>
      <c r="I1973" s="51" t="str">
        <f>IFERROR(IF(VLOOKUP(E1973,extracto!C:C,1,FALSE)=E1973,"pagado","no pagado"),"no pagado")</f>
        <v>pagado</v>
      </c>
      <c r="J1973" s="52" t="str">
        <f t="shared" si="810"/>
        <v>pagado</v>
      </c>
      <c r="K1973" s="51" t="str">
        <f t="shared" ca="1" si="811"/>
        <v>excluir</v>
      </c>
      <c r="L1973" s="51" t="str">
        <f t="shared" ca="1" si="812"/>
        <v>no semana</v>
      </c>
      <c r="M1973" s="51" t="str">
        <f>IFERROR(VLOOKUP(E1973,'cheques a conf'!A:D,4,FALSE),"no clearing")</f>
        <v>no clearing</v>
      </c>
      <c r="N1973" s="51">
        <f t="shared" si="813"/>
        <v>20</v>
      </c>
      <c r="O1973" s="53">
        <f t="shared" si="814"/>
        <v>5</v>
      </c>
      <c r="P1973" s="53">
        <f t="shared" si="815"/>
        <v>2026</v>
      </c>
    </row>
    <row r="1974" spans="1:16" x14ac:dyDescent="0.25">
      <c r="A1974" s="21">
        <v>3000002700</v>
      </c>
      <c r="B1974" s="22">
        <v>46154</v>
      </c>
      <c r="C1974" s="20">
        <v>7924771.1299999999</v>
      </c>
      <c r="D1974" s="21" t="s">
        <v>612</v>
      </c>
      <c r="E1974" s="21">
        <v>91003118</v>
      </c>
      <c r="F1974" s="20">
        <v>7924771.1299999999</v>
      </c>
      <c r="G1974" s="22">
        <v>46157</v>
      </c>
      <c r="H1974" t="s">
        <v>79</v>
      </c>
      <c r="I1974" s="51" t="str">
        <f>IFERROR(IF(VLOOKUP(E1974,extracto!C:C,1,FALSE)=E1974,"pagado","no pagado"),"no pagado")</f>
        <v>pagado</v>
      </c>
      <c r="J1974" s="52" t="str">
        <f t="shared" si="810"/>
        <v>pagado</v>
      </c>
      <c r="K1974" s="51" t="str">
        <f t="shared" ca="1" si="811"/>
        <v>excluir</v>
      </c>
      <c r="L1974" s="51" t="str">
        <f t="shared" ca="1" si="812"/>
        <v>no semana</v>
      </c>
      <c r="M1974" s="51" t="str">
        <f>IFERROR(VLOOKUP(E1974,'cheques a conf'!A:D,4,FALSE),"no clearing")</f>
        <v>no clearing</v>
      </c>
      <c r="N1974" s="51">
        <f t="shared" si="813"/>
        <v>20</v>
      </c>
      <c r="O1974" s="53">
        <f t="shared" si="814"/>
        <v>5</v>
      </c>
      <c r="P1974" s="53">
        <f t="shared" si="815"/>
        <v>2026</v>
      </c>
    </row>
    <row r="1975" spans="1:16" x14ac:dyDescent="0.25">
      <c r="A1975" s="21">
        <v>3000002701</v>
      </c>
      <c r="B1975" s="22">
        <v>46154</v>
      </c>
      <c r="C1975" s="20">
        <v>15279388.949999999</v>
      </c>
      <c r="D1975" s="21" t="s">
        <v>619</v>
      </c>
      <c r="E1975" s="21">
        <v>91003119</v>
      </c>
      <c r="F1975" s="20">
        <v>15279388.949999999</v>
      </c>
      <c r="G1975" s="22">
        <v>46157</v>
      </c>
      <c r="H1975" t="s">
        <v>79</v>
      </c>
      <c r="I1975" s="51" t="str">
        <f>IFERROR(IF(VLOOKUP(E1975,extracto!C:C,1,FALSE)=E1975,"pagado","no pagado"),"no pagado")</f>
        <v>pagado</v>
      </c>
      <c r="J1975" s="52" t="str">
        <f t="shared" si="810"/>
        <v>pagado</v>
      </c>
      <c r="K1975" s="51" t="str">
        <f t="shared" ca="1" si="811"/>
        <v>excluir</v>
      </c>
      <c r="L1975" s="51" t="str">
        <f t="shared" ca="1" si="812"/>
        <v>no semana</v>
      </c>
      <c r="M1975" s="51" t="str">
        <f>IFERROR(VLOOKUP(E1975,'cheques a conf'!A:D,4,FALSE),"no clearing")</f>
        <v>no clearing</v>
      </c>
      <c r="N1975" s="51">
        <f t="shared" si="813"/>
        <v>20</v>
      </c>
      <c r="O1975" s="53">
        <f t="shared" si="814"/>
        <v>5</v>
      </c>
      <c r="P1975" s="53">
        <f t="shared" si="815"/>
        <v>2026</v>
      </c>
    </row>
    <row r="1976" spans="1:16" x14ac:dyDescent="0.25">
      <c r="A1976" s="21">
        <v>3000002702</v>
      </c>
      <c r="B1976" s="22">
        <v>46154</v>
      </c>
      <c r="C1976" s="20">
        <v>8736580.9900000002</v>
      </c>
      <c r="D1976" s="21" t="s">
        <v>616</v>
      </c>
      <c r="E1976" s="21">
        <v>91003120</v>
      </c>
      <c r="F1976" s="20">
        <v>8736580.9900000002</v>
      </c>
      <c r="G1976" s="22">
        <v>46157</v>
      </c>
      <c r="H1976" t="s">
        <v>79</v>
      </c>
      <c r="I1976" s="51" t="str">
        <f>IFERROR(IF(VLOOKUP(E1976,extracto!C:C,1,FALSE)=E1976,"pagado","no pagado"),"no pagado")</f>
        <v>pagado</v>
      </c>
      <c r="J1976" s="52" t="str">
        <f t="shared" si="810"/>
        <v>pagado</v>
      </c>
      <c r="K1976" s="51" t="str">
        <f t="shared" ca="1" si="811"/>
        <v>excluir</v>
      </c>
      <c r="L1976" s="51" t="str">
        <f t="shared" ca="1" si="812"/>
        <v>no semana</v>
      </c>
      <c r="M1976" s="51" t="str">
        <f>IFERROR(VLOOKUP(E1976,'cheques a conf'!A:D,4,FALSE),"no clearing")</f>
        <v>no clearing</v>
      </c>
      <c r="N1976" s="51">
        <f t="shared" si="813"/>
        <v>20</v>
      </c>
      <c r="O1976" s="53">
        <f t="shared" si="814"/>
        <v>5</v>
      </c>
      <c r="P1976" s="53">
        <f t="shared" si="815"/>
        <v>2026</v>
      </c>
    </row>
    <row r="1977" spans="1:16" x14ac:dyDescent="0.25">
      <c r="A1977" s="21">
        <v>3000002703</v>
      </c>
      <c r="B1977" s="22">
        <v>46154</v>
      </c>
      <c r="C1977" s="20">
        <v>11086768.189999999</v>
      </c>
      <c r="D1977" s="21" t="s">
        <v>654</v>
      </c>
      <c r="E1977" s="21">
        <v>91003121</v>
      </c>
      <c r="F1977" s="20">
        <v>11086768.189999999</v>
      </c>
      <c r="G1977" s="22">
        <v>46157</v>
      </c>
      <c r="H1977" t="s">
        <v>79</v>
      </c>
      <c r="I1977" s="51" t="str">
        <f>IFERROR(IF(VLOOKUP(E1977,extracto!C:C,1,FALSE)=E1977,"pagado","no pagado"),"no pagado")</f>
        <v>pagado</v>
      </c>
      <c r="J1977" s="52" t="str">
        <f t="shared" si="810"/>
        <v>pagado</v>
      </c>
      <c r="K1977" s="51" t="str">
        <f t="shared" ca="1" si="811"/>
        <v>excluir</v>
      </c>
      <c r="L1977" s="51" t="str">
        <f t="shared" ca="1" si="812"/>
        <v>no semana</v>
      </c>
      <c r="M1977" s="51" t="str">
        <f>IFERROR(VLOOKUP(E1977,'cheques a conf'!A:D,4,FALSE),"no clearing")</f>
        <v>no clearing</v>
      </c>
      <c r="N1977" s="51">
        <f t="shared" si="813"/>
        <v>20</v>
      </c>
      <c r="O1977" s="53">
        <f t="shared" si="814"/>
        <v>5</v>
      </c>
      <c r="P1977" s="53">
        <f t="shared" si="815"/>
        <v>2026</v>
      </c>
    </row>
    <row r="1978" spans="1:16" x14ac:dyDescent="0.25">
      <c r="A1978" s="21">
        <v>3000002704</v>
      </c>
      <c r="B1978" s="22">
        <v>46154</v>
      </c>
      <c r="C1978" s="20">
        <v>3937443.82</v>
      </c>
      <c r="D1978" s="21" t="s">
        <v>677</v>
      </c>
      <c r="E1978" s="21">
        <v>91003122</v>
      </c>
      <c r="F1978" s="20">
        <v>3937443.82</v>
      </c>
      <c r="G1978" s="22">
        <v>46157</v>
      </c>
      <c r="H1978" t="s">
        <v>79</v>
      </c>
      <c r="I1978" s="51" t="str">
        <f>IFERROR(IF(VLOOKUP(E1978,extracto!C:C,1,FALSE)=E1978,"pagado","no pagado"),"no pagado")</f>
        <v>pagado</v>
      </c>
      <c r="J1978" s="52" t="str">
        <f t="shared" si="810"/>
        <v>pagado</v>
      </c>
      <c r="K1978" s="51" t="str">
        <f t="shared" ca="1" si="811"/>
        <v>excluir</v>
      </c>
      <c r="L1978" s="51" t="str">
        <f t="shared" ca="1" si="812"/>
        <v>no semana</v>
      </c>
      <c r="M1978" s="51" t="str">
        <f>IFERROR(VLOOKUP(E1978,'cheques a conf'!A:D,4,FALSE),"no clearing")</f>
        <v>no clearing</v>
      </c>
      <c r="N1978" s="51">
        <f t="shared" si="813"/>
        <v>20</v>
      </c>
      <c r="O1978" s="53">
        <f t="shared" si="814"/>
        <v>5</v>
      </c>
      <c r="P1978" s="53">
        <f t="shared" si="815"/>
        <v>2026</v>
      </c>
    </row>
    <row r="1979" spans="1:16" x14ac:dyDescent="0.25">
      <c r="A1979" s="21">
        <v>3000002705</v>
      </c>
      <c r="B1979" s="22">
        <v>46154</v>
      </c>
      <c r="C1979" s="20">
        <v>4008330.08</v>
      </c>
      <c r="D1979" s="21" t="s">
        <v>1724</v>
      </c>
      <c r="E1979" s="21">
        <v>91003123</v>
      </c>
      <c r="F1979" s="20">
        <v>4008330.08</v>
      </c>
      <c r="G1979" s="22">
        <v>46157</v>
      </c>
      <c r="H1979" t="s">
        <v>79</v>
      </c>
      <c r="I1979" s="51" t="str">
        <f>IFERROR(IF(VLOOKUP(E1979,extracto!C:C,1,FALSE)=E1979,"pagado","no pagado"),"no pagado")</f>
        <v>pagado</v>
      </c>
      <c r="J1979" s="52" t="str">
        <f t="shared" si="810"/>
        <v>pagado</v>
      </c>
      <c r="K1979" s="51" t="str">
        <f t="shared" ca="1" si="811"/>
        <v>excluir</v>
      </c>
      <c r="L1979" s="51" t="str">
        <f t="shared" ca="1" si="812"/>
        <v>no semana</v>
      </c>
      <c r="M1979" s="51" t="str">
        <f>IFERROR(VLOOKUP(E1979,'cheques a conf'!A:D,4,FALSE),"no clearing")</f>
        <v>no clearing</v>
      </c>
      <c r="N1979" s="51">
        <f t="shared" si="813"/>
        <v>20</v>
      </c>
      <c r="O1979" s="53">
        <f t="shared" si="814"/>
        <v>5</v>
      </c>
      <c r="P1979" s="53">
        <f t="shared" si="815"/>
        <v>2026</v>
      </c>
    </row>
    <row r="1980" spans="1:16" x14ac:dyDescent="0.25">
      <c r="A1980" s="21">
        <v>3000002706</v>
      </c>
      <c r="B1980" s="22">
        <v>46154</v>
      </c>
      <c r="C1980" s="20">
        <v>5379268.9400000004</v>
      </c>
      <c r="D1980" s="21" t="s">
        <v>690</v>
      </c>
      <c r="E1980" s="21">
        <v>91003124</v>
      </c>
      <c r="F1980" s="20">
        <v>5379268.9400000004</v>
      </c>
      <c r="G1980" s="22">
        <v>46157</v>
      </c>
      <c r="H1980" t="s">
        <v>79</v>
      </c>
      <c r="I1980" s="51" t="str">
        <f>IFERROR(IF(VLOOKUP(E1980,extracto!C:C,1,FALSE)=E1980,"pagado","no pagado"),"no pagado")</f>
        <v>pagado</v>
      </c>
      <c r="J1980" s="52" t="str">
        <f t="shared" si="810"/>
        <v>pagado</v>
      </c>
      <c r="K1980" s="51" t="str">
        <f t="shared" ca="1" si="811"/>
        <v>excluir</v>
      </c>
      <c r="L1980" s="51" t="str">
        <f t="shared" ca="1" si="812"/>
        <v>no semana</v>
      </c>
      <c r="M1980" s="51" t="str">
        <f>IFERROR(VLOOKUP(E1980,'cheques a conf'!A:D,4,FALSE),"no clearing")</f>
        <v>no clearing</v>
      </c>
      <c r="N1980" s="51">
        <f t="shared" si="813"/>
        <v>20</v>
      </c>
      <c r="O1980" s="53">
        <f t="shared" si="814"/>
        <v>5</v>
      </c>
      <c r="P1980" s="53">
        <f t="shared" si="815"/>
        <v>2026</v>
      </c>
    </row>
    <row r="1981" spans="1:16" x14ac:dyDescent="0.25">
      <c r="A1981" s="21">
        <v>3000002707</v>
      </c>
      <c r="B1981" s="22">
        <v>46154</v>
      </c>
      <c r="C1981" s="20">
        <v>7378084.8099999996</v>
      </c>
      <c r="D1981" s="21" t="s">
        <v>708</v>
      </c>
      <c r="E1981" s="21">
        <v>91003125</v>
      </c>
      <c r="F1981" s="20">
        <v>7378084.8099999996</v>
      </c>
      <c r="G1981" s="22">
        <v>46157</v>
      </c>
      <c r="H1981" t="s">
        <v>79</v>
      </c>
      <c r="I1981" s="51" t="str">
        <f>IFERROR(IF(VLOOKUP(E1981,extracto!C:C,1,FALSE)=E1981,"pagado","no pagado"),"no pagado")</f>
        <v>pagado</v>
      </c>
      <c r="J1981" s="52" t="str">
        <f t="shared" si="810"/>
        <v>pagado</v>
      </c>
      <c r="K1981" s="51" t="str">
        <f t="shared" ca="1" si="811"/>
        <v>excluir</v>
      </c>
      <c r="L1981" s="51" t="str">
        <f t="shared" ca="1" si="812"/>
        <v>no semana</v>
      </c>
      <c r="M1981" s="51" t="str">
        <f>IFERROR(VLOOKUP(E1981,'cheques a conf'!A:D,4,FALSE),"no clearing")</f>
        <v>no clearing</v>
      </c>
      <c r="N1981" s="51">
        <f t="shared" si="813"/>
        <v>20</v>
      </c>
      <c r="O1981" s="53">
        <f t="shared" si="814"/>
        <v>5</v>
      </c>
      <c r="P1981" s="53">
        <f t="shared" si="815"/>
        <v>2026</v>
      </c>
    </row>
    <row r="1982" spans="1:16" x14ac:dyDescent="0.25">
      <c r="A1982" s="21">
        <v>3000002708</v>
      </c>
      <c r="B1982" s="22">
        <v>46154</v>
      </c>
      <c r="C1982" s="20">
        <v>4364576.5999999996</v>
      </c>
      <c r="D1982" s="21" t="s">
        <v>776</v>
      </c>
      <c r="E1982" s="21">
        <v>91003126</v>
      </c>
      <c r="F1982" s="20">
        <v>4364576.5999999996</v>
      </c>
      <c r="G1982" s="22">
        <v>46157</v>
      </c>
      <c r="H1982" t="s">
        <v>79</v>
      </c>
      <c r="I1982" s="51" t="str">
        <f>IFERROR(IF(VLOOKUP(E1982,extracto!C:C,1,FALSE)=E1982,"pagado","no pagado"),"no pagado")</f>
        <v>no pagado</v>
      </c>
      <c r="J1982" s="52" t="str">
        <f t="shared" ca="1" si="810"/>
        <v>fuera de fecha</v>
      </c>
      <c r="K1982" s="51" t="str">
        <f t="shared" ca="1" si="811"/>
        <v>excluir</v>
      </c>
      <c r="L1982" s="51" t="str">
        <f t="shared" ca="1" si="812"/>
        <v>no semana</v>
      </c>
      <c r="M1982" s="51" t="str">
        <f>IFERROR(VLOOKUP(E1982,'cheques a conf'!A:D,4,FALSE),"no clearing")</f>
        <v>no clearing</v>
      </c>
      <c r="N1982" s="51">
        <f t="shared" si="813"/>
        <v>20</v>
      </c>
      <c r="O1982" s="53">
        <f t="shared" si="814"/>
        <v>5</v>
      </c>
      <c r="P1982" s="53">
        <f t="shared" si="815"/>
        <v>2026</v>
      </c>
    </row>
    <row r="1983" spans="1:16" x14ac:dyDescent="0.25">
      <c r="A1983" s="21">
        <v>3000002741</v>
      </c>
      <c r="B1983" s="22">
        <v>46155</v>
      </c>
      <c r="C1983" s="20">
        <v>1247830.69</v>
      </c>
      <c r="D1983" s="21" t="s">
        <v>1725</v>
      </c>
      <c r="E1983" s="21">
        <v>61301840</v>
      </c>
      <c r="F1983" s="20">
        <v>1247830.69</v>
      </c>
      <c r="G1983" s="22">
        <v>46160</v>
      </c>
      <c r="H1983" t="s">
        <v>79</v>
      </c>
      <c r="I1983" s="51" t="str">
        <f>IFERROR(IF(VLOOKUP(E1983,extracto!C:C,1,FALSE)=E1983,"pagado","no pagado"),"no pagado")</f>
        <v>pagado</v>
      </c>
      <c r="J1983" s="52" t="str">
        <f t="shared" ref="J1983:J1984" si="816">IF(I1983="pagado","pagado",IF(G1983&lt;$V$1-30,"fuera de fecha","en periodo de pago"))</f>
        <v>pagado</v>
      </c>
      <c r="K1983" s="51" t="str">
        <f t="shared" ref="K1983:K1984" ca="1" si="817">+IF(B1983&gt;$V$1,"excluir",IF(J1983="en periodo de pago",IF($V$1&gt;G1983,"a pagar","proximo a vencer"),"excluir"))</f>
        <v>excluir</v>
      </c>
      <c r="L1983" s="51" t="str">
        <f t="shared" ref="L1983:L1984" ca="1" si="818">+IF(K1983="proximo a vencer",IF($V$1+5&gt;G1983,"para la semana","no semana"),"no semana")</f>
        <v>no semana</v>
      </c>
      <c r="M1983" s="51" t="str">
        <f>IFERROR(VLOOKUP(E1983,'cheques a conf'!A:D,4,FALSE),"no clearing")</f>
        <v>no clearing</v>
      </c>
      <c r="N1983" s="51">
        <f t="shared" ref="N1983:N1984" si="819">+WEEKNUM(G1983,2)</f>
        <v>21</v>
      </c>
      <c r="O1983" s="53">
        <f t="shared" ref="O1983:O1984" si="820">+MONTH(G1983)</f>
        <v>5</v>
      </c>
      <c r="P1983" s="53">
        <f t="shared" ref="P1983:P1984" si="821">+YEAR(G1983)</f>
        <v>2026</v>
      </c>
    </row>
    <row r="1984" spans="1:16" x14ac:dyDescent="0.25">
      <c r="A1984" s="21">
        <v>3000002756</v>
      </c>
      <c r="B1984" s="22">
        <v>46156</v>
      </c>
      <c r="C1984" s="20">
        <v>4198284.25</v>
      </c>
      <c r="D1984" s="21" t="s">
        <v>583</v>
      </c>
      <c r="E1984" s="21">
        <v>61301841</v>
      </c>
      <c r="F1984" s="20">
        <v>4198284.25</v>
      </c>
      <c r="G1984" s="22">
        <v>46160</v>
      </c>
      <c r="H1984" t="s">
        <v>79</v>
      </c>
      <c r="I1984" s="51" t="str">
        <f>IFERROR(IF(VLOOKUP(E1984,extracto!C:C,1,FALSE)=E1984,"pagado","no pagado"),"no pagado")</f>
        <v>pagado</v>
      </c>
      <c r="J1984" s="52" t="str">
        <f t="shared" si="816"/>
        <v>pagado</v>
      </c>
      <c r="K1984" s="51" t="str">
        <f t="shared" ca="1" si="817"/>
        <v>excluir</v>
      </c>
      <c r="L1984" s="51" t="str">
        <f t="shared" ca="1" si="818"/>
        <v>no semana</v>
      </c>
      <c r="M1984" s="51" t="str">
        <f>IFERROR(VLOOKUP(E1984,'cheques a conf'!A:D,4,FALSE),"no clearing")</f>
        <v>no clearing</v>
      </c>
      <c r="N1984" s="51">
        <f t="shared" si="819"/>
        <v>21</v>
      </c>
      <c r="O1984" s="53">
        <f t="shared" si="820"/>
        <v>5</v>
      </c>
      <c r="P1984" s="53">
        <f t="shared" si="821"/>
        <v>2026</v>
      </c>
    </row>
    <row r="1985" spans="1:16" x14ac:dyDescent="0.25">
      <c r="A1985" s="21">
        <v>3000002822</v>
      </c>
      <c r="B1985" s="22">
        <v>46160</v>
      </c>
      <c r="C1985" s="20">
        <v>46676000</v>
      </c>
      <c r="D1985" s="21" t="s">
        <v>25</v>
      </c>
      <c r="E1985" s="21">
        <v>95780902</v>
      </c>
      <c r="F1985" s="20">
        <v>46676000</v>
      </c>
      <c r="G1985" s="22">
        <v>46161</v>
      </c>
      <c r="H1985" t="s">
        <v>79</v>
      </c>
      <c r="I1985" s="51" t="str">
        <f>IFERROR(IF(VLOOKUP(E1985,extracto!C:C,1,FALSE)=E1985,"pagado","no pagado"),"no pagado")</f>
        <v>pagado</v>
      </c>
      <c r="J1985" s="52" t="str">
        <f t="shared" ref="J1985:J2007" si="822">IF(I1985="pagado","pagado",IF(G1985&lt;$V$1-30,"fuera de fecha","en periodo de pago"))</f>
        <v>pagado</v>
      </c>
      <c r="K1985" s="51" t="str">
        <f t="shared" ref="K1985:K2007" ca="1" si="823">+IF(B1985&gt;$V$1,"excluir",IF(J1985="en periodo de pago",IF($V$1&gt;G1985,"a pagar","proximo a vencer"),"excluir"))</f>
        <v>excluir</v>
      </c>
      <c r="L1985" s="51" t="str">
        <f t="shared" ref="L1985:L2007" ca="1" si="824">+IF(K1985="proximo a vencer",IF($V$1+5&gt;G1985,"para la semana","no semana"),"no semana")</f>
        <v>no semana</v>
      </c>
      <c r="M1985" s="51" t="str">
        <f>IFERROR(VLOOKUP(E1985,'cheques a conf'!A:D,4,FALSE),"no clearing")</f>
        <v>no clearing</v>
      </c>
      <c r="N1985" s="51">
        <f t="shared" ref="N1985:N2007" si="825">+WEEKNUM(G1985,2)</f>
        <v>21</v>
      </c>
      <c r="O1985" s="53">
        <f t="shared" ref="O1985:O2007" si="826">+MONTH(G1985)</f>
        <v>5</v>
      </c>
      <c r="P1985" s="53">
        <f t="shared" ref="P1985:P2007" si="827">+YEAR(G1985)</f>
        <v>2026</v>
      </c>
    </row>
    <row r="1986" spans="1:16" x14ac:dyDescent="0.25">
      <c r="A1986" s="21">
        <v>3000002845</v>
      </c>
      <c r="B1986" s="22">
        <v>46160</v>
      </c>
      <c r="C1986" s="20">
        <v>4769627.3899999997</v>
      </c>
      <c r="D1986" s="21" t="s">
        <v>702</v>
      </c>
      <c r="E1986" s="21">
        <v>91003129</v>
      </c>
      <c r="F1986" s="20">
        <v>4769627.3899999997</v>
      </c>
      <c r="G1986" s="22">
        <v>46162</v>
      </c>
      <c r="H1986" t="s">
        <v>79</v>
      </c>
      <c r="I1986" s="51" t="str">
        <f>IFERROR(IF(VLOOKUP(E1986,extracto!C:C,1,FALSE)=E1986,"pagado","no pagado"),"no pagado")</f>
        <v>pagado</v>
      </c>
      <c r="J1986" s="52" t="str">
        <f t="shared" si="822"/>
        <v>pagado</v>
      </c>
      <c r="K1986" s="51" t="str">
        <f t="shared" ca="1" si="823"/>
        <v>excluir</v>
      </c>
      <c r="L1986" s="51" t="str">
        <f t="shared" ca="1" si="824"/>
        <v>no semana</v>
      </c>
      <c r="M1986" s="51" t="str">
        <f>IFERROR(VLOOKUP(E1986,'cheques a conf'!A:D,4,FALSE),"no clearing")</f>
        <v>no clearing</v>
      </c>
      <c r="N1986" s="51">
        <f t="shared" si="825"/>
        <v>21</v>
      </c>
      <c r="O1986" s="53">
        <f t="shared" si="826"/>
        <v>5</v>
      </c>
      <c r="P1986" s="53">
        <f t="shared" si="827"/>
        <v>2026</v>
      </c>
    </row>
    <row r="1987" spans="1:16" x14ac:dyDescent="0.25">
      <c r="A1987" s="21">
        <v>3000002846</v>
      </c>
      <c r="B1987" s="22">
        <v>46160</v>
      </c>
      <c r="C1987" s="20">
        <v>7149291.6600000001</v>
      </c>
      <c r="D1987" s="21" t="s">
        <v>672</v>
      </c>
      <c r="E1987" s="21">
        <v>91003130</v>
      </c>
      <c r="F1987" s="20">
        <v>7149291.6600000001</v>
      </c>
      <c r="G1987" s="22">
        <v>46162</v>
      </c>
      <c r="H1987" t="s">
        <v>79</v>
      </c>
      <c r="I1987" s="51" t="str">
        <f>IFERROR(IF(VLOOKUP(E1987,extracto!C:C,1,FALSE)=E1987,"pagado","no pagado"),"no pagado")</f>
        <v>pagado</v>
      </c>
      <c r="J1987" s="52" t="str">
        <f t="shared" si="822"/>
        <v>pagado</v>
      </c>
      <c r="K1987" s="51" t="str">
        <f t="shared" ca="1" si="823"/>
        <v>excluir</v>
      </c>
      <c r="L1987" s="51" t="str">
        <f t="shared" ca="1" si="824"/>
        <v>no semana</v>
      </c>
      <c r="M1987" s="51" t="str">
        <f>IFERROR(VLOOKUP(E1987,'cheques a conf'!A:D,4,FALSE),"no clearing")</f>
        <v>no clearing</v>
      </c>
      <c r="N1987" s="51">
        <f t="shared" si="825"/>
        <v>21</v>
      </c>
      <c r="O1987" s="53">
        <f t="shared" si="826"/>
        <v>5</v>
      </c>
      <c r="P1987" s="53">
        <f t="shared" si="827"/>
        <v>2026</v>
      </c>
    </row>
    <row r="1988" spans="1:16" x14ac:dyDescent="0.25">
      <c r="A1988" s="21">
        <v>3000002847</v>
      </c>
      <c r="B1988" s="22">
        <v>46160</v>
      </c>
      <c r="C1988" s="20">
        <v>18628195.239999998</v>
      </c>
      <c r="D1988" s="21" t="s">
        <v>1722</v>
      </c>
      <c r="E1988" s="21">
        <v>91003131</v>
      </c>
      <c r="F1988" s="20">
        <v>18628195.239999998</v>
      </c>
      <c r="G1988" s="22">
        <v>46162</v>
      </c>
      <c r="H1988" t="s">
        <v>79</v>
      </c>
      <c r="I1988" s="51" t="str">
        <f>IFERROR(IF(VLOOKUP(E1988,extracto!C:C,1,FALSE)=E1988,"pagado","no pagado"),"no pagado")</f>
        <v>pagado</v>
      </c>
      <c r="J1988" s="52" t="str">
        <f t="shared" si="822"/>
        <v>pagado</v>
      </c>
      <c r="K1988" s="51" t="str">
        <f t="shared" ca="1" si="823"/>
        <v>excluir</v>
      </c>
      <c r="L1988" s="51" t="str">
        <f t="shared" ca="1" si="824"/>
        <v>no semana</v>
      </c>
      <c r="M1988" s="51" t="str">
        <f>IFERROR(VLOOKUP(E1988,'cheques a conf'!A:D,4,FALSE),"no clearing")</f>
        <v>no clearing</v>
      </c>
      <c r="N1988" s="51">
        <f t="shared" si="825"/>
        <v>21</v>
      </c>
      <c r="O1988" s="53">
        <f t="shared" si="826"/>
        <v>5</v>
      </c>
      <c r="P1988" s="53">
        <f t="shared" si="827"/>
        <v>2026</v>
      </c>
    </row>
    <row r="1989" spans="1:16" x14ac:dyDescent="0.25">
      <c r="A1989" s="21">
        <v>3000002848</v>
      </c>
      <c r="B1989" s="22">
        <v>46160</v>
      </c>
      <c r="C1989" s="20">
        <v>9736155</v>
      </c>
      <c r="D1989" s="21" t="s">
        <v>39</v>
      </c>
      <c r="E1989" s="21">
        <v>91003132</v>
      </c>
      <c r="F1989" s="20">
        <v>9736155</v>
      </c>
      <c r="G1989" s="22">
        <v>46162</v>
      </c>
      <c r="H1989" t="s">
        <v>79</v>
      </c>
      <c r="I1989" s="51" t="str">
        <f>IFERROR(IF(VLOOKUP(E1989,extracto!C:C,1,FALSE)=E1989,"pagado","no pagado"),"no pagado")</f>
        <v>pagado</v>
      </c>
      <c r="J1989" s="52" t="str">
        <f t="shared" si="822"/>
        <v>pagado</v>
      </c>
      <c r="K1989" s="51" t="str">
        <f t="shared" ca="1" si="823"/>
        <v>excluir</v>
      </c>
      <c r="L1989" s="51" t="str">
        <f t="shared" ca="1" si="824"/>
        <v>no semana</v>
      </c>
      <c r="M1989" s="51" t="str">
        <f>IFERROR(VLOOKUP(E1989,'cheques a conf'!A:D,4,FALSE),"no clearing")</f>
        <v>no clearing</v>
      </c>
      <c r="N1989" s="51">
        <f t="shared" si="825"/>
        <v>21</v>
      </c>
      <c r="O1989" s="53">
        <f t="shared" si="826"/>
        <v>5</v>
      </c>
      <c r="P1989" s="53">
        <f t="shared" si="827"/>
        <v>2026</v>
      </c>
    </row>
    <row r="1990" spans="1:16" x14ac:dyDescent="0.25">
      <c r="A1990" s="21">
        <v>3000002849</v>
      </c>
      <c r="B1990" s="22">
        <v>46160</v>
      </c>
      <c r="C1990" s="20">
        <v>4241481.58</v>
      </c>
      <c r="D1990" s="21" t="s">
        <v>578</v>
      </c>
      <c r="E1990" s="21">
        <v>91003133</v>
      </c>
      <c r="F1990" s="20">
        <v>4241481.58</v>
      </c>
      <c r="G1990" s="22">
        <v>46162</v>
      </c>
      <c r="H1990" t="s">
        <v>79</v>
      </c>
      <c r="I1990" s="51" t="str">
        <f>IFERROR(IF(VLOOKUP(E1990,extracto!C:C,1,FALSE)=E1990,"pagado","no pagado"),"no pagado")</f>
        <v>pagado</v>
      </c>
      <c r="J1990" s="52" t="str">
        <f t="shared" si="822"/>
        <v>pagado</v>
      </c>
      <c r="K1990" s="51" t="str">
        <f t="shared" ca="1" si="823"/>
        <v>excluir</v>
      </c>
      <c r="L1990" s="51" t="str">
        <f t="shared" ca="1" si="824"/>
        <v>no semana</v>
      </c>
      <c r="M1990" s="51" t="str">
        <f>IFERROR(VLOOKUP(E1990,'cheques a conf'!A:D,4,FALSE),"no clearing")</f>
        <v>no clearing</v>
      </c>
      <c r="N1990" s="51">
        <f t="shared" si="825"/>
        <v>21</v>
      </c>
      <c r="O1990" s="53">
        <f t="shared" si="826"/>
        <v>5</v>
      </c>
      <c r="P1990" s="53">
        <f t="shared" si="827"/>
        <v>2026</v>
      </c>
    </row>
    <row r="1991" spans="1:16" x14ac:dyDescent="0.25">
      <c r="A1991" s="21">
        <v>3000002850</v>
      </c>
      <c r="B1991" s="22">
        <v>46160</v>
      </c>
      <c r="C1991" s="20">
        <v>5264764.26</v>
      </c>
      <c r="D1991" s="21" t="s">
        <v>723</v>
      </c>
      <c r="E1991" s="21">
        <v>91003134</v>
      </c>
      <c r="F1991" s="20">
        <v>5264764.26</v>
      </c>
      <c r="G1991" s="22">
        <v>46162</v>
      </c>
      <c r="H1991" t="s">
        <v>79</v>
      </c>
      <c r="I1991" s="51" t="str">
        <f>IFERROR(IF(VLOOKUP(E1991,extracto!C:C,1,FALSE)=E1991,"pagado","no pagado"),"no pagado")</f>
        <v>pagado</v>
      </c>
      <c r="J1991" s="52" t="str">
        <f t="shared" si="822"/>
        <v>pagado</v>
      </c>
      <c r="K1991" s="51" t="str">
        <f t="shared" ca="1" si="823"/>
        <v>excluir</v>
      </c>
      <c r="L1991" s="51" t="str">
        <f t="shared" ca="1" si="824"/>
        <v>no semana</v>
      </c>
      <c r="M1991" s="51" t="str">
        <f>IFERROR(VLOOKUP(E1991,'cheques a conf'!A:D,4,FALSE),"no clearing")</f>
        <v>no clearing</v>
      </c>
      <c r="N1991" s="51">
        <f t="shared" si="825"/>
        <v>21</v>
      </c>
      <c r="O1991" s="53">
        <f t="shared" si="826"/>
        <v>5</v>
      </c>
      <c r="P1991" s="53">
        <f t="shared" si="827"/>
        <v>2026</v>
      </c>
    </row>
    <row r="1992" spans="1:16" x14ac:dyDescent="0.25">
      <c r="A1992" s="21">
        <v>3000002851</v>
      </c>
      <c r="B1992" s="22">
        <v>46160</v>
      </c>
      <c r="C1992" s="20">
        <v>6545153.4000000004</v>
      </c>
      <c r="D1992" s="21" t="s">
        <v>444</v>
      </c>
      <c r="E1992" s="21">
        <v>91003135</v>
      </c>
      <c r="F1992" s="20">
        <v>6545153.4000000004</v>
      </c>
      <c r="G1992" s="22">
        <v>46162</v>
      </c>
      <c r="H1992" t="s">
        <v>79</v>
      </c>
      <c r="I1992" s="51" t="str">
        <f>IFERROR(IF(VLOOKUP(E1992,extracto!C:C,1,FALSE)=E1992,"pagado","no pagado"),"no pagado")</f>
        <v>pagado</v>
      </c>
      <c r="J1992" s="52" t="str">
        <f t="shared" si="822"/>
        <v>pagado</v>
      </c>
      <c r="K1992" s="51" t="str">
        <f t="shared" ca="1" si="823"/>
        <v>excluir</v>
      </c>
      <c r="L1992" s="51" t="str">
        <f t="shared" ca="1" si="824"/>
        <v>no semana</v>
      </c>
      <c r="M1992" s="51" t="str">
        <f>IFERROR(VLOOKUP(E1992,'cheques a conf'!A:D,4,FALSE),"no clearing")</f>
        <v>no clearing</v>
      </c>
      <c r="N1992" s="51">
        <f t="shared" si="825"/>
        <v>21</v>
      </c>
      <c r="O1992" s="53">
        <f t="shared" si="826"/>
        <v>5</v>
      </c>
      <c r="P1992" s="53">
        <f t="shared" si="827"/>
        <v>2026</v>
      </c>
    </row>
    <row r="1993" spans="1:16" x14ac:dyDescent="0.25">
      <c r="A1993" s="21">
        <v>3000002852</v>
      </c>
      <c r="B1993" s="22">
        <v>46160</v>
      </c>
      <c r="C1993" s="20">
        <v>5306090</v>
      </c>
      <c r="D1993" s="21" t="s">
        <v>1726</v>
      </c>
      <c r="E1993" s="21">
        <v>91003136</v>
      </c>
      <c r="F1993" s="20">
        <v>5306090</v>
      </c>
      <c r="G1993" s="22">
        <v>46162</v>
      </c>
      <c r="H1993" t="s">
        <v>79</v>
      </c>
      <c r="I1993" s="51" t="str">
        <f>IFERROR(IF(VLOOKUP(E1993,extracto!C:C,1,FALSE)=E1993,"pagado","no pagado"),"no pagado")</f>
        <v>pagado</v>
      </c>
      <c r="J1993" s="52" t="str">
        <f t="shared" si="822"/>
        <v>pagado</v>
      </c>
      <c r="K1993" s="51" t="str">
        <f t="shared" ca="1" si="823"/>
        <v>excluir</v>
      </c>
      <c r="L1993" s="51" t="str">
        <f t="shared" ca="1" si="824"/>
        <v>no semana</v>
      </c>
      <c r="M1993" s="51" t="str">
        <f>IFERROR(VLOOKUP(E1993,'cheques a conf'!A:D,4,FALSE),"no clearing")</f>
        <v>no clearing</v>
      </c>
      <c r="N1993" s="51">
        <f t="shared" si="825"/>
        <v>21</v>
      </c>
      <c r="O1993" s="53">
        <f t="shared" si="826"/>
        <v>5</v>
      </c>
      <c r="P1993" s="53">
        <f t="shared" si="827"/>
        <v>2026</v>
      </c>
    </row>
    <row r="1994" spans="1:16" x14ac:dyDescent="0.25">
      <c r="A1994" s="21">
        <v>3000002853</v>
      </c>
      <c r="B1994" s="22">
        <v>46160</v>
      </c>
      <c r="C1994" s="20">
        <v>16786994</v>
      </c>
      <c r="D1994" s="21" t="s">
        <v>766</v>
      </c>
      <c r="E1994" s="21">
        <v>91003137</v>
      </c>
      <c r="F1994" s="20">
        <v>16786994</v>
      </c>
      <c r="G1994" s="22">
        <v>46162</v>
      </c>
      <c r="H1994" t="s">
        <v>79</v>
      </c>
      <c r="I1994" s="51" t="str">
        <f>IFERROR(IF(VLOOKUP(E1994,extracto!C:C,1,FALSE)=E1994,"pagado","no pagado"),"no pagado")</f>
        <v>pagado</v>
      </c>
      <c r="J1994" s="52" t="str">
        <f t="shared" si="822"/>
        <v>pagado</v>
      </c>
      <c r="K1994" s="51" t="str">
        <f t="shared" ca="1" si="823"/>
        <v>excluir</v>
      </c>
      <c r="L1994" s="51" t="str">
        <f t="shared" ca="1" si="824"/>
        <v>no semana</v>
      </c>
      <c r="M1994" s="51" t="str">
        <f>IFERROR(VLOOKUP(E1994,'cheques a conf'!A:D,4,FALSE),"no clearing")</f>
        <v>no clearing</v>
      </c>
      <c r="N1994" s="51">
        <f t="shared" si="825"/>
        <v>21</v>
      </c>
      <c r="O1994" s="53">
        <f t="shared" si="826"/>
        <v>5</v>
      </c>
      <c r="P1994" s="53">
        <f t="shared" si="827"/>
        <v>2026</v>
      </c>
    </row>
    <row r="1995" spans="1:16" x14ac:dyDescent="0.25">
      <c r="A1995" s="21">
        <v>3000002854</v>
      </c>
      <c r="B1995" s="22">
        <v>46160</v>
      </c>
      <c r="C1995" s="20">
        <v>5181585.09</v>
      </c>
      <c r="D1995" s="21" t="s">
        <v>1727</v>
      </c>
      <c r="E1995" s="21">
        <v>91003138</v>
      </c>
      <c r="F1995" s="20">
        <v>5181585.09</v>
      </c>
      <c r="G1995" s="22">
        <v>46162</v>
      </c>
      <c r="H1995" t="s">
        <v>79</v>
      </c>
      <c r="I1995" s="51" t="str">
        <f>IFERROR(IF(VLOOKUP(E1995,extracto!C:C,1,FALSE)=E1995,"pagado","no pagado"),"no pagado")</f>
        <v>pagado</v>
      </c>
      <c r="J1995" s="52" t="str">
        <f t="shared" si="822"/>
        <v>pagado</v>
      </c>
      <c r="K1995" s="51" t="str">
        <f t="shared" ca="1" si="823"/>
        <v>excluir</v>
      </c>
      <c r="L1995" s="51" t="str">
        <f t="shared" ca="1" si="824"/>
        <v>no semana</v>
      </c>
      <c r="M1995" s="51" t="str">
        <f>IFERROR(VLOOKUP(E1995,'cheques a conf'!A:D,4,FALSE),"no clearing")</f>
        <v>no clearing</v>
      </c>
      <c r="N1995" s="51">
        <f t="shared" si="825"/>
        <v>21</v>
      </c>
      <c r="O1995" s="53">
        <f t="shared" si="826"/>
        <v>5</v>
      </c>
      <c r="P1995" s="53">
        <f t="shared" si="827"/>
        <v>2026</v>
      </c>
    </row>
    <row r="1996" spans="1:16" x14ac:dyDescent="0.25">
      <c r="A1996" s="21">
        <v>3000002855</v>
      </c>
      <c r="B1996" s="22">
        <v>46160</v>
      </c>
      <c r="C1996" s="20">
        <v>6513032.8300000001</v>
      </c>
      <c r="D1996" s="21" t="s">
        <v>1728</v>
      </c>
      <c r="E1996" s="21">
        <v>91003139</v>
      </c>
      <c r="F1996" s="20">
        <v>6513032.8300000001</v>
      </c>
      <c r="G1996" s="22">
        <v>46162</v>
      </c>
      <c r="H1996" t="s">
        <v>79</v>
      </c>
      <c r="I1996" s="51" t="str">
        <f>IFERROR(IF(VLOOKUP(E1996,extracto!C:C,1,FALSE)=E1996,"pagado","no pagado"),"no pagado")</f>
        <v>pagado</v>
      </c>
      <c r="J1996" s="52" t="str">
        <f t="shared" si="822"/>
        <v>pagado</v>
      </c>
      <c r="K1996" s="51" t="str">
        <f t="shared" ca="1" si="823"/>
        <v>excluir</v>
      </c>
      <c r="L1996" s="51" t="str">
        <f t="shared" ca="1" si="824"/>
        <v>no semana</v>
      </c>
      <c r="M1996" s="51" t="str">
        <f>IFERROR(VLOOKUP(E1996,'cheques a conf'!A:D,4,FALSE),"no clearing")</f>
        <v>no clearing</v>
      </c>
      <c r="N1996" s="51">
        <f t="shared" si="825"/>
        <v>21</v>
      </c>
      <c r="O1996" s="53">
        <f t="shared" si="826"/>
        <v>5</v>
      </c>
      <c r="P1996" s="53">
        <f t="shared" si="827"/>
        <v>2026</v>
      </c>
    </row>
    <row r="1997" spans="1:16" x14ac:dyDescent="0.25">
      <c r="A1997" s="21">
        <v>3000002856</v>
      </c>
      <c r="B1997" s="22">
        <v>46160</v>
      </c>
      <c r="C1997" s="20">
        <v>2925000</v>
      </c>
      <c r="D1997" s="21" t="s">
        <v>1729</v>
      </c>
      <c r="E1997" s="21">
        <v>91003140</v>
      </c>
      <c r="F1997" s="20">
        <v>2925000</v>
      </c>
      <c r="G1997" s="22">
        <v>46162</v>
      </c>
      <c r="H1997" t="s">
        <v>79</v>
      </c>
      <c r="I1997" s="51" t="str">
        <f>IFERROR(IF(VLOOKUP(E1997,extracto!C:C,1,FALSE)=E1997,"pagado","no pagado"),"no pagado")</f>
        <v>pagado</v>
      </c>
      <c r="J1997" s="52" t="str">
        <f t="shared" si="822"/>
        <v>pagado</v>
      </c>
      <c r="K1997" s="51" t="str">
        <f t="shared" ca="1" si="823"/>
        <v>excluir</v>
      </c>
      <c r="L1997" s="51" t="str">
        <f t="shared" ca="1" si="824"/>
        <v>no semana</v>
      </c>
      <c r="M1997" s="51" t="str">
        <f>IFERROR(VLOOKUP(E1997,'cheques a conf'!A:D,4,FALSE),"no clearing")</f>
        <v>no clearing</v>
      </c>
      <c r="N1997" s="51">
        <f t="shared" si="825"/>
        <v>21</v>
      </c>
      <c r="O1997" s="53">
        <f t="shared" si="826"/>
        <v>5</v>
      </c>
      <c r="P1997" s="53">
        <f t="shared" si="827"/>
        <v>2026</v>
      </c>
    </row>
    <row r="1998" spans="1:16" x14ac:dyDescent="0.25">
      <c r="A1998" s="21">
        <v>3000002887</v>
      </c>
      <c r="B1998" s="22">
        <v>46161</v>
      </c>
      <c r="C1998" s="20">
        <v>20000000</v>
      </c>
      <c r="D1998" s="21" t="s">
        <v>661</v>
      </c>
      <c r="E1998" s="21">
        <v>91003149</v>
      </c>
      <c r="F1998" s="20">
        <v>20000000</v>
      </c>
      <c r="G1998" s="22">
        <v>46163</v>
      </c>
      <c r="H1998" t="s">
        <v>79</v>
      </c>
      <c r="I1998" s="51" t="str">
        <f>IFERROR(IF(VLOOKUP(E1998,extracto!C:C,1,FALSE)=E1998,"pagado","no pagado"),"no pagado")</f>
        <v>pagado</v>
      </c>
      <c r="J1998" s="52" t="str">
        <f t="shared" si="822"/>
        <v>pagado</v>
      </c>
      <c r="K1998" s="51" t="str">
        <f t="shared" ca="1" si="823"/>
        <v>excluir</v>
      </c>
      <c r="L1998" s="51" t="str">
        <f t="shared" ca="1" si="824"/>
        <v>no semana</v>
      </c>
      <c r="M1998" s="51" t="str">
        <f>IFERROR(VLOOKUP(E1998,'cheques a conf'!A:D,4,FALSE),"no clearing")</f>
        <v>no clearing</v>
      </c>
      <c r="N1998" s="51">
        <f t="shared" si="825"/>
        <v>21</v>
      </c>
      <c r="O1998" s="53">
        <f t="shared" si="826"/>
        <v>5</v>
      </c>
      <c r="P1998" s="53">
        <f t="shared" si="827"/>
        <v>2026</v>
      </c>
    </row>
    <row r="1999" spans="1:16" x14ac:dyDescent="0.25">
      <c r="A1999" s="21">
        <v>3000002887</v>
      </c>
      <c r="B1999" s="22">
        <v>46161</v>
      </c>
      <c r="C1999" s="20">
        <v>22364265.850000001</v>
      </c>
      <c r="D1999" s="21" t="s">
        <v>661</v>
      </c>
      <c r="E1999" s="21">
        <v>91003150</v>
      </c>
      <c r="F1999" s="20">
        <v>22364265.850000001</v>
      </c>
      <c r="G1999" s="22">
        <v>46164</v>
      </c>
      <c r="H1999" t="s">
        <v>79</v>
      </c>
      <c r="I1999" s="51" t="str">
        <f>IFERROR(IF(VLOOKUP(E1999,extracto!C:C,1,FALSE)=E1999,"pagado","no pagado"),"no pagado")</f>
        <v>pagado</v>
      </c>
      <c r="J1999" s="52" t="str">
        <f t="shared" si="822"/>
        <v>pagado</v>
      </c>
      <c r="K1999" s="51" t="str">
        <f t="shared" ca="1" si="823"/>
        <v>excluir</v>
      </c>
      <c r="L1999" s="51" t="str">
        <f t="shared" ca="1" si="824"/>
        <v>no semana</v>
      </c>
      <c r="M1999" s="51" t="str">
        <f>IFERROR(VLOOKUP(E1999,'cheques a conf'!A:D,4,FALSE),"no clearing")</f>
        <v>no clearing</v>
      </c>
      <c r="N1999" s="51">
        <f t="shared" si="825"/>
        <v>21</v>
      </c>
      <c r="O1999" s="53">
        <f t="shared" si="826"/>
        <v>5</v>
      </c>
      <c r="P1999" s="53">
        <f t="shared" si="827"/>
        <v>2026</v>
      </c>
    </row>
    <row r="2000" spans="1:16" x14ac:dyDescent="0.25">
      <c r="A2000" s="21">
        <v>3000002879</v>
      </c>
      <c r="B2000" s="22">
        <v>46161</v>
      </c>
      <c r="C2000" s="20">
        <v>6628458.7400000002</v>
      </c>
      <c r="D2000" s="21" t="s">
        <v>852</v>
      </c>
      <c r="E2000" s="21">
        <v>91003141</v>
      </c>
      <c r="F2000" s="20">
        <v>6628458.7400000002</v>
      </c>
      <c r="G2000" s="22">
        <v>46164</v>
      </c>
      <c r="H2000" t="s">
        <v>79</v>
      </c>
      <c r="I2000" s="51" t="str">
        <f>IFERROR(IF(VLOOKUP(E2000,extracto!C:C,1,FALSE)=E2000,"pagado","no pagado"),"no pagado")</f>
        <v>pagado</v>
      </c>
      <c r="J2000" s="52" t="str">
        <f t="shared" si="822"/>
        <v>pagado</v>
      </c>
      <c r="K2000" s="51" t="str">
        <f t="shared" ca="1" si="823"/>
        <v>excluir</v>
      </c>
      <c r="L2000" s="51" t="str">
        <f t="shared" ca="1" si="824"/>
        <v>no semana</v>
      </c>
      <c r="M2000" s="51" t="str">
        <f>IFERROR(VLOOKUP(E2000,'cheques a conf'!A:D,4,FALSE),"no clearing")</f>
        <v>no clearing</v>
      </c>
      <c r="N2000" s="51">
        <f t="shared" si="825"/>
        <v>21</v>
      </c>
      <c r="O2000" s="53">
        <f t="shared" si="826"/>
        <v>5</v>
      </c>
      <c r="P2000" s="53">
        <f t="shared" si="827"/>
        <v>2026</v>
      </c>
    </row>
    <row r="2001" spans="1:16" x14ac:dyDescent="0.25">
      <c r="A2001" s="21">
        <v>3000002880</v>
      </c>
      <c r="B2001" s="22">
        <v>46161</v>
      </c>
      <c r="C2001" s="20">
        <v>7728463.0499999998</v>
      </c>
      <c r="D2001" s="21" t="s">
        <v>1730</v>
      </c>
      <c r="E2001" s="21">
        <v>91003142</v>
      </c>
      <c r="F2001" s="20">
        <v>7728463.0499999998</v>
      </c>
      <c r="G2001" s="22">
        <v>46164</v>
      </c>
      <c r="H2001" t="s">
        <v>79</v>
      </c>
      <c r="I2001" s="51" t="str">
        <f>IFERROR(IF(VLOOKUP(E2001,extracto!C:C,1,FALSE)=E2001,"pagado","no pagado"),"no pagado")</f>
        <v>pagado</v>
      </c>
      <c r="J2001" s="52" t="str">
        <f t="shared" si="822"/>
        <v>pagado</v>
      </c>
      <c r="K2001" s="51" t="str">
        <f t="shared" ca="1" si="823"/>
        <v>excluir</v>
      </c>
      <c r="L2001" s="51" t="str">
        <f t="shared" ca="1" si="824"/>
        <v>no semana</v>
      </c>
      <c r="M2001" s="51" t="str">
        <f>IFERROR(VLOOKUP(E2001,'cheques a conf'!A:D,4,FALSE),"no clearing")</f>
        <v>no clearing</v>
      </c>
      <c r="N2001" s="51">
        <f t="shared" si="825"/>
        <v>21</v>
      </c>
      <c r="O2001" s="53">
        <f t="shared" si="826"/>
        <v>5</v>
      </c>
      <c r="P2001" s="53">
        <f t="shared" si="827"/>
        <v>2026</v>
      </c>
    </row>
    <row r="2002" spans="1:16" x14ac:dyDescent="0.25">
      <c r="A2002" s="21">
        <v>3000002881</v>
      </c>
      <c r="B2002" s="22">
        <v>46161</v>
      </c>
      <c r="C2002" s="20">
        <v>19642573.09</v>
      </c>
      <c r="D2002" s="21" t="s">
        <v>31</v>
      </c>
      <c r="E2002" s="21">
        <v>91003143</v>
      </c>
      <c r="F2002" s="20">
        <v>19642573.09</v>
      </c>
      <c r="G2002" s="22">
        <v>46164</v>
      </c>
      <c r="H2002" t="s">
        <v>79</v>
      </c>
      <c r="I2002" s="51" t="str">
        <f>IFERROR(IF(VLOOKUP(E2002,extracto!C:C,1,FALSE)=E2002,"pagado","no pagado"),"no pagado")</f>
        <v>pagado</v>
      </c>
      <c r="J2002" s="52" t="str">
        <f t="shared" si="822"/>
        <v>pagado</v>
      </c>
      <c r="K2002" s="51" t="str">
        <f t="shared" ca="1" si="823"/>
        <v>excluir</v>
      </c>
      <c r="L2002" s="51" t="str">
        <f t="shared" ca="1" si="824"/>
        <v>no semana</v>
      </c>
      <c r="M2002" s="51" t="str">
        <f>IFERROR(VLOOKUP(E2002,'cheques a conf'!A:D,4,FALSE),"no clearing")</f>
        <v>no clearing</v>
      </c>
      <c r="N2002" s="51">
        <f t="shared" si="825"/>
        <v>21</v>
      </c>
      <c r="O2002" s="53">
        <f t="shared" si="826"/>
        <v>5</v>
      </c>
      <c r="P2002" s="53">
        <f t="shared" si="827"/>
        <v>2026</v>
      </c>
    </row>
    <row r="2003" spans="1:16" x14ac:dyDescent="0.25">
      <c r="A2003" s="21">
        <v>3000002882</v>
      </c>
      <c r="B2003" s="22">
        <v>46161</v>
      </c>
      <c r="C2003" s="20">
        <v>31012217.920000002</v>
      </c>
      <c r="D2003" s="21" t="s">
        <v>761</v>
      </c>
      <c r="E2003" s="21">
        <v>91003144</v>
      </c>
      <c r="F2003" s="20">
        <v>31012217.920000002</v>
      </c>
      <c r="G2003" s="22">
        <v>46164</v>
      </c>
      <c r="H2003" t="s">
        <v>79</v>
      </c>
      <c r="I2003" s="51" t="str">
        <f>IFERROR(IF(VLOOKUP(E2003,extracto!C:C,1,FALSE)=E2003,"pagado","no pagado"),"no pagado")</f>
        <v>pagado</v>
      </c>
      <c r="J2003" s="52" t="str">
        <f t="shared" si="822"/>
        <v>pagado</v>
      </c>
      <c r="K2003" s="51" t="str">
        <f t="shared" ca="1" si="823"/>
        <v>excluir</v>
      </c>
      <c r="L2003" s="51" t="str">
        <f t="shared" ca="1" si="824"/>
        <v>no semana</v>
      </c>
      <c r="M2003" s="51" t="str">
        <f>IFERROR(VLOOKUP(E2003,'cheques a conf'!A:D,4,FALSE),"no clearing")</f>
        <v>no clearing</v>
      </c>
      <c r="N2003" s="51">
        <f t="shared" si="825"/>
        <v>21</v>
      </c>
      <c r="O2003" s="53">
        <f t="shared" si="826"/>
        <v>5</v>
      </c>
      <c r="P2003" s="53">
        <f t="shared" si="827"/>
        <v>2026</v>
      </c>
    </row>
    <row r="2004" spans="1:16" x14ac:dyDescent="0.25">
      <c r="A2004" s="21">
        <v>3000002883</v>
      </c>
      <c r="B2004" s="22">
        <v>46161</v>
      </c>
      <c r="C2004" s="20">
        <v>10396879.68</v>
      </c>
      <c r="D2004" s="21" t="s">
        <v>83</v>
      </c>
      <c r="E2004" s="21">
        <v>91003145</v>
      </c>
      <c r="F2004" s="20">
        <v>10396879.68</v>
      </c>
      <c r="G2004" s="22">
        <v>46164</v>
      </c>
      <c r="H2004" t="s">
        <v>79</v>
      </c>
      <c r="I2004" s="51" t="str">
        <f>IFERROR(IF(VLOOKUP(E2004,extracto!C:C,1,FALSE)=E2004,"pagado","no pagado"),"no pagado")</f>
        <v>pagado</v>
      </c>
      <c r="J2004" s="52" t="str">
        <f t="shared" si="822"/>
        <v>pagado</v>
      </c>
      <c r="K2004" s="51" t="str">
        <f t="shared" ca="1" si="823"/>
        <v>excluir</v>
      </c>
      <c r="L2004" s="51" t="str">
        <f t="shared" ca="1" si="824"/>
        <v>no semana</v>
      </c>
      <c r="M2004" s="51" t="str">
        <f>IFERROR(VLOOKUP(E2004,'cheques a conf'!A:D,4,FALSE),"no clearing")</f>
        <v>no clearing</v>
      </c>
      <c r="N2004" s="51">
        <f t="shared" si="825"/>
        <v>21</v>
      </c>
      <c r="O2004" s="53">
        <f t="shared" si="826"/>
        <v>5</v>
      </c>
      <c r="P2004" s="53">
        <f t="shared" si="827"/>
        <v>2026</v>
      </c>
    </row>
    <row r="2005" spans="1:16" x14ac:dyDescent="0.25">
      <c r="A2005" s="21">
        <v>3000002884</v>
      </c>
      <c r="B2005" s="22">
        <v>46161</v>
      </c>
      <c r="C2005" s="20">
        <v>5249785.18</v>
      </c>
      <c r="D2005" s="21" t="s">
        <v>623</v>
      </c>
      <c r="E2005" s="21">
        <v>91003146</v>
      </c>
      <c r="F2005" s="20">
        <v>5249785.18</v>
      </c>
      <c r="G2005" s="22">
        <v>46164</v>
      </c>
      <c r="H2005" t="s">
        <v>79</v>
      </c>
      <c r="I2005" s="51" t="str">
        <f>IFERROR(IF(VLOOKUP(E2005,extracto!C:C,1,FALSE)=E2005,"pagado","no pagado"),"no pagado")</f>
        <v>pagado</v>
      </c>
      <c r="J2005" s="52" t="str">
        <f t="shared" si="822"/>
        <v>pagado</v>
      </c>
      <c r="K2005" s="51" t="str">
        <f t="shared" ca="1" si="823"/>
        <v>excluir</v>
      </c>
      <c r="L2005" s="51" t="str">
        <f t="shared" ca="1" si="824"/>
        <v>no semana</v>
      </c>
      <c r="M2005" s="51" t="str">
        <f>IFERROR(VLOOKUP(E2005,'cheques a conf'!A:D,4,FALSE),"no clearing")</f>
        <v>no clearing</v>
      </c>
      <c r="N2005" s="51">
        <f t="shared" si="825"/>
        <v>21</v>
      </c>
      <c r="O2005" s="53">
        <f t="shared" si="826"/>
        <v>5</v>
      </c>
      <c r="P2005" s="53">
        <f t="shared" si="827"/>
        <v>2026</v>
      </c>
    </row>
    <row r="2006" spans="1:16" x14ac:dyDescent="0.25">
      <c r="A2006" s="21">
        <v>3000002885</v>
      </c>
      <c r="B2006" s="22">
        <v>46161</v>
      </c>
      <c r="C2006" s="20">
        <v>11220778.48</v>
      </c>
      <c r="D2006" s="21" t="s">
        <v>613</v>
      </c>
      <c r="E2006" s="21">
        <v>91003147</v>
      </c>
      <c r="F2006" s="20">
        <v>11220778.48</v>
      </c>
      <c r="G2006" s="22">
        <v>46164</v>
      </c>
      <c r="H2006" t="s">
        <v>79</v>
      </c>
      <c r="I2006" s="51" t="str">
        <f>IFERROR(IF(VLOOKUP(E2006,extracto!C:C,1,FALSE)=E2006,"pagado","no pagado"),"no pagado")</f>
        <v>pagado</v>
      </c>
      <c r="J2006" s="52" t="str">
        <f t="shared" si="822"/>
        <v>pagado</v>
      </c>
      <c r="K2006" s="51" t="str">
        <f t="shared" ca="1" si="823"/>
        <v>excluir</v>
      </c>
      <c r="L2006" s="51" t="str">
        <f t="shared" ca="1" si="824"/>
        <v>no semana</v>
      </c>
      <c r="M2006" s="51" t="str">
        <f>IFERROR(VLOOKUP(E2006,'cheques a conf'!A:D,4,FALSE),"no clearing")</f>
        <v>no clearing</v>
      </c>
      <c r="N2006" s="51">
        <f t="shared" si="825"/>
        <v>21</v>
      </c>
      <c r="O2006" s="53">
        <f t="shared" si="826"/>
        <v>5</v>
      </c>
      <c r="P2006" s="53">
        <f t="shared" si="827"/>
        <v>2026</v>
      </c>
    </row>
    <row r="2007" spans="1:16" x14ac:dyDescent="0.25">
      <c r="A2007" s="21">
        <v>3000002886</v>
      </c>
      <c r="B2007" s="22">
        <v>46161</v>
      </c>
      <c r="C2007" s="20">
        <v>13061725.810000001</v>
      </c>
      <c r="D2007" s="21" t="s">
        <v>619</v>
      </c>
      <c r="E2007" s="21">
        <v>91003148</v>
      </c>
      <c r="F2007" s="20">
        <v>13061725.810000001</v>
      </c>
      <c r="G2007" s="22">
        <v>46164</v>
      </c>
      <c r="H2007" t="s">
        <v>79</v>
      </c>
      <c r="I2007" s="51" t="str">
        <f>IFERROR(IF(VLOOKUP(E2007,extracto!C:C,1,FALSE)=E2007,"pagado","no pagado"),"no pagado")</f>
        <v>pagado</v>
      </c>
      <c r="J2007" s="52" t="str">
        <f t="shared" si="822"/>
        <v>pagado</v>
      </c>
      <c r="K2007" s="51" t="str">
        <f t="shared" ca="1" si="823"/>
        <v>excluir</v>
      </c>
      <c r="L2007" s="51" t="str">
        <f t="shared" ca="1" si="824"/>
        <v>no semana</v>
      </c>
      <c r="M2007" s="51" t="str">
        <f>IFERROR(VLOOKUP(E2007,'cheques a conf'!A:D,4,FALSE),"no clearing")</f>
        <v>no clearing</v>
      </c>
      <c r="N2007" s="51">
        <f t="shared" si="825"/>
        <v>21</v>
      </c>
      <c r="O2007" s="53">
        <f t="shared" si="826"/>
        <v>5</v>
      </c>
      <c r="P2007" s="53">
        <f t="shared" si="827"/>
        <v>2026</v>
      </c>
    </row>
    <row r="2008" spans="1:16" x14ac:dyDescent="0.25">
      <c r="A2008" s="21">
        <v>3000002993</v>
      </c>
      <c r="B2008" s="22">
        <v>46168</v>
      </c>
      <c r="C2008" s="20">
        <v>5294933.7699999996</v>
      </c>
      <c r="D2008" s="21" t="s">
        <v>659</v>
      </c>
      <c r="E2008" s="21">
        <v>61301842</v>
      </c>
      <c r="F2008" s="20">
        <v>5294933.7699999996</v>
      </c>
      <c r="G2008" s="22">
        <v>46170</v>
      </c>
      <c r="H2008" t="s">
        <v>79</v>
      </c>
      <c r="I2008" s="51" t="str">
        <f>IFERROR(IF(VLOOKUP(E2008,extracto!C:C,1,FALSE)=E2008,"pagado","no pagado"),"no pagado")</f>
        <v>pagado</v>
      </c>
      <c r="J2008" s="52" t="str">
        <f t="shared" ref="J2008:J2039" si="828">IF(I2008="pagado","pagado",IF(G2008&lt;$V$1-30,"fuera de fecha","en periodo de pago"))</f>
        <v>pagado</v>
      </c>
      <c r="K2008" s="51" t="str">
        <f t="shared" ref="K2008:K2039" ca="1" si="829">+IF(B2008&gt;$V$1,"excluir",IF(J2008="en periodo de pago",IF($V$1&gt;G2008,"a pagar","proximo a vencer"),"excluir"))</f>
        <v>excluir</v>
      </c>
      <c r="L2008" s="51" t="str">
        <f t="shared" ref="L2008:L2039" ca="1" si="830">+IF(K2008="proximo a vencer",IF($V$1+5&gt;G2008,"para la semana","no semana"),"no semana")</f>
        <v>no semana</v>
      </c>
      <c r="M2008" s="51" t="str">
        <f>IFERROR(VLOOKUP(E2008,'cheques a conf'!A:D,4,FALSE),"no clearing")</f>
        <v>no clearing</v>
      </c>
      <c r="N2008" s="51">
        <f t="shared" ref="N2008:N2039" si="831">+WEEKNUM(G2008,2)</f>
        <v>22</v>
      </c>
      <c r="O2008" s="53">
        <f t="shared" ref="O2008:O2039" si="832">+MONTH(G2008)</f>
        <v>5</v>
      </c>
      <c r="P2008" s="53">
        <f t="shared" ref="P2008:P2039" si="833">+YEAR(G2008)</f>
        <v>2026</v>
      </c>
    </row>
    <row r="2009" spans="1:16" x14ac:dyDescent="0.25">
      <c r="A2009" s="21">
        <v>3000002994</v>
      </c>
      <c r="B2009" s="22">
        <v>46168</v>
      </c>
      <c r="C2009" s="20">
        <v>6028954.5800000001</v>
      </c>
      <c r="D2009" s="21" t="s">
        <v>736</v>
      </c>
      <c r="E2009" s="21">
        <v>61301843</v>
      </c>
      <c r="F2009" s="20">
        <v>6028954.5800000001</v>
      </c>
      <c r="G2009" s="22">
        <v>46170</v>
      </c>
      <c r="H2009" t="s">
        <v>79</v>
      </c>
      <c r="I2009" s="51" t="str">
        <f>IFERROR(IF(VLOOKUP(E2009,extracto!C:C,1,FALSE)=E2009,"pagado","no pagado"),"no pagado")</f>
        <v>pagado</v>
      </c>
      <c r="J2009" s="52" t="str">
        <f t="shared" si="828"/>
        <v>pagado</v>
      </c>
      <c r="K2009" s="51" t="str">
        <f t="shared" ca="1" si="829"/>
        <v>excluir</v>
      </c>
      <c r="L2009" s="51" t="str">
        <f t="shared" ca="1" si="830"/>
        <v>no semana</v>
      </c>
      <c r="M2009" s="51" t="str">
        <f>IFERROR(VLOOKUP(E2009,'cheques a conf'!A:D,4,FALSE),"no clearing")</f>
        <v>no clearing</v>
      </c>
      <c r="N2009" s="51">
        <f t="shared" si="831"/>
        <v>22</v>
      </c>
      <c r="O2009" s="53">
        <f t="shared" si="832"/>
        <v>5</v>
      </c>
      <c r="P2009" s="53">
        <f t="shared" si="833"/>
        <v>2026</v>
      </c>
    </row>
    <row r="2010" spans="1:16" x14ac:dyDescent="0.25">
      <c r="A2010" s="21">
        <v>3000003027</v>
      </c>
      <c r="B2010" s="22">
        <v>46168</v>
      </c>
      <c r="C2010" s="20">
        <v>45479271.909999996</v>
      </c>
      <c r="D2010" s="21" t="s">
        <v>631</v>
      </c>
      <c r="E2010" s="21">
        <v>91003153</v>
      </c>
      <c r="F2010" s="20">
        <v>45479271.909999996</v>
      </c>
      <c r="G2010" s="22">
        <v>46170</v>
      </c>
      <c r="H2010" t="s">
        <v>79</v>
      </c>
      <c r="I2010" s="51" t="str">
        <f>IFERROR(IF(VLOOKUP(E2010,extracto!C:C,1,FALSE)=E2010,"pagado","no pagado"),"no pagado")</f>
        <v>pagado</v>
      </c>
      <c r="J2010" s="52" t="str">
        <f t="shared" si="828"/>
        <v>pagado</v>
      </c>
      <c r="K2010" s="51" t="str">
        <f t="shared" ca="1" si="829"/>
        <v>excluir</v>
      </c>
      <c r="L2010" s="51" t="str">
        <f t="shared" ca="1" si="830"/>
        <v>no semana</v>
      </c>
      <c r="M2010" s="51" t="str">
        <f>IFERROR(VLOOKUP(E2010,'cheques a conf'!A:D,4,FALSE),"no clearing")</f>
        <v>no clearing</v>
      </c>
      <c r="N2010" s="51">
        <f t="shared" si="831"/>
        <v>22</v>
      </c>
      <c r="O2010" s="53">
        <f t="shared" si="832"/>
        <v>5</v>
      </c>
      <c r="P2010" s="53">
        <f t="shared" si="833"/>
        <v>2026</v>
      </c>
    </row>
    <row r="2011" spans="1:16" x14ac:dyDescent="0.25">
      <c r="A2011" s="21">
        <v>3000003028</v>
      </c>
      <c r="B2011" s="22">
        <v>46168</v>
      </c>
      <c r="C2011" s="20">
        <v>9604516.3100000005</v>
      </c>
      <c r="D2011" s="21" t="s">
        <v>773</v>
      </c>
      <c r="E2011" s="21">
        <v>91003154</v>
      </c>
      <c r="F2011" s="20">
        <v>9604516.3100000005</v>
      </c>
      <c r="G2011" s="22">
        <v>46170</v>
      </c>
      <c r="H2011" t="s">
        <v>79</v>
      </c>
      <c r="I2011" s="51" t="str">
        <f>IFERROR(IF(VLOOKUP(E2011,extracto!C:C,1,FALSE)=E2011,"pagado","no pagado"),"no pagado")</f>
        <v>pagado</v>
      </c>
      <c r="J2011" s="52" t="str">
        <f t="shared" si="828"/>
        <v>pagado</v>
      </c>
      <c r="K2011" s="51" t="str">
        <f t="shared" ca="1" si="829"/>
        <v>excluir</v>
      </c>
      <c r="L2011" s="51" t="str">
        <f t="shared" ca="1" si="830"/>
        <v>no semana</v>
      </c>
      <c r="M2011" s="51" t="str">
        <f>IFERROR(VLOOKUP(E2011,'cheques a conf'!A:D,4,FALSE),"no clearing")</f>
        <v>no clearing</v>
      </c>
      <c r="N2011" s="51">
        <f t="shared" si="831"/>
        <v>22</v>
      </c>
      <c r="O2011" s="53">
        <f t="shared" si="832"/>
        <v>5</v>
      </c>
      <c r="P2011" s="53">
        <f t="shared" si="833"/>
        <v>2026</v>
      </c>
    </row>
    <row r="2012" spans="1:16" x14ac:dyDescent="0.25">
      <c r="A2012" s="21">
        <v>3000003029</v>
      </c>
      <c r="B2012" s="22">
        <v>46168</v>
      </c>
      <c r="C2012" s="20">
        <v>6447707.1699999999</v>
      </c>
      <c r="D2012" s="21" t="s">
        <v>851</v>
      </c>
      <c r="E2012" s="21">
        <v>91003155</v>
      </c>
      <c r="F2012" s="20">
        <v>6447707.1699999999</v>
      </c>
      <c r="G2012" s="22">
        <v>46170</v>
      </c>
      <c r="H2012" t="s">
        <v>79</v>
      </c>
      <c r="I2012" s="51" t="str">
        <f>IFERROR(IF(VLOOKUP(E2012,extracto!C:C,1,FALSE)=E2012,"pagado","no pagado"),"no pagado")</f>
        <v>pagado</v>
      </c>
      <c r="J2012" s="52" t="str">
        <f t="shared" si="828"/>
        <v>pagado</v>
      </c>
      <c r="K2012" s="51" t="str">
        <f t="shared" ca="1" si="829"/>
        <v>excluir</v>
      </c>
      <c r="L2012" s="51" t="str">
        <f t="shared" ca="1" si="830"/>
        <v>no semana</v>
      </c>
      <c r="M2012" s="51" t="str">
        <f>IFERROR(VLOOKUP(E2012,'cheques a conf'!A:D,4,FALSE),"no clearing")</f>
        <v>no clearing</v>
      </c>
      <c r="N2012" s="51">
        <f t="shared" si="831"/>
        <v>22</v>
      </c>
      <c r="O2012" s="53">
        <f t="shared" si="832"/>
        <v>5</v>
      </c>
      <c r="P2012" s="53">
        <f t="shared" si="833"/>
        <v>2026</v>
      </c>
    </row>
    <row r="2013" spans="1:16" x14ac:dyDescent="0.25">
      <c r="A2013" s="21">
        <v>3000003030</v>
      </c>
      <c r="B2013" s="22">
        <v>46168</v>
      </c>
      <c r="C2013" s="20">
        <v>5862000.6600000001</v>
      </c>
      <c r="D2013" s="21" t="s">
        <v>782</v>
      </c>
      <c r="E2013" s="21">
        <v>91003156</v>
      </c>
      <c r="F2013" s="20">
        <v>5862000.6600000001</v>
      </c>
      <c r="G2013" s="22">
        <v>46170</v>
      </c>
      <c r="H2013" t="s">
        <v>79</v>
      </c>
      <c r="I2013" s="51" t="str">
        <f>IFERROR(IF(VLOOKUP(E2013,extracto!C:C,1,FALSE)=E2013,"pagado","no pagado"),"no pagado")</f>
        <v>pagado</v>
      </c>
      <c r="J2013" s="52" t="str">
        <f t="shared" si="828"/>
        <v>pagado</v>
      </c>
      <c r="K2013" s="51" t="str">
        <f t="shared" ca="1" si="829"/>
        <v>excluir</v>
      </c>
      <c r="L2013" s="51" t="str">
        <f t="shared" ca="1" si="830"/>
        <v>no semana</v>
      </c>
      <c r="M2013" s="51" t="str">
        <f>IFERROR(VLOOKUP(E2013,'cheques a conf'!A:D,4,FALSE),"no clearing")</f>
        <v>no clearing</v>
      </c>
      <c r="N2013" s="51">
        <f t="shared" si="831"/>
        <v>22</v>
      </c>
      <c r="O2013" s="53">
        <f t="shared" si="832"/>
        <v>5</v>
      </c>
      <c r="P2013" s="53">
        <f t="shared" si="833"/>
        <v>2026</v>
      </c>
    </row>
    <row r="2014" spans="1:16" x14ac:dyDescent="0.25">
      <c r="A2014" s="21">
        <v>3000003031</v>
      </c>
      <c r="B2014" s="22">
        <v>46168</v>
      </c>
      <c r="C2014" s="20">
        <v>37091057.369999997</v>
      </c>
      <c r="D2014" s="21" t="s">
        <v>622</v>
      </c>
      <c r="E2014" s="21">
        <v>91003157</v>
      </c>
      <c r="F2014" s="20">
        <v>37091057.369999997</v>
      </c>
      <c r="G2014" s="22">
        <v>46170</v>
      </c>
      <c r="H2014" t="s">
        <v>79</v>
      </c>
      <c r="I2014" s="51" t="str">
        <f>IFERROR(IF(VLOOKUP(E2014,extracto!C:C,1,FALSE)=E2014,"pagado","no pagado"),"no pagado")</f>
        <v>pagado</v>
      </c>
      <c r="J2014" s="52" t="str">
        <f t="shared" si="828"/>
        <v>pagado</v>
      </c>
      <c r="K2014" s="51" t="str">
        <f t="shared" ca="1" si="829"/>
        <v>excluir</v>
      </c>
      <c r="L2014" s="51" t="str">
        <f t="shared" ca="1" si="830"/>
        <v>no semana</v>
      </c>
      <c r="M2014" s="51" t="str">
        <f>IFERROR(VLOOKUP(E2014,'cheques a conf'!A:D,4,FALSE),"no clearing")</f>
        <v>no clearing</v>
      </c>
      <c r="N2014" s="51">
        <f t="shared" si="831"/>
        <v>22</v>
      </c>
      <c r="O2014" s="53">
        <f t="shared" si="832"/>
        <v>5</v>
      </c>
      <c r="P2014" s="53">
        <f t="shared" si="833"/>
        <v>2026</v>
      </c>
    </row>
    <row r="2015" spans="1:16" x14ac:dyDescent="0.25">
      <c r="A2015" s="21">
        <v>3000003032</v>
      </c>
      <c r="B2015" s="22">
        <v>46168</v>
      </c>
      <c r="C2015" s="20">
        <v>6903429.7300000004</v>
      </c>
      <c r="D2015" s="21" t="s">
        <v>626</v>
      </c>
      <c r="E2015" s="21">
        <v>91003158</v>
      </c>
      <c r="F2015" s="20">
        <v>6903429.7300000004</v>
      </c>
      <c r="G2015" s="22">
        <v>46170</v>
      </c>
      <c r="H2015" t="s">
        <v>79</v>
      </c>
      <c r="I2015" s="51" t="str">
        <f>IFERROR(IF(VLOOKUP(E2015,extracto!C:C,1,FALSE)=E2015,"pagado","no pagado"),"no pagado")</f>
        <v>pagado</v>
      </c>
      <c r="J2015" s="52" t="str">
        <f t="shared" si="828"/>
        <v>pagado</v>
      </c>
      <c r="K2015" s="51" t="str">
        <f t="shared" ca="1" si="829"/>
        <v>excluir</v>
      </c>
      <c r="L2015" s="51" t="str">
        <f t="shared" ca="1" si="830"/>
        <v>no semana</v>
      </c>
      <c r="M2015" s="51" t="str">
        <f>IFERROR(VLOOKUP(E2015,'cheques a conf'!A:D,4,FALSE),"no clearing")</f>
        <v>no clearing</v>
      </c>
      <c r="N2015" s="51">
        <f t="shared" si="831"/>
        <v>22</v>
      </c>
      <c r="O2015" s="53">
        <f t="shared" si="832"/>
        <v>5</v>
      </c>
      <c r="P2015" s="53">
        <f t="shared" si="833"/>
        <v>2026</v>
      </c>
    </row>
    <row r="2016" spans="1:16" x14ac:dyDescent="0.25">
      <c r="A2016" s="21">
        <v>3000003033</v>
      </c>
      <c r="B2016" s="22">
        <v>46168</v>
      </c>
      <c r="C2016" s="20">
        <v>8440894.5</v>
      </c>
      <c r="D2016" s="21" t="s">
        <v>89</v>
      </c>
      <c r="E2016" s="21">
        <v>91003159</v>
      </c>
      <c r="F2016" s="20">
        <v>8440894.5</v>
      </c>
      <c r="G2016" s="22">
        <v>46170</v>
      </c>
      <c r="H2016" t="s">
        <v>79</v>
      </c>
      <c r="I2016" s="51" t="str">
        <f>IFERROR(IF(VLOOKUP(E2016,extracto!C:C,1,FALSE)=E2016,"pagado","no pagado"),"no pagado")</f>
        <v>pagado</v>
      </c>
      <c r="J2016" s="52" t="str">
        <f t="shared" si="828"/>
        <v>pagado</v>
      </c>
      <c r="K2016" s="51" t="str">
        <f t="shared" ca="1" si="829"/>
        <v>excluir</v>
      </c>
      <c r="L2016" s="51" t="str">
        <f t="shared" ca="1" si="830"/>
        <v>no semana</v>
      </c>
      <c r="M2016" s="51" t="str">
        <f>IFERROR(VLOOKUP(E2016,'cheques a conf'!A:D,4,FALSE),"no clearing")</f>
        <v>no clearing</v>
      </c>
      <c r="N2016" s="51">
        <f t="shared" si="831"/>
        <v>22</v>
      </c>
      <c r="O2016" s="53">
        <f t="shared" si="832"/>
        <v>5</v>
      </c>
      <c r="P2016" s="53">
        <f t="shared" si="833"/>
        <v>2026</v>
      </c>
    </row>
    <row r="2017" spans="1:16" x14ac:dyDescent="0.25">
      <c r="A2017" s="21">
        <v>3000003034</v>
      </c>
      <c r="B2017" s="22">
        <v>46168</v>
      </c>
      <c r="C2017" s="20">
        <v>7253898.6799999997</v>
      </c>
      <c r="D2017" s="21" t="s">
        <v>673</v>
      </c>
      <c r="E2017" s="21">
        <v>91003160</v>
      </c>
      <c r="F2017" s="20">
        <v>7253898.6799999997</v>
      </c>
      <c r="G2017" s="22">
        <v>46170</v>
      </c>
      <c r="H2017" t="s">
        <v>79</v>
      </c>
      <c r="I2017" s="51" t="str">
        <f>IFERROR(IF(VLOOKUP(E2017,extracto!C:C,1,FALSE)=E2017,"pagado","no pagado"),"no pagado")</f>
        <v>pagado</v>
      </c>
      <c r="J2017" s="52" t="str">
        <f t="shared" si="828"/>
        <v>pagado</v>
      </c>
      <c r="K2017" s="51" t="str">
        <f t="shared" ca="1" si="829"/>
        <v>excluir</v>
      </c>
      <c r="L2017" s="51" t="str">
        <f t="shared" ca="1" si="830"/>
        <v>no semana</v>
      </c>
      <c r="M2017" s="51" t="str">
        <f>IFERROR(VLOOKUP(E2017,'cheques a conf'!A:D,4,FALSE),"no clearing")</f>
        <v>no clearing</v>
      </c>
      <c r="N2017" s="51">
        <f t="shared" si="831"/>
        <v>22</v>
      </c>
      <c r="O2017" s="53">
        <f t="shared" si="832"/>
        <v>5</v>
      </c>
      <c r="P2017" s="53">
        <f t="shared" si="833"/>
        <v>2026</v>
      </c>
    </row>
    <row r="2018" spans="1:16" x14ac:dyDescent="0.25">
      <c r="A2018" s="21">
        <v>3000003035</v>
      </c>
      <c r="B2018" s="22">
        <v>46168</v>
      </c>
      <c r="C2018" s="20">
        <v>10777880.48</v>
      </c>
      <c r="D2018" s="21" t="s">
        <v>675</v>
      </c>
      <c r="E2018" s="21">
        <v>91003161</v>
      </c>
      <c r="F2018" s="20">
        <v>10777880.48</v>
      </c>
      <c r="G2018" s="22">
        <v>46170</v>
      </c>
      <c r="H2018" t="s">
        <v>79</v>
      </c>
      <c r="I2018" s="51" t="str">
        <f>IFERROR(IF(VLOOKUP(E2018,extracto!C:C,1,FALSE)=E2018,"pagado","no pagado"),"no pagado")</f>
        <v>pagado</v>
      </c>
      <c r="J2018" s="52" t="str">
        <f t="shared" si="828"/>
        <v>pagado</v>
      </c>
      <c r="K2018" s="51" t="str">
        <f t="shared" ca="1" si="829"/>
        <v>excluir</v>
      </c>
      <c r="L2018" s="51" t="str">
        <f t="shared" ca="1" si="830"/>
        <v>no semana</v>
      </c>
      <c r="M2018" s="51" t="str">
        <f>IFERROR(VLOOKUP(E2018,'cheques a conf'!A:D,4,FALSE),"no clearing")</f>
        <v>no clearing</v>
      </c>
      <c r="N2018" s="51">
        <f t="shared" si="831"/>
        <v>22</v>
      </c>
      <c r="O2018" s="53">
        <f t="shared" si="832"/>
        <v>5</v>
      </c>
      <c r="P2018" s="53">
        <f t="shared" si="833"/>
        <v>2026</v>
      </c>
    </row>
    <row r="2019" spans="1:16" x14ac:dyDescent="0.25">
      <c r="A2019" s="21">
        <v>3000003036</v>
      </c>
      <c r="B2019" s="22">
        <v>46168</v>
      </c>
      <c r="C2019" s="20">
        <v>12280442.92</v>
      </c>
      <c r="D2019" s="21" t="s">
        <v>621</v>
      </c>
      <c r="E2019" s="21">
        <v>91003162</v>
      </c>
      <c r="F2019" s="20">
        <v>12280442.92</v>
      </c>
      <c r="G2019" s="22">
        <v>46170</v>
      </c>
      <c r="H2019" t="s">
        <v>79</v>
      </c>
      <c r="I2019" s="51" t="str">
        <f>IFERROR(IF(VLOOKUP(E2019,extracto!C:C,1,FALSE)=E2019,"pagado","no pagado"),"no pagado")</f>
        <v>pagado</v>
      </c>
      <c r="J2019" s="52" t="str">
        <f t="shared" si="828"/>
        <v>pagado</v>
      </c>
      <c r="K2019" s="51" t="str">
        <f t="shared" ca="1" si="829"/>
        <v>excluir</v>
      </c>
      <c r="L2019" s="51" t="str">
        <f t="shared" ca="1" si="830"/>
        <v>no semana</v>
      </c>
      <c r="M2019" s="51" t="str">
        <f>IFERROR(VLOOKUP(E2019,'cheques a conf'!A:D,4,FALSE),"no clearing")</f>
        <v>no clearing</v>
      </c>
      <c r="N2019" s="51">
        <f t="shared" si="831"/>
        <v>22</v>
      </c>
      <c r="O2019" s="53">
        <f t="shared" si="832"/>
        <v>5</v>
      </c>
      <c r="P2019" s="53">
        <f t="shared" si="833"/>
        <v>2026</v>
      </c>
    </row>
    <row r="2020" spans="1:16" x14ac:dyDescent="0.25">
      <c r="A2020" s="21">
        <v>3000003037</v>
      </c>
      <c r="B2020" s="22">
        <v>46168</v>
      </c>
      <c r="C2020" s="20">
        <v>13981484.93</v>
      </c>
      <c r="D2020" s="21" t="s">
        <v>650</v>
      </c>
      <c r="E2020" s="21">
        <v>91003163</v>
      </c>
      <c r="F2020" s="20">
        <v>13981484.93</v>
      </c>
      <c r="G2020" s="22">
        <v>46170</v>
      </c>
      <c r="H2020" t="s">
        <v>79</v>
      </c>
      <c r="I2020" s="51" t="str">
        <f>IFERROR(IF(VLOOKUP(E2020,extracto!C:C,1,FALSE)=E2020,"pagado","no pagado"),"no pagado")</f>
        <v>pagado</v>
      </c>
      <c r="J2020" s="52" t="str">
        <f t="shared" si="828"/>
        <v>pagado</v>
      </c>
      <c r="K2020" s="51" t="str">
        <f t="shared" ca="1" si="829"/>
        <v>excluir</v>
      </c>
      <c r="L2020" s="51" t="str">
        <f t="shared" ca="1" si="830"/>
        <v>no semana</v>
      </c>
      <c r="M2020" s="51" t="str">
        <f>IFERROR(VLOOKUP(E2020,'cheques a conf'!A:D,4,FALSE),"no clearing")</f>
        <v>no clearing</v>
      </c>
      <c r="N2020" s="51">
        <f t="shared" si="831"/>
        <v>22</v>
      </c>
      <c r="O2020" s="53">
        <f t="shared" si="832"/>
        <v>5</v>
      </c>
      <c r="P2020" s="53">
        <f t="shared" si="833"/>
        <v>2026</v>
      </c>
    </row>
    <row r="2021" spans="1:16" x14ac:dyDescent="0.25">
      <c r="A2021" s="21">
        <v>3000003038</v>
      </c>
      <c r="B2021" s="22">
        <v>46168</v>
      </c>
      <c r="C2021" s="20">
        <v>6321019.3700000001</v>
      </c>
      <c r="D2021" s="21" t="s">
        <v>1733</v>
      </c>
      <c r="E2021" s="21">
        <v>91003164</v>
      </c>
      <c r="F2021" s="20">
        <v>6321019.3700000001</v>
      </c>
      <c r="G2021" s="22">
        <v>46170</v>
      </c>
      <c r="H2021" t="s">
        <v>79</v>
      </c>
      <c r="I2021" s="51" t="str">
        <f>IFERROR(IF(VLOOKUP(E2021,extracto!C:C,1,FALSE)=E2021,"pagado","no pagado"),"no pagado")</f>
        <v>pagado</v>
      </c>
      <c r="J2021" s="52" t="str">
        <f t="shared" si="828"/>
        <v>pagado</v>
      </c>
      <c r="K2021" s="51" t="str">
        <f t="shared" ca="1" si="829"/>
        <v>excluir</v>
      </c>
      <c r="L2021" s="51" t="str">
        <f t="shared" ca="1" si="830"/>
        <v>no semana</v>
      </c>
      <c r="M2021" s="51" t="str">
        <f>IFERROR(VLOOKUP(E2021,'cheques a conf'!A:D,4,FALSE),"no clearing")</f>
        <v>no clearing</v>
      </c>
      <c r="N2021" s="51">
        <f t="shared" si="831"/>
        <v>22</v>
      </c>
      <c r="O2021" s="53">
        <f t="shared" si="832"/>
        <v>5</v>
      </c>
      <c r="P2021" s="53">
        <f t="shared" si="833"/>
        <v>2026</v>
      </c>
    </row>
    <row r="2022" spans="1:16" x14ac:dyDescent="0.25">
      <c r="A2022" s="21">
        <v>3000003039</v>
      </c>
      <c r="B2022" s="22">
        <v>46168</v>
      </c>
      <c r="C2022" s="20">
        <v>16688060.960000001</v>
      </c>
      <c r="D2022" s="21" t="s">
        <v>657</v>
      </c>
      <c r="E2022" s="21">
        <v>91003165</v>
      </c>
      <c r="F2022" s="20">
        <v>16688060.960000001</v>
      </c>
      <c r="G2022" s="22">
        <v>46170</v>
      </c>
      <c r="H2022" t="s">
        <v>79</v>
      </c>
      <c r="I2022" s="51" t="str">
        <f>IFERROR(IF(VLOOKUP(E2022,extracto!C:C,1,FALSE)=E2022,"pagado","no pagado"),"no pagado")</f>
        <v>pagado</v>
      </c>
      <c r="J2022" s="52" t="str">
        <f t="shared" si="828"/>
        <v>pagado</v>
      </c>
      <c r="K2022" s="51" t="str">
        <f t="shared" ca="1" si="829"/>
        <v>excluir</v>
      </c>
      <c r="L2022" s="51" t="str">
        <f t="shared" ca="1" si="830"/>
        <v>no semana</v>
      </c>
      <c r="M2022" s="51" t="str">
        <f>IFERROR(VLOOKUP(E2022,'cheques a conf'!A:D,4,FALSE),"no clearing")</f>
        <v>no clearing</v>
      </c>
      <c r="N2022" s="51">
        <f t="shared" si="831"/>
        <v>22</v>
      </c>
      <c r="O2022" s="53">
        <f t="shared" si="832"/>
        <v>5</v>
      </c>
      <c r="P2022" s="53">
        <f t="shared" si="833"/>
        <v>2026</v>
      </c>
    </row>
    <row r="2023" spans="1:16" x14ac:dyDescent="0.25">
      <c r="A2023" s="21">
        <v>3000003040</v>
      </c>
      <c r="B2023" s="22">
        <v>46168</v>
      </c>
      <c r="C2023" s="20">
        <v>6308516.1399999997</v>
      </c>
      <c r="D2023" s="21" t="s">
        <v>669</v>
      </c>
      <c r="E2023" s="21">
        <v>91003166</v>
      </c>
      <c r="F2023" s="20">
        <v>6308516.1399999997</v>
      </c>
      <c r="G2023" s="22">
        <v>46170</v>
      </c>
      <c r="H2023" t="s">
        <v>79</v>
      </c>
      <c r="I2023" s="51" t="str">
        <f>IFERROR(IF(VLOOKUP(E2023,extracto!C:C,1,FALSE)=E2023,"pagado","no pagado"),"no pagado")</f>
        <v>pagado</v>
      </c>
      <c r="J2023" s="52" t="str">
        <f t="shared" si="828"/>
        <v>pagado</v>
      </c>
      <c r="K2023" s="51" t="str">
        <f t="shared" ca="1" si="829"/>
        <v>excluir</v>
      </c>
      <c r="L2023" s="51" t="str">
        <f t="shared" ca="1" si="830"/>
        <v>no semana</v>
      </c>
      <c r="M2023" s="51" t="str">
        <f>IFERROR(VLOOKUP(E2023,'cheques a conf'!A:D,4,FALSE),"no clearing")</f>
        <v>no clearing</v>
      </c>
      <c r="N2023" s="51">
        <f t="shared" si="831"/>
        <v>22</v>
      </c>
      <c r="O2023" s="53">
        <f t="shared" si="832"/>
        <v>5</v>
      </c>
      <c r="P2023" s="53">
        <f t="shared" si="833"/>
        <v>2026</v>
      </c>
    </row>
    <row r="2024" spans="1:16" x14ac:dyDescent="0.25">
      <c r="A2024" s="21">
        <v>3000003041</v>
      </c>
      <c r="B2024" s="22">
        <v>46168</v>
      </c>
      <c r="C2024" s="20">
        <v>8220401.6699999999</v>
      </c>
      <c r="D2024" s="21" t="s">
        <v>644</v>
      </c>
      <c r="E2024" s="21">
        <v>91003167</v>
      </c>
      <c r="F2024" s="20">
        <v>8220401.6699999999</v>
      </c>
      <c r="G2024" s="22">
        <v>46170</v>
      </c>
      <c r="H2024" t="s">
        <v>79</v>
      </c>
      <c r="I2024" s="51" t="str">
        <f>IFERROR(IF(VLOOKUP(E2024,extracto!C:C,1,FALSE)=E2024,"pagado","no pagado"),"no pagado")</f>
        <v>pagado</v>
      </c>
      <c r="J2024" s="52" t="str">
        <f t="shared" si="828"/>
        <v>pagado</v>
      </c>
      <c r="K2024" s="51" t="str">
        <f t="shared" ca="1" si="829"/>
        <v>excluir</v>
      </c>
      <c r="L2024" s="51" t="str">
        <f t="shared" ca="1" si="830"/>
        <v>no semana</v>
      </c>
      <c r="M2024" s="51" t="str">
        <f>IFERROR(VLOOKUP(E2024,'cheques a conf'!A:D,4,FALSE),"no clearing")</f>
        <v>no clearing</v>
      </c>
      <c r="N2024" s="51">
        <f t="shared" si="831"/>
        <v>22</v>
      </c>
      <c r="O2024" s="53">
        <f t="shared" si="832"/>
        <v>5</v>
      </c>
      <c r="P2024" s="53">
        <f t="shared" si="833"/>
        <v>2026</v>
      </c>
    </row>
    <row r="2025" spans="1:16" x14ac:dyDescent="0.25">
      <c r="A2025" s="21">
        <v>3000003042</v>
      </c>
      <c r="B2025" s="22">
        <v>46168</v>
      </c>
      <c r="C2025" s="20">
        <v>11926381.970000001</v>
      </c>
      <c r="D2025" s="21" t="s">
        <v>1734</v>
      </c>
      <c r="E2025" s="21">
        <v>91003168</v>
      </c>
      <c r="F2025" s="20">
        <v>11926381.970000001</v>
      </c>
      <c r="G2025" s="22">
        <v>46170</v>
      </c>
      <c r="H2025" t="s">
        <v>79</v>
      </c>
      <c r="I2025" s="51" t="str">
        <f>IFERROR(IF(VLOOKUP(E2025,extracto!C:C,1,FALSE)=E2025,"pagado","no pagado"),"no pagado")</f>
        <v>pagado</v>
      </c>
      <c r="J2025" s="52" t="str">
        <f t="shared" si="828"/>
        <v>pagado</v>
      </c>
      <c r="K2025" s="51" t="str">
        <f t="shared" ca="1" si="829"/>
        <v>excluir</v>
      </c>
      <c r="L2025" s="51" t="str">
        <f t="shared" ca="1" si="830"/>
        <v>no semana</v>
      </c>
      <c r="M2025" s="51" t="str">
        <f>IFERROR(VLOOKUP(E2025,'cheques a conf'!A:D,4,FALSE),"no clearing")</f>
        <v>no clearing</v>
      </c>
      <c r="N2025" s="51">
        <f t="shared" si="831"/>
        <v>22</v>
      </c>
      <c r="O2025" s="53">
        <f t="shared" si="832"/>
        <v>5</v>
      </c>
      <c r="P2025" s="53">
        <f t="shared" si="833"/>
        <v>2026</v>
      </c>
    </row>
    <row r="2026" spans="1:16" x14ac:dyDescent="0.25">
      <c r="A2026" s="21">
        <v>3000003043</v>
      </c>
      <c r="B2026" s="22">
        <v>46168</v>
      </c>
      <c r="C2026" s="20">
        <v>12805043.4</v>
      </c>
      <c r="D2026" s="21" t="s">
        <v>707</v>
      </c>
      <c r="E2026" s="21">
        <v>91003169</v>
      </c>
      <c r="F2026" s="20">
        <v>12805043.4</v>
      </c>
      <c r="G2026" s="22">
        <v>46170</v>
      </c>
      <c r="H2026" t="s">
        <v>79</v>
      </c>
      <c r="I2026" s="51" t="str">
        <f>IFERROR(IF(VLOOKUP(E2026,extracto!C:C,1,FALSE)=E2026,"pagado","no pagado"),"no pagado")</f>
        <v>pagado</v>
      </c>
      <c r="J2026" s="52" t="str">
        <f t="shared" si="828"/>
        <v>pagado</v>
      </c>
      <c r="K2026" s="51" t="str">
        <f t="shared" ca="1" si="829"/>
        <v>excluir</v>
      </c>
      <c r="L2026" s="51" t="str">
        <f t="shared" ca="1" si="830"/>
        <v>no semana</v>
      </c>
      <c r="M2026" s="51" t="str">
        <f>IFERROR(VLOOKUP(E2026,'cheques a conf'!A:D,4,FALSE),"no clearing")</f>
        <v>no clearing</v>
      </c>
      <c r="N2026" s="51">
        <f t="shared" si="831"/>
        <v>22</v>
      </c>
      <c r="O2026" s="53">
        <f t="shared" si="832"/>
        <v>5</v>
      </c>
      <c r="P2026" s="53">
        <f t="shared" si="833"/>
        <v>2026</v>
      </c>
    </row>
    <row r="2027" spans="1:16" x14ac:dyDescent="0.25">
      <c r="A2027" s="21">
        <v>3000003044</v>
      </c>
      <c r="B2027" s="22">
        <v>46168</v>
      </c>
      <c r="C2027" s="20">
        <v>40543895.899999999</v>
      </c>
      <c r="D2027" s="21" t="s">
        <v>600</v>
      </c>
      <c r="E2027" s="21">
        <v>91003170</v>
      </c>
      <c r="F2027" s="20">
        <v>40543895.899999999</v>
      </c>
      <c r="G2027" s="22">
        <v>46170</v>
      </c>
      <c r="H2027" t="s">
        <v>79</v>
      </c>
      <c r="I2027" s="51" t="str">
        <f>IFERROR(IF(VLOOKUP(E2027,extracto!C:C,1,FALSE)=E2027,"pagado","no pagado"),"no pagado")</f>
        <v>pagado</v>
      </c>
      <c r="J2027" s="52" t="str">
        <f t="shared" si="828"/>
        <v>pagado</v>
      </c>
      <c r="K2027" s="51" t="str">
        <f t="shared" ca="1" si="829"/>
        <v>excluir</v>
      </c>
      <c r="L2027" s="51" t="str">
        <f t="shared" ca="1" si="830"/>
        <v>no semana</v>
      </c>
      <c r="M2027" s="51" t="str">
        <f>IFERROR(VLOOKUP(E2027,'cheques a conf'!A:D,4,FALSE),"no clearing")</f>
        <v>no clearing</v>
      </c>
      <c r="N2027" s="51">
        <f t="shared" si="831"/>
        <v>22</v>
      </c>
      <c r="O2027" s="53">
        <f t="shared" si="832"/>
        <v>5</v>
      </c>
      <c r="P2027" s="53">
        <f t="shared" si="833"/>
        <v>2026</v>
      </c>
    </row>
    <row r="2028" spans="1:16" x14ac:dyDescent="0.25">
      <c r="A2028" s="21">
        <v>3000003045</v>
      </c>
      <c r="B2028" s="22">
        <v>46168</v>
      </c>
      <c r="C2028" s="20">
        <v>6132962.7300000004</v>
      </c>
      <c r="D2028" s="21" t="s">
        <v>776</v>
      </c>
      <c r="E2028" s="21">
        <v>91003171</v>
      </c>
      <c r="F2028" s="20">
        <v>6132962.7300000004</v>
      </c>
      <c r="G2028" s="22">
        <v>46171</v>
      </c>
      <c r="H2028" t="s">
        <v>79</v>
      </c>
      <c r="I2028" s="51" t="str">
        <f>IFERROR(IF(VLOOKUP(E2028,extracto!C:C,1,FALSE)=E2028,"pagado","no pagado"),"no pagado")</f>
        <v>no pagado</v>
      </c>
      <c r="J2028" s="52" t="str">
        <f t="shared" ca="1" si="828"/>
        <v>fuera de fecha</v>
      </c>
      <c r="K2028" s="51" t="str">
        <f t="shared" ca="1" si="829"/>
        <v>excluir</v>
      </c>
      <c r="L2028" s="51" t="str">
        <f t="shared" ca="1" si="830"/>
        <v>no semana</v>
      </c>
      <c r="M2028" s="51" t="str">
        <f>IFERROR(VLOOKUP(E2028,'cheques a conf'!A:D,4,FALSE),"no clearing")</f>
        <v>no clearing</v>
      </c>
      <c r="N2028" s="51">
        <f t="shared" si="831"/>
        <v>22</v>
      </c>
      <c r="O2028" s="53">
        <f t="shared" si="832"/>
        <v>5</v>
      </c>
      <c r="P2028" s="53">
        <f t="shared" si="833"/>
        <v>2026</v>
      </c>
    </row>
    <row r="2029" spans="1:16" x14ac:dyDescent="0.25">
      <c r="A2029" s="21">
        <v>3000003046</v>
      </c>
      <c r="B2029" s="22">
        <v>46168</v>
      </c>
      <c r="C2029" s="20">
        <v>6796398.0099999998</v>
      </c>
      <c r="D2029" s="21" t="s">
        <v>702</v>
      </c>
      <c r="E2029" s="21">
        <v>91003172</v>
      </c>
      <c r="F2029" s="20">
        <v>6796398.0099999998</v>
      </c>
      <c r="G2029" s="22">
        <v>46171</v>
      </c>
      <c r="H2029" t="s">
        <v>79</v>
      </c>
      <c r="I2029" s="51" t="str">
        <f>IFERROR(IF(VLOOKUP(E2029,extracto!C:C,1,FALSE)=E2029,"pagado","no pagado"),"no pagado")</f>
        <v>pagado</v>
      </c>
      <c r="J2029" s="52" t="str">
        <f t="shared" si="828"/>
        <v>pagado</v>
      </c>
      <c r="K2029" s="51" t="str">
        <f t="shared" ca="1" si="829"/>
        <v>excluir</v>
      </c>
      <c r="L2029" s="51" t="str">
        <f t="shared" ca="1" si="830"/>
        <v>no semana</v>
      </c>
      <c r="M2029" s="51" t="str">
        <f>IFERROR(VLOOKUP(E2029,'cheques a conf'!A:D,4,FALSE),"no clearing")</f>
        <v>no clearing</v>
      </c>
      <c r="N2029" s="51">
        <f t="shared" si="831"/>
        <v>22</v>
      </c>
      <c r="O2029" s="53">
        <f t="shared" si="832"/>
        <v>5</v>
      </c>
      <c r="P2029" s="53">
        <f t="shared" si="833"/>
        <v>2026</v>
      </c>
    </row>
    <row r="2030" spans="1:16" x14ac:dyDescent="0.25">
      <c r="A2030" s="21">
        <v>3000003047</v>
      </c>
      <c r="B2030" s="22">
        <v>46168</v>
      </c>
      <c r="C2030" s="20">
        <v>6258241.1699999999</v>
      </c>
      <c r="D2030" s="21" t="s">
        <v>690</v>
      </c>
      <c r="E2030" s="21">
        <v>91003173</v>
      </c>
      <c r="F2030" s="20">
        <v>6258241.1699999999</v>
      </c>
      <c r="G2030" s="22">
        <v>46171</v>
      </c>
      <c r="H2030" t="s">
        <v>79</v>
      </c>
      <c r="I2030" s="51" t="str">
        <f>IFERROR(IF(VLOOKUP(E2030,extracto!C:C,1,FALSE)=E2030,"pagado","no pagado"),"no pagado")</f>
        <v>pagado</v>
      </c>
      <c r="J2030" s="52" t="str">
        <f t="shared" si="828"/>
        <v>pagado</v>
      </c>
      <c r="K2030" s="51" t="str">
        <f t="shared" ca="1" si="829"/>
        <v>excluir</v>
      </c>
      <c r="L2030" s="51" t="str">
        <f t="shared" ca="1" si="830"/>
        <v>no semana</v>
      </c>
      <c r="M2030" s="51" t="str">
        <f>IFERROR(VLOOKUP(E2030,'cheques a conf'!A:D,4,FALSE),"no clearing")</f>
        <v>no clearing</v>
      </c>
      <c r="N2030" s="51">
        <f t="shared" si="831"/>
        <v>22</v>
      </c>
      <c r="O2030" s="53">
        <f t="shared" si="832"/>
        <v>5</v>
      </c>
      <c r="P2030" s="53">
        <f t="shared" si="833"/>
        <v>2026</v>
      </c>
    </row>
    <row r="2031" spans="1:16" x14ac:dyDescent="0.25">
      <c r="A2031" s="21">
        <v>3000003048</v>
      </c>
      <c r="B2031" s="22">
        <v>46168</v>
      </c>
      <c r="C2031" s="20">
        <v>5878038.8200000003</v>
      </c>
      <c r="D2031" s="21" t="s">
        <v>651</v>
      </c>
      <c r="E2031" s="21">
        <v>91003174</v>
      </c>
      <c r="F2031" s="20">
        <v>5878038.8200000003</v>
      </c>
      <c r="G2031" s="22">
        <v>46171</v>
      </c>
      <c r="H2031" t="s">
        <v>79</v>
      </c>
      <c r="I2031" s="51" t="str">
        <f>IFERROR(IF(VLOOKUP(E2031,extracto!C:C,1,FALSE)=E2031,"pagado","no pagado"),"no pagado")</f>
        <v>pagado</v>
      </c>
      <c r="J2031" s="52" t="str">
        <f t="shared" si="828"/>
        <v>pagado</v>
      </c>
      <c r="K2031" s="51" t="str">
        <f t="shared" ca="1" si="829"/>
        <v>excluir</v>
      </c>
      <c r="L2031" s="51" t="str">
        <f t="shared" ca="1" si="830"/>
        <v>no semana</v>
      </c>
      <c r="M2031" s="51" t="str">
        <f>IFERROR(VLOOKUP(E2031,'cheques a conf'!A:D,4,FALSE),"no clearing")</f>
        <v>no clearing</v>
      </c>
      <c r="N2031" s="51">
        <f t="shared" si="831"/>
        <v>22</v>
      </c>
      <c r="O2031" s="53">
        <f t="shared" si="832"/>
        <v>5</v>
      </c>
      <c r="P2031" s="53">
        <f t="shared" si="833"/>
        <v>2026</v>
      </c>
    </row>
    <row r="2032" spans="1:16" x14ac:dyDescent="0.25">
      <c r="A2032" s="21">
        <v>3000003049</v>
      </c>
      <c r="B2032" s="22">
        <v>46168</v>
      </c>
      <c r="C2032" s="20">
        <v>4969297.1500000004</v>
      </c>
      <c r="D2032" s="21" t="s">
        <v>680</v>
      </c>
      <c r="E2032" s="21">
        <v>91003175</v>
      </c>
      <c r="F2032" s="20">
        <v>4969297.1500000004</v>
      </c>
      <c r="G2032" s="22">
        <v>46171</v>
      </c>
      <c r="H2032" t="s">
        <v>79</v>
      </c>
      <c r="I2032" s="51" t="str">
        <f>IFERROR(IF(VLOOKUP(E2032,extracto!C:C,1,FALSE)=E2032,"pagado","no pagado"),"no pagado")</f>
        <v>pagado</v>
      </c>
      <c r="J2032" s="52" t="str">
        <f t="shared" si="828"/>
        <v>pagado</v>
      </c>
      <c r="K2032" s="51" t="str">
        <f t="shared" ca="1" si="829"/>
        <v>excluir</v>
      </c>
      <c r="L2032" s="51" t="str">
        <f t="shared" ca="1" si="830"/>
        <v>no semana</v>
      </c>
      <c r="M2032" s="51" t="str">
        <f>IFERROR(VLOOKUP(E2032,'cheques a conf'!A:D,4,FALSE),"no clearing")</f>
        <v>no clearing</v>
      </c>
      <c r="N2032" s="51">
        <f t="shared" si="831"/>
        <v>22</v>
      </c>
      <c r="O2032" s="53">
        <f t="shared" si="832"/>
        <v>5</v>
      </c>
      <c r="P2032" s="53">
        <f t="shared" si="833"/>
        <v>2026</v>
      </c>
    </row>
    <row r="2033" spans="1:16" x14ac:dyDescent="0.25">
      <c r="A2033" s="21">
        <v>3000003050</v>
      </c>
      <c r="B2033" s="22">
        <v>46168</v>
      </c>
      <c r="C2033" s="20">
        <v>10508834.92</v>
      </c>
      <c r="D2033" s="21" t="s">
        <v>672</v>
      </c>
      <c r="E2033" s="21">
        <v>91003176</v>
      </c>
      <c r="F2033" s="20">
        <v>10508834.92</v>
      </c>
      <c r="G2033" s="22">
        <v>46171</v>
      </c>
      <c r="H2033" t="s">
        <v>79</v>
      </c>
      <c r="I2033" s="51" t="str">
        <f>IFERROR(IF(VLOOKUP(E2033,extracto!C:C,1,FALSE)=E2033,"pagado","no pagado"),"no pagado")</f>
        <v>pagado</v>
      </c>
      <c r="J2033" s="52" t="str">
        <f t="shared" si="828"/>
        <v>pagado</v>
      </c>
      <c r="K2033" s="51" t="str">
        <f t="shared" ca="1" si="829"/>
        <v>excluir</v>
      </c>
      <c r="L2033" s="51" t="str">
        <f t="shared" ca="1" si="830"/>
        <v>no semana</v>
      </c>
      <c r="M2033" s="51" t="str">
        <f>IFERROR(VLOOKUP(E2033,'cheques a conf'!A:D,4,FALSE),"no clearing")</f>
        <v>no clearing</v>
      </c>
      <c r="N2033" s="51">
        <f t="shared" si="831"/>
        <v>22</v>
      </c>
      <c r="O2033" s="53">
        <f t="shared" si="832"/>
        <v>5</v>
      </c>
      <c r="P2033" s="53">
        <f t="shared" si="833"/>
        <v>2026</v>
      </c>
    </row>
    <row r="2034" spans="1:16" x14ac:dyDescent="0.25">
      <c r="A2034" s="21">
        <v>3000003051</v>
      </c>
      <c r="B2034" s="22">
        <v>46168</v>
      </c>
      <c r="C2034" s="20">
        <v>8442301.1799999997</v>
      </c>
      <c r="D2034" s="21" t="s">
        <v>619</v>
      </c>
      <c r="E2034" s="21">
        <v>91003177</v>
      </c>
      <c r="F2034" s="20">
        <v>8442301.1799999997</v>
      </c>
      <c r="G2034" s="22">
        <v>46171</v>
      </c>
      <c r="H2034" t="s">
        <v>79</v>
      </c>
      <c r="I2034" s="51" t="str">
        <f>IFERROR(IF(VLOOKUP(E2034,extracto!C:C,1,FALSE)=E2034,"pagado","no pagado"),"no pagado")</f>
        <v>pagado</v>
      </c>
      <c r="J2034" s="52" t="str">
        <f t="shared" si="828"/>
        <v>pagado</v>
      </c>
      <c r="K2034" s="51" t="str">
        <f t="shared" ca="1" si="829"/>
        <v>excluir</v>
      </c>
      <c r="L2034" s="51" t="str">
        <f t="shared" ca="1" si="830"/>
        <v>no semana</v>
      </c>
      <c r="M2034" s="51" t="str">
        <f>IFERROR(VLOOKUP(E2034,'cheques a conf'!A:D,4,FALSE),"no clearing")</f>
        <v>no clearing</v>
      </c>
      <c r="N2034" s="51">
        <f t="shared" si="831"/>
        <v>22</v>
      </c>
      <c r="O2034" s="53">
        <f t="shared" si="832"/>
        <v>5</v>
      </c>
      <c r="P2034" s="53">
        <f t="shared" si="833"/>
        <v>2026</v>
      </c>
    </row>
    <row r="2035" spans="1:16" x14ac:dyDescent="0.25">
      <c r="A2035" s="21">
        <v>3000003052</v>
      </c>
      <c r="B2035" s="22">
        <v>46168</v>
      </c>
      <c r="C2035" s="20">
        <v>8306862.6100000003</v>
      </c>
      <c r="D2035" s="21" t="s">
        <v>616</v>
      </c>
      <c r="E2035" s="21">
        <v>91003178</v>
      </c>
      <c r="F2035" s="20">
        <v>8306862.6100000003</v>
      </c>
      <c r="G2035" s="22">
        <v>46171</v>
      </c>
      <c r="H2035" t="s">
        <v>79</v>
      </c>
      <c r="I2035" s="51" t="str">
        <f>IFERROR(IF(VLOOKUP(E2035,extracto!C:C,1,FALSE)=E2035,"pagado","no pagado"),"no pagado")</f>
        <v>pagado</v>
      </c>
      <c r="J2035" s="52" t="str">
        <f t="shared" si="828"/>
        <v>pagado</v>
      </c>
      <c r="K2035" s="51" t="str">
        <f t="shared" ca="1" si="829"/>
        <v>excluir</v>
      </c>
      <c r="L2035" s="51" t="str">
        <f t="shared" ca="1" si="830"/>
        <v>no semana</v>
      </c>
      <c r="M2035" s="51" t="str">
        <f>IFERROR(VLOOKUP(E2035,'cheques a conf'!A:D,4,FALSE),"no clearing")</f>
        <v>no clearing</v>
      </c>
      <c r="N2035" s="51">
        <f t="shared" si="831"/>
        <v>22</v>
      </c>
      <c r="O2035" s="53">
        <f t="shared" si="832"/>
        <v>5</v>
      </c>
      <c r="P2035" s="53">
        <f t="shared" si="833"/>
        <v>2026</v>
      </c>
    </row>
    <row r="2036" spans="1:16" x14ac:dyDescent="0.25">
      <c r="A2036" s="21">
        <v>3000003053</v>
      </c>
      <c r="B2036" s="22">
        <v>46168</v>
      </c>
      <c r="C2036" s="20">
        <v>19215740.739999998</v>
      </c>
      <c r="D2036" s="21" t="s">
        <v>613</v>
      </c>
      <c r="E2036" s="21">
        <v>91003179</v>
      </c>
      <c r="F2036" s="20">
        <v>19215740.739999998</v>
      </c>
      <c r="G2036" s="22">
        <v>46171</v>
      </c>
      <c r="H2036" t="s">
        <v>79</v>
      </c>
      <c r="I2036" s="51" t="str">
        <f>IFERROR(IF(VLOOKUP(E2036,extracto!C:C,1,FALSE)=E2036,"pagado","no pagado"),"no pagado")</f>
        <v>pagado</v>
      </c>
      <c r="J2036" s="52" t="str">
        <f t="shared" si="828"/>
        <v>pagado</v>
      </c>
      <c r="K2036" s="51" t="str">
        <f t="shared" ca="1" si="829"/>
        <v>excluir</v>
      </c>
      <c r="L2036" s="51" t="str">
        <f t="shared" ca="1" si="830"/>
        <v>no semana</v>
      </c>
      <c r="M2036" s="51" t="str">
        <f>IFERROR(VLOOKUP(E2036,'cheques a conf'!A:D,4,FALSE),"no clearing")</f>
        <v>no clearing</v>
      </c>
      <c r="N2036" s="51">
        <f t="shared" si="831"/>
        <v>22</v>
      </c>
      <c r="O2036" s="53">
        <f t="shared" si="832"/>
        <v>5</v>
      </c>
      <c r="P2036" s="53">
        <f t="shared" si="833"/>
        <v>2026</v>
      </c>
    </row>
    <row r="2037" spans="1:16" x14ac:dyDescent="0.25">
      <c r="A2037" s="21">
        <v>3000003054</v>
      </c>
      <c r="B2037" s="22">
        <v>46168</v>
      </c>
      <c r="C2037" s="20">
        <v>270032.24</v>
      </c>
      <c r="D2037" s="21" t="s">
        <v>654</v>
      </c>
      <c r="E2037" s="21">
        <v>91003180</v>
      </c>
      <c r="F2037" s="20">
        <v>270032.24</v>
      </c>
      <c r="G2037" s="22">
        <v>46171</v>
      </c>
      <c r="H2037" t="s">
        <v>79</v>
      </c>
      <c r="I2037" s="51" t="str">
        <f>IFERROR(IF(VLOOKUP(E2037,extracto!C:C,1,FALSE)=E2037,"pagado","no pagado"),"no pagado")</f>
        <v>pagado</v>
      </c>
      <c r="J2037" s="52" t="str">
        <f t="shared" si="828"/>
        <v>pagado</v>
      </c>
      <c r="K2037" s="51" t="str">
        <f t="shared" ca="1" si="829"/>
        <v>excluir</v>
      </c>
      <c r="L2037" s="51" t="str">
        <f t="shared" ca="1" si="830"/>
        <v>no semana</v>
      </c>
      <c r="M2037" s="51" t="str">
        <f>IFERROR(VLOOKUP(E2037,'cheques a conf'!A:D,4,FALSE),"no clearing")</f>
        <v>no clearing</v>
      </c>
      <c r="N2037" s="51">
        <f t="shared" si="831"/>
        <v>22</v>
      </c>
      <c r="O2037" s="53">
        <f t="shared" si="832"/>
        <v>5</v>
      </c>
      <c r="P2037" s="53">
        <f t="shared" si="833"/>
        <v>2026</v>
      </c>
    </row>
    <row r="2038" spans="1:16" x14ac:dyDescent="0.25">
      <c r="A2038" s="21">
        <v>3000003026</v>
      </c>
      <c r="B2038" s="22">
        <v>46168</v>
      </c>
      <c r="C2038" s="20">
        <v>0</v>
      </c>
      <c r="D2038" s="21" t="s">
        <v>162</v>
      </c>
      <c r="E2038" s="21">
        <v>91003151</v>
      </c>
      <c r="F2038" s="20">
        <v>0</v>
      </c>
      <c r="G2038" s="22">
        <v>46182</v>
      </c>
      <c r="H2038" t="s">
        <v>79</v>
      </c>
      <c r="I2038" s="51" t="str">
        <f>IFERROR(IF(VLOOKUP(E2038,extracto!C:C,1,FALSE)=E2038,"pagado","no pagado"),"no pagado")</f>
        <v>no pagado</v>
      </c>
      <c r="J2038" s="52" t="str">
        <f t="shared" ca="1" si="828"/>
        <v>fuera de fecha</v>
      </c>
      <c r="K2038" s="51" t="str">
        <f t="shared" ca="1" si="829"/>
        <v>excluir</v>
      </c>
      <c r="L2038" s="51" t="str">
        <f t="shared" ca="1" si="830"/>
        <v>no semana</v>
      </c>
      <c r="M2038" s="51" t="str">
        <f>IFERROR(VLOOKUP(E2038,'cheques a conf'!A:D,4,FALSE),"no clearing")</f>
        <v>no clearing</v>
      </c>
      <c r="N2038" s="51">
        <f t="shared" si="831"/>
        <v>24</v>
      </c>
      <c r="O2038" s="53">
        <f t="shared" si="832"/>
        <v>6</v>
      </c>
      <c r="P2038" s="53">
        <f t="shared" si="833"/>
        <v>2026</v>
      </c>
    </row>
    <row r="2039" spans="1:16" x14ac:dyDescent="0.25">
      <c r="A2039" s="21">
        <v>3000003026</v>
      </c>
      <c r="B2039" s="22">
        <v>46168</v>
      </c>
      <c r="C2039" s="20">
        <v>0</v>
      </c>
      <c r="D2039" s="21" t="s">
        <v>162</v>
      </c>
      <c r="E2039" s="21">
        <v>91003152</v>
      </c>
      <c r="F2039" s="20">
        <v>0</v>
      </c>
      <c r="G2039" s="22">
        <v>46189</v>
      </c>
      <c r="H2039" t="s">
        <v>79</v>
      </c>
      <c r="I2039" s="51" t="str">
        <f>IFERROR(IF(VLOOKUP(E2039,extracto!C:C,1,FALSE)=E2039,"pagado","no pagado"),"no pagado")</f>
        <v>no pagado</v>
      </c>
      <c r="J2039" s="52" t="str">
        <f t="shared" ca="1" si="828"/>
        <v>fuera de fecha</v>
      </c>
      <c r="K2039" s="51" t="str">
        <f t="shared" ca="1" si="829"/>
        <v>excluir</v>
      </c>
      <c r="L2039" s="51" t="str">
        <f t="shared" ca="1" si="830"/>
        <v>no semana</v>
      </c>
      <c r="M2039" s="51" t="str">
        <f>IFERROR(VLOOKUP(E2039,'cheques a conf'!A:D,4,FALSE),"no clearing")</f>
        <v>no clearing</v>
      </c>
      <c r="N2039" s="51">
        <f t="shared" si="831"/>
        <v>25</v>
      </c>
      <c r="O2039" s="53">
        <f t="shared" si="832"/>
        <v>6</v>
      </c>
      <c r="P2039" s="53">
        <f t="shared" si="833"/>
        <v>2026</v>
      </c>
    </row>
    <row r="2040" spans="1:16" x14ac:dyDescent="0.25">
      <c r="A2040" s="21">
        <v>3000003199</v>
      </c>
      <c r="B2040" s="22">
        <v>46174</v>
      </c>
      <c r="C2040" s="20">
        <v>3035073.08</v>
      </c>
      <c r="D2040" s="21" t="s">
        <v>611</v>
      </c>
      <c r="E2040" s="21">
        <v>61301844</v>
      </c>
      <c r="F2040" s="20">
        <v>3035073.08</v>
      </c>
      <c r="G2040" s="22">
        <v>46176</v>
      </c>
      <c r="H2040" t="s">
        <v>79</v>
      </c>
      <c r="I2040" s="51" t="str">
        <f>IFERROR(IF(VLOOKUP(E2040,extracto!C:C,1,FALSE)=E2040,"pagado","no pagado"),"no pagado")</f>
        <v>pagado</v>
      </c>
      <c r="J2040" s="52" t="str">
        <f t="shared" ref="J2040:J2062" si="834">IF(I2040="pagado","pagado",IF(G2040&lt;$V$1-30,"fuera de fecha","en periodo de pago"))</f>
        <v>pagado</v>
      </c>
      <c r="K2040" s="51" t="str">
        <f t="shared" ref="K2040:K2062" ca="1" si="835">+IF(B2040&gt;$V$1,"excluir",IF(J2040="en periodo de pago",IF($V$1&gt;G2040,"a pagar","proximo a vencer"),"excluir"))</f>
        <v>excluir</v>
      </c>
      <c r="L2040" s="51" t="str">
        <f t="shared" ref="L2040:L2062" ca="1" si="836">+IF(K2040="proximo a vencer",IF($V$1+5&gt;G2040,"para la semana","no semana"),"no semana")</f>
        <v>no semana</v>
      </c>
      <c r="M2040" s="51" t="str">
        <f>IFERROR(VLOOKUP(E2040,'cheques a conf'!A:D,4,FALSE),"no clearing")</f>
        <v>no clearing</v>
      </c>
      <c r="N2040" s="51">
        <f t="shared" ref="N2040:N2062" si="837">+WEEKNUM(G2040,2)</f>
        <v>23</v>
      </c>
      <c r="O2040" s="53">
        <f t="shared" ref="O2040:O2062" si="838">+MONTH(G2040)</f>
        <v>6</v>
      </c>
      <c r="P2040" s="53">
        <f t="shared" ref="P2040:P2062" si="839">+YEAR(G2040)</f>
        <v>2026</v>
      </c>
    </row>
    <row r="2041" spans="1:16" x14ac:dyDescent="0.25">
      <c r="A2041" s="21">
        <v>3000003198</v>
      </c>
      <c r="B2041" s="22">
        <v>46174</v>
      </c>
      <c r="C2041" s="20">
        <v>6867907.04</v>
      </c>
      <c r="D2041" s="21" t="s">
        <v>810</v>
      </c>
      <c r="E2041" s="21">
        <v>91003181</v>
      </c>
      <c r="F2041" s="20">
        <v>6867907.04</v>
      </c>
      <c r="G2041" s="22">
        <v>46176</v>
      </c>
      <c r="H2041" t="s">
        <v>79</v>
      </c>
      <c r="I2041" s="51" t="str">
        <f>IFERROR(IF(VLOOKUP(E2041,extracto!C:C,1,FALSE)=E2041,"pagado","no pagado"),"no pagado")</f>
        <v>pagado</v>
      </c>
      <c r="J2041" s="52" t="str">
        <f t="shared" si="834"/>
        <v>pagado</v>
      </c>
      <c r="K2041" s="51" t="str">
        <f t="shared" ca="1" si="835"/>
        <v>excluir</v>
      </c>
      <c r="L2041" s="51" t="str">
        <f t="shared" ca="1" si="836"/>
        <v>no semana</v>
      </c>
      <c r="M2041" s="51" t="str">
        <f>IFERROR(VLOOKUP(E2041,'cheques a conf'!A:D,4,FALSE),"no clearing")</f>
        <v>no clearing</v>
      </c>
      <c r="N2041" s="51">
        <f t="shared" si="837"/>
        <v>23</v>
      </c>
      <c r="O2041" s="53">
        <f t="shared" si="838"/>
        <v>6</v>
      </c>
      <c r="P2041" s="53">
        <f t="shared" si="839"/>
        <v>2026</v>
      </c>
    </row>
    <row r="2042" spans="1:16" x14ac:dyDescent="0.25">
      <c r="A2042" s="21">
        <v>3000003200</v>
      </c>
      <c r="B2042" s="22">
        <v>46174</v>
      </c>
      <c r="C2042" s="20">
        <v>28510473</v>
      </c>
      <c r="D2042" s="21" t="s">
        <v>1735</v>
      </c>
      <c r="E2042" s="21">
        <v>91003182</v>
      </c>
      <c r="F2042" s="20">
        <v>28510473</v>
      </c>
      <c r="G2042" s="22">
        <v>46176</v>
      </c>
      <c r="H2042" t="s">
        <v>79</v>
      </c>
      <c r="I2042" s="51" t="str">
        <f>IFERROR(IF(VLOOKUP(E2042,extracto!C:C,1,FALSE)=E2042,"pagado","no pagado"),"no pagado")</f>
        <v>pagado</v>
      </c>
      <c r="J2042" s="52" t="str">
        <f t="shared" si="834"/>
        <v>pagado</v>
      </c>
      <c r="K2042" s="51" t="str">
        <f t="shared" ca="1" si="835"/>
        <v>excluir</v>
      </c>
      <c r="L2042" s="51" t="str">
        <f t="shared" ca="1" si="836"/>
        <v>no semana</v>
      </c>
      <c r="M2042" s="51" t="str">
        <f>IFERROR(VLOOKUP(E2042,'cheques a conf'!A:D,4,FALSE),"no clearing")</f>
        <v>no clearing</v>
      </c>
      <c r="N2042" s="51">
        <f t="shared" si="837"/>
        <v>23</v>
      </c>
      <c r="O2042" s="53">
        <f t="shared" si="838"/>
        <v>6</v>
      </c>
      <c r="P2042" s="53">
        <f t="shared" si="839"/>
        <v>2026</v>
      </c>
    </row>
    <row r="2043" spans="1:16" x14ac:dyDescent="0.25">
      <c r="A2043" s="21">
        <v>3000003201</v>
      </c>
      <c r="B2043" s="22">
        <v>46174</v>
      </c>
      <c r="C2043" s="20">
        <v>10679001.24</v>
      </c>
      <c r="D2043" s="21" t="s">
        <v>72</v>
      </c>
      <c r="E2043" s="21">
        <v>91003183</v>
      </c>
      <c r="F2043" s="20">
        <v>10679001.24</v>
      </c>
      <c r="G2043" s="22">
        <v>46176</v>
      </c>
      <c r="H2043" t="s">
        <v>79</v>
      </c>
      <c r="I2043" s="51" t="str">
        <f>IFERROR(IF(VLOOKUP(E2043,extracto!C:C,1,FALSE)=E2043,"pagado","no pagado"),"no pagado")</f>
        <v>pagado</v>
      </c>
      <c r="J2043" s="52" t="str">
        <f t="shared" si="834"/>
        <v>pagado</v>
      </c>
      <c r="K2043" s="51" t="str">
        <f t="shared" ca="1" si="835"/>
        <v>excluir</v>
      </c>
      <c r="L2043" s="51" t="str">
        <f t="shared" ca="1" si="836"/>
        <v>no semana</v>
      </c>
      <c r="M2043" s="51" t="str">
        <f>IFERROR(VLOOKUP(E2043,'cheques a conf'!A:D,4,FALSE),"no clearing")</f>
        <v>no clearing</v>
      </c>
      <c r="N2043" s="51">
        <f t="shared" si="837"/>
        <v>23</v>
      </c>
      <c r="O2043" s="53">
        <f t="shared" si="838"/>
        <v>6</v>
      </c>
      <c r="P2043" s="53">
        <f t="shared" si="839"/>
        <v>2026</v>
      </c>
    </row>
    <row r="2044" spans="1:16" x14ac:dyDescent="0.25">
      <c r="A2044" s="21">
        <v>3000003202</v>
      </c>
      <c r="B2044" s="22">
        <v>46174</v>
      </c>
      <c r="C2044" s="20">
        <v>11848847.25</v>
      </c>
      <c r="D2044" s="21" t="s">
        <v>182</v>
      </c>
      <c r="E2044" s="21">
        <v>91003184</v>
      </c>
      <c r="F2044" s="20">
        <v>11848847.25</v>
      </c>
      <c r="G2044" s="22">
        <v>46176</v>
      </c>
      <c r="H2044" t="s">
        <v>79</v>
      </c>
      <c r="I2044" s="51" t="str">
        <f>IFERROR(IF(VLOOKUP(E2044,extracto!C:C,1,FALSE)=E2044,"pagado","no pagado"),"no pagado")</f>
        <v>pagado</v>
      </c>
      <c r="J2044" s="52" t="str">
        <f t="shared" si="834"/>
        <v>pagado</v>
      </c>
      <c r="K2044" s="51" t="str">
        <f t="shared" ca="1" si="835"/>
        <v>excluir</v>
      </c>
      <c r="L2044" s="51" t="str">
        <f t="shared" ca="1" si="836"/>
        <v>no semana</v>
      </c>
      <c r="M2044" s="51" t="str">
        <f>IFERROR(VLOOKUP(E2044,'cheques a conf'!A:D,4,FALSE),"no clearing")</f>
        <v>no clearing</v>
      </c>
      <c r="N2044" s="51">
        <f t="shared" si="837"/>
        <v>23</v>
      </c>
      <c r="O2044" s="53">
        <f t="shared" si="838"/>
        <v>6</v>
      </c>
      <c r="P2044" s="53">
        <f t="shared" si="839"/>
        <v>2026</v>
      </c>
    </row>
    <row r="2045" spans="1:16" x14ac:dyDescent="0.25">
      <c r="A2045" s="21">
        <v>3000003203</v>
      </c>
      <c r="B2045" s="22">
        <v>46174</v>
      </c>
      <c r="C2045" s="20">
        <v>17447056.370000001</v>
      </c>
      <c r="D2045" s="21" t="s">
        <v>1722</v>
      </c>
      <c r="E2045" s="21">
        <v>91003185</v>
      </c>
      <c r="F2045" s="20">
        <v>17447056.370000001</v>
      </c>
      <c r="G2045" s="22">
        <v>46176</v>
      </c>
      <c r="H2045" t="s">
        <v>79</v>
      </c>
      <c r="I2045" s="51" t="str">
        <f>IFERROR(IF(VLOOKUP(E2045,extracto!C:C,1,FALSE)=E2045,"pagado","no pagado"),"no pagado")</f>
        <v>pagado</v>
      </c>
      <c r="J2045" s="52" t="str">
        <f t="shared" si="834"/>
        <v>pagado</v>
      </c>
      <c r="K2045" s="51" t="str">
        <f t="shared" ca="1" si="835"/>
        <v>excluir</v>
      </c>
      <c r="L2045" s="51" t="str">
        <f t="shared" ca="1" si="836"/>
        <v>no semana</v>
      </c>
      <c r="M2045" s="51" t="str">
        <f>IFERROR(VLOOKUP(E2045,'cheques a conf'!A:D,4,FALSE),"no clearing")</f>
        <v>no clearing</v>
      </c>
      <c r="N2045" s="51">
        <f t="shared" si="837"/>
        <v>23</v>
      </c>
      <c r="O2045" s="53">
        <f t="shared" si="838"/>
        <v>6</v>
      </c>
      <c r="P2045" s="53">
        <f t="shared" si="839"/>
        <v>2026</v>
      </c>
    </row>
    <row r="2046" spans="1:16" x14ac:dyDescent="0.25">
      <c r="A2046" s="21">
        <v>3000003204</v>
      </c>
      <c r="B2046" s="22">
        <v>46174</v>
      </c>
      <c r="C2046" s="20">
        <v>8400000</v>
      </c>
      <c r="D2046" s="21" t="s">
        <v>1736</v>
      </c>
      <c r="E2046" s="21">
        <v>91003186</v>
      </c>
      <c r="F2046" s="20">
        <v>8400000</v>
      </c>
      <c r="G2046" s="22">
        <v>46176</v>
      </c>
      <c r="H2046" t="s">
        <v>79</v>
      </c>
      <c r="I2046" s="51" t="str">
        <f>IFERROR(IF(VLOOKUP(E2046,extracto!C:C,1,FALSE)=E2046,"pagado","no pagado"),"no pagado")</f>
        <v>pagado</v>
      </c>
      <c r="J2046" s="52" t="str">
        <f t="shared" si="834"/>
        <v>pagado</v>
      </c>
      <c r="K2046" s="51" t="str">
        <f t="shared" ca="1" si="835"/>
        <v>excluir</v>
      </c>
      <c r="L2046" s="51" t="str">
        <f t="shared" ca="1" si="836"/>
        <v>no semana</v>
      </c>
      <c r="M2046" s="51" t="str">
        <f>IFERROR(VLOOKUP(E2046,'cheques a conf'!A:D,4,FALSE),"no clearing")</f>
        <v>no clearing</v>
      </c>
      <c r="N2046" s="51">
        <f t="shared" si="837"/>
        <v>23</v>
      </c>
      <c r="O2046" s="53">
        <f t="shared" si="838"/>
        <v>6</v>
      </c>
      <c r="P2046" s="53">
        <f t="shared" si="839"/>
        <v>2026</v>
      </c>
    </row>
    <row r="2047" spans="1:16" x14ac:dyDescent="0.25">
      <c r="A2047" s="21">
        <v>3000003239</v>
      </c>
      <c r="B2047" s="22">
        <v>46175</v>
      </c>
      <c r="C2047" s="20">
        <v>20000000</v>
      </c>
      <c r="D2047" s="21" t="s">
        <v>661</v>
      </c>
      <c r="E2047" s="21">
        <v>91003191</v>
      </c>
      <c r="F2047" s="20">
        <v>20000000</v>
      </c>
      <c r="G2047" s="22">
        <v>46177</v>
      </c>
      <c r="H2047" t="s">
        <v>79</v>
      </c>
      <c r="I2047" s="51" t="str">
        <f>IFERROR(IF(VLOOKUP(E2047,extracto!C:C,1,FALSE)=E2047,"pagado","no pagado"),"no pagado")</f>
        <v>pagado</v>
      </c>
      <c r="J2047" s="52" t="str">
        <f t="shared" si="834"/>
        <v>pagado</v>
      </c>
      <c r="K2047" s="51" t="str">
        <f t="shared" ca="1" si="835"/>
        <v>excluir</v>
      </c>
      <c r="L2047" s="51" t="str">
        <f t="shared" ca="1" si="836"/>
        <v>no semana</v>
      </c>
      <c r="M2047" s="51" t="str">
        <f>IFERROR(VLOOKUP(E2047,'cheques a conf'!A:D,4,FALSE),"no clearing")</f>
        <v>no clearing</v>
      </c>
      <c r="N2047" s="51">
        <f t="shared" si="837"/>
        <v>23</v>
      </c>
      <c r="O2047" s="53">
        <f t="shared" si="838"/>
        <v>6</v>
      </c>
      <c r="P2047" s="53">
        <f t="shared" si="839"/>
        <v>2026</v>
      </c>
    </row>
    <row r="2048" spans="1:16" x14ac:dyDescent="0.25">
      <c r="A2048" s="21">
        <v>3000003239</v>
      </c>
      <c r="B2048" s="22">
        <v>46175</v>
      </c>
      <c r="C2048" s="20">
        <v>11523274.1</v>
      </c>
      <c r="D2048" s="21" t="s">
        <v>661</v>
      </c>
      <c r="E2048" s="21">
        <v>91003192</v>
      </c>
      <c r="F2048" s="20">
        <v>11523274.1</v>
      </c>
      <c r="G2048" s="22">
        <v>46178</v>
      </c>
      <c r="H2048" t="s">
        <v>79</v>
      </c>
      <c r="I2048" s="51" t="str">
        <f>IFERROR(IF(VLOOKUP(E2048,extracto!C:C,1,FALSE)=E2048,"pagado","no pagado"),"no pagado")</f>
        <v>pagado</v>
      </c>
      <c r="J2048" s="52" t="str">
        <f t="shared" si="834"/>
        <v>pagado</v>
      </c>
      <c r="K2048" s="51" t="str">
        <f t="shared" ca="1" si="835"/>
        <v>excluir</v>
      </c>
      <c r="L2048" s="51" t="str">
        <f t="shared" ca="1" si="836"/>
        <v>no semana</v>
      </c>
      <c r="M2048" s="51" t="str">
        <f>IFERROR(VLOOKUP(E2048,'cheques a conf'!A:D,4,FALSE),"no clearing")</f>
        <v>no clearing</v>
      </c>
      <c r="N2048" s="51">
        <f t="shared" si="837"/>
        <v>23</v>
      </c>
      <c r="O2048" s="53">
        <f t="shared" si="838"/>
        <v>6</v>
      </c>
      <c r="P2048" s="53">
        <f t="shared" si="839"/>
        <v>2026</v>
      </c>
    </row>
    <row r="2049" spans="1:16" x14ac:dyDescent="0.25">
      <c r="A2049" s="21">
        <v>3000003235</v>
      </c>
      <c r="B2049" s="22">
        <v>46175</v>
      </c>
      <c r="C2049" s="20">
        <v>6153158.0099999998</v>
      </c>
      <c r="D2049" s="21" t="s">
        <v>1737</v>
      </c>
      <c r="E2049" s="21">
        <v>91003187</v>
      </c>
      <c r="F2049" s="20">
        <v>6153158.0099999998</v>
      </c>
      <c r="G2049" s="22">
        <v>46178</v>
      </c>
      <c r="H2049" t="s">
        <v>79</v>
      </c>
      <c r="I2049" s="51" t="str">
        <f>IFERROR(IF(VLOOKUP(E2049,extracto!C:C,1,FALSE)=E2049,"pagado","no pagado"),"no pagado")</f>
        <v>pagado</v>
      </c>
      <c r="J2049" s="52" t="str">
        <f t="shared" si="834"/>
        <v>pagado</v>
      </c>
      <c r="K2049" s="51" t="str">
        <f t="shared" ca="1" si="835"/>
        <v>excluir</v>
      </c>
      <c r="L2049" s="51" t="str">
        <f t="shared" ca="1" si="836"/>
        <v>no semana</v>
      </c>
      <c r="M2049" s="51" t="str">
        <f>IFERROR(VLOOKUP(E2049,'cheques a conf'!A:D,4,FALSE),"no clearing")</f>
        <v>no clearing</v>
      </c>
      <c r="N2049" s="51">
        <f t="shared" si="837"/>
        <v>23</v>
      </c>
      <c r="O2049" s="53">
        <f t="shared" si="838"/>
        <v>6</v>
      </c>
      <c r="P2049" s="53">
        <f t="shared" si="839"/>
        <v>2026</v>
      </c>
    </row>
    <row r="2050" spans="1:16" x14ac:dyDescent="0.25">
      <c r="A2050" s="21">
        <v>3000003236</v>
      </c>
      <c r="B2050" s="22">
        <v>46175</v>
      </c>
      <c r="C2050" s="20">
        <v>6645020.5700000003</v>
      </c>
      <c r="D2050" s="21" t="s">
        <v>689</v>
      </c>
      <c r="E2050" s="21">
        <v>91003188</v>
      </c>
      <c r="F2050" s="20">
        <v>6645020.5700000003</v>
      </c>
      <c r="G2050" s="22">
        <v>46178</v>
      </c>
      <c r="H2050" t="s">
        <v>79</v>
      </c>
      <c r="I2050" s="51" t="str">
        <f>IFERROR(IF(VLOOKUP(E2050,extracto!C:C,1,FALSE)=E2050,"pagado","no pagado"),"no pagado")</f>
        <v>pagado</v>
      </c>
      <c r="J2050" s="52" t="str">
        <f t="shared" si="834"/>
        <v>pagado</v>
      </c>
      <c r="K2050" s="51" t="str">
        <f t="shared" ca="1" si="835"/>
        <v>excluir</v>
      </c>
      <c r="L2050" s="51" t="str">
        <f t="shared" ca="1" si="836"/>
        <v>no semana</v>
      </c>
      <c r="M2050" s="51" t="str">
        <f>IFERROR(VLOOKUP(E2050,'cheques a conf'!A:D,4,FALSE),"no clearing")</f>
        <v>no clearing</v>
      </c>
      <c r="N2050" s="51">
        <f t="shared" si="837"/>
        <v>23</v>
      </c>
      <c r="O2050" s="53">
        <f t="shared" si="838"/>
        <v>6</v>
      </c>
      <c r="P2050" s="53">
        <f t="shared" si="839"/>
        <v>2026</v>
      </c>
    </row>
    <row r="2051" spans="1:16" x14ac:dyDescent="0.25">
      <c r="A2051" s="21">
        <v>3000003237</v>
      </c>
      <c r="B2051" s="22">
        <v>46175</v>
      </c>
      <c r="C2051" s="20">
        <v>6469278.04</v>
      </c>
      <c r="D2051" s="21" t="s">
        <v>777</v>
      </c>
      <c r="E2051" s="21">
        <v>91003189</v>
      </c>
      <c r="F2051" s="20">
        <v>6469278.04</v>
      </c>
      <c r="G2051" s="22">
        <v>46178</v>
      </c>
      <c r="H2051" t="s">
        <v>79</v>
      </c>
      <c r="I2051" s="51" t="str">
        <f>IFERROR(IF(VLOOKUP(E2051,extracto!C:C,1,FALSE)=E2051,"pagado","no pagado"),"no pagado")</f>
        <v>pagado</v>
      </c>
      <c r="J2051" s="52" t="str">
        <f t="shared" si="834"/>
        <v>pagado</v>
      </c>
      <c r="K2051" s="51" t="str">
        <f t="shared" ca="1" si="835"/>
        <v>excluir</v>
      </c>
      <c r="L2051" s="51" t="str">
        <f t="shared" ca="1" si="836"/>
        <v>no semana</v>
      </c>
      <c r="M2051" s="51" t="str">
        <f>IFERROR(VLOOKUP(E2051,'cheques a conf'!A:D,4,FALSE),"no clearing")</f>
        <v>no clearing</v>
      </c>
      <c r="N2051" s="51">
        <f t="shared" si="837"/>
        <v>23</v>
      </c>
      <c r="O2051" s="53">
        <f t="shared" si="838"/>
        <v>6</v>
      </c>
      <c r="P2051" s="53">
        <f t="shared" si="839"/>
        <v>2026</v>
      </c>
    </row>
    <row r="2052" spans="1:16" x14ac:dyDescent="0.25">
      <c r="A2052" s="21">
        <v>3000003238</v>
      </c>
      <c r="B2052" s="22">
        <v>46175</v>
      </c>
      <c r="C2052" s="20">
        <v>7618281.8300000001</v>
      </c>
      <c r="D2052" s="21" t="s">
        <v>68</v>
      </c>
      <c r="E2052" s="21">
        <v>91003190</v>
      </c>
      <c r="F2052" s="20">
        <v>7618281.8300000001</v>
      </c>
      <c r="G2052" s="22">
        <v>46178</v>
      </c>
      <c r="H2052" t="s">
        <v>79</v>
      </c>
      <c r="I2052" s="51" t="str">
        <f>IFERROR(IF(VLOOKUP(E2052,extracto!C:C,1,FALSE)=E2052,"pagado","no pagado"),"no pagado")</f>
        <v>pagado</v>
      </c>
      <c r="J2052" s="52" t="str">
        <f t="shared" si="834"/>
        <v>pagado</v>
      </c>
      <c r="K2052" s="51" t="str">
        <f t="shared" ca="1" si="835"/>
        <v>excluir</v>
      </c>
      <c r="L2052" s="51" t="str">
        <f t="shared" ca="1" si="836"/>
        <v>no semana</v>
      </c>
      <c r="M2052" s="51" t="str">
        <f>IFERROR(VLOOKUP(E2052,'cheques a conf'!A:D,4,FALSE),"no clearing")</f>
        <v>no clearing</v>
      </c>
      <c r="N2052" s="51">
        <f t="shared" si="837"/>
        <v>23</v>
      </c>
      <c r="O2052" s="53">
        <f t="shared" si="838"/>
        <v>6</v>
      </c>
      <c r="P2052" s="53">
        <f t="shared" si="839"/>
        <v>2026</v>
      </c>
    </row>
    <row r="2053" spans="1:16" x14ac:dyDescent="0.25">
      <c r="A2053" s="21">
        <v>3000003240</v>
      </c>
      <c r="B2053" s="22">
        <v>46175</v>
      </c>
      <c r="C2053" s="20">
        <v>7874845.6900000004</v>
      </c>
      <c r="D2053" s="21" t="s">
        <v>623</v>
      </c>
      <c r="E2053" s="21">
        <v>91003193</v>
      </c>
      <c r="F2053" s="20">
        <v>7874845.6900000004</v>
      </c>
      <c r="G2053" s="22">
        <v>46178</v>
      </c>
      <c r="H2053" t="s">
        <v>79</v>
      </c>
      <c r="I2053" s="51" t="str">
        <f>IFERROR(IF(VLOOKUP(E2053,extracto!C:C,1,FALSE)=E2053,"pagado","no pagado"),"no pagado")</f>
        <v>pagado</v>
      </c>
      <c r="J2053" s="52" t="str">
        <f t="shared" si="834"/>
        <v>pagado</v>
      </c>
      <c r="K2053" s="51" t="str">
        <f t="shared" ca="1" si="835"/>
        <v>excluir</v>
      </c>
      <c r="L2053" s="51" t="str">
        <f t="shared" ca="1" si="836"/>
        <v>no semana</v>
      </c>
      <c r="M2053" s="51" t="str">
        <f>IFERROR(VLOOKUP(E2053,'cheques a conf'!A:D,4,FALSE),"no clearing")</f>
        <v>no clearing</v>
      </c>
      <c r="N2053" s="51">
        <f t="shared" si="837"/>
        <v>23</v>
      </c>
      <c r="O2053" s="53">
        <f t="shared" si="838"/>
        <v>6</v>
      </c>
      <c r="P2053" s="53">
        <f t="shared" si="839"/>
        <v>2026</v>
      </c>
    </row>
    <row r="2054" spans="1:16" x14ac:dyDescent="0.25">
      <c r="A2054" s="21">
        <v>3000003241</v>
      </c>
      <c r="B2054" s="22">
        <v>46175</v>
      </c>
      <c r="C2054" s="20">
        <v>7874797.04</v>
      </c>
      <c r="D2054" s="21" t="s">
        <v>616</v>
      </c>
      <c r="E2054" s="21">
        <v>91003194</v>
      </c>
      <c r="F2054" s="20">
        <v>7874797.04</v>
      </c>
      <c r="G2054" s="22">
        <v>46178</v>
      </c>
      <c r="H2054" t="s">
        <v>79</v>
      </c>
      <c r="I2054" s="51" t="str">
        <f>IFERROR(IF(VLOOKUP(E2054,extracto!C:C,1,FALSE)=E2054,"pagado","no pagado"),"no pagado")</f>
        <v>pagado</v>
      </c>
      <c r="J2054" s="52" t="str">
        <f t="shared" si="834"/>
        <v>pagado</v>
      </c>
      <c r="K2054" s="51" t="str">
        <f t="shared" ca="1" si="835"/>
        <v>excluir</v>
      </c>
      <c r="L2054" s="51" t="str">
        <f t="shared" ca="1" si="836"/>
        <v>no semana</v>
      </c>
      <c r="M2054" s="51" t="str">
        <f>IFERROR(VLOOKUP(E2054,'cheques a conf'!A:D,4,FALSE),"no clearing")</f>
        <v>no clearing</v>
      </c>
      <c r="N2054" s="51">
        <f t="shared" si="837"/>
        <v>23</v>
      </c>
      <c r="O2054" s="53">
        <f t="shared" si="838"/>
        <v>6</v>
      </c>
      <c r="P2054" s="53">
        <f t="shared" si="839"/>
        <v>2026</v>
      </c>
    </row>
    <row r="2055" spans="1:16" x14ac:dyDescent="0.25">
      <c r="A2055" s="21">
        <v>3000003242</v>
      </c>
      <c r="B2055" s="22">
        <v>46175</v>
      </c>
      <c r="C2055" s="20">
        <v>13742345.189999999</v>
      </c>
      <c r="D2055" s="21" t="s">
        <v>83</v>
      </c>
      <c r="E2055" s="21">
        <v>91003195</v>
      </c>
      <c r="F2055" s="20">
        <v>13742345.189999999</v>
      </c>
      <c r="G2055" s="22">
        <v>46178</v>
      </c>
      <c r="H2055" t="s">
        <v>79</v>
      </c>
      <c r="I2055" s="51" t="str">
        <f>IFERROR(IF(VLOOKUP(E2055,extracto!C:C,1,FALSE)=E2055,"pagado","no pagado"),"no pagado")</f>
        <v>pagado</v>
      </c>
      <c r="J2055" s="52" t="str">
        <f t="shared" si="834"/>
        <v>pagado</v>
      </c>
      <c r="K2055" s="51" t="str">
        <f t="shared" ca="1" si="835"/>
        <v>excluir</v>
      </c>
      <c r="L2055" s="51" t="str">
        <f t="shared" ca="1" si="836"/>
        <v>no semana</v>
      </c>
      <c r="M2055" s="51" t="str">
        <f>IFERROR(VLOOKUP(E2055,'cheques a conf'!A:D,4,FALSE),"no clearing")</f>
        <v>no clearing</v>
      </c>
      <c r="N2055" s="51">
        <f t="shared" si="837"/>
        <v>23</v>
      </c>
      <c r="O2055" s="53">
        <f t="shared" si="838"/>
        <v>6</v>
      </c>
      <c r="P2055" s="53">
        <f t="shared" si="839"/>
        <v>2026</v>
      </c>
    </row>
    <row r="2056" spans="1:16" x14ac:dyDescent="0.25">
      <c r="A2056" s="21">
        <v>3000003243</v>
      </c>
      <c r="B2056" s="22">
        <v>46175</v>
      </c>
      <c r="C2056" s="20">
        <v>29196776.23</v>
      </c>
      <c r="D2056" s="21" t="s">
        <v>613</v>
      </c>
      <c r="E2056" s="21">
        <v>91003196</v>
      </c>
      <c r="F2056" s="20">
        <v>29196776.23</v>
      </c>
      <c r="G2056" s="22">
        <v>46178</v>
      </c>
      <c r="H2056" t="s">
        <v>79</v>
      </c>
      <c r="I2056" s="51" t="str">
        <f>IFERROR(IF(VLOOKUP(E2056,extracto!C:C,1,FALSE)=E2056,"pagado","no pagado"),"no pagado")</f>
        <v>pagado</v>
      </c>
      <c r="J2056" s="52" t="str">
        <f t="shared" si="834"/>
        <v>pagado</v>
      </c>
      <c r="K2056" s="51" t="str">
        <f t="shared" ca="1" si="835"/>
        <v>excluir</v>
      </c>
      <c r="L2056" s="51" t="str">
        <f t="shared" ca="1" si="836"/>
        <v>no semana</v>
      </c>
      <c r="M2056" s="51" t="str">
        <f>IFERROR(VLOOKUP(E2056,'cheques a conf'!A:D,4,FALSE),"no clearing")</f>
        <v>no clearing</v>
      </c>
      <c r="N2056" s="51">
        <f t="shared" si="837"/>
        <v>23</v>
      </c>
      <c r="O2056" s="53">
        <f t="shared" si="838"/>
        <v>6</v>
      </c>
      <c r="P2056" s="53">
        <f t="shared" si="839"/>
        <v>2026</v>
      </c>
    </row>
    <row r="2057" spans="1:16" x14ac:dyDescent="0.25">
      <c r="A2057" s="21">
        <v>3000003244</v>
      </c>
      <c r="B2057" s="22">
        <v>46175</v>
      </c>
      <c r="C2057" s="20">
        <v>15376585.01</v>
      </c>
      <c r="D2057" s="21" t="s">
        <v>618</v>
      </c>
      <c r="E2057" s="21">
        <v>91003197</v>
      </c>
      <c r="F2057" s="20">
        <v>15376585.01</v>
      </c>
      <c r="G2057" s="22">
        <v>46178</v>
      </c>
      <c r="H2057" t="s">
        <v>79</v>
      </c>
      <c r="I2057" s="51" t="str">
        <f>IFERROR(IF(VLOOKUP(E2057,extracto!C:C,1,FALSE)=E2057,"pagado","no pagado"),"no pagado")</f>
        <v>pagado</v>
      </c>
      <c r="J2057" s="52" t="str">
        <f t="shared" si="834"/>
        <v>pagado</v>
      </c>
      <c r="K2057" s="51" t="str">
        <f t="shared" ca="1" si="835"/>
        <v>excluir</v>
      </c>
      <c r="L2057" s="51" t="str">
        <f t="shared" ca="1" si="836"/>
        <v>no semana</v>
      </c>
      <c r="M2057" s="51" t="str">
        <f>IFERROR(VLOOKUP(E2057,'cheques a conf'!A:D,4,FALSE),"no clearing")</f>
        <v>no clearing</v>
      </c>
      <c r="N2057" s="51">
        <f t="shared" si="837"/>
        <v>23</v>
      </c>
      <c r="O2057" s="53">
        <f t="shared" si="838"/>
        <v>6</v>
      </c>
      <c r="P2057" s="53">
        <f t="shared" si="839"/>
        <v>2026</v>
      </c>
    </row>
    <row r="2058" spans="1:16" x14ac:dyDescent="0.25">
      <c r="A2058" s="21">
        <v>3000003245</v>
      </c>
      <c r="B2058" s="22">
        <v>46175</v>
      </c>
      <c r="C2058" s="20">
        <v>13104593.51</v>
      </c>
      <c r="D2058" s="21" t="s">
        <v>619</v>
      </c>
      <c r="E2058" s="21">
        <v>91003198</v>
      </c>
      <c r="F2058" s="20">
        <v>13104593.51</v>
      </c>
      <c r="G2058" s="22">
        <v>46178</v>
      </c>
      <c r="H2058" t="s">
        <v>79</v>
      </c>
      <c r="I2058" s="51" t="str">
        <f>IFERROR(IF(VLOOKUP(E2058,extracto!C:C,1,FALSE)=E2058,"pagado","no pagado"),"no pagado")</f>
        <v>pagado</v>
      </c>
      <c r="J2058" s="52" t="str">
        <f t="shared" si="834"/>
        <v>pagado</v>
      </c>
      <c r="K2058" s="51" t="str">
        <f t="shared" ca="1" si="835"/>
        <v>excluir</v>
      </c>
      <c r="L2058" s="51" t="str">
        <f t="shared" ca="1" si="836"/>
        <v>no semana</v>
      </c>
      <c r="M2058" s="51" t="str">
        <f>IFERROR(VLOOKUP(E2058,'cheques a conf'!A:D,4,FALSE),"no clearing")</f>
        <v>no clearing</v>
      </c>
      <c r="N2058" s="51">
        <f t="shared" si="837"/>
        <v>23</v>
      </c>
      <c r="O2058" s="53">
        <f t="shared" si="838"/>
        <v>6</v>
      </c>
      <c r="P2058" s="53">
        <f t="shared" si="839"/>
        <v>2026</v>
      </c>
    </row>
    <row r="2059" spans="1:16" x14ac:dyDescent="0.25">
      <c r="A2059" s="21">
        <v>3000003246</v>
      </c>
      <c r="B2059" s="22">
        <v>46175</v>
      </c>
      <c r="C2059" s="20">
        <v>7924939.0599999996</v>
      </c>
      <c r="D2059" s="21" t="s">
        <v>612</v>
      </c>
      <c r="E2059" s="21">
        <v>91003199</v>
      </c>
      <c r="F2059" s="20">
        <v>7924939.0599999996</v>
      </c>
      <c r="G2059" s="22">
        <v>46178</v>
      </c>
      <c r="H2059" t="s">
        <v>79</v>
      </c>
      <c r="I2059" s="51" t="str">
        <f>IFERROR(IF(VLOOKUP(E2059,extracto!C:C,1,FALSE)=E2059,"pagado","no pagado"),"no pagado")</f>
        <v>pagado</v>
      </c>
      <c r="J2059" s="52" t="str">
        <f t="shared" si="834"/>
        <v>pagado</v>
      </c>
      <c r="K2059" s="51" t="str">
        <f t="shared" ca="1" si="835"/>
        <v>excluir</v>
      </c>
      <c r="L2059" s="51" t="str">
        <f t="shared" ca="1" si="836"/>
        <v>no semana</v>
      </c>
      <c r="M2059" s="51" t="str">
        <f>IFERROR(VLOOKUP(E2059,'cheques a conf'!A:D,4,FALSE),"no clearing")</f>
        <v>no clearing</v>
      </c>
      <c r="N2059" s="51">
        <f t="shared" si="837"/>
        <v>23</v>
      </c>
      <c r="O2059" s="53">
        <f t="shared" si="838"/>
        <v>6</v>
      </c>
      <c r="P2059" s="53">
        <f t="shared" si="839"/>
        <v>2026</v>
      </c>
    </row>
    <row r="2060" spans="1:16" x14ac:dyDescent="0.25">
      <c r="A2060" s="21">
        <v>3000003247</v>
      </c>
      <c r="B2060" s="22">
        <v>46175</v>
      </c>
      <c r="C2060" s="20">
        <v>9226018.1699999999</v>
      </c>
      <c r="D2060" s="21" t="s">
        <v>642</v>
      </c>
      <c r="E2060" s="21">
        <v>91003200</v>
      </c>
      <c r="F2060" s="20">
        <v>9226018.1699999999</v>
      </c>
      <c r="G2060" s="22">
        <v>46178</v>
      </c>
      <c r="H2060" t="s">
        <v>79</v>
      </c>
      <c r="I2060" s="51" t="str">
        <f>IFERROR(IF(VLOOKUP(E2060,extracto!C:C,1,FALSE)=E2060,"pagado","no pagado"),"no pagado")</f>
        <v>pagado</v>
      </c>
      <c r="J2060" s="52" t="str">
        <f t="shared" si="834"/>
        <v>pagado</v>
      </c>
      <c r="K2060" s="51" t="str">
        <f t="shared" ca="1" si="835"/>
        <v>excluir</v>
      </c>
      <c r="L2060" s="51" t="str">
        <f t="shared" ca="1" si="836"/>
        <v>no semana</v>
      </c>
      <c r="M2060" s="51" t="str">
        <f>IFERROR(VLOOKUP(E2060,'cheques a conf'!A:D,4,FALSE),"no clearing")</f>
        <v>no clearing</v>
      </c>
      <c r="N2060" s="51">
        <f t="shared" si="837"/>
        <v>23</v>
      </c>
      <c r="O2060" s="53">
        <f t="shared" si="838"/>
        <v>6</v>
      </c>
      <c r="P2060" s="53">
        <f t="shared" si="839"/>
        <v>2026</v>
      </c>
    </row>
    <row r="2061" spans="1:16" x14ac:dyDescent="0.25">
      <c r="A2061" s="21">
        <v>3000003248</v>
      </c>
      <c r="B2061" s="22">
        <v>46175</v>
      </c>
      <c r="C2061" s="20">
        <v>20967580.399999999</v>
      </c>
      <c r="D2061" s="21" t="s">
        <v>1738</v>
      </c>
      <c r="E2061" s="21">
        <v>91003201</v>
      </c>
      <c r="F2061" s="20">
        <v>20967580.399999999</v>
      </c>
      <c r="G2061" s="22">
        <v>46178</v>
      </c>
      <c r="H2061" t="s">
        <v>79</v>
      </c>
      <c r="I2061" s="51" t="str">
        <f>IFERROR(IF(VLOOKUP(E2061,extracto!C:C,1,FALSE)=E2061,"pagado","no pagado"),"no pagado")</f>
        <v>pagado</v>
      </c>
      <c r="J2061" s="52" t="str">
        <f t="shared" si="834"/>
        <v>pagado</v>
      </c>
      <c r="K2061" s="51" t="str">
        <f t="shared" ca="1" si="835"/>
        <v>excluir</v>
      </c>
      <c r="L2061" s="51" t="str">
        <f t="shared" ca="1" si="836"/>
        <v>no semana</v>
      </c>
      <c r="M2061" s="51" t="str">
        <f>IFERROR(VLOOKUP(E2061,'cheques a conf'!A:D,4,FALSE),"no clearing")</f>
        <v>no clearing</v>
      </c>
      <c r="N2061" s="51">
        <f t="shared" si="837"/>
        <v>23</v>
      </c>
      <c r="O2061" s="53">
        <f t="shared" si="838"/>
        <v>6</v>
      </c>
      <c r="P2061" s="53">
        <f t="shared" si="839"/>
        <v>2026</v>
      </c>
    </row>
    <row r="2062" spans="1:16" x14ac:dyDescent="0.25">
      <c r="A2062" s="21">
        <v>3000003249</v>
      </c>
      <c r="B2062" s="22">
        <v>46175</v>
      </c>
      <c r="C2062" s="20">
        <v>6564607.0199999996</v>
      </c>
      <c r="D2062" s="21" t="s">
        <v>662</v>
      </c>
      <c r="E2062" s="21">
        <v>91003202</v>
      </c>
      <c r="F2062" s="20">
        <v>6564607.0199999996</v>
      </c>
      <c r="G2062" s="22">
        <v>46178</v>
      </c>
      <c r="H2062" t="s">
        <v>79</v>
      </c>
      <c r="I2062" s="51" t="str">
        <f>IFERROR(IF(VLOOKUP(E2062,extracto!C:C,1,FALSE)=E2062,"pagado","no pagado"),"no pagado")</f>
        <v>pagado</v>
      </c>
      <c r="J2062" s="52" t="str">
        <f t="shared" si="834"/>
        <v>pagado</v>
      </c>
      <c r="K2062" s="51" t="str">
        <f t="shared" ca="1" si="835"/>
        <v>excluir</v>
      </c>
      <c r="L2062" s="51" t="str">
        <f t="shared" ca="1" si="836"/>
        <v>no semana</v>
      </c>
      <c r="M2062" s="51" t="str">
        <f>IFERROR(VLOOKUP(E2062,'cheques a conf'!A:D,4,FALSE),"no clearing")</f>
        <v>no clearing</v>
      </c>
      <c r="N2062" s="51">
        <f t="shared" si="837"/>
        <v>23</v>
      </c>
      <c r="O2062" s="53">
        <f t="shared" si="838"/>
        <v>6</v>
      </c>
      <c r="P2062" s="53">
        <f t="shared" si="839"/>
        <v>2026</v>
      </c>
    </row>
    <row r="2063" spans="1:16" x14ac:dyDescent="0.25">
      <c r="A2063" s="21">
        <v>3000003281</v>
      </c>
      <c r="B2063" s="22">
        <v>46176</v>
      </c>
      <c r="C2063" s="20">
        <v>45612602.57</v>
      </c>
      <c r="D2063" s="21" t="s">
        <v>1721</v>
      </c>
      <c r="E2063" s="21">
        <v>91003203</v>
      </c>
      <c r="F2063" s="20">
        <v>45612602.57</v>
      </c>
      <c r="G2063" s="22">
        <v>46204</v>
      </c>
      <c r="H2063" t="s">
        <v>79</v>
      </c>
      <c r="I2063" s="51" t="str">
        <f>IFERROR(IF(VLOOKUP(E2063,extracto!C:C,1,FALSE)=E2063,"pagado","no pagado"),"no pagado")</f>
        <v>pagado</v>
      </c>
      <c r="J2063" s="52" t="str">
        <f t="shared" ref="J2063:J2071" si="840">IF(I2063="pagado","pagado",IF(G2063&lt;$V$1-30,"fuera de fecha","en periodo de pago"))</f>
        <v>pagado</v>
      </c>
      <c r="K2063" s="51" t="str">
        <f t="shared" ref="K2063:K2071" ca="1" si="841">+IF(B2063&gt;$V$1,"excluir",IF(J2063="en periodo de pago",IF($V$1&gt;G2063,"a pagar","proximo a vencer"),"excluir"))</f>
        <v>excluir</v>
      </c>
      <c r="L2063" s="51" t="str">
        <f t="shared" ref="L2063:L2071" ca="1" si="842">+IF(K2063="proximo a vencer",IF($V$1+5&gt;G2063,"para la semana","no semana"),"no semana")</f>
        <v>no semana</v>
      </c>
      <c r="M2063" s="51" t="str">
        <f>IFERROR(VLOOKUP(E2063,'cheques a conf'!A:D,4,FALSE),"no clearing")</f>
        <v>no clearing</v>
      </c>
      <c r="N2063" s="51">
        <f t="shared" ref="N2063:N2071" si="843">+WEEKNUM(G2063,2)</f>
        <v>27</v>
      </c>
      <c r="O2063" s="53">
        <f t="shared" ref="O2063:O2071" si="844">+MONTH(G2063)</f>
        <v>7</v>
      </c>
      <c r="P2063" s="53">
        <f t="shared" ref="P2063:P2071" si="845">+YEAR(G2063)</f>
        <v>2026</v>
      </c>
    </row>
    <row r="2064" spans="1:16" x14ac:dyDescent="0.25">
      <c r="A2064" s="21">
        <v>3000003281</v>
      </c>
      <c r="B2064" s="22">
        <v>46176</v>
      </c>
      <c r="C2064" s="20">
        <v>0</v>
      </c>
      <c r="D2064" s="21" t="s">
        <v>1721</v>
      </c>
      <c r="E2064" s="21">
        <v>91003204</v>
      </c>
      <c r="F2064" s="20">
        <v>0</v>
      </c>
      <c r="G2064" s="22">
        <v>46237</v>
      </c>
      <c r="H2064" t="s">
        <v>79</v>
      </c>
      <c r="I2064" s="51" t="str">
        <f>IFERROR(IF(VLOOKUP(E2064,extracto!C:C,1,FALSE)=E2064,"pagado","no pagado"),"no pagado")</f>
        <v>no pagado</v>
      </c>
      <c r="J2064" s="52" t="str">
        <f t="shared" ca="1" si="840"/>
        <v>fuera de fecha</v>
      </c>
      <c r="K2064" s="51" t="str">
        <f t="shared" ca="1" si="841"/>
        <v>excluir</v>
      </c>
      <c r="L2064" s="51" t="str">
        <f t="shared" ca="1" si="842"/>
        <v>no semana</v>
      </c>
      <c r="M2064" s="51" t="str">
        <f>IFERROR(VLOOKUP(E2064,'cheques a conf'!A:D,4,FALSE),"no clearing")</f>
        <v>no clearing</v>
      </c>
      <c r="N2064" s="51">
        <f t="shared" si="843"/>
        <v>32</v>
      </c>
      <c r="O2064" s="53">
        <f t="shared" si="844"/>
        <v>8</v>
      </c>
      <c r="P2064" s="53">
        <f t="shared" si="845"/>
        <v>2026</v>
      </c>
    </row>
    <row r="2065" spans="1:16" x14ac:dyDescent="0.25">
      <c r="A2065" s="21">
        <v>3000003281</v>
      </c>
      <c r="B2065" s="22">
        <v>46176</v>
      </c>
      <c r="C2065" s="20">
        <v>0</v>
      </c>
      <c r="D2065" s="21" t="s">
        <v>1721</v>
      </c>
      <c r="E2065" s="21">
        <v>91003205</v>
      </c>
      <c r="F2065" s="20">
        <v>0</v>
      </c>
      <c r="G2065" s="22">
        <v>46237</v>
      </c>
      <c r="H2065" t="s">
        <v>79</v>
      </c>
      <c r="I2065" s="51" t="str">
        <f>IFERROR(IF(VLOOKUP(E2065,extracto!C:C,1,FALSE)=E2065,"pagado","no pagado"),"no pagado")</f>
        <v>no pagado</v>
      </c>
      <c r="J2065" s="52" t="str">
        <f t="shared" ca="1" si="840"/>
        <v>fuera de fecha</v>
      </c>
      <c r="K2065" s="51" t="str">
        <f t="shared" ca="1" si="841"/>
        <v>excluir</v>
      </c>
      <c r="L2065" s="51" t="str">
        <f t="shared" ca="1" si="842"/>
        <v>no semana</v>
      </c>
      <c r="M2065" s="51" t="str">
        <f>IFERROR(VLOOKUP(E2065,'cheques a conf'!A:D,4,FALSE),"no clearing")</f>
        <v>no clearing</v>
      </c>
      <c r="N2065" s="51">
        <f t="shared" si="843"/>
        <v>32</v>
      </c>
      <c r="O2065" s="53">
        <f t="shared" si="844"/>
        <v>8</v>
      </c>
      <c r="P2065" s="53">
        <f t="shared" si="845"/>
        <v>2026</v>
      </c>
    </row>
    <row r="2066" spans="1:16" x14ac:dyDescent="0.25">
      <c r="A2066" s="21">
        <v>3000003282</v>
      </c>
      <c r="B2066" s="22">
        <v>46176</v>
      </c>
      <c r="C2066" s="20">
        <v>8800000</v>
      </c>
      <c r="D2066" s="21" t="s">
        <v>1739</v>
      </c>
      <c r="E2066" s="21">
        <v>61301845</v>
      </c>
      <c r="F2066" s="20">
        <v>8800000</v>
      </c>
      <c r="G2066" s="22">
        <v>46181</v>
      </c>
      <c r="H2066" t="s">
        <v>79</v>
      </c>
      <c r="I2066" s="51" t="str">
        <f>IFERROR(IF(VLOOKUP(E2066,extracto!C:C,1,FALSE)=E2066,"pagado","no pagado"),"no pagado")</f>
        <v>pagado</v>
      </c>
      <c r="J2066" s="52" t="str">
        <f t="shared" si="840"/>
        <v>pagado</v>
      </c>
      <c r="K2066" s="51" t="str">
        <f t="shared" ca="1" si="841"/>
        <v>excluir</v>
      </c>
      <c r="L2066" s="51" t="str">
        <f t="shared" ca="1" si="842"/>
        <v>no semana</v>
      </c>
      <c r="M2066" s="51" t="str">
        <f>IFERROR(VLOOKUP(E2066,'cheques a conf'!A:D,4,FALSE),"no clearing")</f>
        <v>no clearing</v>
      </c>
      <c r="N2066" s="51">
        <f t="shared" si="843"/>
        <v>24</v>
      </c>
      <c r="O2066" s="53">
        <f t="shared" si="844"/>
        <v>6</v>
      </c>
      <c r="P2066" s="53">
        <f t="shared" si="845"/>
        <v>2026</v>
      </c>
    </row>
    <row r="2067" spans="1:16" x14ac:dyDescent="0.25">
      <c r="A2067" s="21">
        <v>3000003282</v>
      </c>
      <c r="B2067" s="22">
        <v>46176</v>
      </c>
      <c r="C2067" s="20">
        <v>8800000</v>
      </c>
      <c r="D2067" s="21" t="s">
        <v>1739</v>
      </c>
      <c r="E2067" s="21">
        <v>61301846</v>
      </c>
      <c r="F2067" s="20">
        <v>8800000</v>
      </c>
      <c r="G2067" s="22">
        <v>46181</v>
      </c>
      <c r="H2067" t="s">
        <v>79</v>
      </c>
      <c r="I2067" s="51" t="str">
        <f>IFERROR(IF(VLOOKUP(E2067,extracto!C:C,1,FALSE)=E2067,"pagado","no pagado"),"no pagado")</f>
        <v>pagado</v>
      </c>
      <c r="J2067" s="52" t="str">
        <f t="shared" si="840"/>
        <v>pagado</v>
      </c>
      <c r="K2067" s="51" t="str">
        <f t="shared" ca="1" si="841"/>
        <v>excluir</v>
      </c>
      <c r="L2067" s="51" t="str">
        <f t="shared" ca="1" si="842"/>
        <v>no semana</v>
      </c>
      <c r="M2067" s="51" t="str">
        <f>IFERROR(VLOOKUP(E2067,'cheques a conf'!A:D,4,FALSE),"no clearing")</f>
        <v>no clearing</v>
      </c>
      <c r="N2067" s="51">
        <f t="shared" si="843"/>
        <v>24</v>
      </c>
      <c r="O2067" s="53">
        <f t="shared" si="844"/>
        <v>6</v>
      </c>
      <c r="P2067" s="53">
        <f t="shared" si="845"/>
        <v>2026</v>
      </c>
    </row>
    <row r="2068" spans="1:16" x14ac:dyDescent="0.25">
      <c r="A2068" s="21">
        <v>3000003282</v>
      </c>
      <c r="B2068" s="22">
        <v>46176</v>
      </c>
      <c r="C2068" s="20">
        <v>8800000</v>
      </c>
      <c r="D2068" s="21" t="s">
        <v>1739</v>
      </c>
      <c r="E2068" s="21">
        <v>61301847</v>
      </c>
      <c r="F2068" s="20">
        <v>8800000</v>
      </c>
      <c r="G2068" s="22">
        <v>46181</v>
      </c>
      <c r="H2068" t="s">
        <v>79</v>
      </c>
      <c r="I2068" s="51" t="str">
        <f>IFERROR(IF(VLOOKUP(E2068,extracto!C:C,1,FALSE)=E2068,"pagado","no pagado"),"no pagado")</f>
        <v>pagado</v>
      </c>
      <c r="J2068" s="52" t="str">
        <f t="shared" si="840"/>
        <v>pagado</v>
      </c>
      <c r="K2068" s="51" t="str">
        <f t="shared" ca="1" si="841"/>
        <v>excluir</v>
      </c>
      <c r="L2068" s="51" t="str">
        <f t="shared" ca="1" si="842"/>
        <v>no semana</v>
      </c>
      <c r="M2068" s="51" t="str">
        <f>IFERROR(VLOOKUP(E2068,'cheques a conf'!A:D,4,FALSE),"no clearing")</f>
        <v>no clearing</v>
      </c>
      <c r="N2068" s="51">
        <f t="shared" si="843"/>
        <v>24</v>
      </c>
      <c r="O2068" s="53">
        <f t="shared" si="844"/>
        <v>6</v>
      </c>
      <c r="P2068" s="53">
        <f t="shared" si="845"/>
        <v>2026</v>
      </c>
    </row>
    <row r="2069" spans="1:16" x14ac:dyDescent="0.25">
      <c r="A2069" s="21">
        <v>3000003282</v>
      </c>
      <c r="B2069" s="22">
        <v>46176</v>
      </c>
      <c r="C2069" s="20">
        <v>8800000</v>
      </c>
      <c r="D2069" s="21" t="s">
        <v>1739</v>
      </c>
      <c r="E2069" s="21">
        <v>61301848</v>
      </c>
      <c r="F2069" s="20">
        <v>8800000</v>
      </c>
      <c r="G2069" s="22">
        <v>46207</v>
      </c>
      <c r="H2069" t="s">
        <v>79</v>
      </c>
      <c r="I2069" s="51" t="str">
        <f>IFERROR(IF(VLOOKUP(E2069,extracto!C:C,1,FALSE)=E2069,"pagado","no pagado"),"no pagado")</f>
        <v>no pagado</v>
      </c>
      <c r="J2069" s="52" t="str">
        <f t="shared" ca="1" si="840"/>
        <v>fuera de fecha</v>
      </c>
      <c r="K2069" s="51" t="str">
        <f t="shared" ca="1" si="841"/>
        <v>excluir</v>
      </c>
      <c r="L2069" s="51" t="str">
        <f t="shared" ca="1" si="842"/>
        <v>no semana</v>
      </c>
      <c r="M2069" s="51" t="str">
        <f>IFERROR(VLOOKUP(E2069,'cheques a conf'!A:D,4,FALSE),"no clearing")</f>
        <v>no clearing</v>
      </c>
      <c r="N2069" s="51">
        <f t="shared" si="843"/>
        <v>27</v>
      </c>
      <c r="O2069" s="53">
        <f t="shared" si="844"/>
        <v>7</v>
      </c>
      <c r="P2069" s="53">
        <f t="shared" si="845"/>
        <v>2026</v>
      </c>
    </row>
    <row r="2070" spans="1:16" x14ac:dyDescent="0.25">
      <c r="A2070" s="21">
        <v>3000003282</v>
      </c>
      <c r="B2070" s="22">
        <v>46176</v>
      </c>
      <c r="C2070" s="20">
        <v>8800000</v>
      </c>
      <c r="D2070" s="21" t="s">
        <v>1739</v>
      </c>
      <c r="E2070" s="21">
        <v>61301849</v>
      </c>
      <c r="F2070" s="20">
        <v>8800000</v>
      </c>
      <c r="G2070" s="22">
        <v>46207</v>
      </c>
      <c r="H2070" t="s">
        <v>79</v>
      </c>
      <c r="I2070" s="51" t="str">
        <f>IFERROR(IF(VLOOKUP(E2070,extracto!C:C,1,FALSE)=E2070,"pagado","no pagado"),"no pagado")</f>
        <v>pagado</v>
      </c>
      <c r="J2070" s="52" t="str">
        <f t="shared" si="840"/>
        <v>pagado</v>
      </c>
      <c r="K2070" s="51" t="str">
        <f t="shared" ca="1" si="841"/>
        <v>excluir</v>
      </c>
      <c r="L2070" s="51" t="str">
        <f t="shared" ca="1" si="842"/>
        <v>no semana</v>
      </c>
      <c r="M2070" s="51" t="str">
        <f>IFERROR(VLOOKUP(E2070,'cheques a conf'!A:D,4,FALSE),"no clearing")</f>
        <v>no clearing</v>
      </c>
      <c r="N2070" s="51">
        <f t="shared" si="843"/>
        <v>27</v>
      </c>
      <c r="O2070" s="53">
        <f t="shared" si="844"/>
        <v>7</v>
      </c>
      <c r="P2070" s="53">
        <f t="shared" si="845"/>
        <v>2026</v>
      </c>
    </row>
    <row r="2071" spans="1:16" x14ac:dyDescent="0.25">
      <c r="A2071" s="21">
        <v>3000003282</v>
      </c>
      <c r="B2071" s="22">
        <v>46176</v>
      </c>
      <c r="C2071" s="20">
        <v>8759343.4000000004</v>
      </c>
      <c r="D2071" s="21" t="s">
        <v>1739</v>
      </c>
      <c r="E2071" s="21">
        <v>61301850</v>
      </c>
      <c r="F2071" s="20">
        <v>8759343.4000000004</v>
      </c>
      <c r="G2071" s="22">
        <v>46207</v>
      </c>
      <c r="H2071" t="s">
        <v>79</v>
      </c>
      <c r="I2071" s="51" t="str">
        <f>IFERROR(IF(VLOOKUP(E2071,extracto!C:C,1,FALSE)=E2071,"pagado","no pagado"),"no pagado")</f>
        <v>pagado</v>
      </c>
      <c r="J2071" s="52" t="str">
        <f t="shared" si="840"/>
        <v>pagado</v>
      </c>
      <c r="K2071" s="51" t="str">
        <f t="shared" ca="1" si="841"/>
        <v>excluir</v>
      </c>
      <c r="L2071" s="51" t="str">
        <f t="shared" ca="1" si="842"/>
        <v>no semana</v>
      </c>
      <c r="M2071" s="51" t="str">
        <f>IFERROR(VLOOKUP(E2071,'cheques a conf'!A:D,4,FALSE),"no clearing")</f>
        <v>no clearing</v>
      </c>
      <c r="N2071" s="51">
        <f t="shared" si="843"/>
        <v>27</v>
      </c>
      <c r="O2071" s="53">
        <f t="shared" si="844"/>
        <v>7</v>
      </c>
      <c r="P2071" s="53">
        <f t="shared" si="845"/>
        <v>2026</v>
      </c>
    </row>
    <row r="2072" spans="1:16" x14ac:dyDescent="0.25">
      <c r="A2072" s="21">
        <v>3000003383</v>
      </c>
      <c r="B2072" s="22">
        <v>46181</v>
      </c>
      <c r="C2072" s="20">
        <v>7964741.1100000003</v>
      </c>
      <c r="D2072" s="21" t="s">
        <v>639</v>
      </c>
      <c r="E2072" s="21">
        <v>91003206</v>
      </c>
      <c r="F2072" s="20">
        <v>7964741.1100000003</v>
      </c>
      <c r="G2072" s="22">
        <v>46184</v>
      </c>
      <c r="H2072" t="s">
        <v>79</v>
      </c>
      <c r="I2072" s="51" t="str">
        <f>IFERROR(IF(VLOOKUP(E2072,extracto!C:C,1,FALSE)=E2072,"pagado","no pagado"),"no pagado")</f>
        <v>pagado</v>
      </c>
      <c r="J2072" s="52" t="str">
        <f t="shared" ref="J2072:J2100" si="846">IF(I2072="pagado","pagado",IF(G2072&lt;$V$1-30,"fuera de fecha","en periodo de pago"))</f>
        <v>pagado</v>
      </c>
      <c r="K2072" s="51" t="str">
        <f t="shared" ref="K2072:K2100" ca="1" si="847">+IF(B2072&gt;$V$1,"excluir",IF(J2072="en periodo de pago",IF($V$1&gt;G2072,"a pagar","proximo a vencer"),"excluir"))</f>
        <v>excluir</v>
      </c>
      <c r="L2072" s="51" t="str">
        <f t="shared" ref="L2072:L2100" ca="1" si="848">+IF(K2072="proximo a vencer",IF($V$1+5&gt;G2072,"para la semana","no semana"),"no semana")</f>
        <v>no semana</v>
      </c>
      <c r="M2072" s="51" t="str">
        <f>IFERROR(VLOOKUP(E2072,'cheques a conf'!A:D,4,FALSE),"no clearing")</f>
        <v>no clearing</v>
      </c>
      <c r="N2072" s="51">
        <f t="shared" ref="N2072:N2100" si="849">+WEEKNUM(G2072,2)</f>
        <v>24</v>
      </c>
      <c r="O2072" s="53">
        <f t="shared" ref="O2072:O2100" si="850">+MONTH(G2072)</f>
        <v>6</v>
      </c>
      <c r="P2072" s="53">
        <f t="shared" ref="P2072:P2100" si="851">+YEAR(G2072)</f>
        <v>2026</v>
      </c>
    </row>
    <row r="2073" spans="1:16" x14ac:dyDescent="0.25">
      <c r="A2073" s="21">
        <v>3000003384</v>
      </c>
      <c r="B2073" s="22">
        <v>46181</v>
      </c>
      <c r="C2073" s="20">
        <v>4571980</v>
      </c>
      <c r="D2073" s="21" t="s">
        <v>726</v>
      </c>
      <c r="E2073" s="21">
        <v>91003207</v>
      </c>
      <c r="F2073" s="20">
        <v>4571980</v>
      </c>
      <c r="G2073" s="22">
        <v>46184</v>
      </c>
      <c r="H2073" t="s">
        <v>79</v>
      </c>
      <c r="I2073" s="51" t="str">
        <f>IFERROR(IF(VLOOKUP(E2073,extracto!C:C,1,FALSE)=E2073,"pagado","no pagado"),"no pagado")</f>
        <v>pagado</v>
      </c>
      <c r="J2073" s="52" t="str">
        <f t="shared" si="846"/>
        <v>pagado</v>
      </c>
      <c r="K2073" s="51" t="str">
        <f t="shared" ca="1" si="847"/>
        <v>excluir</v>
      </c>
      <c r="L2073" s="51" t="str">
        <f t="shared" ca="1" si="848"/>
        <v>no semana</v>
      </c>
      <c r="M2073" s="51" t="str">
        <f>IFERROR(VLOOKUP(E2073,'cheques a conf'!A:D,4,FALSE),"no clearing")</f>
        <v>no clearing</v>
      </c>
      <c r="N2073" s="51">
        <f t="shared" si="849"/>
        <v>24</v>
      </c>
      <c r="O2073" s="53">
        <f t="shared" si="850"/>
        <v>6</v>
      </c>
      <c r="P2073" s="53">
        <f t="shared" si="851"/>
        <v>2026</v>
      </c>
    </row>
    <row r="2074" spans="1:16" x14ac:dyDescent="0.25">
      <c r="A2074" s="21">
        <v>3000003385</v>
      </c>
      <c r="B2074" s="22">
        <v>46181</v>
      </c>
      <c r="C2074" s="20">
        <v>4997234.58</v>
      </c>
      <c r="D2074" s="21" t="s">
        <v>71</v>
      </c>
      <c r="E2074" s="21">
        <v>91003208</v>
      </c>
      <c r="F2074" s="20">
        <v>4997234.58</v>
      </c>
      <c r="G2074" s="22">
        <v>46184</v>
      </c>
      <c r="H2074" t="s">
        <v>79</v>
      </c>
      <c r="I2074" s="51" t="str">
        <f>IFERROR(IF(VLOOKUP(E2074,extracto!C:C,1,FALSE)=E2074,"pagado","no pagado"),"no pagado")</f>
        <v>pagado</v>
      </c>
      <c r="J2074" s="52" t="str">
        <f t="shared" si="846"/>
        <v>pagado</v>
      </c>
      <c r="K2074" s="51" t="str">
        <f t="shared" ca="1" si="847"/>
        <v>excluir</v>
      </c>
      <c r="L2074" s="51" t="str">
        <f t="shared" ca="1" si="848"/>
        <v>no semana</v>
      </c>
      <c r="M2074" s="51" t="str">
        <f>IFERROR(VLOOKUP(E2074,'cheques a conf'!A:D,4,FALSE),"no clearing")</f>
        <v>no clearing</v>
      </c>
      <c r="N2074" s="51">
        <f t="shared" si="849"/>
        <v>24</v>
      </c>
      <c r="O2074" s="53">
        <f t="shared" si="850"/>
        <v>6</v>
      </c>
      <c r="P2074" s="53">
        <f t="shared" si="851"/>
        <v>2026</v>
      </c>
    </row>
    <row r="2075" spans="1:16" x14ac:dyDescent="0.25">
      <c r="A2075" s="21">
        <v>3000003386</v>
      </c>
      <c r="B2075" s="22">
        <v>46181</v>
      </c>
      <c r="C2075" s="20">
        <v>11688329</v>
      </c>
      <c r="D2075" s="21" t="s">
        <v>607</v>
      </c>
      <c r="E2075" s="21">
        <v>91003209</v>
      </c>
      <c r="F2075" s="20">
        <v>11688329</v>
      </c>
      <c r="G2075" s="22">
        <v>46184</v>
      </c>
      <c r="H2075" t="s">
        <v>79</v>
      </c>
      <c r="I2075" s="51" t="str">
        <f>IFERROR(IF(VLOOKUP(E2075,extracto!C:C,1,FALSE)=E2075,"pagado","no pagado"),"no pagado")</f>
        <v>pagado</v>
      </c>
      <c r="J2075" s="52" t="str">
        <f t="shared" si="846"/>
        <v>pagado</v>
      </c>
      <c r="K2075" s="51" t="str">
        <f t="shared" ca="1" si="847"/>
        <v>excluir</v>
      </c>
      <c r="L2075" s="51" t="str">
        <f t="shared" ca="1" si="848"/>
        <v>no semana</v>
      </c>
      <c r="M2075" s="51" t="str">
        <f>IFERROR(VLOOKUP(E2075,'cheques a conf'!A:D,4,FALSE),"no clearing")</f>
        <v>no clearing</v>
      </c>
      <c r="N2075" s="51">
        <f t="shared" si="849"/>
        <v>24</v>
      </c>
      <c r="O2075" s="53">
        <f t="shared" si="850"/>
        <v>6</v>
      </c>
      <c r="P2075" s="53">
        <f t="shared" si="851"/>
        <v>2026</v>
      </c>
    </row>
    <row r="2076" spans="1:16" x14ac:dyDescent="0.25">
      <c r="A2076" s="21">
        <v>3000003387</v>
      </c>
      <c r="B2076" s="22">
        <v>46181</v>
      </c>
      <c r="C2076" s="20">
        <v>12686763.4</v>
      </c>
      <c r="D2076" s="21" t="s">
        <v>645</v>
      </c>
      <c r="E2076" s="21">
        <v>91003210</v>
      </c>
      <c r="F2076" s="20">
        <v>12686763.4</v>
      </c>
      <c r="G2076" s="22">
        <v>46184</v>
      </c>
      <c r="H2076" t="s">
        <v>79</v>
      </c>
      <c r="I2076" s="51" t="str">
        <f>IFERROR(IF(VLOOKUP(E2076,extracto!C:C,1,FALSE)=E2076,"pagado","no pagado"),"no pagado")</f>
        <v>pagado</v>
      </c>
      <c r="J2076" s="52" t="str">
        <f t="shared" si="846"/>
        <v>pagado</v>
      </c>
      <c r="K2076" s="51" t="str">
        <f t="shared" ca="1" si="847"/>
        <v>excluir</v>
      </c>
      <c r="L2076" s="51" t="str">
        <f t="shared" ca="1" si="848"/>
        <v>no semana</v>
      </c>
      <c r="M2076" s="51" t="str">
        <f>IFERROR(VLOOKUP(E2076,'cheques a conf'!A:D,4,FALSE),"no clearing")</f>
        <v>no clearing</v>
      </c>
      <c r="N2076" s="51">
        <f t="shared" si="849"/>
        <v>24</v>
      </c>
      <c r="O2076" s="53">
        <f t="shared" si="850"/>
        <v>6</v>
      </c>
      <c r="P2076" s="53">
        <f t="shared" si="851"/>
        <v>2026</v>
      </c>
    </row>
    <row r="2077" spans="1:16" x14ac:dyDescent="0.25">
      <c r="A2077" s="21">
        <v>3000003388</v>
      </c>
      <c r="B2077" s="22">
        <v>46181</v>
      </c>
      <c r="C2077" s="20">
        <v>6371178.6900000004</v>
      </c>
      <c r="D2077" s="21" t="s">
        <v>628</v>
      </c>
      <c r="E2077" s="21">
        <v>91003211</v>
      </c>
      <c r="F2077" s="20">
        <v>6371178.6900000004</v>
      </c>
      <c r="G2077" s="22">
        <v>46184</v>
      </c>
      <c r="H2077" t="s">
        <v>79</v>
      </c>
      <c r="I2077" s="51" t="str">
        <f>IFERROR(IF(VLOOKUP(E2077,extracto!C:C,1,FALSE)=E2077,"pagado","no pagado"),"no pagado")</f>
        <v>pagado</v>
      </c>
      <c r="J2077" s="52" t="str">
        <f t="shared" si="846"/>
        <v>pagado</v>
      </c>
      <c r="K2077" s="51" t="str">
        <f t="shared" ca="1" si="847"/>
        <v>excluir</v>
      </c>
      <c r="L2077" s="51" t="str">
        <f t="shared" ca="1" si="848"/>
        <v>no semana</v>
      </c>
      <c r="M2077" s="51" t="str">
        <f>IFERROR(VLOOKUP(E2077,'cheques a conf'!A:D,4,FALSE),"no clearing")</f>
        <v>no clearing</v>
      </c>
      <c r="N2077" s="51">
        <f t="shared" si="849"/>
        <v>24</v>
      </c>
      <c r="O2077" s="53">
        <f t="shared" si="850"/>
        <v>6</v>
      </c>
      <c r="P2077" s="53">
        <f t="shared" si="851"/>
        <v>2026</v>
      </c>
    </row>
    <row r="2078" spans="1:16" x14ac:dyDescent="0.25">
      <c r="A2078" s="21">
        <v>3000003389</v>
      </c>
      <c r="B2078" s="22">
        <v>46181</v>
      </c>
      <c r="C2078" s="20">
        <v>11325235.5</v>
      </c>
      <c r="D2078" s="21" t="s">
        <v>675</v>
      </c>
      <c r="E2078" s="21">
        <v>91003212</v>
      </c>
      <c r="F2078" s="20">
        <v>11325235.5</v>
      </c>
      <c r="G2078" s="22">
        <v>46184</v>
      </c>
      <c r="H2078" t="s">
        <v>79</v>
      </c>
      <c r="I2078" s="51" t="str">
        <f>IFERROR(IF(VLOOKUP(E2078,extracto!C:C,1,FALSE)=E2078,"pagado","no pagado"),"no pagado")</f>
        <v>pagado</v>
      </c>
      <c r="J2078" s="52" t="str">
        <f t="shared" si="846"/>
        <v>pagado</v>
      </c>
      <c r="K2078" s="51" t="str">
        <f t="shared" ca="1" si="847"/>
        <v>excluir</v>
      </c>
      <c r="L2078" s="51" t="str">
        <f t="shared" ca="1" si="848"/>
        <v>no semana</v>
      </c>
      <c r="M2078" s="51" t="str">
        <f>IFERROR(VLOOKUP(E2078,'cheques a conf'!A:D,4,FALSE),"no clearing")</f>
        <v>no clearing</v>
      </c>
      <c r="N2078" s="51">
        <f t="shared" si="849"/>
        <v>24</v>
      </c>
      <c r="O2078" s="53">
        <f t="shared" si="850"/>
        <v>6</v>
      </c>
      <c r="P2078" s="53">
        <f t="shared" si="851"/>
        <v>2026</v>
      </c>
    </row>
    <row r="2079" spans="1:16" x14ac:dyDescent="0.25">
      <c r="A2079" s="21">
        <v>3000003390</v>
      </c>
      <c r="B2079" s="22">
        <v>46181</v>
      </c>
      <c r="C2079" s="20">
        <v>8888501.5199999996</v>
      </c>
      <c r="D2079" s="21" t="s">
        <v>673</v>
      </c>
      <c r="E2079" s="21">
        <v>91003213</v>
      </c>
      <c r="F2079" s="20">
        <v>8888501.5199999996</v>
      </c>
      <c r="G2079" s="22">
        <v>46185</v>
      </c>
      <c r="H2079" t="s">
        <v>79</v>
      </c>
      <c r="I2079" s="51" t="str">
        <f>IFERROR(IF(VLOOKUP(E2079,extracto!C:C,1,FALSE)=E2079,"pagado","no pagado"),"no pagado")</f>
        <v>pagado</v>
      </c>
      <c r="J2079" s="52" t="str">
        <f t="shared" si="846"/>
        <v>pagado</v>
      </c>
      <c r="K2079" s="51" t="str">
        <f t="shared" ca="1" si="847"/>
        <v>excluir</v>
      </c>
      <c r="L2079" s="51" t="str">
        <f t="shared" ca="1" si="848"/>
        <v>no semana</v>
      </c>
      <c r="M2079" s="51" t="str">
        <f>IFERROR(VLOOKUP(E2079,'cheques a conf'!A:D,4,FALSE),"no clearing")</f>
        <v>no clearing</v>
      </c>
      <c r="N2079" s="51">
        <f t="shared" si="849"/>
        <v>24</v>
      </c>
      <c r="O2079" s="53">
        <f t="shared" si="850"/>
        <v>6</v>
      </c>
      <c r="P2079" s="53">
        <f t="shared" si="851"/>
        <v>2026</v>
      </c>
    </row>
    <row r="2080" spans="1:16" x14ac:dyDescent="0.25">
      <c r="A2080" s="21">
        <v>3000003391</v>
      </c>
      <c r="B2080" s="22">
        <v>46181</v>
      </c>
      <c r="C2080" s="20">
        <v>5894099.1299999999</v>
      </c>
      <c r="D2080" s="21" t="s">
        <v>852</v>
      </c>
      <c r="E2080" s="21">
        <v>91003214</v>
      </c>
      <c r="F2080" s="20">
        <v>5894099.1299999999</v>
      </c>
      <c r="G2080" s="22">
        <v>46185</v>
      </c>
      <c r="H2080" t="s">
        <v>79</v>
      </c>
      <c r="I2080" s="51" t="str">
        <f>IFERROR(IF(VLOOKUP(E2080,extracto!C:C,1,FALSE)=E2080,"pagado","no pagado"),"no pagado")</f>
        <v>pagado</v>
      </c>
      <c r="J2080" s="52" t="str">
        <f t="shared" si="846"/>
        <v>pagado</v>
      </c>
      <c r="K2080" s="51" t="str">
        <f t="shared" ca="1" si="847"/>
        <v>excluir</v>
      </c>
      <c r="L2080" s="51" t="str">
        <f t="shared" ca="1" si="848"/>
        <v>no semana</v>
      </c>
      <c r="M2080" s="51" t="str">
        <f>IFERROR(VLOOKUP(E2080,'cheques a conf'!A:D,4,FALSE),"no clearing")</f>
        <v>no clearing</v>
      </c>
      <c r="N2080" s="51">
        <f t="shared" si="849"/>
        <v>24</v>
      </c>
      <c r="O2080" s="53">
        <f t="shared" si="850"/>
        <v>6</v>
      </c>
      <c r="P2080" s="53">
        <f t="shared" si="851"/>
        <v>2026</v>
      </c>
    </row>
    <row r="2081" spans="1:16" x14ac:dyDescent="0.25">
      <c r="A2081" s="21">
        <v>3000003392</v>
      </c>
      <c r="B2081" s="22">
        <v>46181</v>
      </c>
      <c r="C2081" s="20">
        <v>6175831.4299999997</v>
      </c>
      <c r="D2081" s="21" t="s">
        <v>702</v>
      </c>
      <c r="E2081" s="21">
        <v>91003215</v>
      </c>
      <c r="F2081" s="20">
        <v>6175831.4299999997</v>
      </c>
      <c r="G2081" s="22">
        <v>46185</v>
      </c>
      <c r="H2081" t="s">
        <v>79</v>
      </c>
      <c r="I2081" s="51" t="str">
        <f>IFERROR(IF(VLOOKUP(E2081,extracto!C:C,1,FALSE)=E2081,"pagado","no pagado"),"no pagado")</f>
        <v>pagado</v>
      </c>
      <c r="J2081" s="52" t="str">
        <f t="shared" si="846"/>
        <v>pagado</v>
      </c>
      <c r="K2081" s="51" t="str">
        <f t="shared" ca="1" si="847"/>
        <v>excluir</v>
      </c>
      <c r="L2081" s="51" t="str">
        <f t="shared" ca="1" si="848"/>
        <v>no semana</v>
      </c>
      <c r="M2081" s="51" t="str">
        <f>IFERROR(VLOOKUP(E2081,'cheques a conf'!A:D,4,FALSE),"no clearing")</f>
        <v>no clearing</v>
      </c>
      <c r="N2081" s="51">
        <f t="shared" si="849"/>
        <v>24</v>
      </c>
      <c r="O2081" s="53">
        <f t="shared" si="850"/>
        <v>6</v>
      </c>
      <c r="P2081" s="53">
        <f t="shared" si="851"/>
        <v>2026</v>
      </c>
    </row>
    <row r="2082" spans="1:16" x14ac:dyDescent="0.25">
      <c r="A2082" s="21">
        <v>3000003393</v>
      </c>
      <c r="B2082" s="22">
        <v>46181</v>
      </c>
      <c r="C2082" s="20">
        <v>24503999.850000001</v>
      </c>
      <c r="D2082" s="21" t="s">
        <v>708</v>
      </c>
      <c r="E2082" s="21">
        <v>91003216</v>
      </c>
      <c r="F2082" s="20">
        <v>24503999.850000001</v>
      </c>
      <c r="G2082" s="22">
        <v>46185</v>
      </c>
      <c r="H2082" t="s">
        <v>79</v>
      </c>
      <c r="I2082" s="51" t="str">
        <f>IFERROR(IF(VLOOKUP(E2082,extracto!C:C,1,FALSE)=E2082,"pagado","no pagado"),"no pagado")</f>
        <v>pagado</v>
      </c>
      <c r="J2082" s="52" t="str">
        <f t="shared" si="846"/>
        <v>pagado</v>
      </c>
      <c r="K2082" s="51" t="str">
        <f t="shared" ca="1" si="847"/>
        <v>excluir</v>
      </c>
      <c r="L2082" s="51" t="str">
        <f t="shared" ca="1" si="848"/>
        <v>no semana</v>
      </c>
      <c r="M2082" s="51" t="str">
        <f>IFERROR(VLOOKUP(E2082,'cheques a conf'!A:D,4,FALSE),"no clearing")</f>
        <v>no clearing</v>
      </c>
      <c r="N2082" s="51">
        <f t="shared" si="849"/>
        <v>24</v>
      </c>
      <c r="O2082" s="53">
        <f t="shared" si="850"/>
        <v>6</v>
      </c>
      <c r="P2082" s="53">
        <f t="shared" si="851"/>
        <v>2026</v>
      </c>
    </row>
    <row r="2083" spans="1:16" x14ac:dyDescent="0.25">
      <c r="A2083" s="21">
        <v>3000003394</v>
      </c>
      <c r="B2083" s="22">
        <v>46181</v>
      </c>
      <c r="C2083" s="20">
        <v>7116564.3099999996</v>
      </c>
      <c r="D2083" s="21" t="s">
        <v>1730</v>
      </c>
      <c r="E2083" s="21">
        <v>91003217</v>
      </c>
      <c r="F2083" s="20">
        <v>7116564.3099999996</v>
      </c>
      <c r="G2083" s="22">
        <v>46185</v>
      </c>
      <c r="H2083" t="s">
        <v>79</v>
      </c>
      <c r="I2083" s="51" t="str">
        <f>IFERROR(IF(VLOOKUP(E2083,extracto!C:C,1,FALSE)=E2083,"pagado","no pagado"),"no pagado")</f>
        <v>pagado</v>
      </c>
      <c r="J2083" s="52" t="str">
        <f t="shared" si="846"/>
        <v>pagado</v>
      </c>
      <c r="K2083" s="51" t="str">
        <f t="shared" ca="1" si="847"/>
        <v>excluir</v>
      </c>
      <c r="L2083" s="51" t="str">
        <f t="shared" ca="1" si="848"/>
        <v>no semana</v>
      </c>
      <c r="M2083" s="51" t="str">
        <f>IFERROR(VLOOKUP(E2083,'cheques a conf'!A:D,4,FALSE),"no clearing")</f>
        <v>no clearing</v>
      </c>
      <c r="N2083" s="51">
        <f t="shared" si="849"/>
        <v>24</v>
      </c>
      <c r="O2083" s="53">
        <f t="shared" si="850"/>
        <v>6</v>
      </c>
      <c r="P2083" s="53">
        <f t="shared" si="851"/>
        <v>2026</v>
      </c>
    </row>
    <row r="2084" spans="1:16" x14ac:dyDescent="0.25">
      <c r="A2084" s="21">
        <v>3000003395</v>
      </c>
      <c r="B2084" s="22">
        <v>46181</v>
      </c>
      <c r="C2084" s="20">
        <v>8444051.1300000008</v>
      </c>
      <c r="D2084" s="21" t="s">
        <v>630</v>
      </c>
      <c r="E2084" s="21">
        <v>91003218</v>
      </c>
      <c r="F2084" s="20">
        <v>8444051.1300000008</v>
      </c>
      <c r="G2084" s="22">
        <v>46185</v>
      </c>
      <c r="H2084" t="s">
        <v>79</v>
      </c>
      <c r="I2084" s="51" t="str">
        <f>IFERROR(IF(VLOOKUP(E2084,extracto!C:C,1,FALSE)=E2084,"pagado","no pagado"),"no pagado")</f>
        <v>pagado</v>
      </c>
      <c r="J2084" s="52" t="str">
        <f t="shared" si="846"/>
        <v>pagado</v>
      </c>
      <c r="K2084" s="51" t="str">
        <f t="shared" ca="1" si="847"/>
        <v>excluir</v>
      </c>
      <c r="L2084" s="51" t="str">
        <f t="shared" ca="1" si="848"/>
        <v>no semana</v>
      </c>
      <c r="M2084" s="51" t="str">
        <f>IFERROR(VLOOKUP(E2084,'cheques a conf'!A:D,4,FALSE),"no clearing")</f>
        <v>no clearing</v>
      </c>
      <c r="N2084" s="51">
        <f t="shared" si="849"/>
        <v>24</v>
      </c>
      <c r="O2084" s="53">
        <f t="shared" si="850"/>
        <v>6</v>
      </c>
      <c r="P2084" s="53">
        <f t="shared" si="851"/>
        <v>2026</v>
      </c>
    </row>
    <row r="2085" spans="1:16" x14ac:dyDescent="0.25">
      <c r="A2085" s="21">
        <v>3000003396</v>
      </c>
      <c r="B2085" s="22">
        <v>46181</v>
      </c>
      <c r="C2085" s="20">
        <v>12187329.83</v>
      </c>
      <c r="D2085" s="21" t="s">
        <v>740</v>
      </c>
      <c r="E2085" s="21">
        <v>91003219</v>
      </c>
      <c r="F2085" s="20">
        <v>12187329.83</v>
      </c>
      <c r="G2085" s="22">
        <v>46185</v>
      </c>
      <c r="H2085" t="s">
        <v>79</v>
      </c>
      <c r="I2085" s="51" t="str">
        <f>IFERROR(IF(VLOOKUP(E2085,extracto!C:C,1,FALSE)=E2085,"pagado","no pagado"),"no pagado")</f>
        <v>pagado</v>
      </c>
      <c r="J2085" s="52" t="str">
        <f t="shared" si="846"/>
        <v>pagado</v>
      </c>
      <c r="K2085" s="51" t="str">
        <f t="shared" ca="1" si="847"/>
        <v>excluir</v>
      </c>
      <c r="L2085" s="51" t="str">
        <f t="shared" ca="1" si="848"/>
        <v>no semana</v>
      </c>
      <c r="M2085" s="51" t="str">
        <f>IFERROR(VLOOKUP(E2085,'cheques a conf'!A:D,4,FALSE),"no clearing")</f>
        <v>no clearing</v>
      </c>
      <c r="N2085" s="51">
        <f t="shared" si="849"/>
        <v>24</v>
      </c>
      <c r="O2085" s="53">
        <f t="shared" si="850"/>
        <v>6</v>
      </c>
      <c r="P2085" s="53">
        <f t="shared" si="851"/>
        <v>2026</v>
      </c>
    </row>
    <row r="2086" spans="1:16" x14ac:dyDescent="0.25">
      <c r="A2086" s="21">
        <v>3000003397</v>
      </c>
      <c r="B2086" s="22">
        <v>46181</v>
      </c>
      <c r="C2086" s="20">
        <v>20279802.039999999</v>
      </c>
      <c r="D2086" s="21" t="s">
        <v>74</v>
      </c>
      <c r="E2086" s="21">
        <v>91003220</v>
      </c>
      <c r="F2086" s="20">
        <v>20279802.039999999</v>
      </c>
      <c r="G2086" s="22">
        <v>46185</v>
      </c>
      <c r="H2086" t="s">
        <v>79</v>
      </c>
      <c r="I2086" s="51" t="str">
        <f>IFERROR(IF(VLOOKUP(E2086,extracto!C:C,1,FALSE)=E2086,"pagado","no pagado"),"no pagado")</f>
        <v>pagado</v>
      </c>
      <c r="J2086" s="52" t="str">
        <f t="shared" si="846"/>
        <v>pagado</v>
      </c>
      <c r="K2086" s="51" t="str">
        <f t="shared" ca="1" si="847"/>
        <v>excluir</v>
      </c>
      <c r="L2086" s="51" t="str">
        <f t="shared" ca="1" si="848"/>
        <v>no semana</v>
      </c>
      <c r="M2086" s="51" t="str">
        <f>IFERROR(VLOOKUP(E2086,'cheques a conf'!A:D,4,FALSE),"no clearing")</f>
        <v>no clearing</v>
      </c>
      <c r="N2086" s="51">
        <f t="shared" si="849"/>
        <v>24</v>
      </c>
      <c r="O2086" s="53">
        <f t="shared" si="850"/>
        <v>6</v>
      </c>
      <c r="P2086" s="53">
        <f t="shared" si="851"/>
        <v>2026</v>
      </c>
    </row>
    <row r="2087" spans="1:16" x14ac:dyDescent="0.25">
      <c r="A2087" s="21">
        <v>3000003428</v>
      </c>
      <c r="B2087" s="22">
        <v>46182</v>
      </c>
      <c r="C2087" s="20">
        <v>15000000</v>
      </c>
      <c r="D2087" s="21" t="s">
        <v>661</v>
      </c>
      <c r="E2087" s="21">
        <v>91003224</v>
      </c>
      <c r="F2087" s="20">
        <v>15000000</v>
      </c>
      <c r="G2087" s="22">
        <v>46184</v>
      </c>
      <c r="H2087" t="s">
        <v>79</v>
      </c>
      <c r="I2087" s="51" t="str">
        <f>IFERROR(IF(VLOOKUP(E2087,extracto!C:C,1,FALSE)=E2087,"pagado","no pagado"),"no pagado")</f>
        <v>pagado</v>
      </c>
      <c r="J2087" s="52" t="str">
        <f t="shared" si="846"/>
        <v>pagado</v>
      </c>
      <c r="K2087" s="51" t="str">
        <f t="shared" ca="1" si="847"/>
        <v>excluir</v>
      </c>
      <c r="L2087" s="51" t="str">
        <f t="shared" ca="1" si="848"/>
        <v>no semana</v>
      </c>
      <c r="M2087" s="51" t="str">
        <f>IFERROR(VLOOKUP(E2087,'cheques a conf'!A:D,4,FALSE),"no clearing")</f>
        <v>no clearing</v>
      </c>
      <c r="N2087" s="51">
        <f t="shared" si="849"/>
        <v>24</v>
      </c>
      <c r="O2087" s="53">
        <f t="shared" si="850"/>
        <v>6</v>
      </c>
      <c r="P2087" s="53">
        <f t="shared" si="851"/>
        <v>2026</v>
      </c>
    </row>
    <row r="2088" spans="1:16" x14ac:dyDescent="0.25">
      <c r="A2088" s="21">
        <v>3000003428</v>
      </c>
      <c r="B2088" s="22">
        <v>46182</v>
      </c>
      <c r="C2088" s="20">
        <v>13062124.51</v>
      </c>
      <c r="D2088" s="21" t="s">
        <v>661</v>
      </c>
      <c r="E2088" s="21">
        <v>91003225</v>
      </c>
      <c r="F2088" s="20">
        <v>13062124.51</v>
      </c>
      <c r="G2088" s="22">
        <v>46185</v>
      </c>
      <c r="H2088" t="s">
        <v>79</v>
      </c>
      <c r="I2088" s="51" t="str">
        <f>IFERROR(IF(VLOOKUP(E2088,extracto!C:C,1,FALSE)=E2088,"pagado","no pagado"),"no pagado")</f>
        <v>pagado</v>
      </c>
      <c r="J2088" s="52" t="str">
        <f t="shared" si="846"/>
        <v>pagado</v>
      </c>
      <c r="K2088" s="51" t="str">
        <f t="shared" ca="1" si="847"/>
        <v>excluir</v>
      </c>
      <c r="L2088" s="51" t="str">
        <f t="shared" ca="1" si="848"/>
        <v>no semana</v>
      </c>
      <c r="M2088" s="51" t="str">
        <f>IFERROR(VLOOKUP(E2088,'cheques a conf'!A:D,4,FALSE),"no clearing")</f>
        <v>no clearing</v>
      </c>
      <c r="N2088" s="51">
        <f t="shared" si="849"/>
        <v>24</v>
      </c>
      <c r="O2088" s="53">
        <f t="shared" si="850"/>
        <v>6</v>
      </c>
      <c r="P2088" s="53">
        <f t="shared" si="851"/>
        <v>2026</v>
      </c>
    </row>
    <row r="2089" spans="1:16" x14ac:dyDescent="0.25">
      <c r="A2089" s="21">
        <v>3000003425</v>
      </c>
      <c r="B2089" s="22">
        <v>46182</v>
      </c>
      <c r="C2089" s="20">
        <v>5212678.82</v>
      </c>
      <c r="D2089" s="21" t="s">
        <v>663</v>
      </c>
      <c r="E2089" s="21">
        <v>91003221</v>
      </c>
      <c r="F2089" s="20">
        <v>5212678.82</v>
      </c>
      <c r="G2089" s="22">
        <v>46185</v>
      </c>
      <c r="H2089" t="s">
        <v>79</v>
      </c>
      <c r="I2089" s="51" t="str">
        <f>IFERROR(IF(VLOOKUP(E2089,extracto!C:C,1,FALSE)=E2089,"pagado","no pagado"),"no pagado")</f>
        <v>pagado</v>
      </c>
      <c r="J2089" s="52" t="str">
        <f t="shared" si="846"/>
        <v>pagado</v>
      </c>
      <c r="K2089" s="51" t="str">
        <f t="shared" ca="1" si="847"/>
        <v>excluir</v>
      </c>
      <c r="L2089" s="51" t="str">
        <f t="shared" ca="1" si="848"/>
        <v>no semana</v>
      </c>
      <c r="M2089" s="51" t="str">
        <f>IFERROR(VLOOKUP(E2089,'cheques a conf'!A:D,4,FALSE),"no clearing")</f>
        <v>no clearing</v>
      </c>
      <c r="N2089" s="51">
        <f t="shared" si="849"/>
        <v>24</v>
      </c>
      <c r="O2089" s="53">
        <f t="shared" si="850"/>
        <v>6</v>
      </c>
      <c r="P2089" s="53">
        <f t="shared" si="851"/>
        <v>2026</v>
      </c>
    </row>
    <row r="2090" spans="1:16" x14ac:dyDescent="0.25">
      <c r="A2090" s="21">
        <v>3000003426</v>
      </c>
      <c r="B2090" s="22">
        <v>46182</v>
      </c>
      <c r="C2090" s="20">
        <v>15896382.42</v>
      </c>
      <c r="D2090" s="21" t="s">
        <v>657</v>
      </c>
      <c r="E2090" s="21">
        <v>91003222</v>
      </c>
      <c r="F2090" s="20">
        <v>15896382.42</v>
      </c>
      <c r="G2090" s="22">
        <v>46185</v>
      </c>
      <c r="H2090" t="s">
        <v>79</v>
      </c>
      <c r="I2090" s="51" t="str">
        <f>IFERROR(IF(VLOOKUP(E2090,extracto!C:C,1,FALSE)=E2090,"pagado","no pagado"),"no pagado")</f>
        <v>pagado</v>
      </c>
      <c r="J2090" s="52" t="str">
        <f t="shared" si="846"/>
        <v>pagado</v>
      </c>
      <c r="K2090" s="51" t="str">
        <f t="shared" ca="1" si="847"/>
        <v>excluir</v>
      </c>
      <c r="L2090" s="51" t="str">
        <f t="shared" ca="1" si="848"/>
        <v>no semana</v>
      </c>
      <c r="M2090" s="51" t="str">
        <f>IFERROR(VLOOKUP(E2090,'cheques a conf'!A:D,4,FALSE),"no clearing")</f>
        <v>no clearing</v>
      </c>
      <c r="N2090" s="51">
        <f t="shared" si="849"/>
        <v>24</v>
      </c>
      <c r="O2090" s="53">
        <f t="shared" si="850"/>
        <v>6</v>
      </c>
      <c r="P2090" s="53">
        <f t="shared" si="851"/>
        <v>2026</v>
      </c>
    </row>
    <row r="2091" spans="1:16" x14ac:dyDescent="0.25">
      <c r="A2091" s="21">
        <v>3000003427</v>
      </c>
      <c r="B2091" s="22">
        <v>46182</v>
      </c>
      <c r="C2091" s="20">
        <v>5698133.3700000001</v>
      </c>
      <c r="D2091" s="21" t="s">
        <v>736</v>
      </c>
      <c r="E2091" s="21">
        <v>91003223</v>
      </c>
      <c r="F2091" s="20">
        <v>5698133.3700000001</v>
      </c>
      <c r="G2091" s="22">
        <v>46185</v>
      </c>
      <c r="H2091" t="s">
        <v>79</v>
      </c>
      <c r="I2091" s="51" t="str">
        <f>IFERROR(IF(VLOOKUP(E2091,extracto!C:C,1,FALSE)=E2091,"pagado","no pagado"),"no pagado")</f>
        <v>pagado</v>
      </c>
      <c r="J2091" s="52" t="str">
        <f t="shared" si="846"/>
        <v>pagado</v>
      </c>
      <c r="K2091" s="51" t="str">
        <f t="shared" ca="1" si="847"/>
        <v>excluir</v>
      </c>
      <c r="L2091" s="51" t="str">
        <f t="shared" ca="1" si="848"/>
        <v>no semana</v>
      </c>
      <c r="M2091" s="51" t="str">
        <f>IFERROR(VLOOKUP(E2091,'cheques a conf'!A:D,4,FALSE),"no clearing")</f>
        <v>no clearing</v>
      </c>
      <c r="N2091" s="51">
        <f t="shared" si="849"/>
        <v>24</v>
      </c>
      <c r="O2091" s="53">
        <f t="shared" si="850"/>
        <v>6</v>
      </c>
      <c r="P2091" s="53">
        <f t="shared" si="851"/>
        <v>2026</v>
      </c>
    </row>
    <row r="2092" spans="1:16" x14ac:dyDescent="0.25">
      <c r="A2092" s="21">
        <v>3000003429</v>
      </c>
      <c r="B2092" s="22">
        <v>46182</v>
      </c>
      <c r="C2092" s="20">
        <v>16082767.58</v>
      </c>
      <c r="D2092" s="21" t="s">
        <v>1737</v>
      </c>
      <c r="E2092" s="21">
        <v>91003226</v>
      </c>
      <c r="F2092" s="20">
        <v>16082767.58</v>
      </c>
      <c r="G2092" s="22">
        <v>46185</v>
      </c>
      <c r="H2092" t="s">
        <v>79</v>
      </c>
      <c r="I2092" s="51" t="str">
        <f>IFERROR(IF(VLOOKUP(E2092,extracto!C:C,1,FALSE)=E2092,"pagado","no pagado"),"no pagado")</f>
        <v>pagado</v>
      </c>
      <c r="J2092" s="52" t="str">
        <f t="shared" si="846"/>
        <v>pagado</v>
      </c>
      <c r="K2092" s="51" t="str">
        <f t="shared" ca="1" si="847"/>
        <v>excluir</v>
      </c>
      <c r="L2092" s="51" t="str">
        <f t="shared" ca="1" si="848"/>
        <v>no semana</v>
      </c>
      <c r="M2092" s="51" t="str">
        <f>IFERROR(VLOOKUP(E2092,'cheques a conf'!A:D,4,FALSE),"no clearing")</f>
        <v>no clearing</v>
      </c>
      <c r="N2092" s="51">
        <f t="shared" si="849"/>
        <v>24</v>
      </c>
      <c r="O2092" s="53">
        <f t="shared" si="850"/>
        <v>6</v>
      </c>
      <c r="P2092" s="53">
        <f t="shared" si="851"/>
        <v>2026</v>
      </c>
    </row>
    <row r="2093" spans="1:16" x14ac:dyDescent="0.25">
      <c r="A2093" s="21">
        <v>3000003430</v>
      </c>
      <c r="B2093" s="22">
        <v>46182</v>
      </c>
      <c r="C2093" s="20">
        <v>7924771.1399999997</v>
      </c>
      <c r="D2093" s="21" t="s">
        <v>612</v>
      </c>
      <c r="E2093" s="21">
        <v>91003227</v>
      </c>
      <c r="F2093" s="20">
        <v>7924771.1399999997</v>
      </c>
      <c r="G2093" s="22">
        <v>46185</v>
      </c>
      <c r="H2093" t="s">
        <v>79</v>
      </c>
      <c r="I2093" s="51" t="str">
        <f>IFERROR(IF(VLOOKUP(E2093,extracto!C:C,1,FALSE)=E2093,"pagado","no pagado"),"no pagado")</f>
        <v>pagado</v>
      </c>
      <c r="J2093" s="52" t="str">
        <f t="shared" si="846"/>
        <v>pagado</v>
      </c>
      <c r="K2093" s="51" t="str">
        <f t="shared" ca="1" si="847"/>
        <v>excluir</v>
      </c>
      <c r="L2093" s="51" t="str">
        <f t="shared" ca="1" si="848"/>
        <v>no semana</v>
      </c>
      <c r="M2093" s="51" t="str">
        <f>IFERROR(VLOOKUP(E2093,'cheques a conf'!A:D,4,FALSE),"no clearing")</f>
        <v>no clearing</v>
      </c>
      <c r="N2093" s="51">
        <f t="shared" si="849"/>
        <v>24</v>
      </c>
      <c r="O2093" s="53">
        <f t="shared" si="850"/>
        <v>6</v>
      </c>
      <c r="P2093" s="53">
        <f t="shared" si="851"/>
        <v>2026</v>
      </c>
    </row>
    <row r="2094" spans="1:16" x14ac:dyDescent="0.25">
      <c r="A2094" s="21">
        <v>3000003431</v>
      </c>
      <c r="B2094" s="22">
        <v>46182</v>
      </c>
      <c r="C2094" s="20">
        <v>6925301.2699999996</v>
      </c>
      <c r="D2094" s="21" t="s">
        <v>651</v>
      </c>
      <c r="E2094" s="21">
        <v>91003228</v>
      </c>
      <c r="F2094" s="20">
        <v>6925301.2699999996</v>
      </c>
      <c r="G2094" s="22">
        <v>46185</v>
      </c>
      <c r="H2094" t="s">
        <v>79</v>
      </c>
      <c r="I2094" s="51" t="str">
        <f>IFERROR(IF(VLOOKUP(E2094,extracto!C:C,1,FALSE)=E2094,"pagado","no pagado"),"no pagado")</f>
        <v>pagado</v>
      </c>
      <c r="J2094" s="52" t="str">
        <f t="shared" si="846"/>
        <v>pagado</v>
      </c>
      <c r="K2094" s="51" t="str">
        <f t="shared" ca="1" si="847"/>
        <v>excluir</v>
      </c>
      <c r="L2094" s="51" t="str">
        <f t="shared" ca="1" si="848"/>
        <v>no semana</v>
      </c>
      <c r="M2094" s="51" t="str">
        <f>IFERROR(VLOOKUP(E2094,'cheques a conf'!A:D,4,FALSE),"no clearing")</f>
        <v>no clearing</v>
      </c>
      <c r="N2094" s="51">
        <f t="shared" si="849"/>
        <v>24</v>
      </c>
      <c r="O2094" s="53">
        <f t="shared" si="850"/>
        <v>6</v>
      </c>
      <c r="P2094" s="53">
        <f t="shared" si="851"/>
        <v>2026</v>
      </c>
    </row>
    <row r="2095" spans="1:16" x14ac:dyDescent="0.25">
      <c r="A2095" s="21">
        <v>3000003432</v>
      </c>
      <c r="B2095" s="22">
        <v>46182</v>
      </c>
      <c r="C2095" s="20">
        <v>7169849.1200000001</v>
      </c>
      <c r="D2095" s="21" t="s">
        <v>664</v>
      </c>
      <c r="E2095" s="21">
        <v>91003229</v>
      </c>
      <c r="F2095" s="20">
        <v>7169849.1200000001</v>
      </c>
      <c r="G2095" s="22">
        <v>46185</v>
      </c>
      <c r="H2095" t="s">
        <v>79</v>
      </c>
      <c r="I2095" s="51" t="str">
        <f>IFERROR(IF(VLOOKUP(E2095,extracto!C:C,1,FALSE)=E2095,"pagado","no pagado"),"no pagado")</f>
        <v>pagado</v>
      </c>
      <c r="J2095" s="52" t="str">
        <f t="shared" si="846"/>
        <v>pagado</v>
      </c>
      <c r="K2095" s="51" t="str">
        <f t="shared" ca="1" si="847"/>
        <v>excluir</v>
      </c>
      <c r="L2095" s="51" t="str">
        <f t="shared" ca="1" si="848"/>
        <v>no semana</v>
      </c>
      <c r="M2095" s="51" t="str">
        <f>IFERROR(VLOOKUP(E2095,'cheques a conf'!A:D,4,FALSE),"no clearing")</f>
        <v>no clearing</v>
      </c>
      <c r="N2095" s="51">
        <f t="shared" si="849"/>
        <v>24</v>
      </c>
      <c r="O2095" s="53">
        <f t="shared" si="850"/>
        <v>6</v>
      </c>
      <c r="P2095" s="53">
        <f t="shared" si="851"/>
        <v>2026</v>
      </c>
    </row>
    <row r="2096" spans="1:16" x14ac:dyDescent="0.25">
      <c r="A2096" s="21">
        <v>3000003433</v>
      </c>
      <c r="B2096" s="22">
        <v>46182</v>
      </c>
      <c r="C2096" s="20">
        <v>5168447.88</v>
      </c>
      <c r="D2096" s="21" t="s">
        <v>680</v>
      </c>
      <c r="E2096" s="21">
        <v>91003230</v>
      </c>
      <c r="F2096" s="20">
        <v>5168447.88</v>
      </c>
      <c r="G2096" s="22">
        <v>46185</v>
      </c>
      <c r="H2096" t="s">
        <v>79</v>
      </c>
      <c r="I2096" s="51" t="str">
        <f>IFERROR(IF(VLOOKUP(E2096,extracto!C:C,1,FALSE)=E2096,"pagado","no pagado"),"no pagado")</f>
        <v>pagado</v>
      </c>
      <c r="J2096" s="52" t="str">
        <f t="shared" si="846"/>
        <v>pagado</v>
      </c>
      <c r="K2096" s="51" t="str">
        <f t="shared" ca="1" si="847"/>
        <v>excluir</v>
      </c>
      <c r="L2096" s="51" t="str">
        <f t="shared" ca="1" si="848"/>
        <v>no semana</v>
      </c>
      <c r="M2096" s="51" t="str">
        <f>IFERROR(VLOOKUP(E2096,'cheques a conf'!A:D,4,FALSE),"no clearing")</f>
        <v>no clearing</v>
      </c>
      <c r="N2096" s="51">
        <f t="shared" si="849"/>
        <v>24</v>
      </c>
      <c r="O2096" s="53">
        <f t="shared" si="850"/>
        <v>6</v>
      </c>
      <c r="P2096" s="53">
        <f t="shared" si="851"/>
        <v>2026</v>
      </c>
    </row>
    <row r="2097" spans="1:16" x14ac:dyDescent="0.25">
      <c r="A2097" s="21">
        <v>3000003434</v>
      </c>
      <c r="B2097" s="22">
        <v>46182</v>
      </c>
      <c r="C2097" s="20">
        <v>5507017.8200000003</v>
      </c>
      <c r="D2097" s="21" t="s">
        <v>1733</v>
      </c>
      <c r="E2097" s="21">
        <v>91003231</v>
      </c>
      <c r="F2097" s="20">
        <v>5507017.8200000003</v>
      </c>
      <c r="G2097" s="22">
        <v>46185</v>
      </c>
      <c r="H2097" t="s">
        <v>79</v>
      </c>
      <c r="I2097" s="51" t="str">
        <f>IFERROR(IF(VLOOKUP(E2097,extracto!C:C,1,FALSE)=E2097,"pagado","no pagado"),"no pagado")</f>
        <v>pagado</v>
      </c>
      <c r="J2097" s="52" t="str">
        <f t="shared" si="846"/>
        <v>pagado</v>
      </c>
      <c r="K2097" s="51" t="str">
        <f t="shared" ca="1" si="847"/>
        <v>excluir</v>
      </c>
      <c r="L2097" s="51" t="str">
        <f t="shared" ca="1" si="848"/>
        <v>no semana</v>
      </c>
      <c r="M2097" s="51" t="str">
        <f>IFERROR(VLOOKUP(E2097,'cheques a conf'!A:D,4,FALSE),"no clearing")</f>
        <v>no clearing</v>
      </c>
      <c r="N2097" s="51">
        <f t="shared" si="849"/>
        <v>24</v>
      </c>
      <c r="O2097" s="53">
        <f t="shared" si="850"/>
        <v>6</v>
      </c>
      <c r="P2097" s="53">
        <f t="shared" si="851"/>
        <v>2026</v>
      </c>
    </row>
    <row r="2098" spans="1:16" x14ac:dyDescent="0.25">
      <c r="A2098" s="21">
        <v>3000003435</v>
      </c>
      <c r="B2098" s="22">
        <v>46182</v>
      </c>
      <c r="C2098" s="20">
        <v>15376417.07</v>
      </c>
      <c r="D2098" s="21" t="s">
        <v>618</v>
      </c>
      <c r="E2098" s="21">
        <v>91003232</v>
      </c>
      <c r="F2098" s="20">
        <v>15376417.07</v>
      </c>
      <c r="G2098" s="22">
        <v>46185</v>
      </c>
      <c r="H2098" t="s">
        <v>79</v>
      </c>
      <c r="I2098" s="51" t="str">
        <f>IFERROR(IF(VLOOKUP(E2098,extracto!C:C,1,FALSE)=E2098,"pagado","no pagado"),"no pagado")</f>
        <v>pagado</v>
      </c>
      <c r="J2098" s="52" t="str">
        <f t="shared" si="846"/>
        <v>pagado</v>
      </c>
      <c r="K2098" s="51" t="str">
        <f t="shared" ca="1" si="847"/>
        <v>excluir</v>
      </c>
      <c r="L2098" s="51" t="str">
        <f t="shared" ca="1" si="848"/>
        <v>no semana</v>
      </c>
      <c r="M2098" s="51" t="str">
        <f>IFERROR(VLOOKUP(E2098,'cheques a conf'!A:D,4,FALSE),"no clearing")</f>
        <v>no clearing</v>
      </c>
      <c r="N2098" s="51">
        <f t="shared" si="849"/>
        <v>24</v>
      </c>
      <c r="O2098" s="53">
        <f t="shared" si="850"/>
        <v>6</v>
      </c>
      <c r="P2098" s="53">
        <f t="shared" si="851"/>
        <v>2026</v>
      </c>
    </row>
    <row r="2099" spans="1:16" x14ac:dyDescent="0.25">
      <c r="A2099" s="21">
        <v>3000003436</v>
      </c>
      <c r="B2099" s="22">
        <v>46182</v>
      </c>
      <c r="C2099" s="20">
        <v>18590445.859999999</v>
      </c>
      <c r="D2099" s="21" t="s">
        <v>31</v>
      </c>
      <c r="E2099" s="21">
        <v>91003233</v>
      </c>
      <c r="F2099" s="20">
        <v>18590445.859999999</v>
      </c>
      <c r="G2099" s="22">
        <v>46185</v>
      </c>
      <c r="H2099" t="s">
        <v>79</v>
      </c>
      <c r="I2099" s="51" t="str">
        <f>IFERROR(IF(VLOOKUP(E2099,extracto!C:C,1,FALSE)=E2099,"pagado","no pagado"),"no pagado")</f>
        <v>pagado</v>
      </c>
      <c r="J2099" s="52" t="str">
        <f t="shared" si="846"/>
        <v>pagado</v>
      </c>
      <c r="K2099" s="51" t="str">
        <f t="shared" ca="1" si="847"/>
        <v>excluir</v>
      </c>
      <c r="L2099" s="51" t="str">
        <f t="shared" ca="1" si="848"/>
        <v>no semana</v>
      </c>
      <c r="M2099" s="51" t="str">
        <f>IFERROR(VLOOKUP(E2099,'cheques a conf'!A:D,4,FALSE),"no clearing")</f>
        <v>no clearing</v>
      </c>
      <c r="N2099" s="51">
        <f t="shared" si="849"/>
        <v>24</v>
      </c>
      <c r="O2099" s="53">
        <f t="shared" si="850"/>
        <v>6</v>
      </c>
      <c r="P2099" s="53">
        <f t="shared" si="851"/>
        <v>2026</v>
      </c>
    </row>
    <row r="2100" spans="1:16" x14ac:dyDescent="0.25">
      <c r="A2100" s="21">
        <v>3000003437</v>
      </c>
      <c r="B2100" s="22">
        <v>46182</v>
      </c>
      <c r="C2100" s="20">
        <v>4724421.3600000003</v>
      </c>
      <c r="D2100" s="21" t="s">
        <v>613</v>
      </c>
      <c r="E2100" s="21">
        <v>91003234</v>
      </c>
      <c r="F2100" s="20">
        <v>4724421.3600000003</v>
      </c>
      <c r="G2100" s="22">
        <v>46185</v>
      </c>
      <c r="H2100" t="s">
        <v>79</v>
      </c>
      <c r="I2100" s="51" t="str">
        <f>IFERROR(IF(VLOOKUP(E2100,extracto!C:C,1,FALSE)=E2100,"pagado","no pagado"),"no pagado")</f>
        <v>pagado</v>
      </c>
      <c r="J2100" s="52" t="str">
        <f t="shared" si="846"/>
        <v>pagado</v>
      </c>
      <c r="K2100" s="51" t="str">
        <f t="shared" ca="1" si="847"/>
        <v>excluir</v>
      </c>
      <c r="L2100" s="51" t="str">
        <f t="shared" ca="1" si="848"/>
        <v>no semana</v>
      </c>
      <c r="M2100" s="51" t="str">
        <f>IFERROR(VLOOKUP(E2100,'cheques a conf'!A:D,4,FALSE),"no clearing")</f>
        <v>no clearing</v>
      </c>
      <c r="N2100" s="51">
        <f t="shared" si="849"/>
        <v>24</v>
      </c>
      <c r="O2100" s="53">
        <f t="shared" si="850"/>
        <v>6</v>
      </c>
      <c r="P2100" s="53">
        <f t="shared" si="851"/>
        <v>2026</v>
      </c>
    </row>
    <row r="2101" spans="1:16" x14ac:dyDescent="0.25">
      <c r="A2101" s="21">
        <v>3000003466</v>
      </c>
      <c r="B2101" s="22">
        <v>46183</v>
      </c>
      <c r="C2101" s="20">
        <v>6610132.3700000001</v>
      </c>
      <c r="D2101" s="21" t="s">
        <v>659</v>
      </c>
      <c r="E2101" s="21">
        <v>61301851</v>
      </c>
      <c r="F2101" s="20">
        <v>6610132.3700000001</v>
      </c>
      <c r="G2101" s="22">
        <v>46185</v>
      </c>
      <c r="H2101" t="s">
        <v>79</v>
      </c>
      <c r="I2101" s="51" t="str">
        <f>IFERROR(IF(VLOOKUP(E2101,extracto!C:C,1,FALSE)=E2101,"pagado","no pagado"),"no pagado")</f>
        <v>pagado</v>
      </c>
      <c r="J2101" s="52" t="str">
        <f t="shared" ref="J2101:J2103" si="852">IF(I2101="pagado","pagado",IF(G2101&lt;$V$1-30,"fuera de fecha","en periodo de pago"))</f>
        <v>pagado</v>
      </c>
      <c r="K2101" s="51" t="str">
        <f t="shared" ref="K2101:K2103" ca="1" si="853">+IF(B2101&gt;$V$1,"excluir",IF(J2101="en periodo de pago",IF($V$1&gt;G2101,"a pagar","proximo a vencer"),"excluir"))</f>
        <v>excluir</v>
      </c>
      <c r="L2101" s="51" t="str">
        <f t="shared" ref="L2101:L2103" ca="1" si="854">+IF(K2101="proximo a vencer",IF($V$1+5&gt;G2101,"para la semana","no semana"),"no semana")</f>
        <v>no semana</v>
      </c>
      <c r="M2101" s="51" t="str">
        <f>IFERROR(VLOOKUP(E2101,'cheques a conf'!A:D,4,FALSE),"no clearing")</f>
        <v>no clearing</v>
      </c>
      <c r="N2101" s="51">
        <f t="shared" ref="N2101:N2103" si="855">+WEEKNUM(G2101,2)</f>
        <v>24</v>
      </c>
      <c r="O2101" s="53">
        <f t="shared" ref="O2101:O2103" si="856">+MONTH(G2101)</f>
        <v>6</v>
      </c>
      <c r="P2101" s="53">
        <f t="shared" ref="P2101:P2103" si="857">+YEAR(G2101)</f>
        <v>2026</v>
      </c>
    </row>
    <row r="2102" spans="1:16" x14ac:dyDescent="0.25">
      <c r="A2102" s="21">
        <v>3000003502</v>
      </c>
      <c r="B2102" s="22">
        <v>46184</v>
      </c>
      <c r="C2102" s="20">
        <v>19250000</v>
      </c>
      <c r="D2102" s="21" t="s">
        <v>1744</v>
      </c>
      <c r="E2102" s="21">
        <v>61301852</v>
      </c>
      <c r="F2102" s="20">
        <v>19250000</v>
      </c>
      <c r="G2102" s="22">
        <v>46211</v>
      </c>
      <c r="H2102" t="s">
        <v>79</v>
      </c>
      <c r="I2102" s="51" t="str">
        <f>IFERROR(IF(VLOOKUP(E2102,extracto!C:C,1,FALSE)=E2102,"pagado","no pagado"),"no pagado")</f>
        <v>pagado</v>
      </c>
      <c r="J2102" s="52" t="str">
        <f t="shared" si="852"/>
        <v>pagado</v>
      </c>
      <c r="K2102" s="51" t="str">
        <f t="shared" ca="1" si="853"/>
        <v>excluir</v>
      </c>
      <c r="L2102" s="51" t="str">
        <f t="shared" ca="1" si="854"/>
        <v>no semana</v>
      </c>
      <c r="M2102" s="51" t="str">
        <f>IFERROR(VLOOKUP(E2102,'cheques a conf'!A:D,4,FALSE),"no clearing")</f>
        <v>no clearing</v>
      </c>
      <c r="N2102" s="51">
        <f t="shared" si="855"/>
        <v>28</v>
      </c>
      <c r="O2102" s="53">
        <f t="shared" si="856"/>
        <v>7</v>
      </c>
      <c r="P2102" s="53">
        <f t="shared" si="857"/>
        <v>2026</v>
      </c>
    </row>
    <row r="2103" spans="1:16" x14ac:dyDescent="0.25">
      <c r="A2103" s="21">
        <v>3000003502</v>
      </c>
      <c r="B2103" s="22">
        <v>46184</v>
      </c>
      <c r="C2103" s="20">
        <v>19312053.399999999</v>
      </c>
      <c r="D2103" s="21" t="s">
        <v>1744</v>
      </c>
      <c r="E2103" s="21">
        <v>61301853</v>
      </c>
      <c r="F2103" s="20">
        <v>19312053.399999999</v>
      </c>
      <c r="G2103" s="22">
        <v>46241</v>
      </c>
      <c r="H2103" t="s">
        <v>79</v>
      </c>
      <c r="I2103" s="51" t="str">
        <f>IFERROR(IF(VLOOKUP(E2103,extracto!C:C,1,FALSE)=E2103,"pagado","no pagado"),"no pagado")</f>
        <v>pagado</v>
      </c>
      <c r="J2103" s="52" t="str">
        <f t="shared" si="852"/>
        <v>pagado</v>
      </c>
      <c r="K2103" s="51" t="str">
        <f t="shared" ca="1" si="853"/>
        <v>excluir</v>
      </c>
      <c r="L2103" s="51" t="str">
        <f t="shared" ca="1" si="854"/>
        <v>no semana</v>
      </c>
      <c r="M2103" s="51" t="str">
        <f>IFERROR(VLOOKUP(E2103,'cheques a conf'!A:D,4,FALSE),"no clearing")</f>
        <v>no clearing</v>
      </c>
      <c r="N2103" s="51">
        <f t="shared" si="855"/>
        <v>32</v>
      </c>
      <c r="O2103" s="53">
        <f t="shared" si="856"/>
        <v>8</v>
      </c>
      <c r="P2103" s="53">
        <f t="shared" si="857"/>
        <v>2026</v>
      </c>
    </row>
    <row r="2104" spans="1:16" x14ac:dyDescent="0.25">
      <c r="A2104" s="21">
        <v>3000003281</v>
      </c>
      <c r="B2104" s="22">
        <v>46189</v>
      </c>
      <c r="C2104" s="20">
        <v>45580986.57</v>
      </c>
      <c r="D2104" s="21" t="s">
        <v>1747</v>
      </c>
      <c r="E2104" s="21">
        <v>91003235</v>
      </c>
      <c r="F2104" s="20">
        <v>45580986.57</v>
      </c>
      <c r="G2104" s="22">
        <v>46209</v>
      </c>
      <c r="H2104" t="s">
        <v>79</v>
      </c>
      <c r="I2104" s="51" t="str">
        <f>IFERROR(IF(VLOOKUP(E2104,extracto!C:C,1,FALSE)=E2104,"pagado","no pagado"),"no pagado")</f>
        <v>pagado</v>
      </c>
      <c r="J2104" s="52" t="str">
        <f t="shared" ref="J2104:J2167" si="858">IF(I2104="pagado","pagado",IF(G2104&lt;$V$1-30,"fuera de fecha","en periodo de pago"))</f>
        <v>pagado</v>
      </c>
      <c r="K2104" s="51" t="str">
        <f t="shared" ref="K2104:K2167" ca="1" si="859">+IF(B2104&gt;$V$1,"excluir",IF(J2104="en periodo de pago",IF($V$1&gt;G2104,"a pagar","proximo a vencer"),"excluir"))</f>
        <v>excluir</v>
      </c>
      <c r="L2104" s="51" t="str">
        <f t="shared" ref="L2104:L2167" ca="1" si="860">+IF(K2104="proximo a vencer",IF($V$1+5&gt;G2104,"para la semana","no semana"),"no semana")</f>
        <v>no semana</v>
      </c>
      <c r="M2104" s="51" t="str">
        <f>IFERROR(VLOOKUP(E2104,'cheques a conf'!A:D,4,FALSE),"no clearing")</f>
        <v>no clearing</v>
      </c>
      <c r="N2104" s="51">
        <f t="shared" ref="N2104:N2167" si="861">+WEEKNUM(G2104,2)</f>
        <v>28</v>
      </c>
      <c r="O2104" s="53">
        <f t="shared" ref="O2104:O2167" si="862">+MONTH(G2104)</f>
        <v>7</v>
      </c>
      <c r="P2104" s="53">
        <f t="shared" ref="P2104:P2167" si="863">+YEAR(G2104)</f>
        <v>2026</v>
      </c>
    </row>
    <row r="2105" spans="1:16" x14ac:dyDescent="0.25">
      <c r="A2105" s="21">
        <v>3000003281</v>
      </c>
      <c r="B2105" s="22">
        <v>46189</v>
      </c>
      <c r="C2105" s="20">
        <v>15785035.92</v>
      </c>
      <c r="D2105" s="21" t="s">
        <v>1747</v>
      </c>
      <c r="E2105" s="21">
        <v>91003236</v>
      </c>
      <c r="F2105" s="20">
        <v>15785035.92</v>
      </c>
      <c r="G2105" s="22">
        <v>46210</v>
      </c>
      <c r="H2105" t="s">
        <v>79</v>
      </c>
      <c r="I2105" s="51" t="str">
        <f>IFERROR(IF(VLOOKUP(E2105,extracto!C:C,1,FALSE)=E2105,"pagado","no pagado"),"no pagado")</f>
        <v>pagado</v>
      </c>
      <c r="J2105" s="52" t="str">
        <f t="shared" si="858"/>
        <v>pagado</v>
      </c>
      <c r="K2105" s="51" t="str">
        <f t="shared" ca="1" si="859"/>
        <v>excluir</v>
      </c>
      <c r="L2105" s="51" t="str">
        <f t="shared" ca="1" si="860"/>
        <v>no semana</v>
      </c>
      <c r="M2105" s="51" t="str">
        <f>IFERROR(VLOOKUP(E2105,'cheques a conf'!A:D,4,FALSE),"no clearing")</f>
        <v>no clearing</v>
      </c>
      <c r="N2105" s="51">
        <f t="shared" si="861"/>
        <v>28</v>
      </c>
      <c r="O2105" s="53">
        <f t="shared" si="862"/>
        <v>7</v>
      </c>
      <c r="P2105" s="53">
        <f t="shared" si="863"/>
        <v>2026</v>
      </c>
    </row>
    <row r="2106" spans="1:16" x14ac:dyDescent="0.25">
      <c r="A2106" s="21">
        <v>3000003580</v>
      </c>
      <c r="B2106" s="22">
        <v>46189</v>
      </c>
      <c r="C2106" s="20">
        <v>7261652.4000000004</v>
      </c>
      <c r="D2106" s="21" t="s">
        <v>725</v>
      </c>
      <c r="E2106" s="21">
        <v>91003240</v>
      </c>
      <c r="F2106" s="20">
        <v>7261652.4000000004</v>
      </c>
      <c r="G2106" s="22">
        <v>46192</v>
      </c>
      <c r="H2106" t="s">
        <v>79</v>
      </c>
      <c r="I2106" s="51" t="str">
        <f>IFERROR(IF(VLOOKUP(E2106,extracto!C:C,1,FALSE)=E2106,"pagado","no pagado"),"no pagado")</f>
        <v>pagado</v>
      </c>
      <c r="J2106" s="52" t="str">
        <f t="shared" si="858"/>
        <v>pagado</v>
      </c>
      <c r="K2106" s="51" t="str">
        <f t="shared" ca="1" si="859"/>
        <v>excluir</v>
      </c>
      <c r="L2106" s="51" t="str">
        <f t="shared" ca="1" si="860"/>
        <v>no semana</v>
      </c>
      <c r="M2106" s="51" t="str">
        <f>IFERROR(VLOOKUP(E2106,'cheques a conf'!A:D,4,FALSE),"no clearing")</f>
        <v>no clearing</v>
      </c>
      <c r="N2106" s="51">
        <f t="shared" si="861"/>
        <v>25</v>
      </c>
      <c r="O2106" s="53">
        <f t="shared" si="862"/>
        <v>6</v>
      </c>
      <c r="P2106" s="53">
        <f t="shared" si="863"/>
        <v>2026</v>
      </c>
    </row>
    <row r="2107" spans="1:16" x14ac:dyDescent="0.25">
      <c r="A2107" s="21">
        <v>3000003580</v>
      </c>
      <c r="B2107" s="22">
        <v>46189</v>
      </c>
      <c r="C2107" s="20">
        <v>7261380</v>
      </c>
      <c r="D2107" s="21" t="s">
        <v>725</v>
      </c>
      <c r="E2107" s="21">
        <v>91003241</v>
      </c>
      <c r="F2107" s="20">
        <v>7261380</v>
      </c>
      <c r="G2107" s="22">
        <v>46220</v>
      </c>
      <c r="H2107" t="s">
        <v>79</v>
      </c>
      <c r="I2107" s="51" t="str">
        <f>IFERROR(IF(VLOOKUP(E2107,extracto!C:C,1,FALSE)=E2107,"pagado","no pagado"),"no pagado")</f>
        <v>pagado</v>
      </c>
      <c r="J2107" s="52" t="str">
        <f t="shared" si="858"/>
        <v>pagado</v>
      </c>
      <c r="K2107" s="51" t="str">
        <f t="shared" ca="1" si="859"/>
        <v>excluir</v>
      </c>
      <c r="L2107" s="51" t="str">
        <f t="shared" ca="1" si="860"/>
        <v>no semana</v>
      </c>
      <c r="M2107" s="51" t="str">
        <f>IFERROR(VLOOKUP(E2107,'cheques a conf'!A:D,4,FALSE),"no clearing")</f>
        <v>no clearing</v>
      </c>
      <c r="N2107" s="51">
        <f t="shared" si="861"/>
        <v>29</v>
      </c>
      <c r="O2107" s="53">
        <f t="shared" si="862"/>
        <v>7</v>
      </c>
      <c r="P2107" s="53">
        <f t="shared" si="863"/>
        <v>2026</v>
      </c>
    </row>
    <row r="2108" spans="1:16" x14ac:dyDescent="0.25">
      <c r="A2108" s="21">
        <v>3000003580</v>
      </c>
      <c r="B2108" s="22">
        <v>46189</v>
      </c>
      <c r="C2108" s="20">
        <v>7261380</v>
      </c>
      <c r="D2108" s="21" t="s">
        <v>725</v>
      </c>
      <c r="E2108" s="21">
        <v>91003242</v>
      </c>
      <c r="F2108" s="20">
        <v>7261380</v>
      </c>
      <c r="G2108" s="22">
        <v>46251</v>
      </c>
      <c r="H2108" t="s">
        <v>79</v>
      </c>
      <c r="I2108" s="51" t="str">
        <f>IFERROR(IF(VLOOKUP(E2108,extracto!C:C,1,FALSE)=E2108,"pagado","no pagado"),"no pagado")</f>
        <v>pagado</v>
      </c>
      <c r="J2108" s="52" t="str">
        <f t="shared" si="858"/>
        <v>pagado</v>
      </c>
      <c r="K2108" s="51" t="str">
        <f t="shared" ca="1" si="859"/>
        <v>excluir</v>
      </c>
      <c r="L2108" s="51" t="str">
        <f t="shared" ca="1" si="860"/>
        <v>no semana</v>
      </c>
      <c r="M2108" s="51" t="str">
        <f>IFERROR(VLOOKUP(E2108,'cheques a conf'!A:D,4,FALSE),"no clearing")</f>
        <v>no clearing</v>
      </c>
      <c r="N2108" s="51">
        <f t="shared" si="861"/>
        <v>34</v>
      </c>
      <c r="O2108" s="53">
        <f t="shared" si="862"/>
        <v>8</v>
      </c>
      <c r="P2108" s="53">
        <f t="shared" si="863"/>
        <v>2026</v>
      </c>
    </row>
    <row r="2109" spans="1:16" x14ac:dyDescent="0.25">
      <c r="A2109" s="21">
        <v>3000003576</v>
      </c>
      <c r="B2109" s="22">
        <v>46189</v>
      </c>
      <c r="C2109" s="20">
        <v>62528420</v>
      </c>
      <c r="D2109" s="21" t="s">
        <v>25</v>
      </c>
      <c r="E2109" s="21">
        <v>95780903</v>
      </c>
      <c r="F2109" s="20">
        <v>62528420</v>
      </c>
      <c r="G2109" s="22">
        <v>46189</v>
      </c>
      <c r="H2109" t="s">
        <v>79</v>
      </c>
      <c r="I2109" s="51" t="str">
        <f>IFERROR(IF(VLOOKUP(E2109,extracto!C:C,1,FALSE)=E2109,"pagado","no pagado"),"no pagado")</f>
        <v>pagado</v>
      </c>
      <c r="J2109" s="52" t="str">
        <f t="shared" si="858"/>
        <v>pagado</v>
      </c>
      <c r="K2109" s="51" t="str">
        <f t="shared" ca="1" si="859"/>
        <v>excluir</v>
      </c>
      <c r="L2109" s="51" t="str">
        <f t="shared" ca="1" si="860"/>
        <v>no semana</v>
      </c>
      <c r="M2109" s="51" t="str">
        <f>IFERROR(VLOOKUP(E2109,'cheques a conf'!A:D,4,FALSE),"no clearing")</f>
        <v>no clearing</v>
      </c>
      <c r="N2109" s="51">
        <f t="shared" si="861"/>
        <v>25</v>
      </c>
      <c r="O2109" s="53">
        <f t="shared" si="862"/>
        <v>6</v>
      </c>
      <c r="P2109" s="53">
        <f t="shared" si="863"/>
        <v>2026</v>
      </c>
    </row>
    <row r="2110" spans="1:16" x14ac:dyDescent="0.25">
      <c r="A2110" s="21">
        <v>3000003577</v>
      </c>
      <c r="B2110" s="22">
        <v>46189</v>
      </c>
      <c r="C2110" s="20">
        <v>6618152.2199999997</v>
      </c>
      <c r="D2110" s="21" t="s">
        <v>423</v>
      </c>
      <c r="E2110" s="21">
        <v>91003237</v>
      </c>
      <c r="F2110" s="20">
        <v>6618152.2199999997</v>
      </c>
      <c r="G2110" s="22">
        <v>46192</v>
      </c>
      <c r="H2110" t="s">
        <v>79</v>
      </c>
      <c r="I2110" s="51" t="str">
        <f>IFERROR(IF(VLOOKUP(E2110,extracto!C:C,1,FALSE)=E2110,"pagado","no pagado"),"no pagado")</f>
        <v>pagado</v>
      </c>
      <c r="J2110" s="52" t="str">
        <f t="shared" si="858"/>
        <v>pagado</v>
      </c>
      <c r="K2110" s="51" t="str">
        <f t="shared" ca="1" si="859"/>
        <v>excluir</v>
      </c>
      <c r="L2110" s="51" t="str">
        <f t="shared" ca="1" si="860"/>
        <v>no semana</v>
      </c>
      <c r="M2110" s="51" t="str">
        <f>IFERROR(VLOOKUP(E2110,'cheques a conf'!A:D,4,FALSE),"no clearing")</f>
        <v>no clearing</v>
      </c>
      <c r="N2110" s="51">
        <f t="shared" si="861"/>
        <v>25</v>
      </c>
      <c r="O2110" s="53">
        <f t="shared" si="862"/>
        <v>6</v>
      </c>
      <c r="P2110" s="53">
        <f t="shared" si="863"/>
        <v>2026</v>
      </c>
    </row>
    <row r="2111" spans="1:16" x14ac:dyDescent="0.25">
      <c r="A2111" s="21">
        <v>3000003578</v>
      </c>
      <c r="B2111" s="22">
        <v>46189</v>
      </c>
      <c r="C2111" s="20">
        <v>7277623.4000000004</v>
      </c>
      <c r="D2111" s="21" t="s">
        <v>587</v>
      </c>
      <c r="E2111" s="21">
        <v>91003238</v>
      </c>
      <c r="F2111" s="20">
        <v>7277623.4000000004</v>
      </c>
      <c r="G2111" s="22">
        <v>46192</v>
      </c>
      <c r="H2111" t="s">
        <v>79</v>
      </c>
      <c r="I2111" s="51" t="str">
        <f>IFERROR(IF(VLOOKUP(E2111,extracto!C:C,1,FALSE)=E2111,"pagado","no pagado"),"no pagado")</f>
        <v>pagado</v>
      </c>
      <c r="J2111" s="52" t="str">
        <f t="shared" si="858"/>
        <v>pagado</v>
      </c>
      <c r="K2111" s="51" t="str">
        <f t="shared" ca="1" si="859"/>
        <v>excluir</v>
      </c>
      <c r="L2111" s="51" t="str">
        <f t="shared" ca="1" si="860"/>
        <v>no semana</v>
      </c>
      <c r="M2111" s="51" t="str">
        <f>IFERROR(VLOOKUP(E2111,'cheques a conf'!A:D,4,FALSE),"no clearing")</f>
        <v>no clearing</v>
      </c>
      <c r="N2111" s="51">
        <f t="shared" si="861"/>
        <v>25</v>
      </c>
      <c r="O2111" s="53">
        <f t="shared" si="862"/>
        <v>6</v>
      </c>
      <c r="P2111" s="53">
        <f t="shared" si="863"/>
        <v>2026</v>
      </c>
    </row>
    <row r="2112" spans="1:16" x14ac:dyDescent="0.25">
      <c r="A2112" s="21">
        <v>3000003579</v>
      </c>
      <c r="B2112" s="22">
        <v>46189</v>
      </c>
      <c r="C2112" s="20">
        <v>10179271.609999999</v>
      </c>
      <c r="D2112" s="21" t="s">
        <v>697</v>
      </c>
      <c r="E2112" s="21">
        <v>91003239</v>
      </c>
      <c r="F2112" s="20">
        <v>10179271.609999999</v>
      </c>
      <c r="G2112" s="22">
        <v>46192</v>
      </c>
      <c r="H2112" t="s">
        <v>79</v>
      </c>
      <c r="I2112" s="51" t="str">
        <f>IFERROR(IF(VLOOKUP(E2112,extracto!C:C,1,FALSE)=E2112,"pagado","no pagado"),"no pagado")</f>
        <v>pagado</v>
      </c>
      <c r="J2112" s="52" t="str">
        <f t="shared" si="858"/>
        <v>pagado</v>
      </c>
      <c r="K2112" s="51" t="str">
        <f t="shared" ca="1" si="859"/>
        <v>excluir</v>
      </c>
      <c r="L2112" s="51" t="str">
        <f t="shared" ca="1" si="860"/>
        <v>no semana</v>
      </c>
      <c r="M2112" s="51" t="str">
        <f>IFERROR(VLOOKUP(E2112,'cheques a conf'!A:D,4,FALSE),"no clearing")</f>
        <v>no clearing</v>
      </c>
      <c r="N2112" s="51">
        <f t="shared" si="861"/>
        <v>25</v>
      </c>
      <c r="O2112" s="53">
        <f t="shared" si="862"/>
        <v>6</v>
      </c>
      <c r="P2112" s="53">
        <f t="shared" si="863"/>
        <v>2026</v>
      </c>
    </row>
    <row r="2113" spans="1:16" x14ac:dyDescent="0.25">
      <c r="A2113" s="21">
        <v>3000003581</v>
      </c>
      <c r="B2113" s="22">
        <v>46189</v>
      </c>
      <c r="C2113" s="20">
        <v>10047463.720000001</v>
      </c>
      <c r="D2113" s="21" t="s">
        <v>1722</v>
      </c>
      <c r="E2113" s="21">
        <v>91003243</v>
      </c>
      <c r="F2113" s="20">
        <v>10047463.720000001</v>
      </c>
      <c r="G2113" s="22">
        <v>46192</v>
      </c>
      <c r="H2113" t="s">
        <v>79</v>
      </c>
      <c r="I2113" s="51" t="str">
        <f>IFERROR(IF(VLOOKUP(E2113,extracto!C:C,1,FALSE)=E2113,"pagado","no pagado"),"no pagado")</f>
        <v>pagado</v>
      </c>
      <c r="J2113" s="52" t="str">
        <f t="shared" si="858"/>
        <v>pagado</v>
      </c>
      <c r="K2113" s="51" t="str">
        <f t="shared" ca="1" si="859"/>
        <v>excluir</v>
      </c>
      <c r="L2113" s="51" t="str">
        <f t="shared" ca="1" si="860"/>
        <v>no semana</v>
      </c>
      <c r="M2113" s="51" t="str">
        <f>IFERROR(VLOOKUP(E2113,'cheques a conf'!A:D,4,FALSE),"no clearing")</f>
        <v>no clearing</v>
      </c>
      <c r="N2113" s="51">
        <f t="shared" si="861"/>
        <v>25</v>
      </c>
      <c r="O2113" s="53">
        <f t="shared" si="862"/>
        <v>6</v>
      </c>
      <c r="P2113" s="53">
        <f t="shared" si="863"/>
        <v>2026</v>
      </c>
    </row>
    <row r="2114" spans="1:16" x14ac:dyDescent="0.25">
      <c r="A2114" s="21">
        <v>3000003582</v>
      </c>
      <c r="B2114" s="22">
        <v>46189</v>
      </c>
      <c r="C2114" s="20">
        <v>32823360</v>
      </c>
      <c r="D2114" s="21" t="s">
        <v>592</v>
      </c>
      <c r="E2114" s="21">
        <v>91003244</v>
      </c>
      <c r="F2114" s="20">
        <v>32823360</v>
      </c>
      <c r="G2114" s="22">
        <v>46195</v>
      </c>
      <c r="H2114" t="s">
        <v>79</v>
      </c>
      <c r="I2114" s="51" t="str">
        <f>IFERROR(IF(VLOOKUP(E2114,extracto!C:C,1,FALSE)=E2114,"pagado","no pagado"),"no pagado")</f>
        <v>pagado</v>
      </c>
      <c r="J2114" s="52" t="str">
        <f t="shared" si="858"/>
        <v>pagado</v>
      </c>
      <c r="K2114" s="51" t="str">
        <f t="shared" ca="1" si="859"/>
        <v>excluir</v>
      </c>
      <c r="L2114" s="51" t="str">
        <f t="shared" ca="1" si="860"/>
        <v>no semana</v>
      </c>
      <c r="M2114" s="51" t="str">
        <f>IFERROR(VLOOKUP(E2114,'cheques a conf'!A:D,4,FALSE),"no clearing")</f>
        <v>no clearing</v>
      </c>
      <c r="N2114" s="51">
        <f t="shared" si="861"/>
        <v>26</v>
      </c>
      <c r="O2114" s="53">
        <f t="shared" si="862"/>
        <v>6</v>
      </c>
      <c r="P2114" s="53">
        <f t="shared" si="863"/>
        <v>2026</v>
      </c>
    </row>
    <row r="2115" spans="1:16" x14ac:dyDescent="0.25">
      <c r="A2115" s="21">
        <v>3000003583</v>
      </c>
      <c r="B2115" s="22">
        <v>46189</v>
      </c>
      <c r="C2115" s="20">
        <v>5283180.76</v>
      </c>
      <c r="D2115" s="21" t="s">
        <v>612</v>
      </c>
      <c r="E2115" s="21">
        <v>91003245</v>
      </c>
      <c r="F2115" s="20">
        <v>5283180.76</v>
      </c>
      <c r="G2115" s="22">
        <v>46192</v>
      </c>
      <c r="H2115" t="s">
        <v>79</v>
      </c>
      <c r="I2115" s="51" t="str">
        <f>IFERROR(IF(VLOOKUP(E2115,extracto!C:C,1,FALSE)=E2115,"pagado","no pagado"),"no pagado")</f>
        <v>pagado</v>
      </c>
      <c r="J2115" s="52" t="str">
        <f t="shared" si="858"/>
        <v>pagado</v>
      </c>
      <c r="K2115" s="51" t="str">
        <f t="shared" ca="1" si="859"/>
        <v>excluir</v>
      </c>
      <c r="L2115" s="51" t="str">
        <f t="shared" ca="1" si="860"/>
        <v>no semana</v>
      </c>
      <c r="M2115" s="51" t="str">
        <f>IFERROR(VLOOKUP(E2115,'cheques a conf'!A:D,4,FALSE),"no clearing")</f>
        <v>no clearing</v>
      </c>
      <c r="N2115" s="51">
        <f t="shared" si="861"/>
        <v>25</v>
      </c>
      <c r="O2115" s="53">
        <f t="shared" si="862"/>
        <v>6</v>
      </c>
      <c r="P2115" s="53">
        <f t="shared" si="863"/>
        <v>2026</v>
      </c>
    </row>
    <row r="2116" spans="1:16" x14ac:dyDescent="0.25">
      <c r="A2116" s="21">
        <v>3000003584</v>
      </c>
      <c r="B2116" s="22">
        <v>46189</v>
      </c>
      <c r="C2116" s="20">
        <v>6111688.4100000001</v>
      </c>
      <c r="D2116" s="21" t="s">
        <v>616</v>
      </c>
      <c r="E2116" s="21">
        <v>91003246</v>
      </c>
      <c r="F2116" s="20">
        <v>6111688.4100000001</v>
      </c>
      <c r="G2116" s="22">
        <v>46192</v>
      </c>
      <c r="H2116" t="s">
        <v>79</v>
      </c>
      <c r="I2116" s="51" t="str">
        <f>IFERROR(IF(VLOOKUP(E2116,extracto!C:C,1,FALSE)=E2116,"pagado","no pagado"),"no pagado")</f>
        <v>pagado</v>
      </c>
      <c r="J2116" s="52" t="str">
        <f t="shared" si="858"/>
        <v>pagado</v>
      </c>
      <c r="K2116" s="51" t="str">
        <f t="shared" ca="1" si="859"/>
        <v>excluir</v>
      </c>
      <c r="L2116" s="51" t="str">
        <f t="shared" ca="1" si="860"/>
        <v>no semana</v>
      </c>
      <c r="M2116" s="51" t="str">
        <f>IFERROR(VLOOKUP(E2116,'cheques a conf'!A:D,4,FALSE),"no clearing")</f>
        <v>no clearing</v>
      </c>
      <c r="N2116" s="51">
        <f t="shared" si="861"/>
        <v>25</v>
      </c>
      <c r="O2116" s="53">
        <f t="shared" si="862"/>
        <v>6</v>
      </c>
      <c r="P2116" s="53">
        <f t="shared" si="863"/>
        <v>2026</v>
      </c>
    </row>
    <row r="2117" spans="1:16" x14ac:dyDescent="0.25">
      <c r="A2117" s="21">
        <v>3000003585</v>
      </c>
      <c r="B2117" s="22">
        <v>46189</v>
      </c>
      <c r="C2117" s="20">
        <v>24602267.329999998</v>
      </c>
      <c r="D2117" s="21" t="s">
        <v>618</v>
      </c>
      <c r="E2117" s="21">
        <v>91003247</v>
      </c>
      <c r="F2117" s="20">
        <v>24602267.329999998</v>
      </c>
      <c r="G2117" s="22">
        <v>46195</v>
      </c>
      <c r="H2117" t="s">
        <v>79</v>
      </c>
      <c r="I2117" s="51" t="str">
        <f>IFERROR(IF(VLOOKUP(E2117,extracto!C:C,1,FALSE)=E2117,"pagado","no pagado"),"no pagado")</f>
        <v>pagado</v>
      </c>
      <c r="J2117" s="52" t="str">
        <f t="shared" si="858"/>
        <v>pagado</v>
      </c>
      <c r="K2117" s="51" t="str">
        <f t="shared" ca="1" si="859"/>
        <v>excluir</v>
      </c>
      <c r="L2117" s="51" t="str">
        <f t="shared" ca="1" si="860"/>
        <v>no semana</v>
      </c>
      <c r="M2117" s="51" t="str">
        <f>IFERROR(VLOOKUP(E2117,'cheques a conf'!A:D,4,FALSE),"no clearing")</f>
        <v>no clearing</v>
      </c>
      <c r="N2117" s="51">
        <f t="shared" si="861"/>
        <v>26</v>
      </c>
      <c r="O2117" s="53">
        <f t="shared" si="862"/>
        <v>6</v>
      </c>
      <c r="P2117" s="53">
        <f t="shared" si="863"/>
        <v>2026</v>
      </c>
    </row>
    <row r="2118" spans="1:16" x14ac:dyDescent="0.25">
      <c r="A2118" s="21">
        <v>3000003586</v>
      </c>
      <c r="B2118" s="22">
        <v>46189</v>
      </c>
      <c r="C2118" s="20">
        <v>30540503.539999999</v>
      </c>
      <c r="D2118" s="21" t="s">
        <v>613</v>
      </c>
      <c r="E2118" s="21">
        <v>91003248</v>
      </c>
      <c r="F2118" s="20">
        <v>30540503.539999999</v>
      </c>
      <c r="G2118" s="22">
        <v>46195</v>
      </c>
      <c r="H2118" t="s">
        <v>79</v>
      </c>
      <c r="I2118" s="51" t="str">
        <f>IFERROR(IF(VLOOKUP(E2118,extracto!C:C,1,FALSE)=E2118,"pagado","no pagado"),"no pagado")</f>
        <v>pagado</v>
      </c>
      <c r="J2118" s="52" t="str">
        <f t="shared" si="858"/>
        <v>pagado</v>
      </c>
      <c r="K2118" s="51" t="str">
        <f t="shared" ca="1" si="859"/>
        <v>excluir</v>
      </c>
      <c r="L2118" s="51" t="str">
        <f t="shared" ca="1" si="860"/>
        <v>no semana</v>
      </c>
      <c r="M2118" s="51" t="str">
        <f>IFERROR(VLOOKUP(E2118,'cheques a conf'!A:D,4,FALSE),"no clearing")</f>
        <v>no clearing</v>
      </c>
      <c r="N2118" s="51">
        <f t="shared" si="861"/>
        <v>26</v>
      </c>
      <c r="O2118" s="53">
        <f t="shared" si="862"/>
        <v>6</v>
      </c>
      <c r="P2118" s="53">
        <f t="shared" si="863"/>
        <v>2026</v>
      </c>
    </row>
    <row r="2119" spans="1:16" x14ac:dyDescent="0.25">
      <c r="A2119" s="21">
        <v>3000003587</v>
      </c>
      <c r="B2119" s="22">
        <v>46189</v>
      </c>
      <c r="C2119" s="20">
        <v>5249785.18</v>
      </c>
      <c r="D2119" s="21" t="s">
        <v>623</v>
      </c>
      <c r="E2119" s="21">
        <v>91003249</v>
      </c>
      <c r="F2119" s="20">
        <v>5249785.18</v>
      </c>
      <c r="G2119" s="22">
        <v>46192</v>
      </c>
      <c r="H2119" t="s">
        <v>79</v>
      </c>
      <c r="I2119" s="51" t="str">
        <f>IFERROR(IF(VLOOKUP(E2119,extracto!C:C,1,FALSE)=E2119,"pagado","no pagado"),"no pagado")</f>
        <v>pagado</v>
      </c>
      <c r="J2119" s="52" t="str">
        <f t="shared" si="858"/>
        <v>pagado</v>
      </c>
      <c r="K2119" s="51" t="str">
        <f t="shared" ca="1" si="859"/>
        <v>excluir</v>
      </c>
      <c r="L2119" s="51" t="str">
        <f t="shared" ca="1" si="860"/>
        <v>no semana</v>
      </c>
      <c r="M2119" s="51" t="str">
        <f>IFERROR(VLOOKUP(E2119,'cheques a conf'!A:D,4,FALSE),"no clearing")</f>
        <v>no clearing</v>
      </c>
      <c r="N2119" s="51">
        <f t="shared" si="861"/>
        <v>25</v>
      </c>
      <c r="O2119" s="53">
        <f t="shared" si="862"/>
        <v>6</v>
      </c>
      <c r="P2119" s="53">
        <f t="shared" si="863"/>
        <v>2026</v>
      </c>
    </row>
    <row r="2120" spans="1:16" x14ac:dyDescent="0.25">
      <c r="A2120" s="21">
        <v>3000003588</v>
      </c>
      <c r="B2120" s="22">
        <v>46189</v>
      </c>
      <c r="C2120" s="20">
        <v>9356502.7200000007</v>
      </c>
      <c r="D2120" s="21" t="s">
        <v>672</v>
      </c>
      <c r="E2120" s="21">
        <v>91003250</v>
      </c>
      <c r="F2120" s="20">
        <v>9356502.7200000007</v>
      </c>
      <c r="G2120" s="22">
        <v>46192</v>
      </c>
      <c r="H2120" t="s">
        <v>79</v>
      </c>
      <c r="I2120" s="51" t="str">
        <f>IFERROR(IF(VLOOKUP(E2120,extracto!C:C,1,FALSE)=E2120,"pagado","no pagado"),"no pagado")</f>
        <v>pagado</v>
      </c>
      <c r="J2120" s="52" t="str">
        <f t="shared" si="858"/>
        <v>pagado</v>
      </c>
      <c r="K2120" s="51" t="str">
        <f t="shared" ca="1" si="859"/>
        <v>excluir</v>
      </c>
      <c r="L2120" s="51" t="str">
        <f t="shared" ca="1" si="860"/>
        <v>no semana</v>
      </c>
      <c r="M2120" s="51" t="str">
        <f>IFERROR(VLOOKUP(E2120,'cheques a conf'!A:D,4,FALSE),"no clearing")</f>
        <v>no clearing</v>
      </c>
      <c r="N2120" s="51">
        <f t="shared" si="861"/>
        <v>25</v>
      </c>
      <c r="O2120" s="53">
        <f t="shared" si="862"/>
        <v>6</v>
      </c>
      <c r="P2120" s="53">
        <f t="shared" si="863"/>
        <v>2026</v>
      </c>
    </row>
    <row r="2121" spans="1:16" x14ac:dyDescent="0.25">
      <c r="A2121" s="21">
        <v>3000003589</v>
      </c>
      <c r="B2121" s="22">
        <v>46189</v>
      </c>
      <c r="C2121" s="20">
        <v>5461022.1500000004</v>
      </c>
      <c r="D2121" s="21" t="s">
        <v>669</v>
      </c>
      <c r="E2121" s="21">
        <v>91003251</v>
      </c>
      <c r="F2121" s="20">
        <v>5461022.1500000004</v>
      </c>
      <c r="G2121" s="22">
        <v>46192</v>
      </c>
      <c r="H2121" t="s">
        <v>79</v>
      </c>
      <c r="I2121" s="51" t="str">
        <f>IFERROR(IF(VLOOKUP(E2121,extracto!C:C,1,FALSE)=E2121,"pagado","no pagado"),"no pagado")</f>
        <v>pagado</v>
      </c>
      <c r="J2121" s="52" t="str">
        <f t="shared" si="858"/>
        <v>pagado</v>
      </c>
      <c r="K2121" s="51" t="str">
        <f t="shared" ca="1" si="859"/>
        <v>excluir</v>
      </c>
      <c r="L2121" s="51" t="str">
        <f t="shared" ca="1" si="860"/>
        <v>no semana</v>
      </c>
      <c r="M2121" s="51" t="str">
        <f>IFERROR(VLOOKUP(E2121,'cheques a conf'!A:D,4,FALSE),"no clearing")</f>
        <v>no clearing</v>
      </c>
      <c r="N2121" s="51">
        <f t="shared" si="861"/>
        <v>25</v>
      </c>
      <c r="O2121" s="53">
        <f t="shared" si="862"/>
        <v>6</v>
      </c>
      <c r="P2121" s="53">
        <f t="shared" si="863"/>
        <v>2026</v>
      </c>
    </row>
    <row r="2122" spans="1:16" x14ac:dyDescent="0.25">
      <c r="A2122" s="21">
        <v>3000003590</v>
      </c>
      <c r="B2122" s="22">
        <v>46189</v>
      </c>
      <c r="C2122" s="20">
        <v>16082126</v>
      </c>
      <c r="D2122" s="21" t="s">
        <v>691</v>
      </c>
      <c r="E2122" s="21">
        <v>91003252</v>
      </c>
      <c r="F2122" s="20">
        <v>16082126</v>
      </c>
      <c r="G2122" s="22">
        <v>46195</v>
      </c>
      <c r="H2122" t="s">
        <v>79</v>
      </c>
      <c r="I2122" s="51" t="str">
        <f>IFERROR(IF(VLOOKUP(E2122,extracto!C:C,1,FALSE)=E2122,"pagado","no pagado"),"no pagado")</f>
        <v>pagado</v>
      </c>
      <c r="J2122" s="52" t="str">
        <f t="shared" si="858"/>
        <v>pagado</v>
      </c>
      <c r="K2122" s="51" t="str">
        <f t="shared" ca="1" si="859"/>
        <v>excluir</v>
      </c>
      <c r="L2122" s="51" t="str">
        <f t="shared" ca="1" si="860"/>
        <v>no semana</v>
      </c>
      <c r="M2122" s="51" t="str">
        <f>IFERROR(VLOOKUP(E2122,'cheques a conf'!A:D,4,FALSE),"no clearing")</f>
        <v>no clearing</v>
      </c>
      <c r="N2122" s="51">
        <f t="shared" si="861"/>
        <v>26</v>
      </c>
      <c r="O2122" s="53">
        <f t="shared" si="862"/>
        <v>6</v>
      </c>
      <c r="P2122" s="53">
        <f t="shared" si="863"/>
        <v>2026</v>
      </c>
    </row>
    <row r="2123" spans="1:16" x14ac:dyDescent="0.25">
      <c r="A2123" s="21">
        <v>3000003591</v>
      </c>
      <c r="B2123" s="22">
        <v>46189</v>
      </c>
      <c r="C2123" s="20">
        <v>6004293.6399999997</v>
      </c>
      <c r="D2123" s="21" t="s">
        <v>652</v>
      </c>
      <c r="E2123" s="21">
        <v>91003253</v>
      </c>
      <c r="F2123" s="20">
        <v>6004293.6399999997</v>
      </c>
      <c r="G2123" s="22">
        <v>46192</v>
      </c>
      <c r="H2123" t="s">
        <v>79</v>
      </c>
      <c r="I2123" s="51" t="str">
        <f>IFERROR(IF(VLOOKUP(E2123,extracto!C:C,1,FALSE)=E2123,"pagado","no pagado"),"no pagado")</f>
        <v>pagado</v>
      </c>
      <c r="J2123" s="52" t="str">
        <f t="shared" si="858"/>
        <v>pagado</v>
      </c>
      <c r="K2123" s="51" t="str">
        <f t="shared" ca="1" si="859"/>
        <v>excluir</v>
      </c>
      <c r="L2123" s="51" t="str">
        <f t="shared" ca="1" si="860"/>
        <v>no semana</v>
      </c>
      <c r="M2123" s="51" t="str">
        <f>IFERROR(VLOOKUP(E2123,'cheques a conf'!A:D,4,FALSE),"no clearing")</f>
        <v>no clearing</v>
      </c>
      <c r="N2123" s="51">
        <f t="shared" si="861"/>
        <v>25</v>
      </c>
      <c r="O2123" s="53">
        <f t="shared" si="862"/>
        <v>6</v>
      </c>
      <c r="P2123" s="53">
        <f t="shared" si="863"/>
        <v>2026</v>
      </c>
    </row>
    <row r="2124" spans="1:16" x14ac:dyDescent="0.25">
      <c r="A2124" s="21">
        <v>3000003592</v>
      </c>
      <c r="B2124" s="22">
        <v>46189</v>
      </c>
      <c r="C2124" s="20">
        <v>6362321.5999999996</v>
      </c>
      <c r="D2124" s="21" t="s">
        <v>689</v>
      </c>
      <c r="E2124" s="21">
        <v>91003254</v>
      </c>
      <c r="F2124" s="20">
        <v>6362321.5999999996</v>
      </c>
      <c r="G2124" s="22">
        <v>46192</v>
      </c>
      <c r="H2124" t="s">
        <v>79</v>
      </c>
      <c r="I2124" s="51" t="str">
        <f>IFERROR(IF(VLOOKUP(E2124,extracto!C:C,1,FALSE)=E2124,"pagado","no pagado"),"no pagado")</f>
        <v>pagado</v>
      </c>
      <c r="J2124" s="52" t="str">
        <f t="shared" si="858"/>
        <v>pagado</v>
      </c>
      <c r="K2124" s="51" t="str">
        <f t="shared" ca="1" si="859"/>
        <v>excluir</v>
      </c>
      <c r="L2124" s="51" t="str">
        <f t="shared" ca="1" si="860"/>
        <v>no semana</v>
      </c>
      <c r="M2124" s="51" t="str">
        <f>IFERROR(VLOOKUP(E2124,'cheques a conf'!A:D,4,FALSE),"no clearing")</f>
        <v>no clearing</v>
      </c>
      <c r="N2124" s="51">
        <f t="shared" si="861"/>
        <v>25</v>
      </c>
      <c r="O2124" s="53">
        <f t="shared" si="862"/>
        <v>6</v>
      </c>
      <c r="P2124" s="53">
        <f t="shared" si="863"/>
        <v>2026</v>
      </c>
    </row>
    <row r="2125" spans="1:16" x14ac:dyDescent="0.25">
      <c r="A2125" s="21">
        <v>3000003593</v>
      </c>
      <c r="B2125" s="22">
        <v>46189</v>
      </c>
      <c r="C2125" s="20">
        <v>10780103.529999999</v>
      </c>
      <c r="D2125" s="21" t="s">
        <v>690</v>
      </c>
      <c r="E2125" s="21">
        <v>91003255</v>
      </c>
      <c r="F2125" s="20">
        <v>10780103.529999999</v>
      </c>
      <c r="G2125" s="22">
        <v>46192</v>
      </c>
      <c r="H2125" t="s">
        <v>79</v>
      </c>
      <c r="I2125" s="51" t="str">
        <f>IFERROR(IF(VLOOKUP(E2125,extracto!C:C,1,FALSE)=E2125,"pagado","no pagado"),"no pagado")</f>
        <v>pagado</v>
      </c>
      <c r="J2125" s="52" t="str">
        <f t="shared" si="858"/>
        <v>pagado</v>
      </c>
      <c r="K2125" s="51" t="str">
        <f t="shared" ca="1" si="859"/>
        <v>excluir</v>
      </c>
      <c r="L2125" s="51" t="str">
        <f t="shared" ca="1" si="860"/>
        <v>no semana</v>
      </c>
      <c r="M2125" s="51" t="str">
        <f>IFERROR(VLOOKUP(E2125,'cheques a conf'!A:D,4,FALSE),"no clearing")</f>
        <v>no clearing</v>
      </c>
      <c r="N2125" s="51">
        <f t="shared" si="861"/>
        <v>25</v>
      </c>
      <c r="O2125" s="53">
        <f t="shared" si="862"/>
        <v>6</v>
      </c>
      <c r="P2125" s="53">
        <f t="shared" si="863"/>
        <v>2026</v>
      </c>
    </row>
    <row r="2126" spans="1:16" x14ac:dyDescent="0.25">
      <c r="A2126" s="21">
        <v>3000003594</v>
      </c>
      <c r="B2126" s="22">
        <v>46189</v>
      </c>
      <c r="C2126" s="20">
        <v>20988908.399999999</v>
      </c>
      <c r="D2126" s="21" t="s">
        <v>654</v>
      </c>
      <c r="E2126" s="21">
        <v>91003256</v>
      </c>
      <c r="F2126" s="20">
        <v>20988908.399999999</v>
      </c>
      <c r="G2126" s="22">
        <v>46195</v>
      </c>
      <c r="H2126" t="s">
        <v>79</v>
      </c>
      <c r="I2126" s="51" t="str">
        <f>IFERROR(IF(VLOOKUP(E2126,extracto!C:C,1,FALSE)=E2126,"pagado","no pagado"),"no pagado")</f>
        <v>pagado</v>
      </c>
      <c r="J2126" s="52" t="str">
        <f t="shared" si="858"/>
        <v>pagado</v>
      </c>
      <c r="K2126" s="51" t="str">
        <f t="shared" ca="1" si="859"/>
        <v>excluir</v>
      </c>
      <c r="L2126" s="51" t="str">
        <f t="shared" ca="1" si="860"/>
        <v>no semana</v>
      </c>
      <c r="M2126" s="51" t="str">
        <f>IFERROR(VLOOKUP(E2126,'cheques a conf'!A:D,4,FALSE),"no clearing")</f>
        <v>no clearing</v>
      </c>
      <c r="N2126" s="51">
        <f t="shared" si="861"/>
        <v>26</v>
      </c>
      <c r="O2126" s="53">
        <f t="shared" si="862"/>
        <v>6</v>
      </c>
      <c r="P2126" s="53">
        <f t="shared" si="863"/>
        <v>2026</v>
      </c>
    </row>
    <row r="2127" spans="1:16" x14ac:dyDescent="0.25">
      <c r="A2127" s="21">
        <v>3000003634</v>
      </c>
      <c r="B2127" s="22">
        <v>46190</v>
      </c>
      <c r="C2127" s="20">
        <v>11000000</v>
      </c>
      <c r="D2127" s="21" t="s">
        <v>1728</v>
      </c>
      <c r="E2127" s="21">
        <v>91003257</v>
      </c>
      <c r="F2127" s="20">
        <v>11000000</v>
      </c>
      <c r="G2127" s="22">
        <v>46209</v>
      </c>
      <c r="H2127" t="s">
        <v>79</v>
      </c>
      <c r="I2127" s="51" t="str">
        <f>IFERROR(IF(VLOOKUP(E2127,extracto!C:C,1,FALSE)=E2127,"pagado","no pagado"),"no pagado")</f>
        <v>pagado</v>
      </c>
      <c r="J2127" s="52" t="str">
        <f t="shared" si="858"/>
        <v>pagado</v>
      </c>
      <c r="K2127" s="51" t="str">
        <f t="shared" ca="1" si="859"/>
        <v>excluir</v>
      </c>
      <c r="L2127" s="51" t="str">
        <f t="shared" ca="1" si="860"/>
        <v>no semana</v>
      </c>
      <c r="M2127" s="51" t="str">
        <f>IFERROR(VLOOKUP(E2127,'cheques a conf'!A:D,4,FALSE),"no clearing")</f>
        <v>no clearing</v>
      </c>
      <c r="N2127" s="51">
        <f t="shared" si="861"/>
        <v>28</v>
      </c>
      <c r="O2127" s="53">
        <f t="shared" si="862"/>
        <v>7</v>
      </c>
      <c r="P2127" s="53">
        <f t="shared" si="863"/>
        <v>2026</v>
      </c>
    </row>
    <row r="2128" spans="1:16" x14ac:dyDescent="0.25">
      <c r="A2128" s="21">
        <v>3000003634</v>
      </c>
      <c r="B2128" s="22">
        <v>46190</v>
      </c>
      <c r="C2128" s="20">
        <v>11000000</v>
      </c>
      <c r="D2128" s="21" t="s">
        <v>1728</v>
      </c>
      <c r="E2128" s="21">
        <v>91003258</v>
      </c>
      <c r="F2128" s="20">
        <v>11000000</v>
      </c>
      <c r="G2128" s="22">
        <v>46239</v>
      </c>
      <c r="H2128" t="s">
        <v>79</v>
      </c>
      <c r="I2128" s="51" t="str">
        <f>IFERROR(IF(VLOOKUP(E2128,extracto!C:C,1,FALSE)=E2128,"pagado","no pagado"),"no pagado")</f>
        <v>pagado</v>
      </c>
      <c r="J2128" s="52" t="str">
        <f t="shared" si="858"/>
        <v>pagado</v>
      </c>
      <c r="K2128" s="51" t="str">
        <f t="shared" ca="1" si="859"/>
        <v>excluir</v>
      </c>
      <c r="L2128" s="51" t="str">
        <f t="shared" ca="1" si="860"/>
        <v>no semana</v>
      </c>
      <c r="M2128" s="51" t="str">
        <f>IFERROR(VLOOKUP(E2128,'cheques a conf'!A:D,4,FALSE),"no clearing")</f>
        <v>no clearing</v>
      </c>
      <c r="N2128" s="51">
        <f t="shared" si="861"/>
        <v>32</v>
      </c>
      <c r="O2128" s="53">
        <f t="shared" si="862"/>
        <v>8</v>
      </c>
      <c r="P2128" s="53">
        <f t="shared" si="863"/>
        <v>2026</v>
      </c>
    </row>
    <row r="2129" spans="1:16" x14ac:dyDescent="0.25">
      <c r="A2129" s="21">
        <v>3000003634</v>
      </c>
      <c r="B2129" s="22">
        <v>46190</v>
      </c>
      <c r="C2129" s="20">
        <v>11000000</v>
      </c>
      <c r="D2129" s="21" t="s">
        <v>1728</v>
      </c>
      <c r="E2129" s="21">
        <v>91003259</v>
      </c>
      <c r="F2129" s="20">
        <v>11000000</v>
      </c>
      <c r="G2129" s="22">
        <v>46272</v>
      </c>
      <c r="H2129" t="s">
        <v>79</v>
      </c>
      <c r="I2129" s="51" t="str">
        <f>IFERROR(IF(VLOOKUP(E2129,extracto!C:C,1,FALSE)=E2129,"pagado","no pagado"),"no pagado")</f>
        <v>no pagado</v>
      </c>
      <c r="J2129" s="52" t="str">
        <f t="shared" ca="1" si="858"/>
        <v>en periodo de pago</v>
      </c>
      <c r="K2129" s="51" t="str">
        <f t="shared" ca="1" si="859"/>
        <v>proximo a vencer</v>
      </c>
      <c r="L2129" s="51" t="str">
        <f t="shared" ca="1" si="860"/>
        <v>para la semana</v>
      </c>
      <c r="M2129" s="51" t="str">
        <f>IFERROR(VLOOKUP(E2129,'cheques a conf'!A:D,4,FALSE),"no clearing")</f>
        <v>no clearing</v>
      </c>
      <c r="N2129" s="51">
        <f t="shared" si="861"/>
        <v>37</v>
      </c>
      <c r="O2129" s="53">
        <f t="shared" si="862"/>
        <v>9</v>
      </c>
      <c r="P2129" s="53">
        <f t="shared" si="863"/>
        <v>2026</v>
      </c>
    </row>
    <row r="2130" spans="1:16" x14ac:dyDescent="0.25">
      <c r="A2130" s="21">
        <v>3000003634</v>
      </c>
      <c r="B2130" s="22">
        <v>46190</v>
      </c>
      <c r="C2130" s="20">
        <v>11000000</v>
      </c>
      <c r="D2130" s="21" t="s">
        <v>1728</v>
      </c>
      <c r="E2130" s="21">
        <v>91003260</v>
      </c>
      <c r="F2130" s="20">
        <v>11000000</v>
      </c>
      <c r="G2130" s="22">
        <v>46300</v>
      </c>
      <c r="H2130" t="s">
        <v>79</v>
      </c>
      <c r="I2130" s="51" t="str">
        <f>IFERROR(IF(VLOOKUP(E2130,extracto!C:C,1,FALSE)=E2130,"pagado","no pagado"),"no pagado")</f>
        <v>no pagado</v>
      </c>
      <c r="J2130" s="52" t="str">
        <f t="shared" ca="1" si="858"/>
        <v>en periodo de pago</v>
      </c>
      <c r="K2130" s="51" t="str">
        <f t="shared" ca="1" si="859"/>
        <v>proximo a vencer</v>
      </c>
      <c r="L2130" s="51" t="str">
        <f t="shared" ca="1" si="860"/>
        <v>no semana</v>
      </c>
      <c r="M2130" s="51" t="str">
        <f>IFERROR(VLOOKUP(E2130,'cheques a conf'!A:D,4,FALSE),"no clearing")</f>
        <v>no clearing</v>
      </c>
      <c r="N2130" s="51">
        <f t="shared" si="861"/>
        <v>41</v>
      </c>
      <c r="O2130" s="53">
        <f t="shared" si="862"/>
        <v>10</v>
      </c>
      <c r="P2130" s="53">
        <f t="shared" si="863"/>
        <v>2026</v>
      </c>
    </row>
    <row r="2131" spans="1:16" x14ac:dyDescent="0.25">
      <c r="A2131" s="21">
        <v>3000003634</v>
      </c>
      <c r="B2131" s="22">
        <v>46190</v>
      </c>
      <c r="C2131" s="20">
        <v>11093885</v>
      </c>
      <c r="D2131" s="21" t="s">
        <v>1728</v>
      </c>
      <c r="E2131" s="21">
        <v>91003261</v>
      </c>
      <c r="F2131" s="20">
        <v>11093885</v>
      </c>
      <c r="G2131" s="22">
        <v>46331</v>
      </c>
      <c r="H2131" t="s">
        <v>79</v>
      </c>
      <c r="I2131" s="51" t="str">
        <f>IFERROR(IF(VLOOKUP(E2131,extracto!C:C,1,FALSE)=E2131,"pagado","no pagado"),"no pagado")</f>
        <v>no pagado</v>
      </c>
      <c r="J2131" s="52" t="str">
        <f t="shared" ca="1" si="858"/>
        <v>en periodo de pago</v>
      </c>
      <c r="K2131" s="51" t="str">
        <f t="shared" ca="1" si="859"/>
        <v>proximo a vencer</v>
      </c>
      <c r="L2131" s="51" t="str">
        <f t="shared" ca="1" si="860"/>
        <v>no semana</v>
      </c>
      <c r="M2131" s="51" t="str">
        <f>IFERROR(VLOOKUP(E2131,'cheques a conf'!A:D,4,FALSE),"no clearing")</f>
        <v>no clearing</v>
      </c>
      <c r="N2131" s="51">
        <f t="shared" si="861"/>
        <v>45</v>
      </c>
      <c r="O2131" s="53">
        <f t="shared" si="862"/>
        <v>11</v>
      </c>
      <c r="P2131" s="53">
        <f t="shared" si="863"/>
        <v>2026</v>
      </c>
    </row>
    <row r="2132" spans="1:16" x14ac:dyDescent="0.25">
      <c r="A2132" s="21">
        <v>3000003633</v>
      </c>
      <c r="B2132" s="22">
        <v>46190</v>
      </c>
      <c r="C2132" s="20">
        <v>3234870.66</v>
      </c>
      <c r="D2132" s="21" t="s">
        <v>776</v>
      </c>
      <c r="E2132" s="21">
        <v>61301854</v>
      </c>
      <c r="F2132" s="20">
        <v>3234870.66</v>
      </c>
      <c r="G2132" s="22">
        <v>46195</v>
      </c>
      <c r="H2132" t="s">
        <v>79</v>
      </c>
      <c r="I2132" s="51" t="str">
        <f>IFERROR(IF(VLOOKUP(E2132,extracto!C:C,1,FALSE)=E2132,"pagado","no pagado"),"no pagado")</f>
        <v>pagado</v>
      </c>
      <c r="J2132" s="52" t="str">
        <f t="shared" si="858"/>
        <v>pagado</v>
      </c>
      <c r="K2132" s="51" t="str">
        <f t="shared" ca="1" si="859"/>
        <v>excluir</v>
      </c>
      <c r="L2132" s="51" t="str">
        <f t="shared" ca="1" si="860"/>
        <v>no semana</v>
      </c>
      <c r="M2132" s="51" t="str">
        <f>IFERROR(VLOOKUP(E2132,'cheques a conf'!A:D,4,FALSE),"no clearing")</f>
        <v>no clearing</v>
      </c>
      <c r="N2132" s="51">
        <f t="shared" si="861"/>
        <v>26</v>
      </c>
      <c r="O2132" s="53">
        <f t="shared" si="862"/>
        <v>6</v>
      </c>
      <c r="P2132" s="53">
        <f t="shared" si="863"/>
        <v>2026</v>
      </c>
    </row>
    <row r="2133" spans="1:16" x14ac:dyDescent="0.25">
      <c r="A2133" s="21">
        <v>3000003751</v>
      </c>
      <c r="B2133" s="22">
        <v>46195</v>
      </c>
      <c r="C2133" s="20">
        <v>5367617.3499999996</v>
      </c>
      <c r="D2133" s="21" t="s">
        <v>33</v>
      </c>
      <c r="E2133" s="21">
        <v>91003262</v>
      </c>
      <c r="F2133" s="20">
        <v>5367617.3499999996</v>
      </c>
      <c r="G2133" s="22">
        <v>46199</v>
      </c>
      <c r="H2133" t="s">
        <v>79</v>
      </c>
      <c r="I2133" s="51" t="str">
        <f>IFERROR(IF(VLOOKUP(E2133,extracto!C:C,1,FALSE)=E2133,"pagado","no pagado"),"no pagado")</f>
        <v>pagado</v>
      </c>
      <c r="J2133" s="52" t="str">
        <f t="shared" si="858"/>
        <v>pagado</v>
      </c>
      <c r="K2133" s="51" t="str">
        <f t="shared" ca="1" si="859"/>
        <v>excluir</v>
      </c>
      <c r="L2133" s="51" t="str">
        <f t="shared" ca="1" si="860"/>
        <v>no semana</v>
      </c>
      <c r="M2133" s="51" t="str">
        <f>IFERROR(VLOOKUP(E2133,'cheques a conf'!A:D,4,FALSE),"no clearing")</f>
        <v>no clearing</v>
      </c>
      <c r="N2133" s="51">
        <f t="shared" si="861"/>
        <v>26</v>
      </c>
      <c r="O2133" s="53">
        <f t="shared" si="862"/>
        <v>6</v>
      </c>
      <c r="P2133" s="53">
        <f t="shared" si="863"/>
        <v>2026</v>
      </c>
    </row>
    <row r="2134" spans="1:16" x14ac:dyDescent="0.25">
      <c r="A2134" s="21">
        <v>3000003752</v>
      </c>
      <c r="B2134" s="22">
        <v>46195</v>
      </c>
      <c r="C2134" s="20">
        <v>5678260</v>
      </c>
      <c r="D2134" s="21" t="s">
        <v>614</v>
      </c>
      <c r="E2134" s="21">
        <v>91003263</v>
      </c>
      <c r="F2134" s="20">
        <v>5678260</v>
      </c>
      <c r="G2134" s="22">
        <v>46199</v>
      </c>
      <c r="H2134" t="s">
        <v>79</v>
      </c>
      <c r="I2134" s="51" t="str">
        <f>IFERROR(IF(VLOOKUP(E2134,extracto!C:C,1,FALSE)=E2134,"pagado","no pagado"),"no pagado")</f>
        <v>pagado</v>
      </c>
      <c r="J2134" s="52" t="str">
        <f t="shared" si="858"/>
        <v>pagado</v>
      </c>
      <c r="K2134" s="51" t="str">
        <f t="shared" ca="1" si="859"/>
        <v>excluir</v>
      </c>
      <c r="L2134" s="51" t="str">
        <f t="shared" ca="1" si="860"/>
        <v>no semana</v>
      </c>
      <c r="M2134" s="51" t="str">
        <f>IFERROR(VLOOKUP(E2134,'cheques a conf'!A:D,4,FALSE),"no clearing")</f>
        <v>no clearing</v>
      </c>
      <c r="N2134" s="51">
        <f t="shared" si="861"/>
        <v>26</v>
      </c>
      <c r="O2134" s="53">
        <f t="shared" si="862"/>
        <v>6</v>
      </c>
      <c r="P2134" s="53">
        <f t="shared" si="863"/>
        <v>2026</v>
      </c>
    </row>
    <row r="2135" spans="1:16" x14ac:dyDescent="0.25">
      <c r="A2135" s="21">
        <v>3000003754</v>
      </c>
      <c r="B2135" s="22">
        <v>46195</v>
      </c>
      <c r="C2135" s="20">
        <v>10088492.9</v>
      </c>
      <c r="D2135" s="21" t="s">
        <v>675</v>
      </c>
      <c r="E2135" s="21">
        <v>91003264</v>
      </c>
      <c r="F2135" s="20">
        <v>10088492.9</v>
      </c>
      <c r="G2135" s="22">
        <v>46199</v>
      </c>
      <c r="H2135" t="s">
        <v>79</v>
      </c>
      <c r="I2135" s="51" t="str">
        <f>IFERROR(IF(VLOOKUP(E2135,extracto!C:C,1,FALSE)=E2135,"pagado","no pagado"),"no pagado")</f>
        <v>pagado</v>
      </c>
      <c r="J2135" s="52" t="str">
        <f t="shared" si="858"/>
        <v>pagado</v>
      </c>
      <c r="K2135" s="51" t="str">
        <f t="shared" ca="1" si="859"/>
        <v>excluir</v>
      </c>
      <c r="L2135" s="51" t="str">
        <f t="shared" ca="1" si="860"/>
        <v>no semana</v>
      </c>
      <c r="M2135" s="51" t="str">
        <f>IFERROR(VLOOKUP(E2135,'cheques a conf'!A:D,4,FALSE),"no clearing")</f>
        <v>no clearing</v>
      </c>
      <c r="N2135" s="51">
        <f t="shared" si="861"/>
        <v>26</v>
      </c>
      <c r="O2135" s="53">
        <f t="shared" si="862"/>
        <v>6</v>
      </c>
      <c r="P2135" s="53">
        <f t="shared" si="863"/>
        <v>2026</v>
      </c>
    </row>
    <row r="2136" spans="1:16" x14ac:dyDescent="0.25">
      <c r="A2136" s="21">
        <v>3000003755</v>
      </c>
      <c r="B2136" s="22">
        <v>46195</v>
      </c>
      <c r="C2136" s="20">
        <v>7878185.2599999998</v>
      </c>
      <c r="D2136" s="21" t="s">
        <v>686</v>
      </c>
      <c r="E2136" s="21">
        <v>91003265</v>
      </c>
      <c r="F2136" s="20">
        <v>7878185.2599999998</v>
      </c>
      <c r="G2136" s="22">
        <v>46199</v>
      </c>
      <c r="H2136" t="s">
        <v>79</v>
      </c>
      <c r="I2136" s="51" t="str">
        <f>IFERROR(IF(VLOOKUP(E2136,extracto!C:C,1,FALSE)=E2136,"pagado","no pagado"),"no pagado")</f>
        <v>pagado</v>
      </c>
      <c r="J2136" s="52" t="str">
        <f t="shared" si="858"/>
        <v>pagado</v>
      </c>
      <c r="K2136" s="51" t="str">
        <f t="shared" ca="1" si="859"/>
        <v>excluir</v>
      </c>
      <c r="L2136" s="51" t="str">
        <f t="shared" ca="1" si="860"/>
        <v>no semana</v>
      </c>
      <c r="M2136" s="51" t="str">
        <f>IFERROR(VLOOKUP(E2136,'cheques a conf'!A:D,4,FALSE),"no clearing")</f>
        <v>no clearing</v>
      </c>
      <c r="N2136" s="51">
        <f t="shared" si="861"/>
        <v>26</v>
      </c>
      <c r="O2136" s="53">
        <f t="shared" si="862"/>
        <v>6</v>
      </c>
      <c r="P2136" s="53">
        <f t="shared" si="863"/>
        <v>2026</v>
      </c>
    </row>
    <row r="2137" spans="1:16" x14ac:dyDescent="0.25">
      <c r="A2137" s="21">
        <v>3000003757</v>
      </c>
      <c r="B2137" s="22">
        <v>46195</v>
      </c>
      <c r="C2137" s="20">
        <v>8247800</v>
      </c>
      <c r="D2137" s="21" t="s">
        <v>587</v>
      </c>
      <c r="E2137" s="21">
        <v>91003267</v>
      </c>
      <c r="F2137" s="20">
        <v>8247800</v>
      </c>
      <c r="G2137" s="22">
        <v>46199</v>
      </c>
      <c r="H2137" t="s">
        <v>79</v>
      </c>
      <c r="I2137" s="51" t="str">
        <f>IFERROR(IF(VLOOKUP(E2137,extracto!C:C,1,FALSE)=E2137,"pagado","no pagado"),"no pagado")</f>
        <v>pagado</v>
      </c>
      <c r="J2137" s="52" t="str">
        <f t="shared" si="858"/>
        <v>pagado</v>
      </c>
      <c r="K2137" s="51" t="str">
        <f t="shared" ca="1" si="859"/>
        <v>excluir</v>
      </c>
      <c r="L2137" s="51" t="str">
        <f t="shared" ca="1" si="860"/>
        <v>no semana</v>
      </c>
      <c r="M2137" s="51" t="str">
        <f>IFERROR(VLOOKUP(E2137,'cheques a conf'!A:D,4,FALSE),"no clearing")</f>
        <v>no clearing</v>
      </c>
      <c r="N2137" s="51">
        <f t="shared" si="861"/>
        <v>26</v>
      </c>
      <c r="O2137" s="53">
        <f t="shared" si="862"/>
        <v>6</v>
      </c>
      <c r="P2137" s="53">
        <f t="shared" si="863"/>
        <v>2026</v>
      </c>
    </row>
    <row r="2138" spans="1:16" x14ac:dyDescent="0.25">
      <c r="A2138" s="21">
        <v>3000003758</v>
      </c>
      <c r="B2138" s="22">
        <v>46195</v>
      </c>
      <c r="C2138" s="20">
        <v>5283180.76</v>
      </c>
      <c r="D2138" s="21" t="s">
        <v>612</v>
      </c>
      <c r="E2138" s="21">
        <v>91003268</v>
      </c>
      <c r="F2138" s="20">
        <v>5283180.76</v>
      </c>
      <c r="G2138" s="22">
        <v>46199</v>
      </c>
      <c r="H2138" t="s">
        <v>79</v>
      </c>
      <c r="I2138" s="51" t="str">
        <f>IFERROR(IF(VLOOKUP(E2138,extracto!C:C,1,FALSE)=E2138,"pagado","no pagado"),"no pagado")</f>
        <v>pagado</v>
      </c>
      <c r="J2138" s="52" t="str">
        <f t="shared" si="858"/>
        <v>pagado</v>
      </c>
      <c r="K2138" s="51" t="str">
        <f t="shared" ca="1" si="859"/>
        <v>excluir</v>
      </c>
      <c r="L2138" s="51" t="str">
        <f t="shared" ca="1" si="860"/>
        <v>no semana</v>
      </c>
      <c r="M2138" s="51" t="str">
        <f>IFERROR(VLOOKUP(E2138,'cheques a conf'!A:D,4,FALSE),"no clearing")</f>
        <v>no clearing</v>
      </c>
      <c r="N2138" s="51">
        <f t="shared" si="861"/>
        <v>26</v>
      </c>
      <c r="O2138" s="53">
        <f t="shared" si="862"/>
        <v>6</v>
      </c>
      <c r="P2138" s="53">
        <f t="shared" si="863"/>
        <v>2026</v>
      </c>
    </row>
    <row r="2139" spans="1:16" x14ac:dyDescent="0.25">
      <c r="A2139" s="21">
        <v>3000003759</v>
      </c>
      <c r="B2139" s="22">
        <v>46195</v>
      </c>
      <c r="C2139" s="20">
        <v>13233931.23</v>
      </c>
      <c r="D2139" s="21" t="s">
        <v>31</v>
      </c>
      <c r="E2139" s="21">
        <v>91003269</v>
      </c>
      <c r="F2139" s="20">
        <v>13233931.23</v>
      </c>
      <c r="G2139" s="22">
        <v>46199</v>
      </c>
      <c r="H2139" t="s">
        <v>79</v>
      </c>
      <c r="I2139" s="51" t="str">
        <f>IFERROR(IF(VLOOKUP(E2139,extracto!C:C,1,FALSE)=E2139,"pagado","no pagado"),"no pagado")</f>
        <v>pagado</v>
      </c>
      <c r="J2139" s="52" t="str">
        <f t="shared" si="858"/>
        <v>pagado</v>
      </c>
      <c r="K2139" s="51" t="str">
        <f t="shared" ca="1" si="859"/>
        <v>excluir</v>
      </c>
      <c r="L2139" s="51" t="str">
        <f t="shared" ca="1" si="860"/>
        <v>no semana</v>
      </c>
      <c r="M2139" s="51" t="str">
        <f>IFERROR(VLOOKUP(E2139,'cheques a conf'!A:D,4,FALSE),"no clearing")</f>
        <v>no clearing</v>
      </c>
      <c r="N2139" s="51">
        <f t="shared" si="861"/>
        <v>26</v>
      </c>
      <c r="O2139" s="53">
        <f t="shared" si="862"/>
        <v>6</v>
      </c>
      <c r="P2139" s="53">
        <f t="shared" si="863"/>
        <v>2026</v>
      </c>
    </row>
    <row r="2140" spans="1:16" x14ac:dyDescent="0.25">
      <c r="A2140" s="21">
        <v>3000003760</v>
      </c>
      <c r="B2140" s="22">
        <v>46195</v>
      </c>
      <c r="C2140" s="20">
        <v>18907877.879999999</v>
      </c>
      <c r="D2140" s="21" t="s">
        <v>619</v>
      </c>
      <c r="E2140" s="21">
        <v>91003270</v>
      </c>
      <c r="F2140" s="20">
        <v>18907877.879999999</v>
      </c>
      <c r="G2140" s="22">
        <v>46199</v>
      </c>
      <c r="H2140" t="s">
        <v>79</v>
      </c>
      <c r="I2140" s="51" t="str">
        <f>IFERROR(IF(VLOOKUP(E2140,extracto!C:C,1,FALSE)=E2140,"pagado","no pagado"),"no pagado")</f>
        <v>pagado</v>
      </c>
      <c r="J2140" s="52" t="str">
        <f t="shared" si="858"/>
        <v>pagado</v>
      </c>
      <c r="K2140" s="51" t="str">
        <f t="shared" ca="1" si="859"/>
        <v>excluir</v>
      </c>
      <c r="L2140" s="51" t="str">
        <f t="shared" ca="1" si="860"/>
        <v>no semana</v>
      </c>
      <c r="M2140" s="51" t="str">
        <f>IFERROR(VLOOKUP(E2140,'cheques a conf'!A:D,4,FALSE),"no clearing")</f>
        <v>no clearing</v>
      </c>
      <c r="N2140" s="51">
        <f t="shared" si="861"/>
        <v>26</v>
      </c>
      <c r="O2140" s="53">
        <f t="shared" si="862"/>
        <v>6</v>
      </c>
      <c r="P2140" s="53">
        <f t="shared" si="863"/>
        <v>2026</v>
      </c>
    </row>
    <row r="2141" spans="1:16" x14ac:dyDescent="0.25">
      <c r="A2141" s="21">
        <v>3000003761</v>
      </c>
      <c r="B2141" s="22">
        <v>46195</v>
      </c>
      <c r="C2141" s="20">
        <v>6855862.4800000004</v>
      </c>
      <c r="D2141" s="21" t="s">
        <v>702</v>
      </c>
      <c r="E2141" s="21">
        <v>91003271</v>
      </c>
      <c r="F2141" s="20">
        <v>6855862.4800000004</v>
      </c>
      <c r="G2141" s="22">
        <v>46199</v>
      </c>
      <c r="H2141" t="s">
        <v>79</v>
      </c>
      <c r="I2141" s="51" t="str">
        <f>IFERROR(IF(VLOOKUP(E2141,extracto!C:C,1,FALSE)=E2141,"pagado","no pagado"),"no pagado")</f>
        <v>pagado</v>
      </c>
      <c r="J2141" s="52" t="str">
        <f t="shared" si="858"/>
        <v>pagado</v>
      </c>
      <c r="K2141" s="51" t="str">
        <f t="shared" ca="1" si="859"/>
        <v>excluir</v>
      </c>
      <c r="L2141" s="51" t="str">
        <f t="shared" ca="1" si="860"/>
        <v>no semana</v>
      </c>
      <c r="M2141" s="51" t="str">
        <f>IFERROR(VLOOKUP(E2141,'cheques a conf'!A:D,4,FALSE),"no clearing")</f>
        <v>no clearing</v>
      </c>
      <c r="N2141" s="51">
        <f t="shared" si="861"/>
        <v>26</v>
      </c>
      <c r="O2141" s="53">
        <f t="shared" si="862"/>
        <v>6</v>
      </c>
      <c r="P2141" s="53">
        <f t="shared" si="863"/>
        <v>2026</v>
      </c>
    </row>
    <row r="2142" spans="1:16" x14ac:dyDescent="0.25">
      <c r="A2142" s="21">
        <v>3000003762</v>
      </c>
      <c r="B2142" s="22">
        <v>46195</v>
      </c>
      <c r="C2142" s="20">
        <v>6971555.1299999999</v>
      </c>
      <c r="D2142" s="21" t="s">
        <v>1730</v>
      </c>
      <c r="E2142" s="21">
        <v>91003272</v>
      </c>
      <c r="F2142" s="20">
        <v>6971555.1299999999</v>
      </c>
      <c r="G2142" s="22">
        <v>46199</v>
      </c>
      <c r="H2142" t="s">
        <v>79</v>
      </c>
      <c r="I2142" s="51" t="str">
        <f>IFERROR(IF(VLOOKUP(E2142,extracto!C:C,1,FALSE)=E2142,"pagado","no pagado"),"no pagado")</f>
        <v>pagado</v>
      </c>
      <c r="J2142" s="52" t="str">
        <f t="shared" si="858"/>
        <v>pagado</v>
      </c>
      <c r="K2142" s="51" t="str">
        <f t="shared" ca="1" si="859"/>
        <v>excluir</v>
      </c>
      <c r="L2142" s="51" t="str">
        <f t="shared" ca="1" si="860"/>
        <v>no semana</v>
      </c>
      <c r="M2142" s="51" t="str">
        <f>IFERROR(VLOOKUP(E2142,'cheques a conf'!A:D,4,FALSE),"no clearing")</f>
        <v>no clearing</v>
      </c>
      <c r="N2142" s="51">
        <f t="shared" si="861"/>
        <v>26</v>
      </c>
      <c r="O2142" s="53">
        <f t="shared" si="862"/>
        <v>6</v>
      </c>
      <c r="P2142" s="53">
        <f t="shared" si="863"/>
        <v>2026</v>
      </c>
    </row>
    <row r="2143" spans="1:16" x14ac:dyDescent="0.25">
      <c r="A2143" s="21">
        <v>3000003763</v>
      </c>
      <c r="B2143" s="22">
        <v>46195</v>
      </c>
      <c r="C2143" s="20">
        <v>5294031.25</v>
      </c>
      <c r="D2143" s="21" t="s">
        <v>600</v>
      </c>
      <c r="E2143" s="21">
        <v>91003273</v>
      </c>
      <c r="F2143" s="20">
        <v>5294031.25</v>
      </c>
      <c r="G2143" s="22">
        <v>46199</v>
      </c>
      <c r="H2143" t="s">
        <v>79</v>
      </c>
      <c r="I2143" s="51" t="str">
        <f>IFERROR(IF(VLOOKUP(E2143,extracto!C:C,1,FALSE)=E2143,"pagado","no pagado"),"no pagado")</f>
        <v>pagado</v>
      </c>
      <c r="J2143" s="52" t="str">
        <f t="shared" si="858"/>
        <v>pagado</v>
      </c>
      <c r="K2143" s="51" t="str">
        <f t="shared" ca="1" si="859"/>
        <v>excluir</v>
      </c>
      <c r="L2143" s="51" t="str">
        <f t="shared" ca="1" si="860"/>
        <v>no semana</v>
      </c>
      <c r="M2143" s="51" t="str">
        <f>IFERROR(VLOOKUP(E2143,'cheques a conf'!A:D,4,FALSE),"no clearing")</f>
        <v>no clearing</v>
      </c>
      <c r="N2143" s="51">
        <f t="shared" si="861"/>
        <v>26</v>
      </c>
      <c r="O2143" s="53">
        <f t="shared" si="862"/>
        <v>6</v>
      </c>
      <c r="P2143" s="53">
        <f t="shared" si="863"/>
        <v>2026</v>
      </c>
    </row>
    <row r="2144" spans="1:16" x14ac:dyDescent="0.25">
      <c r="A2144" s="21">
        <v>3000003756</v>
      </c>
      <c r="B2144" s="22">
        <v>46195</v>
      </c>
      <c r="C2144" s="20">
        <v>21526983.920000002</v>
      </c>
      <c r="D2144" s="21" t="s">
        <v>618</v>
      </c>
      <c r="E2144" s="21">
        <v>91003266</v>
      </c>
      <c r="F2144" s="20">
        <v>21526983.920000002</v>
      </c>
      <c r="G2144" s="22">
        <v>46199</v>
      </c>
      <c r="H2144" t="s">
        <v>79</v>
      </c>
      <c r="I2144" s="51" t="str">
        <f>IFERROR(IF(VLOOKUP(E2144,extracto!C:C,1,FALSE)=E2144,"pagado","no pagado"),"no pagado")</f>
        <v>pagado</v>
      </c>
      <c r="J2144" s="52" t="str">
        <f t="shared" si="858"/>
        <v>pagado</v>
      </c>
      <c r="K2144" s="51" t="str">
        <f t="shared" ca="1" si="859"/>
        <v>excluir</v>
      </c>
      <c r="L2144" s="51" t="str">
        <f t="shared" ca="1" si="860"/>
        <v>no semana</v>
      </c>
      <c r="M2144" s="51" t="str">
        <f>IFERROR(VLOOKUP(E2144,'cheques a conf'!A:D,4,FALSE),"no clearing")</f>
        <v>no clearing</v>
      </c>
      <c r="N2144" s="51">
        <f t="shared" si="861"/>
        <v>26</v>
      </c>
      <c r="O2144" s="53">
        <f t="shared" si="862"/>
        <v>6</v>
      </c>
      <c r="P2144" s="53">
        <f t="shared" si="863"/>
        <v>2026</v>
      </c>
    </row>
    <row r="2145" spans="1:16" x14ac:dyDescent="0.25">
      <c r="A2145" s="21">
        <v>3000003764</v>
      </c>
      <c r="B2145" s="22">
        <v>46196</v>
      </c>
      <c r="C2145" s="20">
        <v>20000000</v>
      </c>
      <c r="D2145" s="21" t="s">
        <v>1752</v>
      </c>
      <c r="E2145" s="21">
        <v>91003274</v>
      </c>
      <c r="F2145" s="20">
        <v>20000000</v>
      </c>
      <c r="G2145" s="22">
        <v>46198</v>
      </c>
      <c r="H2145" t="s">
        <v>79</v>
      </c>
      <c r="I2145" s="51" t="str">
        <f>IFERROR(IF(VLOOKUP(E2145,extracto!C:C,1,FALSE)=E2145,"pagado","no pagado"),"no pagado")</f>
        <v>pagado</v>
      </c>
      <c r="J2145" s="52" t="str">
        <f t="shared" si="858"/>
        <v>pagado</v>
      </c>
      <c r="K2145" s="51" t="str">
        <f t="shared" ca="1" si="859"/>
        <v>excluir</v>
      </c>
      <c r="L2145" s="51" t="str">
        <f t="shared" ca="1" si="860"/>
        <v>no semana</v>
      </c>
      <c r="M2145" s="51" t="str">
        <f>IFERROR(VLOOKUP(E2145,'cheques a conf'!A:D,4,FALSE),"no clearing")</f>
        <v>no clearing</v>
      </c>
      <c r="N2145" s="51">
        <f t="shared" si="861"/>
        <v>26</v>
      </c>
      <c r="O2145" s="53">
        <f t="shared" si="862"/>
        <v>6</v>
      </c>
      <c r="P2145" s="53">
        <f t="shared" si="863"/>
        <v>2026</v>
      </c>
    </row>
    <row r="2146" spans="1:16" x14ac:dyDescent="0.25">
      <c r="A2146" s="21">
        <v>3000003764</v>
      </c>
      <c r="B2146" s="22">
        <v>46196</v>
      </c>
      <c r="C2146" s="20">
        <v>20391102.609999999</v>
      </c>
      <c r="D2146" s="21" t="s">
        <v>1752</v>
      </c>
      <c r="E2146" s="21">
        <v>91003275</v>
      </c>
      <c r="F2146" s="20">
        <v>20391102.609999999</v>
      </c>
      <c r="G2146" s="22">
        <v>46225</v>
      </c>
      <c r="H2146" t="s">
        <v>79</v>
      </c>
      <c r="I2146" s="51" t="str">
        <f>IFERROR(IF(VLOOKUP(E2146,extracto!C:C,1,FALSE)=E2146,"pagado","no pagado"),"no pagado")</f>
        <v>pagado</v>
      </c>
      <c r="J2146" s="52" t="str">
        <f t="shared" si="858"/>
        <v>pagado</v>
      </c>
      <c r="K2146" s="51" t="str">
        <f t="shared" ca="1" si="859"/>
        <v>excluir</v>
      </c>
      <c r="L2146" s="51" t="str">
        <f t="shared" ca="1" si="860"/>
        <v>no semana</v>
      </c>
      <c r="M2146" s="51" t="str">
        <f>IFERROR(VLOOKUP(E2146,'cheques a conf'!A:D,4,FALSE),"no clearing")</f>
        <v>no clearing</v>
      </c>
      <c r="N2146" s="51">
        <f t="shared" si="861"/>
        <v>30</v>
      </c>
      <c r="O2146" s="53">
        <f t="shared" si="862"/>
        <v>7</v>
      </c>
      <c r="P2146" s="53">
        <f t="shared" si="863"/>
        <v>2026</v>
      </c>
    </row>
    <row r="2147" spans="1:16" x14ac:dyDescent="0.25">
      <c r="A2147" s="21">
        <v>3000003787</v>
      </c>
      <c r="B2147" s="22">
        <v>46196</v>
      </c>
      <c r="C2147" s="20">
        <v>0</v>
      </c>
      <c r="D2147" s="21" t="s">
        <v>162</v>
      </c>
      <c r="E2147" s="21">
        <v>61301855</v>
      </c>
      <c r="F2147" s="20">
        <v>0</v>
      </c>
      <c r="G2147" s="22">
        <v>46199</v>
      </c>
      <c r="H2147" t="s">
        <v>79</v>
      </c>
      <c r="I2147" s="51" t="str">
        <f>IFERROR(IF(VLOOKUP(E2147,extracto!C:C,1,FALSE)=E2147,"pagado","no pagado"),"no pagado")</f>
        <v>no pagado</v>
      </c>
      <c r="J2147" s="52" t="str">
        <f t="shared" ca="1" si="858"/>
        <v>fuera de fecha</v>
      </c>
      <c r="K2147" s="51" t="str">
        <f t="shared" ca="1" si="859"/>
        <v>excluir</v>
      </c>
      <c r="L2147" s="51" t="str">
        <f t="shared" ca="1" si="860"/>
        <v>no semana</v>
      </c>
      <c r="M2147" s="51" t="str">
        <f>IFERROR(VLOOKUP(E2147,'cheques a conf'!A:D,4,FALSE),"no clearing")</f>
        <v>no clearing</v>
      </c>
      <c r="N2147" s="51">
        <f t="shared" si="861"/>
        <v>26</v>
      </c>
      <c r="O2147" s="53">
        <f t="shared" si="862"/>
        <v>6</v>
      </c>
      <c r="P2147" s="53">
        <f t="shared" si="863"/>
        <v>2026</v>
      </c>
    </row>
    <row r="2148" spans="1:16" x14ac:dyDescent="0.25">
      <c r="A2148" s="21">
        <v>3000001950</v>
      </c>
      <c r="B2148" s="22">
        <v>46196</v>
      </c>
      <c r="C2148" s="20">
        <v>7416248.1600000001</v>
      </c>
      <c r="D2148" s="21" t="s">
        <v>692</v>
      </c>
      <c r="E2148" s="21">
        <v>61301856</v>
      </c>
      <c r="F2148" s="20">
        <v>7416248.1600000001</v>
      </c>
      <c r="G2148" s="22">
        <v>46199</v>
      </c>
      <c r="H2148" t="s">
        <v>79</v>
      </c>
      <c r="I2148" s="51" t="str">
        <f>IFERROR(IF(VLOOKUP(E2148,extracto!C:C,1,FALSE)=E2148,"pagado","no pagado"),"no pagado")</f>
        <v>pagado</v>
      </c>
      <c r="J2148" s="52" t="str">
        <f t="shared" si="858"/>
        <v>pagado</v>
      </c>
      <c r="K2148" s="51" t="str">
        <f t="shared" ca="1" si="859"/>
        <v>excluir</v>
      </c>
      <c r="L2148" s="51" t="str">
        <f t="shared" ca="1" si="860"/>
        <v>no semana</v>
      </c>
      <c r="M2148" s="51" t="str">
        <f>IFERROR(VLOOKUP(E2148,'cheques a conf'!A:D,4,FALSE),"no clearing")</f>
        <v>no clearing</v>
      </c>
      <c r="N2148" s="51">
        <f t="shared" si="861"/>
        <v>26</v>
      </c>
      <c r="O2148" s="53">
        <f t="shared" si="862"/>
        <v>6</v>
      </c>
      <c r="P2148" s="53">
        <f t="shared" si="863"/>
        <v>2026</v>
      </c>
    </row>
    <row r="2149" spans="1:16" x14ac:dyDescent="0.25">
      <c r="A2149" s="21">
        <v>3000003788</v>
      </c>
      <c r="B2149" s="22">
        <v>46196</v>
      </c>
      <c r="C2149" s="20">
        <v>17820092.859999999</v>
      </c>
      <c r="D2149" s="21" t="s">
        <v>657</v>
      </c>
      <c r="E2149" s="21">
        <v>91003276</v>
      </c>
      <c r="F2149" s="20">
        <v>17820092.859999999</v>
      </c>
      <c r="G2149" s="22">
        <v>46199</v>
      </c>
      <c r="H2149" t="s">
        <v>79</v>
      </c>
      <c r="I2149" s="51" t="str">
        <f>IFERROR(IF(VLOOKUP(E2149,extracto!C:C,1,FALSE)=E2149,"pagado","no pagado"),"no pagado")</f>
        <v>pagado</v>
      </c>
      <c r="J2149" s="52" t="str">
        <f t="shared" si="858"/>
        <v>pagado</v>
      </c>
      <c r="K2149" s="51" t="str">
        <f t="shared" ca="1" si="859"/>
        <v>excluir</v>
      </c>
      <c r="L2149" s="51" t="str">
        <f t="shared" ca="1" si="860"/>
        <v>no semana</v>
      </c>
      <c r="M2149" s="51" t="str">
        <f>IFERROR(VLOOKUP(E2149,'cheques a conf'!A:D,4,FALSE),"no clearing")</f>
        <v>no clearing</v>
      </c>
      <c r="N2149" s="51">
        <f t="shared" si="861"/>
        <v>26</v>
      </c>
      <c r="O2149" s="53">
        <f t="shared" si="862"/>
        <v>6</v>
      </c>
      <c r="P2149" s="53">
        <f t="shared" si="863"/>
        <v>2026</v>
      </c>
    </row>
    <row r="2150" spans="1:16" x14ac:dyDescent="0.25">
      <c r="A2150" s="21">
        <v>3000003789</v>
      </c>
      <c r="B2150" s="22">
        <v>46196</v>
      </c>
      <c r="C2150" s="20">
        <v>25294855.75</v>
      </c>
      <c r="D2150" s="21" t="s">
        <v>661</v>
      </c>
      <c r="E2150" s="21">
        <v>91003277</v>
      </c>
      <c r="F2150" s="20">
        <v>25294855.75</v>
      </c>
      <c r="G2150" s="22">
        <v>46199</v>
      </c>
      <c r="H2150" t="s">
        <v>79</v>
      </c>
      <c r="I2150" s="51" t="str">
        <f>IFERROR(IF(VLOOKUP(E2150,extracto!C:C,1,FALSE)=E2150,"pagado","no pagado"),"no pagado")</f>
        <v>pagado</v>
      </c>
      <c r="J2150" s="52" t="str">
        <f t="shared" si="858"/>
        <v>pagado</v>
      </c>
      <c r="K2150" s="51" t="str">
        <f t="shared" ca="1" si="859"/>
        <v>excluir</v>
      </c>
      <c r="L2150" s="51" t="str">
        <f t="shared" ca="1" si="860"/>
        <v>no semana</v>
      </c>
      <c r="M2150" s="51" t="str">
        <f>IFERROR(VLOOKUP(E2150,'cheques a conf'!A:D,4,FALSE),"no clearing")</f>
        <v>no clearing</v>
      </c>
      <c r="N2150" s="51">
        <f t="shared" si="861"/>
        <v>26</v>
      </c>
      <c r="O2150" s="53">
        <f t="shared" si="862"/>
        <v>6</v>
      </c>
      <c r="P2150" s="53">
        <f t="shared" si="863"/>
        <v>2026</v>
      </c>
    </row>
    <row r="2151" spans="1:16" x14ac:dyDescent="0.25">
      <c r="A2151" s="21">
        <v>3000003790</v>
      </c>
      <c r="B2151" s="22">
        <v>46196</v>
      </c>
      <c r="C2151" s="20">
        <v>11099595.26</v>
      </c>
      <c r="D2151" s="21" t="s">
        <v>708</v>
      </c>
      <c r="E2151" s="21">
        <v>91003278</v>
      </c>
      <c r="F2151" s="20">
        <v>11099595.26</v>
      </c>
      <c r="G2151" s="22">
        <v>46199</v>
      </c>
      <c r="H2151" t="s">
        <v>79</v>
      </c>
      <c r="I2151" s="51" t="str">
        <f>IFERROR(IF(VLOOKUP(E2151,extracto!C:C,1,FALSE)=E2151,"pagado","no pagado"),"no pagado")</f>
        <v>pagado</v>
      </c>
      <c r="J2151" s="52" t="str">
        <f t="shared" si="858"/>
        <v>pagado</v>
      </c>
      <c r="K2151" s="51" t="str">
        <f t="shared" ca="1" si="859"/>
        <v>excluir</v>
      </c>
      <c r="L2151" s="51" t="str">
        <f t="shared" ca="1" si="860"/>
        <v>no semana</v>
      </c>
      <c r="M2151" s="51" t="str">
        <f>IFERROR(VLOOKUP(E2151,'cheques a conf'!A:D,4,FALSE),"no clearing")</f>
        <v>no clearing</v>
      </c>
      <c r="N2151" s="51">
        <f t="shared" si="861"/>
        <v>26</v>
      </c>
      <c r="O2151" s="53">
        <f t="shared" si="862"/>
        <v>6</v>
      </c>
      <c r="P2151" s="53">
        <f t="shared" si="863"/>
        <v>2026</v>
      </c>
    </row>
    <row r="2152" spans="1:16" x14ac:dyDescent="0.25">
      <c r="A2152" s="21">
        <v>3000003791</v>
      </c>
      <c r="B2152" s="22">
        <v>46196</v>
      </c>
      <c r="C2152" s="20">
        <v>16217357.949999999</v>
      </c>
      <c r="D2152" s="21" t="s">
        <v>613</v>
      </c>
      <c r="E2152" s="21">
        <v>91003279</v>
      </c>
      <c r="F2152" s="20">
        <v>16217357.949999999</v>
      </c>
      <c r="G2152" s="22">
        <v>46199</v>
      </c>
      <c r="H2152" t="s">
        <v>79</v>
      </c>
      <c r="I2152" s="51" t="str">
        <f>IFERROR(IF(VLOOKUP(E2152,extracto!C:C,1,FALSE)=E2152,"pagado","no pagado"),"no pagado")</f>
        <v>pagado</v>
      </c>
      <c r="J2152" s="52" t="str">
        <f t="shared" si="858"/>
        <v>pagado</v>
      </c>
      <c r="K2152" s="51" t="str">
        <f t="shared" ca="1" si="859"/>
        <v>excluir</v>
      </c>
      <c r="L2152" s="51" t="str">
        <f t="shared" ca="1" si="860"/>
        <v>no semana</v>
      </c>
      <c r="M2152" s="51" t="str">
        <f>IFERROR(VLOOKUP(E2152,'cheques a conf'!A:D,4,FALSE),"no clearing")</f>
        <v>no clearing</v>
      </c>
      <c r="N2152" s="51">
        <f t="shared" si="861"/>
        <v>26</v>
      </c>
      <c r="O2152" s="53">
        <f t="shared" si="862"/>
        <v>6</v>
      </c>
      <c r="P2152" s="53">
        <f t="shared" si="863"/>
        <v>2026</v>
      </c>
    </row>
    <row r="2153" spans="1:16" x14ac:dyDescent="0.25">
      <c r="A2153" s="21">
        <v>3000003792</v>
      </c>
      <c r="B2153" s="22">
        <v>46196</v>
      </c>
      <c r="C2153" s="20">
        <v>8716543.6500000004</v>
      </c>
      <c r="D2153" s="21" t="s">
        <v>619</v>
      </c>
      <c r="E2153" s="21">
        <v>91003280</v>
      </c>
      <c r="F2153" s="20">
        <v>8716543.6500000004</v>
      </c>
      <c r="G2153" s="22">
        <v>46199</v>
      </c>
      <c r="H2153" t="s">
        <v>79</v>
      </c>
      <c r="I2153" s="51" t="str">
        <f>IFERROR(IF(VLOOKUP(E2153,extracto!C:C,1,FALSE)=E2153,"pagado","no pagado"),"no pagado")</f>
        <v>pagado</v>
      </c>
      <c r="J2153" s="52" t="str">
        <f t="shared" si="858"/>
        <v>pagado</v>
      </c>
      <c r="K2153" s="51" t="str">
        <f t="shared" ca="1" si="859"/>
        <v>excluir</v>
      </c>
      <c r="L2153" s="51" t="str">
        <f t="shared" ca="1" si="860"/>
        <v>no semana</v>
      </c>
      <c r="M2153" s="51" t="str">
        <f>IFERROR(VLOOKUP(E2153,'cheques a conf'!A:D,4,FALSE),"no clearing")</f>
        <v>no clearing</v>
      </c>
      <c r="N2153" s="51">
        <f t="shared" si="861"/>
        <v>26</v>
      </c>
      <c r="O2153" s="53">
        <f t="shared" si="862"/>
        <v>6</v>
      </c>
      <c r="P2153" s="53">
        <f t="shared" si="863"/>
        <v>2026</v>
      </c>
    </row>
    <row r="2154" spans="1:16" x14ac:dyDescent="0.25">
      <c r="A2154" s="21">
        <v>3000003793</v>
      </c>
      <c r="B2154" s="22">
        <v>46196</v>
      </c>
      <c r="C2154" s="20">
        <v>6150566.8300000001</v>
      </c>
      <c r="D2154" s="21" t="s">
        <v>618</v>
      </c>
      <c r="E2154" s="21">
        <v>91003281</v>
      </c>
      <c r="F2154" s="20">
        <v>6150566.8300000001</v>
      </c>
      <c r="G2154" s="22">
        <v>46199</v>
      </c>
      <c r="H2154" t="s">
        <v>79</v>
      </c>
      <c r="I2154" s="51" t="str">
        <f>IFERROR(IF(VLOOKUP(E2154,extracto!C:C,1,FALSE)=E2154,"pagado","no pagado"),"no pagado")</f>
        <v>pagado</v>
      </c>
      <c r="J2154" s="52" t="str">
        <f t="shared" si="858"/>
        <v>pagado</v>
      </c>
      <c r="K2154" s="51" t="str">
        <f t="shared" ca="1" si="859"/>
        <v>excluir</v>
      </c>
      <c r="L2154" s="51" t="str">
        <f t="shared" ca="1" si="860"/>
        <v>no semana</v>
      </c>
      <c r="M2154" s="51" t="str">
        <f>IFERROR(VLOOKUP(E2154,'cheques a conf'!A:D,4,FALSE),"no clearing")</f>
        <v>no clearing</v>
      </c>
      <c r="N2154" s="51">
        <f t="shared" si="861"/>
        <v>26</v>
      </c>
      <c r="O2154" s="53">
        <f t="shared" si="862"/>
        <v>6</v>
      </c>
      <c r="P2154" s="53">
        <f t="shared" si="863"/>
        <v>2026</v>
      </c>
    </row>
    <row r="2155" spans="1:16" x14ac:dyDescent="0.25">
      <c r="A2155" s="21">
        <v>3000003794</v>
      </c>
      <c r="B2155" s="22">
        <v>46196</v>
      </c>
      <c r="C2155" s="20">
        <v>7798056.5999999996</v>
      </c>
      <c r="D2155" s="21" t="s">
        <v>1738</v>
      </c>
      <c r="E2155" s="21">
        <v>91003282</v>
      </c>
      <c r="F2155" s="20">
        <v>7798056.5999999996</v>
      </c>
      <c r="G2155" s="22">
        <v>46199</v>
      </c>
      <c r="H2155" t="s">
        <v>79</v>
      </c>
      <c r="I2155" s="51" t="str">
        <f>IFERROR(IF(VLOOKUP(E2155,extracto!C:C,1,FALSE)=E2155,"pagado","no pagado"),"no pagado")</f>
        <v>pagado</v>
      </c>
      <c r="J2155" s="52" t="str">
        <f t="shared" si="858"/>
        <v>pagado</v>
      </c>
      <c r="K2155" s="51" t="str">
        <f t="shared" ca="1" si="859"/>
        <v>excluir</v>
      </c>
      <c r="L2155" s="51" t="str">
        <f t="shared" ca="1" si="860"/>
        <v>no semana</v>
      </c>
      <c r="M2155" s="51" t="str">
        <f>IFERROR(VLOOKUP(E2155,'cheques a conf'!A:D,4,FALSE),"no clearing")</f>
        <v>no clearing</v>
      </c>
      <c r="N2155" s="51">
        <f t="shared" si="861"/>
        <v>26</v>
      </c>
      <c r="O2155" s="53">
        <f t="shared" si="862"/>
        <v>6</v>
      </c>
      <c r="P2155" s="53">
        <f t="shared" si="863"/>
        <v>2026</v>
      </c>
    </row>
    <row r="2156" spans="1:16" x14ac:dyDescent="0.25">
      <c r="A2156" s="21">
        <v>3000003795</v>
      </c>
      <c r="B2156" s="22">
        <v>46196</v>
      </c>
      <c r="C2156" s="20">
        <v>46999521.079999998</v>
      </c>
      <c r="D2156" s="21" t="s">
        <v>626</v>
      </c>
      <c r="E2156" s="21">
        <v>91003283</v>
      </c>
      <c r="F2156" s="20">
        <v>46999521.079999998</v>
      </c>
      <c r="G2156" s="22">
        <v>46199</v>
      </c>
      <c r="H2156" t="s">
        <v>79</v>
      </c>
      <c r="I2156" s="51" t="str">
        <f>IFERROR(IF(VLOOKUP(E2156,extracto!C:C,1,FALSE)=E2156,"pagado","no pagado"),"no pagado")</f>
        <v>pagado</v>
      </c>
      <c r="J2156" s="52" t="str">
        <f t="shared" si="858"/>
        <v>pagado</v>
      </c>
      <c r="K2156" s="51" t="str">
        <f t="shared" ca="1" si="859"/>
        <v>excluir</v>
      </c>
      <c r="L2156" s="51" t="str">
        <f t="shared" ca="1" si="860"/>
        <v>no semana</v>
      </c>
      <c r="M2156" s="51" t="str">
        <f>IFERROR(VLOOKUP(E2156,'cheques a conf'!A:D,4,FALSE),"no clearing")</f>
        <v>no clearing</v>
      </c>
      <c r="N2156" s="51">
        <f t="shared" si="861"/>
        <v>26</v>
      </c>
      <c r="O2156" s="53">
        <f t="shared" si="862"/>
        <v>6</v>
      </c>
      <c r="P2156" s="53">
        <f t="shared" si="863"/>
        <v>2026</v>
      </c>
    </row>
    <row r="2157" spans="1:16" x14ac:dyDescent="0.25">
      <c r="A2157" s="21">
        <v>3000003787</v>
      </c>
      <c r="B2157" s="22">
        <v>46196</v>
      </c>
      <c r="C2157" s="20">
        <v>7669554.5300000003</v>
      </c>
      <c r="D2157" s="21" t="s">
        <v>659</v>
      </c>
      <c r="E2157" s="21">
        <v>61301857</v>
      </c>
      <c r="F2157" s="20">
        <v>7669554.5300000003</v>
      </c>
      <c r="G2157" s="22">
        <v>46199</v>
      </c>
      <c r="H2157" t="s">
        <v>79</v>
      </c>
      <c r="I2157" s="51" t="str">
        <f>IFERROR(IF(VLOOKUP(E2157,extracto!C:C,1,FALSE)=E2157,"pagado","no pagado"),"no pagado")</f>
        <v>pagado</v>
      </c>
      <c r="J2157" s="52" t="str">
        <f t="shared" si="858"/>
        <v>pagado</v>
      </c>
      <c r="K2157" s="51" t="str">
        <f t="shared" ca="1" si="859"/>
        <v>excluir</v>
      </c>
      <c r="L2157" s="51" t="str">
        <f t="shared" ca="1" si="860"/>
        <v>no semana</v>
      </c>
      <c r="M2157" s="51" t="str">
        <f>IFERROR(VLOOKUP(E2157,'cheques a conf'!A:D,4,FALSE),"no clearing")</f>
        <v>no clearing</v>
      </c>
      <c r="N2157" s="51">
        <f t="shared" si="861"/>
        <v>26</v>
      </c>
      <c r="O2157" s="53">
        <f t="shared" si="862"/>
        <v>6</v>
      </c>
      <c r="P2157" s="53">
        <f t="shared" si="863"/>
        <v>2026</v>
      </c>
    </row>
    <row r="2158" spans="1:16" x14ac:dyDescent="0.25">
      <c r="A2158" s="21">
        <v>3000003936</v>
      </c>
      <c r="B2158" s="22">
        <v>46202</v>
      </c>
      <c r="C2158" s="20">
        <v>8663897.5399999991</v>
      </c>
      <c r="D2158" s="21" t="s">
        <v>739</v>
      </c>
      <c r="E2158" s="21">
        <v>91003284</v>
      </c>
      <c r="F2158" s="20">
        <v>8663897.5399999991</v>
      </c>
      <c r="G2158" s="22">
        <v>46205</v>
      </c>
      <c r="H2158" t="s">
        <v>79</v>
      </c>
      <c r="I2158" s="51" t="str">
        <f>IFERROR(IF(VLOOKUP(E2158,extracto!C:C,1,FALSE)=E2158,"pagado","no pagado"),"no pagado")</f>
        <v>pagado</v>
      </c>
      <c r="J2158" s="52" t="str">
        <f t="shared" si="858"/>
        <v>pagado</v>
      </c>
      <c r="K2158" s="51" t="str">
        <f t="shared" ca="1" si="859"/>
        <v>excluir</v>
      </c>
      <c r="L2158" s="51" t="str">
        <f t="shared" ca="1" si="860"/>
        <v>no semana</v>
      </c>
      <c r="M2158" s="51" t="str">
        <f>IFERROR(VLOOKUP(E2158,'cheques a conf'!A:D,4,FALSE),"no clearing")</f>
        <v>no clearing</v>
      </c>
      <c r="N2158" s="51">
        <f t="shared" si="861"/>
        <v>27</v>
      </c>
      <c r="O2158" s="53">
        <f t="shared" si="862"/>
        <v>7</v>
      </c>
      <c r="P2158" s="53">
        <f t="shared" si="863"/>
        <v>2026</v>
      </c>
    </row>
    <row r="2159" spans="1:16" x14ac:dyDescent="0.25">
      <c r="A2159" s="21">
        <v>3000003937</v>
      </c>
      <c r="B2159" s="22">
        <v>46202</v>
      </c>
      <c r="C2159" s="20">
        <v>5688358.96</v>
      </c>
      <c r="D2159" s="21" t="s">
        <v>1758</v>
      </c>
      <c r="E2159" s="21">
        <v>91003285</v>
      </c>
      <c r="F2159" s="20">
        <v>5688358.96</v>
      </c>
      <c r="G2159" s="22">
        <v>46205</v>
      </c>
      <c r="H2159" t="s">
        <v>79</v>
      </c>
      <c r="I2159" s="51" t="str">
        <f>IFERROR(IF(VLOOKUP(E2159,extracto!C:C,1,FALSE)=E2159,"pagado","no pagado"),"no pagado")</f>
        <v>pagado</v>
      </c>
      <c r="J2159" s="52" t="str">
        <f t="shared" si="858"/>
        <v>pagado</v>
      </c>
      <c r="K2159" s="51" t="str">
        <f t="shared" ca="1" si="859"/>
        <v>excluir</v>
      </c>
      <c r="L2159" s="51" t="str">
        <f t="shared" ca="1" si="860"/>
        <v>no semana</v>
      </c>
      <c r="M2159" s="51" t="str">
        <f>IFERROR(VLOOKUP(E2159,'cheques a conf'!A:D,4,FALSE),"no clearing")</f>
        <v>no clearing</v>
      </c>
      <c r="N2159" s="51">
        <f t="shared" si="861"/>
        <v>27</v>
      </c>
      <c r="O2159" s="53">
        <f t="shared" si="862"/>
        <v>7</v>
      </c>
      <c r="P2159" s="53">
        <f t="shared" si="863"/>
        <v>2026</v>
      </c>
    </row>
    <row r="2160" spans="1:16" x14ac:dyDescent="0.25">
      <c r="A2160" s="21">
        <v>3000003938</v>
      </c>
      <c r="B2160" s="22">
        <v>46202</v>
      </c>
      <c r="C2160" s="20">
        <v>6760635</v>
      </c>
      <c r="D2160" s="21" t="s">
        <v>1759</v>
      </c>
      <c r="E2160" s="21">
        <v>91003286</v>
      </c>
      <c r="F2160" s="20">
        <v>6760635</v>
      </c>
      <c r="G2160" s="22">
        <v>46205</v>
      </c>
      <c r="H2160" t="s">
        <v>79</v>
      </c>
      <c r="I2160" s="51" t="str">
        <f>IFERROR(IF(VLOOKUP(E2160,extracto!C:C,1,FALSE)=E2160,"pagado","no pagado"),"no pagado")</f>
        <v>pagado</v>
      </c>
      <c r="J2160" s="52" t="str">
        <f t="shared" si="858"/>
        <v>pagado</v>
      </c>
      <c r="K2160" s="51" t="str">
        <f t="shared" ca="1" si="859"/>
        <v>excluir</v>
      </c>
      <c r="L2160" s="51" t="str">
        <f t="shared" ca="1" si="860"/>
        <v>no semana</v>
      </c>
      <c r="M2160" s="51" t="str">
        <f>IFERROR(VLOOKUP(E2160,'cheques a conf'!A:D,4,FALSE),"no clearing")</f>
        <v>no clearing</v>
      </c>
      <c r="N2160" s="51">
        <f t="shared" si="861"/>
        <v>27</v>
      </c>
      <c r="O2160" s="53">
        <f t="shared" si="862"/>
        <v>7</v>
      </c>
      <c r="P2160" s="53">
        <f t="shared" si="863"/>
        <v>2026</v>
      </c>
    </row>
    <row r="2161" spans="1:16" x14ac:dyDescent="0.25">
      <c r="A2161" s="21">
        <v>3000003939</v>
      </c>
      <c r="B2161" s="22">
        <v>46202</v>
      </c>
      <c r="C2161" s="20">
        <v>8319224.5899999999</v>
      </c>
      <c r="D2161" s="21" t="s">
        <v>626</v>
      </c>
      <c r="E2161" s="21">
        <v>91003287</v>
      </c>
      <c r="F2161" s="20">
        <v>8319224.5899999999</v>
      </c>
      <c r="G2161" s="22">
        <v>46205</v>
      </c>
      <c r="H2161" t="s">
        <v>79</v>
      </c>
      <c r="I2161" s="51" t="str">
        <f>IFERROR(IF(VLOOKUP(E2161,extracto!C:C,1,FALSE)=E2161,"pagado","no pagado"),"no pagado")</f>
        <v>pagado</v>
      </c>
      <c r="J2161" s="52" t="str">
        <f t="shared" si="858"/>
        <v>pagado</v>
      </c>
      <c r="K2161" s="51" t="str">
        <f t="shared" ca="1" si="859"/>
        <v>excluir</v>
      </c>
      <c r="L2161" s="51" t="str">
        <f t="shared" ca="1" si="860"/>
        <v>no semana</v>
      </c>
      <c r="M2161" s="51" t="str">
        <f>IFERROR(VLOOKUP(E2161,'cheques a conf'!A:D,4,FALSE),"no clearing")</f>
        <v>no clearing</v>
      </c>
      <c r="N2161" s="51">
        <f t="shared" si="861"/>
        <v>27</v>
      </c>
      <c r="O2161" s="53">
        <f t="shared" si="862"/>
        <v>7</v>
      </c>
      <c r="P2161" s="53">
        <f t="shared" si="863"/>
        <v>2026</v>
      </c>
    </row>
    <row r="2162" spans="1:16" x14ac:dyDescent="0.25">
      <c r="A2162" s="21">
        <v>3000003940</v>
      </c>
      <c r="B2162" s="22">
        <v>46202</v>
      </c>
      <c r="C2162" s="20">
        <v>14077087.5</v>
      </c>
      <c r="D2162" s="21" t="s">
        <v>182</v>
      </c>
      <c r="E2162" s="21">
        <v>91003288</v>
      </c>
      <c r="F2162" s="20">
        <v>14077087.5</v>
      </c>
      <c r="G2162" s="22">
        <v>46205</v>
      </c>
      <c r="H2162" t="s">
        <v>79</v>
      </c>
      <c r="I2162" s="51" t="str">
        <f>IFERROR(IF(VLOOKUP(E2162,extracto!C:C,1,FALSE)=E2162,"pagado","no pagado"),"no pagado")</f>
        <v>pagado</v>
      </c>
      <c r="J2162" s="52" t="str">
        <f t="shared" si="858"/>
        <v>pagado</v>
      </c>
      <c r="K2162" s="51" t="str">
        <f t="shared" ca="1" si="859"/>
        <v>excluir</v>
      </c>
      <c r="L2162" s="51" t="str">
        <f t="shared" ca="1" si="860"/>
        <v>no semana</v>
      </c>
      <c r="M2162" s="51" t="str">
        <f>IFERROR(VLOOKUP(E2162,'cheques a conf'!A:D,4,FALSE),"no clearing")</f>
        <v>no clearing</v>
      </c>
      <c r="N2162" s="51">
        <f t="shared" si="861"/>
        <v>27</v>
      </c>
      <c r="O2162" s="53">
        <f t="shared" si="862"/>
        <v>7</v>
      </c>
      <c r="P2162" s="53">
        <f t="shared" si="863"/>
        <v>2026</v>
      </c>
    </row>
    <row r="2163" spans="1:16" x14ac:dyDescent="0.25">
      <c r="A2163" s="21">
        <v>3000003941</v>
      </c>
      <c r="B2163" s="22">
        <v>46202</v>
      </c>
      <c r="C2163" s="20">
        <v>18241440</v>
      </c>
      <c r="D2163" s="21" t="s">
        <v>1722</v>
      </c>
      <c r="E2163" s="21">
        <v>91003289</v>
      </c>
      <c r="F2163" s="20">
        <v>18241440</v>
      </c>
      <c r="G2163" s="22">
        <v>46205</v>
      </c>
      <c r="H2163" t="s">
        <v>79</v>
      </c>
      <c r="I2163" s="51" t="str">
        <f>IFERROR(IF(VLOOKUP(E2163,extracto!C:C,1,FALSE)=E2163,"pagado","no pagado"),"no pagado")</f>
        <v>pagado</v>
      </c>
      <c r="J2163" s="52" t="str">
        <f t="shared" si="858"/>
        <v>pagado</v>
      </c>
      <c r="K2163" s="51" t="str">
        <f t="shared" ca="1" si="859"/>
        <v>excluir</v>
      </c>
      <c r="L2163" s="51" t="str">
        <f t="shared" ca="1" si="860"/>
        <v>no semana</v>
      </c>
      <c r="M2163" s="51" t="str">
        <f>IFERROR(VLOOKUP(E2163,'cheques a conf'!A:D,4,FALSE),"no clearing")</f>
        <v>no clearing</v>
      </c>
      <c r="N2163" s="51">
        <f t="shared" si="861"/>
        <v>27</v>
      </c>
      <c r="O2163" s="53">
        <f t="shared" si="862"/>
        <v>7</v>
      </c>
      <c r="P2163" s="53">
        <f t="shared" si="863"/>
        <v>2026</v>
      </c>
    </row>
    <row r="2164" spans="1:16" x14ac:dyDescent="0.25">
      <c r="A2164" s="21">
        <v>3000003942</v>
      </c>
      <c r="B2164" s="22">
        <v>46202</v>
      </c>
      <c r="C2164" s="20">
        <v>9022835.9399999995</v>
      </c>
      <c r="D2164" s="21" t="s">
        <v>689</v>
      </c>
      <c r="E2164" s="21">
        <v>91003290</v>
      </c>
      <c r="F2164" s="20">
        <v>9022835.9399999995</v>
      </c>
      <c r="G2164" s="22">
        <v>46205</v>
      </c>
      <c r="H2164" t="s">
        <v>79</v>
      </c>
      <c r="I2164" s="51" t="str">
        <f>IFERROR(IF(VLOOKUP(E2164,extracto!C:C,1,FALSE)=E2164,"pagado","no pagado"),"no pagado")</f>
        <v>pagado</v>
      </c>
      <c r="J2164" s="52" t="str">
        <f t="shared" si="858"/>
        <v>pagado</v>
      </c>
      <c r="K2164" s="51" t="str">
        <f t="shared" ca="1" si="859"/>
        <v>excluir</v>
      </c>
      <c r="L2164" s="51" t="str">
        <f t="shared" ca="1" si="860"/>
        <v>no semana</v>
      </c>
      <c r="M2164" s="51" t="str">
        <f>IFERROR(VLOOKUP(E2164,'cheques a conf'!A:D,4,FALSE),"no clearing")</f>
        <v>no clearing</v>
      </c>
      <c r="N2164" s="51">
        <f t="shared" si="861"/>
        <v>27</v>
      </c>
      <c r="O2164" s="53">
        <f t="shared" si="862"/>
        <v>7</v>
      </c>
      <c r="P2164" s="53">
        <f t="shared" si="863"/>
        <v>2026</v>
      </c>
    </row>
    <row r="2165" spans="1:16" x14ac:dyDescent="0.25">
      <c r="A2165" s="21">
        <v>3000003943</v>
      </c>
      <c r="B2165" s="22">
        <v>46202</v>
      </c>
      <c r="C2165" s="20">
        <v>15376417.08</v>
      </c>
      <c r="D2165" s="21" t="s">
        <v>618</v>
      </c>
      <c r="E2165" s="21">
        <v>91003291</v>
      </c>
      <c r="F2165" s="20">
        <v>15376417.08</v>
      </c>
      <c r="G2165" s="22">
        <v>46205</v>
      </c>
      <c r="H2165" t="s">
        <v>79</v>
      </c>
      <c r="I2165" s="51" t="str">
        <f>IFERROR(IF(VLOOKUP(E2165,extracto!C:C,1,FALSE)=E2165,"pagado","no pagado"),"no pagado")</f>
        <v>pagado</v>
      </c>
      <c r="J2165" s="52" t="str">
        <f t="shared" si="858"/>
        <v>pagado</v>
      </c>
      <c r="K2165" s="51" t="str">
        <f t="shared" ca="1" si="859"/>
        <v>excluir</v>
      </c>
      <c r="L2165" s="51" t="str">
        <f t="shared" ca="1" si="860"/>
        <v>no semana</v>
      </c>
      <c r="M2165" s="51" t="str">
        <f>IFERROR(VLOOKUP(E2165,'cheques a conf'!A:D,4,FALSE),"no clearing")</f>
        <v>no clearing</v>
      </c>
      <c r="N2165" s="51">
        <f t="shared" si="861"/>
        <v>27</v>
      </c>
      <c r="O2165" s="53">
        <f t="shared" si="862"/>
        <v>7</v>
      </c>
      <c r="P2165" s="53">
        <f t="shared" si="863"/>
        <v>2026</v>
      </c>
    </row>
    <row r="2166" spans="1:16" x14ac:dyDescent="0.25">
      <c r="A2166" s="21">
        <v>3000003944</v>
      </c>
      <c r="B2166" s="22">
        <v>46202</v>
      </c>
      <c r="C2166" s="20">
        <v>14331346.609999999</v>
      </c>
      <c r="D2166" s="21" t="s">
        <v>654</v>
      </c>
      <c r="E2166" s="21">
        <v>91003292</v>
      </c>
      <c r="F2166" s="20">
        <v>14331346.609999999</v>
      </c>
      <c r="G2166" s="22">
        <v>46205</v>
      </c>
      <c r="H2166" t="s">
        <v>79</v>
      </c>
      <c r="I2166" s="51" t="str">
        <f>IFERROR(IF(VLOOKUP(E2166,extracto!C:C,1,FALSE)=E2166,"pagado","no pagado"),"no pagado")</f>
        <v>pagado</v>
      </c>
      <c r="J2166" s="52" t="str">
        <f t="shared" si="858"/>
        <v>pagado</v>
      </c>
      <c r="K2166" s="51" t="str">
        <f t="shared" ca="1" si="859"/>
        <v>excluir</v>
      </c>
      <c r="L2166" s="51" t="str">
        <f t="shared" ca="1" si="860"/>
        <v>no semana</v>
      </c>
      <c r="M2166" s="51" t="str">
        <f>IFERROR(VLOOKUP(E2166,'cheques a conf'!A:D,4,FALSE),"no clearing")</f>
        <v>no clearing</v>
      </c>
      <c r="N2166" s="51">
        <f t="shared" si="861"/>
        <v>27</v>
      </c>
      <c r="O2166" s="53">
        <f t="shared" si="862"/>
        <v>7</v>
      </c>
      <c r="P2166" s="53">
        <f t="shared" si="863"/>
        <v>2026</v>
      </c>
    </row>
    <row r="2167" spans="1:16" x14ac:dyDescent="0.25">
      <c r="A2167" s="21">
        <v>3000003945</v>
      </c>
      <c r="B2167" s="22">
        <v>46202</v>
      </c>
      <c r="C2167" s="20">
        <v>5329201.8099999996</v>
      </c>
      <c r="D2167" s="21" t="s">
        <v>663</v>
      </c>
      <c r="E2167" s="21">
        <v>91003293</v>
      </c>
      <c r="F2167" s="20">
        <v>5329201.8099999996</v>
      </c>
      <c r="G2167" s="22">
        <v>46205</v>
      </c>
      <c r="H2167" t="s">
        <v>79</v>
      </c>
      <c r="I2167" s="51" t="str">
        <f>IFERROR(IF(VLOOKUP(E2167,extracto!C:C,1,FALSE)=E2167,"pagado","no pagado"),"no pagado")</f>
        <v>pagado</v>
      </c>
      <c r="J2167" s="52" t="str">
        <f t="shared" si="858"/>
        <v>pagado</v>
      </c>
      <c r="K2167" s="51" t="str">
        <f t="shared" ca="1" si="859"/>
        <v>excluir</v>
      </c>
      <c r="L2167" s="51" t="str">
        <f t="shared" ca="1" si="860"/>
        <v>no semana</v>
      </c>
      <c r="M2167" s="51" t="str">
        <f>IFERROR(VLOOKUP(E2167,'cheques a conf'!A:D,4,FALSE),"no clearing")</f>
        <v>no clearing</v>
      </c>
      <c r="N2167" s="51">
        <f t="shared" si="861"/>
        <v>27</v>
      </c>
      <c r="O2167" s="53">
        <f t="shared" si="862"/>
        <v>7</v>
      </c>
      <c r="P2167" s="53">
        <f t="shared" si="863"/>
        <v>2026</v>
      </c>
    </row>
    <row r="2168" spans="1:16" x14ac:dyDescent="0.25">
      <c r="A2168" s="21">
        <v>3000003946</v>
      </c>
      <c r="B2168" s="22">
        <v>46202</v>
      </c>
      <c r="C2168" s="20">
        <v>11000054.550000001</v>
      </c>
      <c r="D2168" s="21" t="s">
        <v>642</v>
      </c>
      <c r="E2168" s="21">
        <v>91003294</v>
      </c>
      <c r="F2168" s="20">
        <v>11000054.550000001</v>
      </c>
      <c r="G2168" s="22">
        <v>46205</v>
      </c>
      <c r="H2168" t="s">
        <v>79</v>
      </c>
      <c r="I2168" s="51" t="str">
        <f>IFERROR(IF(VLOOKUP(E2168,extracto!C:C,1,FALSE)=E2168,"pagado","no pagado"),"no pagado")</f>
        <v>pagado</v>
      </c>
      <c r="J2168" s="52" t="str">
        <f t="shared" ref="J2168:J2231" si="864">IF(I2168="pagado","pagado",IF(G2168&lt;$V$1-30,"fuera de fecha","en periodo de pago"))</f>
        <v>pagado</v>
      </c>
      <c r="K2168" s="51" t="str">
        <f t="shared" ref="K2168:K2231" ca="1" si="865">+IF(B2168&gt;$V$1,"excluir",IF(J2168="en periodo de pago",IF($V$1&gt;G2168,"a pagar","proximo a vencer"),"excluir"))</f>
        <v>excluir</v>
      </c>
      <c r="L2168" s="51" t="str">
        <f t="shared" ref="L2168:L2231" ca="1" si="866">+IF(K2168="proximo a vencer",IF($V$1+5&gt;G2168,"para la semana","no semana"),"no semana")</f>
        <v>no semana</v>
      </c>
      <c r="M2168" s="51" t="str">
        <f>IFERROR(VLOOKUP(E2168,'cheques a conf'!A:D,4,FALSE),"no clearing")</f>
        <v>no clearing</v>
      </c>
      <c r="N2168" s="51">
        <f t="shared" ref="N2168:N2231" si="867">+WEEKNUM(G2168,2)</f>
        <v>27</v>
      </c>
      <c r="O2168" s="53">
        <f t="shared" ref="O2168:O2231" si="868">+MONTH(G2168)</f>
        <v>7</v>
      </c>
      <c r="P2168" s="53">
        <f t="shared" ref="P2168:P2231" si="869">+YEAR(G2168)</f>
        <v>2026</v>
      </c>
    </row>
    <row r="2169" spans="1:16" x14ac:dyDescent="0.25">
      <c r="A2169" s="21">
        <v>3000003947</v>
      </c>
      <c r="B2169" s="22">
        <v>46202</v>
      </c>
      <c r="C2169" s="20">
        <v>15882937.85</v>
      </c>
      <c r="D2169" s="21" t="s">
        <v>613</v>
      </c>
      <c r="E2169" s="21">
        <v>91003295</v>
      </c>
      <c r="F2169" s="20">
        <v>15882937.85</v>
      </c>
      <c r="G2169" s="22">
        <v>46205</v>
      </c>
      <c r="H2169" t="s">
        <v>79</v>
      </c>
      <c r="I2169" s="51" t="str">
        <f>IFERROR(IF(VLOOKUP(E2169,extracto!C:C,1,FALSE)=E2169,"pagado","no pagado"),"no pagado")</f>
        <v>pagado</v>
      </c>
      <c r="J2169" s="52" t="str">
        <f t="shared" si="864"/>
        <v>pagado</v>
      </c>
      <c r="K2169" s="51" t="str">
        <f t="shared" ca="1" si="865"/>
        <v>excluir</v>
      </c>
      <c r="L2169" s="51" t="str">
        <f t="shared" ca="1" si="866"/>
        <v>no semana</v>
      </c>
      <c r="M2169" s="51" t="str">
        <f>IFERROR(VLOOKUP(E2169,'cheques a conf'!A:D,4,FALSE),"no clearing")</f>
        <v>no clearing</v>
      </c>
      <c r="N2169" s="51">
        <f t="shared" si="867"/>
        <v>27</v>
      </c>
      <c r="O2169" s="53">
        <f t="shared" si="868"/>
        <v>7</v>
      </c>
      <c r="P2169" s="53">
        <f t="shared" si="869"/>
        <v>2026</v>
      </c>
    </row>
    <row r="2170" spans="1:16" x14ac:dyDescent="0.25">
      <c r="A2170" s="21">
        <v>3000003948</v>
      </c>
      <c r="B2170" s="22">
        <v>46202</v>
      </c>
      <c r="C2170" s="20">
        <v>8285592.0300000003</v>
      </c>
      <c r="D2170" s="21" t="s">
        <v>619</v>
      </c>
      <c r="E2170" s="21">
        <v>91003296</v>
      </c>
      <c r="F2170" s="20">
        <v>8285592.0300000003</v>
      </c>
      <c r="G2170" s="22">
        <v>46205</v>
      </c>
      <c r="H2170" t="s">
        <v>79</v>
      </c>
      <c r="I2170" s="51" t="str">
        <f>IFERROR(IF(VLOOKUP(E2170,extracto!C:C,1,FALSE)=E2170,"pagado","no pagado"),"no pagado")</f>
        <v>pagado</v>
      </c>
      <c r="J2170" s="52" t="str">
        <f t="shared" si="864"/>
        <v>pagado</v>
      </c>
      <c r="K2170" s="51" t="str">
        <f t="shared" ca="1" si="865"/>
        <v>excluir</v>
      </c>
      <c r="L2170" s="51" t="str">
        <f t="shared" ca="1" si="866"/>
        <v>no semana</v>
      </c>
      <c r="M2170" s="51" t="str">
        <f>IFERROR(VLOOKUP(E2170,'cheques a conf'!A:D,4,FALSE),"no clearing")</f>
        <v>no clearing</v>
      </c>
      <c r="N2170" s="51">
        <f t="shared" si="867"/>
        <v>27</v>
      </c>
      <c r="O2170" s="53">
        <f t="shared" si="868"/>
        <v>7</v>
      </c>
      <c r="P2170" s="53">
        <f t="shared" si="869"/>
        <v>2026</v>
      </c>
    </row>
    <row r="2171" spans="1:16" x14ac:dyDescent="0.25">
      <c r="A2171" s="21">
        <v>3000003949</v>
      </c>
      <c r="B2171" s="22">
        <v>46202</v>
      </c>
      <c r="C2171" s="20">
        <v>18754918.239999998</v>
      </c>
      <c r="D2171" s="21" t="s">
        <v>644</v>
      </c>
      <c r="E2171" s="21">
        <v>91003297</v>
      </c>
      <c r="F2171" s="20">
        <v>18754918.239999998</v>
      </c>
      <c r="G2171" s="22">
        <v>46205</v>
      </c>
      <c r="H2171" t="s">
        <v>79</v>
      </c>
      <c r="I2171" s="51" t="str">
        <f>IFERROR(IF(VLOOKUP(E2171,extracto!C:C,1,FALSE)=E2171,"pagado","no pagado"),"no pagado")</f>
        <v>pagado</v>
      </c>
      <c r="J2171" s="52" t="str">
        <f t="shared" si="864"/>
        <v>pagado</v>
      </c>
      <c r="K2171" s="51" t="str">
        <f t="shared" ca="1" si="865"/>
        <v>excluir</v>
      </c>
      <c r="L2171" s="51" t="str">
        <f t="shared" ca="1" si="866"/>
        <v>no semana</v>
      </c>
      <c r="M2171" s="51" t="str">
        <f>IFERROR(VLOOKUP(E2171,'cheques a conf'!A:D,4,FALSE),"no clearing")</f>
        <v>no clearing</v>
      </c>
      <c r="N2171" s="51">
        <f t="shared" si="867"/>
        <v>27</v>
      </c>
      <c r="O2171" s="53">
        <f t="shared" si="868"/>
        <v>7</v>
      </c>
      <c r="P2171" s="53">
        <f t="shared" si="869"/>
        <v>2026</v>
      </c>
    </row>
    <row r="2172" spans="1:16" x14ac:dyDescent="0.25">
      <c r="A2172" s="21">
        <v>3000003950</v>
      </c>
      <c r="B2172" s="22">
        <v>46202</v>
      </c>
      <c r="C2172" s="20">
        <v>8016210.29</v>
      </c>
      <c r="D2172" s="21" t="s">
        <v>74</v>
      </c>
      <c r="E2172" s="21">
        <v>91003298</v>
      </c>
      <c r="F2172" s="20">
        <v>8016210.29</v>
      </c>
      <c r="G2172" s="22">
        <v>46205</v>
      </c>
      <c r="H2172" t="s">
        <v>79</v>
      </c>
      <c r="I2172" s="51" t="str">
        <f>IFERROR(IF(VLOOKUP(E2172,extracto!C:C,1,FALSE)=E2172,"pagado","no pagado"),"no pagado")</f>
        <v>pagado</v>
      </c>
      <c r="J2172" s="52" t="str">
        <f t="shared" si="864"/>
        <v>pagado</v>
      </c>
      <c r="K2172" s="51" t="str">
        <f t="shared" ca="1" si="865"/>
        <v>excluir</v>
      </c>
      <c r="L2172" s="51" t="str">
        <f t="shared" ca="1" si="866"/>
        <v>no semana</v>
      </c>
      <c r="M2172" s="51" t="str">
        <f>IFERROR(VLOOKUP(E2172,'cheques a conf'!A:D,4,FALSE),"no clearing")</f>
        <v>no clearing</v>
      </c>
      <c r="N2172" s="51">
        <f t="shared" si="867"/>
        <v>27</v>
      </c>
      <c r="O2172" s="53">
        <f t="shared" si="868"/>
        <v>7</v>
      </c>
      <c r="P2172" s="53">
        <f t="shared" si="869"/>
        <v>2026</v>
      </c>
    </row>
    <row r="2173" spans="1:16" x14ac:dyDescent="0.25">
      <c r="A2173" s="21">
        <v>3000004005</v>
      </c>
      <c r="B2173" s="22">
        <v>46204</v>
      </c>
      <c r="C2173" s="20">
        <v>20000000</v>
      </c>
      <c r="D2173" s="21" t="s">
        <v>661</v>
      </c>
      <c r="E2173" s="21">
        <v>91003305</v>
      </c>
      <c r="F2173" s="20">
        <v>20000000</v>
      </c>
      <c r="G2173" s="22">
        <v>46206</v>
      </c>
      <c r="H2173" t="s">
        <v>79</v>
      </c>
      <c r="I2173" s="51" t="str">
        <f>IFERROR(IF(VLOOKUP(E2173,extracto!C:C,1,FALSE)=E2173,"pagado","no pagado"),"no pagado")</f>
        <v>pagado</v>
      </c>
      <c r="J2173" s="52" t="str">
        <f t="shared" si="864"/>
        <v>pagado</v>
      </c>
      <c r="K2173" s="51" t="str">
        <f t="shared" ca="1" si="865"/>
        <v>excluir</v>
      </c>
      <c r="L2173" s="51" t="str">
        <f t="shared" ca="1" si="866"/>
        <v>no semana</v>
      </c>
      <c r="M2173" s="51" t="str">
        <f>IFERROR(VLOOKUP(E2173,'cheques a conf'!A:D,4,FALSE),"no clearing")</f>
        <v>no clearing</v>
      </c>
      <c r="N2173" s="51">
        <f t="shared" si="867"/>
        <v>27</v>
      </c>
      <c r="O2173" s="53">
        <f t="shared" si="868"/>
        <v>7</v>
      </c>
      <c r="P2173" s="53">
        <f t="shared" si="869"/>
        <v>2026</v>
      </c>
    </row>
    <row r="2174" spans="1:16" x14ac:dyDescent="0.25">
      <c r="A2174" s="21">
        <v>3000004005</v>
      </c>
      <c r="B2174" s="22">
        <v>46204</v>
      </c>
      <c r="C2174" s="20">
        <v>14615988.960000001</v>
      </c>
      <c r="D2174" s="21" t="s">
        <v>661</v>
      </c>
      <c r="E2174" s="21">
        <v>91003306</v>
      </c>
      <c r="F2174" s="20">
        <v>14615988.960000001</v>
      </c>
      <c r="G2174" s="22">
        <v>46209</v>
      </c>
      <c r="H2174" t="s">
        <v>79</v>
      </c>
      <c r="I2174" s="51" t="str">
        <f>IFERROR(IF(VLOOKUP(E2174,extracto!C:C,1,FALSE)=E2174,"pagado","no pagado"),"no pagado")</f>
        <v>pagado</v>
      </c>
      <c r="J2174" s="52" t="str">
        <f t="shared" si="864"/>
        <v>pagado</v>
      </c>
      <c r="K2174" s="51" t="str">
        <f t="shared" ca="1" si="865"/>
        <v>excluir</v>
      </c>
      <c r="L2174" s="51" t="str">
        <f t="shared" ca="1" si="866"/>
        <v>no semana</v>
      </c>
      <c r="M2174" s="51" t="str">
        <f>IFERROR(VLOOKUP(E2174,'cheques a conf'!A:D,4,FALSE),"no clearing")</f>
        <v>no clearing</v>
      </c>
      <c r="N2174" s="51">
        <f t="shared" si="867"/>
        <v>28</v>
      </c>
      <c r="O2174" s="53">
        <f t="shared" si="868"/>
        <v>7</v>
      </c>
      <c r="P2174" s="53">
        <f t="shared" si="869"/>
        <v>2026</v>
      </c>
    </row>
    <row r="2175" spans="1:16" x14ac:dyDescent="0.25">
      <c r="A2175" s="21">
        <v>3000003999</v>
      </c>
      <c r="B2175" s="22">
        <v>46204</v>
      </c>
      <c r="C2175" s="20">
        <v>13555582.49</v>
      </c>
      <c r="D2175" s="21" t="s">
        <v>619</v>
      </c>
      <c r="E2175" s="21">
        <v>91003299</v>
      </c>
      <c r="F2175" s="20">
        <v>13555582.49</v>
      </c>
      <c r="G2175" s="22">
        <v>46209</v>
      </c>
      <c r="H2175" t="s">
        <v>79</v>
      </c>
      <c r="I2175" s="51" t="str">
        <f>IFERROR(IF(VLOOKUP(E2175,extracto!C:C,1,FALSE)=E2175,"pagado","no pagado"),"no pagado")</f>
        <v>pagado</v>
      </c>
      <c r="J2175" s="52" t="str">
        <f t="shared" si="864"/>
        <v>pagado</v>
      </c>
      <c r="K2175" s="51" t="str">
        <f t="shared" ca="1" si="865"/>
        <v>excluir</v>
      </c>
      <c r="L2175" s="51" t="str">
        <f t="shared" ca="1" si="866"/>
        <v>no semana</v>
      </c>
      <c r="M2175" s="51" t="str">
        <f>IFERROR(VLOOKUP(E2175,'cheques a conf'!A:D,4,FALSE),"no clearing")</f>
        <v>no clearing</v>
      </c>
      <c r="N2175" s="51">
        <f t="shared" si="867"/>
        <v>28</v>
      </c>
      <c r="O2175" s="53">
        <f t="shared" si="868"/>
        <v>7</v>
      </c>
      <c r="P2175" s="53">
        <f t="shared" si="869"/>
        <v>2026</v>
      </c>
    </row>
    <row r="2176" spans="1:16" x14ac:dyDescent="0.25">
      <c r="A2176" s="21">
        <v>3000004000</v>
      </c>
      <c r="B2176" s="22">
        <v>46204</v>
      </c>
      <c r="C2176" s="20">
        <v>11361641.51</v>
      </c>
      <c r="D2176" s="21" t="s">
        <v>616</v>
      </c>
      <c r="E2176" s="21">
        <v>91003300</v>
      </c>
      <c r="F2176" s="20">
        <v>11361641.51</v>
      </c>
      <c r="G2176" s="22">
        <v>46209</v>
      </c>
      <c r="H2176" t="s">
        <v>79</v>
      </c>
      <c r="I2176" s="51" t="str">
        <f>IFERROR(IF(VLOOKUP(E2176,extracto!C:C,1,FALSE)=E2176,"pagado","no pagado"),"no pagado")</f>
        <v>pagado</v>
      </c>
      <c r="J2176" s="52" t="str">
        <f t="shared" si="864"/>
        <v>pagado</v>
      </c>
      <c r="K2176" s="51" t="str">
        <f t="shared" ca="1" si="865"/>
        <v>excluir</v>
      </c>
      <c r="L2176" s="51" t="str">
        <f t="shared" ca="1" si="866"/>
        <v>no semana</v>
      </c>
      <c r="M2176" s="51" t="str">
        <f>IFERROR(VLOOKUP(E2176,'cheques a conf'!A:D,4,FALSE),"no clearing")</f>
        <v>no clearing</v>
      </c>
      <c r="N2176" s="51">
        <f t="shared" si="867"/>
        <v>28</v>
      </c>
      <c r="O2176" s="53">
        <f t="shared" si="868"/>
        <v>7</v>
      </c>
      <c r="P2176" s="53">
        <f t="shared" si="869"/>
        <v>2026</v>
      </c>
    </row>
    <row r="2177" spans="1:16" x14ac:dyDescent="0.25">
      <c r="A2177" s="21">
        <v>3000004001</v>
      </c>
      <c r="B2177" s="22">
        <v>46204</v>
      </c>
      <c r="C2177" s="20">
        <v>13988677.369999999</v>
      </c>
      <c r="D2177" s="21" t="s">
        <v>642</v>
      </c>
      <c r="E2177" s="21">
        <v>91003301</v>
      </c>
      <c r="F2177" s="20">
        <v>13988677.369999999</v>
      </c>
      <c r="G2177" s="22">
        <v>46209</v>
      </c>
      <c r="H2177" t="s">
        <v>79</v>
      </c>
      <c r="I2177" s="51" t="str">
        <f>IFERROR(IF(VLOOKUP(E2177,extracto!C:C,1,FALSE)=E2177,"pagado","no pagado"),"no pagado")</f>
        <v>pagado</v>
      </c>
      <c r="J2177" s="52" t="str">
        <f t="shared" si="864"/>
        <v>pagado</v>
      </c>
      <c r="K2177" s="51" t="str">
        <f t="shared" ca="1" si="865"/>
        <v>excluir</v>
      </c>
      <c r="L2177" s="51" t="str">
        <f t="shared" ca="1" si="866"/>
        <v>no semana</v>
      </c>
      <c r="M2177" s="51" t="str">
        <f>IFERROR(VLOOKUP(E2177,'cheques a conf'!A:D,4,FALSE),"no clearing")</f>
        <v>no clearing</v>
      </c>
      <c r="N2177" s="51">
        <f t="shared" si="867"/>
        <v>28</v>
      </c>
      <c r="O2177" s="53">
        <f t="shared" si="868"/>
        <v>7</v>
      </c>
      <c r="P2177" s="53">
        <f t="shared" si="869"/>
        <v>2026</v>
      </c>
    </row>
    <row r="2178" spans="1:16" x14ac:dyDescent="0.25">
      <c r="A2178" s="21">
        <v>3000004002</v>
      </c>
      <c r="B2178" s="22">
        <v>46204</v>
      </c>
      <c r="C2178" s="20">
        <v>14974376.84</v>
      </c>
      <c r="D2178" s="21" t="s">
        <v>613</v>
      </c>
      <c r="E2178" s="21">
        <v>91003302</v>
      </c>
      <c r="F2178" s="20">
        <v>14974376.84</v>
      </c>
      <c r="G2178" s="22">
        <v>46209</v>
      </c>
      <c r="H2178" t="s">
        <v>79</v>
      </c>
      <c r="I2178" s="51" t="str">
        <f>IFERROR(IF(VLOOKUP(E2178,extracto!C:C,1,FALSE)=E2178,"pagado","no pagado"),"no pagado")</f>
        <v>pagado</v>
      </c>
      <c r="J2178" s="52" t="str">
        <f t="shared" si="864"/>
        <v>pagado</v>
      </c>
      <c r="K2178" s="51" t="str">
        <f t="shared" ca="1" si="865"/>
        <v>excluir</v>
      </c>
      <c r="L2178" s="51" t="str">
        <f t="shared" ca="1" si="866"/>
        <v>no semana</v>
      </c>
      <c r="M2178" s="51" t="str">
        <f>IFERROR(VLOOKUP(E2178,'cheques a conf'!A:D,4,FALSE),"no clearing")</f>
        <v>no clearing</v>
      </c>
      <c r="N2178" s="51">
        <f t="shared" si="867"/>
        <v>28</v>
      </c>
      <c r="O2178" s="53">
        <f t="shared" si="868"/>
        <v>7</v>
      </c>
      <c r="P2178" s="53">
        <f t="shared" si="869"/>
        <v>2026</v>
      </c>
    </row>
    <row r="2179" spans="1:16" x14ac:dyDescent="0.25">
      <c r="A2179" s="21">
        <v>3000004003</v>
      </c>
      <c r="B2179" s="22">
        <v>46204</v>
      </c>
      <c r="C2179" s="20">
        <v>10773587.92</v>
      </c>
      <c r="D2179" s="21" t="s">
        <v>621</v>
      </c>
      <c r="E2179" s="21">
        <v>91003303</v>
      </c>
      <c r="F2179" s="20">
        <v>10773587.92</v>
      </c>
      <c r="G2179" s="22">
        <v>46209</v>
      </c>
      <c r="H2179" t="s">
        <v>79</v>
      </c>
      <c r="I2179" s="51" t="str">
        <f>IFERROR(IF(VLOOKUP(E2179,extracto!C:C,1,FALSE)=E2179,"pagado","no pagado"),"no pagado")</f>
        <v>pagado</v>
      </c>
      <c r="J2179" s="52" t="str">
        <f t="shared" si="864"/>
        <v>pagado</v>
      </c>
      <c r="K2179" s="51" t="str">
        <f t="shared" ca="1" si="865"/>
        <v>excluir</v>
      </c>
      <c r="L2179" s="51" t="str">
        <f t="shared" ca="1" si="866"/>
        <v>no semana</v>
      </c>
      <c r="M2179" s="51" t="str">
        <f>IFERROR(VLOOKUP(E2179,'cheques a conf'!A:D,4,FALSE),"no clearing")</f>
        <v>no clearing</v>
      </c>
      <c r="N2179" s="51">
        <f t="shared" si="867"/>
        <v>28</v>
      </c>
      <c r="O2179" s="53">
        <f t="shared" si="868"/>
        <v>7</v>
      </c>
      <c r="P2179" s="53">
        <f t="shared" si="869"/>
        <v>2026</v>
      </c>
    </row>
    <row r="2180" spans="1:16" x14ac:dyDescent="0.25">
      <c r="A2180" s="21">
        <v>3000004004</v>
      </c>
      <c r="B2180" s="22">
        <v>46204</v>
      </c>
      <c r="C2180" s="20">
        <v>12131294.33</v>
      </c>
      <c r="D2180" s="21" t="s">
        <v>68</v>
      </c>
      <c r="E2180" s="21">
        <v>91003304</v>
      </c>
      <c r="F2180" s="20">
        <v>12131294.33</v>
      </c>
      <c r="G2180" s="22">
        <v>46209</v>
      </c>
      <c r="H2180" t="s">
        <v>79</v>
      </c>
      <c r="I2180" s="51" t="str">
        <f>IFERROR(IF(VLOOKUP(E2180,extracto!C:C,1,FALSE)=E2180,"pagado","no pagado"),"no pagado")</f>
        <v>pagado</v>
      </c>
      <c r="J2180" s="52" t="str">
        <f t="shared" si="864"/>
        <v>pagado</v>
      </c>
      <c r="K2180" s="51" t="str">
        <f t="shared" ca="1" si="865"/>
        <v>excluir</v>
      </c>
      <c r="L2180" s="51" t="str">
        <f t="shared" ca="1" si="866"/>
        <v>no semana</v>
      </c>
      <c r="M2180" s="51" t="str">
        <f>IFERROR(VLOOKUP(E2180,'cheques a conf'!A:D,4,FALSE),"no clearing")</f>
        <v>no clearing</v>
      </c>
      <c r="N2180" s="51">
        <f t="shared" si="867"/>
        <v>28</v>
      </c>
      <c r="O2180" s="53">
        <f t="shared" si="868"/>
        <v>7</v>
      </c>
      <c r="P2180" s="53">
        <f t="shared" si="869"/>
        <v>2026</v>
      </c>
    </row>
    <row r="2181" spans="1:16" x14ac:dyDescent="0.25">
      <c r="A2181" s="21">
        <v>3000004128</v>
      </c>
      <c r="B2181" s="22">
        <v>46209</v>
      </c>
      <c r="C2181" s="20">
        <v>5704781.5599999996</v>
      </c>
      <c r="D2181" s="21" t="s">
        <v>659</v>
      </c>
      <c r="E2181" s="21">
        <v>61301858</v>
      </c>
      <c r="F2181" s="20">
        <v>5704781.5599999996</v>
      </c>
      <c r="G2181" s="22">
        <v>46211</v>
      </c>
      <c r="H2181" t="s">
        <v>79</v>
      </c>
      <c r="I2181" s="51" t="str">
        <f>IFERROR(IF(VLOOKUP(E2181,extracto!C:C,1,FALSE)=E2181,"pagado","no pagado"),"no pagado")</f>
        <v>pagado</v>
      </c>
      <c r="J2181" s="52" t="str">
        <f t="shared" si="864"/>
        <v>pagado</v>
      </c>
      <c r="K2181" s="51" t="str">
        <f t="shared" ca="1" si="865"/>
        <v>excluir</v>
      </c>
      <c r="L2181" s="51" t="str">
        <f t="shared" ca="1" si="866"/>
        <v>no semana</v>
      </c>
      <c r="M2181" s="51" t="str">
        <f>IFERROR(VLOOKUP(E2181,'cheques a conf'!A:D,4,FALSE),"no clearing")</f>
        <v>no clearing</v>
      </c>
      <c r="N2181" s="51">
        <f t="shared" si="867"/>
        <v>28</v>
      </c>
      <c r="O2181" s="53">
        <f t="shared" si="868"/>
        <v>7</v>
      </c>
      <c r="P2181" s="53">
        <f t="shared" si="869"/>
        <v>2026</v>
      </c>
    </row>
    <row r="2182" spans="1:16" x14ac:dyDescent="0.25">
      <c r="A2182" s="21">
        <v>3000004129</v>
      </c>
      <c r="B2182" s="22">
        <v>46209</v>
      </c>
      <c r="C2182" s="20">
        <v>7054113.21</v>
      </c>
      <c r="D2182" s="21" t="s">
        <v>71</v>
      </c>
      <c r="E2182" s="21">
        <v>91003307</v>
      </c>
      <c r="F2182" s="20">
        <v>7054113.21</v>
      </c>
      <c r="G2182" s="22">
        <v>46211</v>
      </c>
      <c r="H2182" t="s">
        <v>79</v>
      </c>
      <c r="I2182" s="51" t="str">
        <f>IFERROR(IF(VLOOKUP(E2182,extracto!C:C,1,FALSE)=E2182,"pagado","no pagado"),"no pagado")</f>
        <v>pagado</v>
      </c>
      <c r="J2182" s="52" t="str">
        <f t="shared" si="864"/>
        <v>pagado</v>
      </c>
      <c r="K2182" s="51" t="str">
        <f t="shared" ca="1" si="865"/>
        <v>excluir</v>
      </c>
      <c r="L2182" s="51" t="str">
        <f t="shared" ca="1" si="866"/>
        <v>no semana</v>
      </c>
      <c r="M2182" s="51" t="str">
        <f>IFERROR(VLOOKUP(E2182,'cheques a conf'!A:D,4,FALSE),"no clearing")</f>
        <v>no clearing</v>
      </c>
      <c r="N2182" s="51">
        <f t="shared" si="867"/>
        <v>28</v>
      </c>
      <c r="O2182" s="53">
        <f t="shared" si="868"/>
        <v>7</v>
      </c>
      <c r="P2182" s="53">
        <f t="shared" si="869"/>
        <v>2026</v>
      </c>
    </row>
    <row r="2183" spans="1:16" x14ac:dyDescent="0.25">
      <c r="A2183" s="21">
        <v>3000004130</v>
      </c>
      <c r="B2183" s="22">
        <v>46209</v>
      </c>
      <c r="C2183" s="20">
        <v>13890730</v>
      </c>
      <c r="D2183" s="21" t="s">
        <v>90</v>
      </c>
      <c r="E2183" s="21">
        <v>91003308</v>
      </c>
      <c r="F2183" s="20">
        <v>13890730</v>
      </c>
      <c r="G2183" s="22">
        <v>46211</v>
      </c>
      <c r="H2183" t="s">
        <v>79</v>
      </c>
      <c r="I2183" s="51" t="str">
        <f>IFERROR(IF(VLOOKUP(E2183,extracto!C:C,1,FALSE)=E2183,"pagado","no pagado"),"no pagado")</f>
        <v>pagado</v>
      </c>
      <c r="J2183" s="52" t="str">
        <f t="shared" si="864"/>
        <v>pagado</v>
      </c>
      <c r="K2183" s="51" t="str">
        <f t="shared" ca="1" si="865"/>
        <v>excluir</v>
      </c>
      <c r="L2183" s="51" t="str">
        <f t="shared" ca="1" si="866"/>
        <v>no semana</v>
      </c>
      <c r="M2183" s="51" t="str">
        <f>IFERROR(VLOOKUP(E2183,'cheques a conf'!A:D,4,FALSE),"no clearing")</f>
        <v>no clearing</v>
      </c>
      <c r="N2183" s="51">
        <f t="shared" si="867"/>
        <v>28</v>
      </c>
      <c r="O2183" s="53">
        <f t="shared" si="868"/>
        <v>7</v>
      </c>
      <c r="P2183" s="53">
        <f t="shared" si="869"/>
        <v>2026</v>
      </c>
    </row>
    <row r="2184" spans="1:16" x14ac:dyDescent="0.25">
      <c r="A2184" s="21">
        <v>3000004131</v>
      </c>
      <c r="B2184" s="22">
        <v>46209</v>
      </c>
      <c r="C2184" s="20">
        <v>7347164.3899999997</v>
      </c>
      <c r="D2184" s="21" t="s">
        <v>756</v>
      </c>
      <c r="E2184" s="21">
        <v>91003309</v>
      </c>
      <c r="F2184" s="20">
        <v>7347164.3899999997</v>
      </c>
      <c r="G2184" s="22">
        <v>46211</v>
      </c>
      <c r="H2184" t="s">
        <v>79</v>
      </c>
      <c r="I2184" s="51" t="str">
        <f>IFERROR(IF(VLOOKUP(E2184,extracto!C:C,1,FALSE)=E2184,"pagado","no pagado"),"no pagado")</f>
        <v>pagado</v>
      </c>
      <c r="J2184" s="52" t="str">
        <f t="shared" si="864"/>
        <v>pagado</v>
      </c>
      <c r="K2184" s="51" t="str">
        <f t="shared" ca="1" si="865"/>
        <v>excluir</v>
      </c>
      <c r="L2184" s="51" t="str">
        <f t="shared" ca="1" si="866"/>
        <v>no semana</v>
      </c>
      <c r="M2184" s="51" t="str">
        <f>IFERROR(VLOOKUP(E2184,'cheques a conf'!A:D,4,FALSE),"no clearing")</f>
        <v>no clearing</v>
      </c>
      <c r="N2184" s="51">
        <f t="shared" si="867"/>
        <v>28</v>
      </c>
      <c r="O2184" s="53">
        <f t="shared" si="868"/>
        <v>7</v>
      </c>
      <c r="P2184" s="53">
        <f t="shared" si="869"/>
        <v>2026</v>
      </c>
    </row>
    <row r="2185" spans="1:16" x14ac:dyDescent="0.25">
      <c r="A2185" s="21">
        <v>3000004132</v>
      </c>
      <c r="B2185" s="22">
        <v>46209</v>
      </c>
      <c r="C2185" s="20">
        <v>9962077.7799999993</v>
      </c>
      <c r="D2185" s="21" t="s">
        <v>72</v>
      </c>
      <c r="E2185" s="21">
        <v>91003310</v>
      </c>
      <c r="F2185" s="20">
        <v>9962077.7799999993</v>
      </c>
      <c r="G2185" s="22">
        <v>46211</v>
      </c>
      <c r="H2185" t="s">
        <v>79</v>
      </c>
      <c r="I2185" s="51" t="str">
        <f>IFERROR(IF(VLOOKUP(E2185,extracto!C:C,1,FALSE)=E2185,"pagado","no pagado"),"no pagado")</f>
        <v>pagado</v>
      </c>
      <c r="J2185" s="52" t="str">
        <f t="shared" si="864"/>
        <v>pagado</v>
      </c>
      <c r="K2185" s="51" t="str">
        <f t="shared" ca="1" si="865"/>
        <v>excluir</v>
      </c>
      <c r="L2185" s="51" t="str">
        <f t="shared" ca="1" si="866"/>
        <v>no semana</v>
      </c>
      <c r="M2185" s="51" t="str">
        <f>IFERROR(VLOOKUP(E2185,'cheques a conf'!A:D,4,FALSE),"no clearing")</f>
        <v>no clearing</v>
      </c>
      <c r="N2185" s="51">
        <f t="shared" si="867"/>
        <v>28</v>
      </c>
      <c r="O2185" s="53">
        <f t="shared" si="868"/>
        <v>7</v>
      </c>
      <c r="P2185" s="53">
        <f t="shared" si="869"/>
        <v>2026</v>
      </c>
    </row>
    <row r="2186" spans="1:16" x14ac:dyDescent="0.25">
      <c r="A2186" s="21">
        <v>3000004133</v>
      </c>
      <c r="B2186" s="22">
        <v>46209</v>
      </c>
      <c r="C2186" s="20">
        <v>6800786.4000000004</v>
      </c>
      <c r="D2186" s="21" t="s">
        <v>182</v>
      </c>
      <c r="E2186" s="21">
        <v>91003311</v>
      </c>
      <c r="F2186" s="20">
        <v>6800786.4000000004</v>
      </c>
      <c r="G2186" s="22">
        <v>46211</v>
      </c>
      <c r="H2186" t="s">
        <v>79</v>
      </c>
      <c r="I2186" s="51" t="str">
        <f>IFERROR(IF(VLOOKUP(E2186,extracto!C:C,1,FALSE)=E2186,"pagado","no pagado"),"no pagado")</f>
        <v>pagado</v>
      </c>
      <c r="J2186" s="52" t="str">
        <f t="shared" si="864"/>
        <v>pagado</v>
      </c>
      <c r="K2186" s="51" t="str">
        <f t="shared" ca="1" si="865"/>
        <v>excluir</v>
      </c>
      <c r="L2186" s="51" t="str">
        <f t="shared" ca="1" si="866"/>
        <v>no semana</v>
      </c>
      <c r="M2186" s="51" t="str">
        <f>IFERROR(VLOOKUP(E2186,'cheques a conf'!A:D,4,FALSE),"no clearing")</f>
        <v>no clearing</v>
      </c>
      <c r="N2186" s="51">
        <f t="shared" si="867"/>
        <v>28</v>
      </c>
      <c r="O2186" s="53">
        <f t="shared" si="868"/>
        <v>7</v>
      </c>
      <c r="P2186" s="53">
        <f t="shared" si="869"/>
        <v>2026</v>
      </c>
    </row>
    <row r="2187" spans="1:16" x14ac:dyDescent="0.25">
      <c r="A2187" s="21">
        <v>3000004134</v>
      </c>
      <c r="B2187" s="22">
        <v>46209</v>
      </c>
      <c r="C2187" s="20">
        <v>8455481.1400000006</v>
      </c>
      <c r="D2187" s="21" t="s">
        <v>673</v>
      </c>
      <c r="E2187" s="21">
        <v>91003312</v>
      </c>
      <c r="F2187" s="20">
        <v>8455481.1400000006</v>
      </c>
      <c r="G2187" s="22">
        <v>46211</v>
      </c>
      <c r="H2187" t="s">
        <v>79</v>
      </c>
      <c r="I2187" s="51" t="str">
        <f>IFERROR(IF(VLOOKUP(E2187,extracto!C:C,1,FALSE)=E2187,"pagado","no pagado"),"no pagado")</f>
        <v>pagado</v>
      </c>
      <c r="J2187" s="52" t="str">
        <f t="shared" si="864"/>
        <v>pagado</v>
      </c>
      <c r="K2187" s="51" t="str">
        <f t="shared" ca="1" si="865"/>
        <v>excluir</v>
      </c>
      <c r="L2187" s="51" t="str">
        <f t="shared" ca="1" si="866"/>
        <v>no semana</v>
      </c>
      <c r="M2187" s="51" t="str">
        <f>IFERROR(VLOOKUP(E2187,'cheques a conf'!A:D,4,FALSE),"no clearing")</f>
        <v>no clearing</v>
      </c>
      <c r="N2187" s="51">
        <f t="shared" si="867"/>
        <v>28</v>
      </c>
      <c r="O2187" s="53">
        <f t="shared" si="868"/>
        <v>7</v>
      </c>
      <c r="P2187" s="53">
        <f t="shared" si="869"/>
        <v>2026</v>
      </c>
    </row>
    <row r="2188" spans="1:16" x14ac:dyDescent="0.25">
      <c r="A2188" s="21">
        <v>3000004135</v>
      </c>
      <c r="B2188" s="22">
        <v>46209</v>
      </c>
      <c r="C2188" s="20">
        <v>8462338.5199999996</v>
      </c>
      <c r="D2188" s="21" t="s">
        <v>616</v>
      </c>
      <c r="E2188" s="21">
        <v>91003313</v>
      </c>
      <c r="F2188" s="20">
        <v>8462338.5199999996</v>
      </c>
      <c r="G2188" s="22">
        <v>46211</v>
      </c>
      <c r="H2188" t="s">
        <v>79</v>
      </c>
      <c r="I2188" s="51" t="str">
        <f>IFERROR(IF(VLOOKUP(E2188,extracto!C:C,1,FALSE)=E2188,"pagado","no pagado"),"no pagado")</f>
        <v>pagado</v>
      </c>
      <c r="J2188" s="52" t="str">
        <f t="shared" si="864"/>
        <v>pagado</v>
      </c>
      <c r="K2188" s="51" t="str">
        <f t="shared" ca="1" si="865"/>
        <v>excluir</v>
      </c>
      <c r="L2188" s="51" t="str">
        <f t="shared" ca="1" si="866"/>
        <v>no semana</v>
      </c>
      <c r="M2188" s="51" t="str">
        <f>IFERROR(VLOOKUP(E2188,'cheques a conf'!A:D,4,FALSE),"no clearing")</f>
        <v>no clearing</v>
      </c>
      <c r="N2188" s="51">
        <f t="shared" si="867"/>
        <v>28</v>
      </c>
      <c r="O2188" s="53">
        <f t="shared" si="868"/>
        <v>7</v>
      </c>
      <c r="P2188" s="53">
        <f t="shared" si="869"/>
        <v>2026</v>
      </c>
    </row>
    <row r="2189" spans="1:16" x14ac:dyDescent="0.25">
      <c r="A2189" s="21">
        <v>3000004136</v>
      </c>
      <c r="B2189" s="22">
        <v>46209</v>
      </c>
      <c r="C2189" s="20">
        <v>21526983.91</v>
      </c>
      <c r="D2189" s="21" t="s">
        <v>618</v>
      </c>
      <c r="E2189" s="21">
        <v>91003314</v>
      </c>
      <c r="F2189" s="20">
        <v>21526983.91</v>
      </c>
      <c r="G2189" s="22">
        <v>46211</v>
      </c>
      <c r="H2189" t="s">
        <v>79</v>
      </c>
      <c r="I2189" s="51" t="str">
        <f>IFERROR(IF(VLOOKUP(E2189,extracto!C:C,1,FALSE)=E2189,"pagado","no pagado"),"no pagado")</f>
        <v>pagado</v>
      </c>
      <c r="J2189" s="52" t="str">
        <f t="shared" si="864"/>
        <v>pagado</v>
      </c>
      <c r="K2189" s="51" t="str">
        <f t="shared" ca="1" si="865"/>
        <v>excluir</v>
      </c>
      <c r="L2189" s="51" t="str">
        <f t="shared" ca="1" si="866"/>
        <v>no semana</v>
      </c>
      <c r="M2189" s="51" t="str">
        <f>IFERROR(VLOOKUP(E2189,'cheques a conf'!A:D,4,FALSE),"no clearing")</f>
        <v>no clearing</v>
      </c>
      <c r="N2189" s="51">
        <f t="shared" si="867"/>
        <v>28</v>
      </c>
      <c r="O2189" s="53">
        <f t="shared" si="868"/>
        <v>7</v>
      </c>
      <c r="P2189" s="53">
        <f t="shared" si="869"/>
        <v>2026</v>
      </c>
    </row>
    <row r="2190" spans="1:16" x14ac:dyDescent="0.25">
      <c r="A2190" s="21">
        <v>3000004137</v>
      </c>
      <c r="B2190" s="22">
        <v>46209</v>
      </c>
      <c r="C2190" s="20">
        <v>5283180.76</v>
      </c>
      <c r="D2190" s="21" t="s">
        <v>612</v>
      </c>
      <c r="E2190" s="21">
        <v>91003315</v>
      </c>
      <c r="F2190" s="20">
        <v>5283180.76</v>
      </c>
      <c r="G2190" s="22">
        <v>46211</v>
      </c>
      <c r="H2190" t="s">
        <v>79</v>
      </c>
      <c r="I2190" s="51" t="str">
        <f>IFERROR(IF(VLOOKUP(E2190,extracto!C:C,1,FALSE)=E2190,"pagado","no pagado"),"no pagado")</f>
        <v>pagado</v>
      </c>
      <c r="J2190" s="52" t="str">
        <f t="shared" si="864"/>
        <v>pagado</v>
      </c>
      <c r="K2190" s="51" t="str">
        <f t="shared" ca="1" si="865"/>
        <v>excluir</v>
      </c>
      <c r="L2190" s="51" t="str">
        <f t="shared" ca="1" si="866"/>
        <v>no semana</v>
      </c>
      <c r="M2190" s="51" t="str">
        <f>IFERROR(VLOOKUP(E2190,'cheques a conf'!A:D,4,FALSE),"no clearing")</f>
        <v>no clearing</v>
      </c>
      <c r="N2190" s="51">
        <f t="shared" si="867"/>
        <v>28</v>
      </c>
      <c r="O2190" s="53">
        <f t="shared" si="868"/>
        <v>7</v>
      </c>
      <c r="P2190" s="53">
        <f t="shared" si="869"/>
        <v>2026</v>
      </c>
    </row>
    <row r="2191" spans="1:16" x14ac:dyDescent="0.25">
      <c r="A2191" s="21">
        <v>3000004138</v>
      </c>
      <c r="B2191" s="22">
        <v>46209</v>
      </c>
      <c r="C2191" s="20">
        <v>38653005.789999999</v>
      </c>
      <c r="D2191" s="21" t="s">
        <v>89</v>
      </c>
      <c r="E2191" s="21">
        <v>91003316</v>
      </c>
      <c r="F2191" s="20">
        <v>38653005.789999999</v>
      </c>
      <c r="G2191" s="22">
        <v>46211</v>
      </c>
      <c r="H2191" t="s">
        <v>79</v>
      </c>
      <c r="I2191" s="51" t="str">
        <f>IFERROR(IF(VLOOKUP(E2191,extracto!C:C,1,FALSE)=E2191,"pagado","no pagado"),"no pagado")</f>
        <v>pagado</v>
      </c>
      <c r="J2191" s="52" t="str">
        <f t="shared" si="864"/>
        <v>pagado</v>
      </c>
      <c r="K2191" s="51" t="str">
        <f t="shared" ca="1" si="865"/>
        <v>excluir</v>
      </c>
      <c r="L2191" s="51" t="str">
        <f t="shared" ca="1" si="866"/>
        <v>no semana</v>
      </c>
      <c r="M2191" s="51" t="str">
        <f>IFERROR(VLOOKUP(E2191,'cheques a conf'!A:D,4,FALSE),"no clearing")</f>
        <v>no clearing</v>
      </c>
      <c r="N2191" s="51">
        <f t="shared" si="867"/>
        <v>28</v>
      </c>
      <c r="O2191" s="53">
        <f t="shared" si="868"/>
        <v>7</v>
      </c>
      <c r="P2191" s="53">
        <f t="shared" si="869"/>
        <v>2026</v>
      </c>
    </row>
    <row r="2192" spans="1:16" x14ac:dyDescent="0.25">
      <c r="A2192" s="21">
        <v>3000004139</v>
      </c>
      <c r="B2192" s="22">
        <v>46209</v>
      </c>
      <c r="C2192" s="20">
        <v>18530094.16</v>
      </c>
      <c r="D2192" s="21" t="s">
        <v>613</v>
      </c>
      <c r="E2192" s="21">
        <v>91003317</v>
      </c>
      <c r="F2192" s="20">
        <v>18530094.16</v>
      </c>
      <c r="G2192" s="22">
        <v>46211</v>
      </c>
      <c r="H2192" t="s">
        <v>79</v>
      </c>
      <c r="I2192" s="51" t="str">
        <f>IFERROR(IF(VLOOKUP(E2192,extracto!C:C,1,FALSE)=E2192,"pagado","no pagado"),"no pagado")</f>
        <v>pagado</v>
      </c>
      <c r="J2192" s="52" t="str">
        <f t="shared" si="864"/>
        <v>pagado</v>
      </c>
      <c r="K2192" s="51" t="str">
        <f t="shared" ca="1" si="865"/>
        <v>excluir</v>
      </c>
      <c r="L2192" s="51" t="str">
        <f t="shared" ca="1" si="866"/>
        <v>no semana</v>
      </c>
      <c r="M2192" s="51" t="str">
        <f>IFERROR(VLOOKUP(E2192,'cheques a conf'!A:D,4,FALSE),"no clearing")</f>
        <v>no clearing</v>
      </c>
      <c r="N2192" s="51">
        <f t="shared" si="867"/>
        <v>28</v>
      </c>
      <c r="O2192" s="53">
        <f t="shared" si="868"/>
        <v>7</v>
      </c>
      <c r="P2192" s="53">
        <f t="shared" si="869"/>
        <v>2026</v>
      </c>
    </row>
    <row r="2193" spans="1:16" x14ac:dyDescent="0.25">
      <c r="A2193" s="21">
        <v>3000004140</v>
      </c>
      <c r="B2193" s="22">
        <v>46209</v>
      </c>
      <c r="C2193" s="20">
        <v>17629871.120000001</v>
      </c>
      <c r="D2193" s="21" t="s">
        <v>619</v>
      </c>
      <c r="E2193" s="21">
        <v>91003318</v>
      </c>
      <c r="F2193" s="20">
        <v>17629871.120000001</v>
      </c>
      <c r="G2193" s="22">
        <v>46211</v>
      </c>
      <c r="H2193" t="s">
        <v>79</v>
      </c>
      <c r="I2193" s="51" t="str">
        <f>IFERROR(IF(VLOOKUP(E2193,extracto!C:C,1,FALSE)=E2193,"pagado","no pagado"),"no pagado")</f>
        <v>pagado</v>
      </c>
      <c r="J2193" s="52" t="str">
        <f t="shared" si="864"/>
        <v>pagado</v>
      </c>
      <c r="K2193" s="51" t="str">
        <f t="shared" ca="1" si="865"/>
        <v>excluir</v>
      </c>
      <c r="L2193" s="51" t="str">
        <f t="shared" ca="1" si="866"/>
        <v>no semana</v>
      </c>
      <c r="M2193" s="51" t="str">
        <f>IFERROR(VLOOKUP(E2193,'cheques a conf'!A:D,4,FALSE),"no clearing")</f>
        <v>no clearing</v>
      </c>
      <c r="N2193" s="51">
        <f t="shared" si="867"/>
        <v>28</v>
      </c>
      <c r="O2193" s="53">
        <f t="shared" si="868"/>
        <v>7</v>
      </c>
      <c r="P2193" s="53">
        <f t="shared" si="869"/>
        <v>2026</v>
      </c>
    </row>
    <row r="2194" spans="1:16" x14ac:dyDescent="0.25">
      <c r="A2194" s="21">
        <v>3000004141</v>
      </c>
      <c r="B2194" s="22">
        <v>46209</v>
      </c>
      <c r="C2194" s="20">
        <v>6378951.2199999997</v>
      </c>
      <c r="D2194" s="21" t="s">
        <v>1730</v>
      </c>
      <c r="E2194" s="21">
        <v>91003319</v>
      </c>
      <c r="F2194" s="20">
        <v>6378951.2199999997</v>
      </c>
      <c r="G2194" s="22">
        <v>46211</v>
      </c>
      <c r="H2194" t="s">
        <v>79</v>
      </c>
      <c r="I2194" s="51" t="str">
        <f>IFERROR(IF(VLOOKUP(E2194,extracto!C:C,1,FALSE)=E2194,"pagado","no pagado"),"no pagado")</f>
        <v>pagado</v>
      </c>
      <c r="J2194" s="52" t="str">
        <f t="shared" si="864"/>
        <v>pagado</v>
      </c>
      <c r="K2194" s="51" t="str">
        <f t="shared" ca="1" si="865"/>
        <v>excluir</v>
      </c>
      <c r="L2194" s="51" t="str">
        <f t="shared" ca="1" si="866"/>
        <v>no semana</v>
      </c>
      <c r="M2194" s="51" t="str">
        <f>IFERROR(VLOOKUP(E2194,'cheques a conf'!A:D,4,FALSE),"no clearing")</f>
        <v>no clearing</v>
      </c>
      <c r="N2194" s="51">
        <f t="shared" si="867"/>
        <v>28</v>
      </c>
      <c r="O2194" s="53">
        <f t="shared" si="868"/>
        <v>7</v>
      </c>
      <c r="P2194" s="53">
        <f t="shared" si="869"/>
        <v>2026</v>
      </c>
    </row>
    <row r="2195" spans="1:16" x14ac:dyDescent="0.25">
      <c r="A2195" s="21">
        <v>3000004142</v>
      </c>
      <c r="B2195" s="22">
        <v>46209</v>
      </c>
      <c r="C2195" s="20">
        <v>7255671.1699999999</v>
      </c>
      <c r="D2195" s="21" t="s">
        <v>630</v>
      </c>
      <c r="E2195" s="21">
        <v>91003320</v>
      </c>
      <c r="F2195" s="20">
        <v>7255671.1699999999</v>
      </c>
      <c r="G2195" s="22">
        <v>46211</v>
      </c>
      <c r="H2195" t="s">
        <v>79</v>
      </c>
      <c r="I2195" s="51" t="str">
        <f>IFERROR(IF(VLOOKUP(E2195,extracto!C:C,1,FALSE)=E2195,"pagado","no pagado"),"no pagado")</f>
        <v>pagado</v>
      </c>
      <c r="J2195" s="52" t="str">
        <f t="shared" si="864"/>
        <v>pagado</v>
      </c>
      <c r="K2195" s="51" t="str">
        <f t="shared" ca="1" si="865"/>
        <v>excluir</v>
      </c>
      <c r="L2195" s="51" t="str">
        <f t="shared" ca="1" si="866"/>
        <v>no semana</v>
      </c>
      <c r="M2195" s="51" t="str">
        <f>IFERROR(VLOOKUP(E2195,'cheques a conf'!A:D,4,FALSE),"no clearing")</f>
        <v>no clearing</v>
      </c>
      <c r="N2195" s="51">
        <f t="shared" si="867"/>
        <v>28</v>
      </c>
      <c r="O2195" s="53">
        <f t="shared" si="868"/>
        <v>7</v>
      </c>
      <c r="P2195" s="53">
        <f t="shared" si="869"/>
        <v>2026</v>
      </c>
    </row>
    <row r="2196" spans="1:16" x14ac:dyDescent="0.25">
      <c r="A2196" s="21">
        <v>3000004143</v>
      </c>
      <c r="B2196" s="22">
        <v>46209</v>
      </c>
      <c r="C2196" s="20">
        <v>41951984.049999997</v>
      </c>
      <c r="D2196" s="21" t="s">
        <v>1738</v>
      </c>
      <c r="E2196" s="21">
        <v>91003321</v>
      </c>
      <c r="F2196" s="20">
        <v>41951984.049999997</v>
      </c>
      <c r="G2196" s="22">
        <v>46211</v>
      </c>
      <c r="H2196" t="s">
        <v>79</v>
      </c>
      <c r="I2196" s="51" t="str">
        <f>IFERROR(IF(VLOOKUP(E2196,extracto!C:C,1,FALSE)=E2196,"pagado","no pagado"),"no pagado")</f>
        <v>pagado</v>
      </c>
      <c r="J2196" s="52" t="str">
        <f t="shared" si="864"/>
        <v>pagado</v>
      </c>
      <c r="K2196" s="51" t="str">
        <f t="shared" ca="1" si="865"/>
        <v>excluir</v>
      </c>
      <c r="L2196" s="51" t="str">
        <f t="shared" ca="1" si="866"/>
        <v>no semana</v>
      </c>
      <c r="M2196" s="51" t="str">
        <f>IFERROR(VLOOKUP(E2196,'cheques a conf'!A:D,4,FALSE),"no clearing")</f>
        <v>no clearing</v>
      </c>
      <c r="N2196" s="51">
        <f t="shared" si="867"/>
        <v>28</v>
      </c>
      <c r="O2196" s="53">
        <f t="shared" si="868"/>
        <v>7</v>
      </c>
      <c r="P2196" s="53">
        <f t="shared" si="869"/>
        <v>2026</v>
      </c>
    </row>
    <row r="2197" spans="1:16" x14ac:dyDescent="0.25">
      <c r="A2197" s="21">
        <v>3000004144</v>
      </c>
      <c r="B2197" s="22">
        <v>46209</v>
      </c>
      <c r="C2197" s="20">
        <v>8845604.0800000001</v>
      </c>
      <c r="D2197" s="21" t="s">
        <v>74</v>
      </c>
      <c r="E2197" s="21">
        <v>91003322</v>
      </c>
      <c r="F2197" s="20">
        <v>8845604.0800000001</v>
      </c>
      <c r="G2197" s="22">
        <v>46211</v>
      </c>
      <c r="H2197" t="s">
        <v>79</v>
      </c>
      <c r="I2197" s="51" t="str">
        <f>IFERROR(IF(VLOOKUP(E2197,extracto!C:C,1,FALSE)=E2197,"pagado","no pagado"),"no pagado")</f>
        <v>pagado</v>
      </c>
      <c r="J2197" s="52" t="str">
        <f t="shared" si="864"/>
        <v>pagado</v>
      </c>
      <c r="K2197" s="51" t="str">
        <f t="shared" ca="1" si="865"/>
        <v>excluir</v>
      </c>
      <c r="L2197" s="51" t="str">
        <f t="shared" ca="1" si="866"/>
        <v>no semana</v>
      </c>
      <c r="M2197" s="51" t="str">
        <f>IFERROR(VLOOKUP(E2197,'cheques a conf'!A:D,4,FALSE),"no clearing")</f>
        <v>no clearing</v>
      </c>
      <c r="N2197" s="51">
        <f t="shared" si="867"/>
        <v>28</v>
      </c>
      <c r="O2197" s="53">
        <f t="shared" si="868"/>
        <v>7</v>
      </c>
      <c r="P2197" s="53">
        <f t="shared" si="869"/>
        <v>2026</v>
      </c>
    </row>
    <row r="2198" spans="1:16" x14ac:dyDescent="0.25">
      <c r="A2198" s="21">
        <v>3000004145</v>
      </c>
      <c r="B2198" s="22">
        <v>46209</v>
      </c>
      <c r="C2198" s="20">
        <v>27044550.27</v>
      </c>
      <c r="D2198" s="21" t="s">
        <v>661</v>
      </c>
      <c r="E2198" s="21">
        <v>91003323</v>
      </c>
      <c r="F2198" s="20">
        <v>27044550.27</v>
      </c>
      <c r="G2198" s="22">
        <v>46211</v>
      </c>
      <c r="H2198" t="s">
        <v>79</v>
      </c>
      <c r="I2198" s="51" t="str">
        <f>IFERROR(IF(VLOOKUP(E2198,extracto!C:C,1,FALSE)=E2198,"pagado","no pagado"),"no pagado")</f>
        <v>pagado</v>
      </c>
      <c r="J2198" s="52" t="str">
        <f t="shared" si="864"/>
        <v>pagado</v>
      </c>
      <c r="K2198" s="51" t="str">
        <f t="shared" ca="1" si="865"/>
        <v>excluir</v>
      </c>
      <c r="L2198" s="51" t="str">
        <f t="shared" ca="1" si="866"/>
        <v>no semana</v>
      </c>
      <c r="M2198" s="51" t="str">
        <f>IFERROR(VLOOKUP(E2198,'cheques a conf'!A:D,4,FALSE),"no clearing")</f>
        <v>no clearing</v>
      </c>
      <c r="N2198" s="51">
        <f t="shared" si="867"/>
        <v>28</v>
      </c>
      <c r="O2198" s="53">
        <f t="shared" si="868"/>
        <v>7</v>
      </c>
      <c r="P2198" s="53">
        <f t="shared" si="869"/>
        <v>2026</v>
      </c>
    </row>
    <row r="2199" spans="1:16" x14ac:dyDescent="0.25">
      <c r="A2199" s="21">
        <v>3000004146</v>
      </c>
      <c r="B2199" s="22">
        <v>46209</v>
      </c>
      <c r="C2199" s="20">
        <v>19896630.829999998</v>
      </c>
      <c r="D2199" s="21" t="s">
        <v>692</v>
      </c>
      <c r="E2199" s="21">
        <v>61301859</v>
      </c>
      <c r="F2199" s="20">
        <v>19896630.829999998</v>
      </c>
      <c r="G2199" s="22">
        <v>46216</v>
      </c>
      <c r="H2199" t="s">
        <v>79</v>
      </c>
      <c r="I2199" s="51" t="str">
        <f>IFERROR(IF(VLOOKUP(E2199,extracto!C:C,1,FALSE)=E2199,"pagado","no pagado"),"no pagado")</f>
        <v>pagado</v>
      </c>
      <c r="J2199" s="52" t="str">
        <f t="shared" si="864"/>
        <v>pagado</v>
      </c>
      <c r="K2199" s="51" t="str">
        <f t="shared" ca="1" si="865"/>
        <v>excluir</v>
      </c>
      <c r="L2199" s="51" t="str">
        <f t="shared" ca="1" si="866"/>
        <v>no semana</v>
      </c>
      <c r="M2199" s="51" t="str">
        <f>IFERROR(VLOOKUP(E2199,'cheques a conf'!A:D,4,FALSE),"no clearing")</f>
        <v>no clearing</v>
      </c>
      <c r="N2199" s="51">
        <f t="shared" si="867"/>
        <v>29</v>
      </c>
      <c r="O2199" s="53">
        <f t="shared" si="868"/>
        <v>7</v>
      </c>
      <c r="P2199" s="53">
        <f t="shared" si="869"/>
        <v>2026</v>
      </c>
    </row>
    <row r="2200" spans="1:16" x14ac:dyDescent="0.25">
      <c r="A2200" s="21">
        <v>3000004284</v>
      </c>
      <c r="B2200" s="22">
        <v>46216</v>
      </c>
      <c r="C2200" s="20">
        <v>15000000</v>
      </c>
      <c r="D2200" s="21" t="s">
        <v>580</v>
      </c>
      <c r="E2200" s="21">
        <v>91003328</v>
      </c>
      <c r="F2200" s="20">
        <v>15000000</v>
      </c>
      <c r="G2200" s="22">
        <v>46219</v>
      </c>
      <c r="H2200" t="s">
        <v>79</v>
      </c>
      <c r="I2200" s="51" t="str">
        <f>IFERROR(IF(VLOOKUP(E2200,extracto!C:C,1,FALSE)=E2200,"pagado","no pagado"),"no pagado")</f>
        <v>pagado</v>
      </c>
      <c r="J2200" s="52" t="str">
        <f t="shared" si="864"/>
        <v>pagado</v>
      </c>
      <c r="K2200" s="51" t="str">
        <f t="shared" ca="1" si="865"/>
        <v>excluir</v>
      </c>
      <c r="L2200" s="51" t="str">
        <f t="shared" ca="1" si="866"/>
        <v>no semana</v>
      </c>
      <c r="M2200" s="51" t="str">
        <f>IFERROR(VLOOKUP(E2200,'cheques a conf'!A:D,4,FALSE),"no clearing")</f>
        <v>no clearing</v>
      </c>
      <c r="N2200" s="51">
        <f t="shared" si="867"/>
        <v>29</v>
      </c>
      <c r="O2200" s="53">
        <f t="shared" si="868"/>
        <v>7</v>
      </c>
      <c r="P2200" s="53">
        <f t="shared" si="869"/>
        <v>2026</v>
      </c>
    </row>
    <row r="2201" spans="1:16" x14ac:dyDescent="0.25">
      <c r="A2201" s="21">
        <v>3000004284</v>
      </c>
      <c r="B2201" s="22">
        <v>46216</v>
      </c>
      <c r="C2201" s="20">
        <v>15000000</v>
      </c>
      <c r="D2201" s="21" t="s">
        <v>580</v>
      </c>
      <c r="E2201" s="21">
        <v>91003329</v>
      </c>
      <c r="F2201" s="20">
        <v>15000000</v>
      </c>
      <c r="G2201" s="22">
        <v>46219</v>
      </c>
      <c r="H2201" t="s">
        <v>79</v>
      </c>
      <c r="I2201" s="51" t="str">
        <f>IFERROR(IF(VLOOKUP(E2201,extracto!C:C,1,FALSE)=E2201,"pagado","no pagado"),"no pagado")</f>
        <v>pagado</v>
      </c>
      <c r="J2201" s="52" t="str">
        <f t="shared" si="864"/>
        <v>pagado</v>
      </c>
      <c r="K2201" s="51" t="str">
        <f t="shared" ca="1" si="865"/>
        <v>excluir</v>
      </c>
      <c r="L2201" s="51" t="str">
        <f t="shared" ca="1" si="866"/>
        <v>no semana</v>
      </c>
      <c r="M2201" s="51" t="str">
        <f>IFERROR(VLOOKUP(E2201,'cheques a conf'!A:D,4,FALSE),"no clearing")</f>
        <v>no clearing</v>
      </c>
      <c r="N2201" s="51">
        <f t="shared" si="867"/>
        <v>29</v>
      </c>
      <c r="O2201" s="53">
        <f t="shared" si="868"/>
        <v>7</v>
      </c>
      <c r="P2201" s="53">
        <f t="shared" si="869"/>
        <v>2026</v>
      </c>
    </row>
    <row r="2202" spans="1:16" x14ac:dyDescent="0.25">
      <c r="A2202" s="21">
        <v>3000004284</v>
      </c>
      <c r="B2202" s="22">
        <v>46216</v>
      </c>
      <c r="C2202" s="20">
        <v>10880378.08</v>
      </c>
      <c r="D2202" s="21" t="s">
        <v>580</v>
      </c>
      <c r="E2202" s="21">
        <v>91003330</v>
      </c>
      <c r="F2202" s="20">
        <v>10880378.08</v>
      </c>
      <c r="G2202" s="22">
        <v>46219</v>
      </c>
      <c r="H2202" t="s">
        <v>79</v>
      </c>
      <c r="I2202" s="51" t="str">
        <f>IFERROR(IF(VLOOKUP(E2202,extracto!C:C,1,FALSE)=E2202,"pagado","no pagado"),"no pagado")</f>
        <v>pagado</v>
      </c>
      <c r="J2202" s="52" t="str">
        <f t="shared" si="864"/>
        <v>pagado</v>
      </c>
      <c r="K2202" s="51" t="str">
        <f t="shared" ca="1" si="865"/>
        <v>excluir</v>
      </c>
      <c r="L2202" s="51" t="str">
        <f t="shared" ca="1" si="866"/>
        <v>no semana</v>
      </c>
      <c r="M2202" s="51" t="str">
        <f>IFERROR(VLOOKUP(E2202,'cheques a conf'!A:D,4,FALSE),"no clearing")</f>
        <v>no clearing</v>
      </c>
      <c r="N2202" s="51">
        <f t="shared" si="867"/>
        <v>29</v>
      </c>
      <c r="O2202" s="53">
        <f t="shared" si="868"/>
        <v>7</v>
      </c>
      <c r="P2202" s="53">
        <f t="shared" si="869"/>
        <v>2026</v>
      </c>
    </row>
    <row r="2203" spans="1:16" x14ac:dyDescent="0.25">
      <c r="A2203" s="21">
        <v>3000004280</v>
      </c>
      <c r="B2203" s="22">
        <v>46216</v>
      </c>
      <c r="C2203" s="20">
        <v>8236487.5199999996</v>
      </c>
      <c r="D2203" s="21" t="s">
        <v>33</v>
      </c>
      <c r="E2203" s="21">
        <v>91003324</v>
      </c>
      <c r="F2203" s="20">
        <v>8236487.5199999996</v>
      </c>
      <c r="G2203" s="22">
        <v>46219</v>
      </c>
      <c r="H2203" t="s">
        <v>79</v>
      </c>
      <c r="I2203" s="51" t="str">
        <f>IFERROR(IF(VLOOKUP(E2203,extracto!C:C,1,FALSE)=E2203,"pagado","no pagado"),"no pagado")</f>
        <v>pagado</v>
      </c>
      <c r="J2203" s="52" t="str">
        <f t="shared" si="864"/>
        <v>pagado</v>
      </c>
      <c r="K2203" s="51" t="str">
        <f t="shared" ca="1" si="865"/>
        <v>excluir</v>
      </c>
      <c r="L2203" s="51" t="str">
        <f t="shared" ca="1" si="866"/>
        <v>no semana</v>
      </c>
      <c r="M2203" s="51" t="str">
        <f>IFERROR(VLOOKUP(E2203,'cheques a conf'!A:D,4,FALSE),"no clearing")</f>
        <v>no clearing</v>
      </c>
      <c r="N2203" s="51">
        <f t="shared" si="867"/>
        <v>29</v>
      </c>
      <c r="O2203" s="53">
        <f t="shared" si="868"/>
        <v>7</v>
      </c>
      <c r="P2203" s="53">
        <f t="shared" si="869"/>
        <v>2026</v>
      </c>
    </row>
    <row r="2204" spans="1:16" x14ac:dyDescent="0.25">
      <c r="A2204" s="21">
        <v>3000004281</v>
      </c>
      <c r="B2204" s="22">
        <v>46216</v>
      </c>
      <c r="C2204" s="20">
        <v>11741181.529999999</v>
      </c>
      <c r="D2204" s="21" t="s">
        <v>675</v>
      </c>
      <c r="E2204" s="21">
        <v>91003325</v>
      </c>
      <c r="F2204" s="20">
        <v>11741181.529999999</v>
      </c>
      <c r="G2204" s="22">
        <v>46219</v>
      </c>
      <c r="H2204" t="s">
        <v>79</v>
      </c>
      <c r="I2204" s="51" t="str">
        <f>IFERROR(IF(VLOOKUP(E2204,extracto!C:C,1,FALSE)=E2204,"pagado","no pagado"),"no pagado")</f>
        <v>pagado</v>
      </c>
      <c r="J2204" s="52" t="str">
        <f t="shared" si="864"/>
        <v>pagado</v>
      </c>
      <c r="K2204" s="51" t="str">
        <f t="shared" ca="1" si="865"/>
        <v>excluir</v>
      </c>
      <c r="L2204" s="51" t="str">
        <f t="shared" ca="1" si="866"/>
        <v>no semana</v>
      </c>
      <c r="M2204" s="51" t="str">
        <f>IFERROR(VLOOKUP(E2204,'cheques a conf'!A:D,4,FALSE),"no clearing")</f>
        <v>no clearing</v>
      </c>
      <c r="N2204" s="51">
        <f t="shared" si="867"/>
        <v>29</v>
      </c>
      <c r="O2204" s="53">
        <f t="shared" si="868"/>
        <v>7</v>
      </c>
      <c r="P2204" s="53">
        <f t="shared" si="869"/>
        <v>2026</v>
      </c>
    </row>
    <row r="2205" spans="1:16" x14ac:dyDescent="0.25">
      <c r="A2205" s="21">
        <v>3000004282</v>
      </c>
      <c r="B2205" s="22">
        <v>46216</v>
      </c>
      <c r="C2205" s="20">
        <v>5220309.6900000004</v>
      </c>
      <c r="D2205" s="21" t="s">
        <v>669</v>
      </c>
      <c r="E2205" s="21">
        <v>91003326</v>
      </c>
      <c r="F2205" s="20">
        <v>5220309.6900000004</v>
      </c>
      <c r="G2205" s="22">
        <v>46219</v>
      </c>
      <c r="H2205" t="s">
        <v>79</v>
      </c>
      <c r="I2205" s="51" t="str">
        <f>IFERROR(IF(VLOOKUP(E2205,extracto!C:C,1,FALSE)=E2205,"pagado","no pagado"),"no pagado")</f>
        <v>pagado</v>
      </c>
      <c r="J2205" s="52" t="str">
        <f t="shared" si="864"/>
        <v>pagado</v>
      </c>
      <c r="K2205" s="51" t="str">
        <f t="shared" ca="1" si="865"/>
        <v>excluir</v>
      </c>
      <c r="L2205" s="51" t="str">
        <f t="shared" ca="1" si="866"/>
        <v>no semana</v>
      </c>
      <c r="M2205" s="51" t="str">
        <f>IFERROR(VLOOKUP(E2205,'cheques a conf'!A:D,4,FALSE),"no clearing")</f>
        <v>no clearing</v>
      </c>
      <c r="N2205" s="51">
        <f t="shared" si="867"/>
        <v>29</v>
      </c>
      <c r="O2205" s="53">
        <f t="shared" si="868"/>
        <v>7</v>
      </c>
      <c r="P2205" s="53">
        <f t="shared" si="869"/>
        <v>2026</v>
      </c>
    </row>
    <row r="2206" spans="1:16" x14ac:dyDescent="0.25">
      <c r="A2206" s="21">
        <v>3000004283</v>
      </c>
      <c r="B2206" s="22">
        <v>46216</v>
      </c>
      <c r="C2206" s="20">
        <v>15170268.42</v>
      </c>
      <c r="D2206" s="21" t="s">
        <v>657</v>
      </c>
      <c r="E2206" s="21">
        <v>91003327</v>
      </c>
      <c r="F2206" s="20">
        <v>15170268.42</v>
      </c>
      <c r="G2206" s="22">
        <v>46219</v>
      </c>
      <c r="H2206" t="s">
        <v>79</v>
      </c>
      <c r="I2206" s="51" t="str">
        <f>IFERROR(IF(VLOOKUP(E2206,extracto!C:C,1,FALSE)=E2206,"pagado","no pagado"),"no pagado")</f>
        <v>pagado</v>
      </c>
      <c r="J2206" s="52" t="str">
        <f t="shared" si="864"/>
        <v>pagado</v>
      </c>
      <c r="K2206" s="51" t="str">
        <f t="shared" ca="1" si="865"/>
        <v>excluir</v>
      </c>
      <c r="L2206" s="51" t="str">
        <f t="shared" ca="1" si="866"/>
        <v>no semana</v>
      </c>
      <c r="M2206" s="51" t="str">
        <f>IFERROR(VLOOKUP(E2206,'cheques a conf'!A:D,4,FALSE),"no clearing")</f>
        <v>no clearing</v>
      </c>
      <c r="N2206" s="51">
        <f t="shared" si="867"/>
        <v>29</v>
      </c>
      <c r="O2206" s="53">
        <f t="shared" si="868"/>
        <v>7</v>
      </c>
      <c r="P2206" s="53">
        <f t="shared" si="869"/>
        <v>2026</v>
      </c>
    </row>
    <row r="2207" spans="1:16" x14ac:dyDescent="0.25">
      <c r="A2207" s="21">
        <v>3000004286</v>
      </c>
      <c r="B2207" s="22">
        <v>46216</v>
      </c>
      <c r="C2207" s="20">
        <v>13391321.01</v>
      </c>
      <c r="D2207" s="21" t="s">
        <v>31</v>
      </c>
      <c r="E2207" s="21">
        <v>91003331</v>
      </c>
      <c r="F2207" s="20">
        <v>13391321.01</v>
      </c>
      <c r="G2207" s="22">
        <v>46219</v>
      </c>
      <c r="H2207" t="s">
        <v>79</v>
      </c>
      <c r="I2207" s="51" t="str">
        <f>IFERROR(IF(VLOOKUP(E2207,extracto!C:C,1,FALSE)=E2207,"pagado","no pagado"),"no pagado")</f>
        <v>pagado</v>
      </c>
      <c r="J2207" s="52" t="str">
        <f t="shared" si="864"/>
        <v>pagado</v>
      </c>
      <c r="K2207" s="51" t="str">
        <f t="shared" ca="1" si="865"/>
        <v>excluir</v>
      </c>
      <c r="L2207" s="51" t="str">
        <f t="shared" ca="1" si="866"/>
        <v>no semana</v>
      </c>
      <c r="M2207" s="51" t="str">
        <f>IFERROR(VLOOKUP(E2207,'cheques a conf'!A:D,4,FALSE),"no clearing")</f>
        <v>no clearing</v>
      </c>
      <c r="N2207" s="51">
        <f t="shared" si="867"/>
        <v>29</v>
      </c>
      <c r="O2207" s="53">
        <f t="shared" si="868"/>
        <v>7</v>
      </c>
      <c r="P2207" s="53">
        <f t="shared" si="869"/>
        <v>2026</v>
      </c>
    </row>
    <row r="2208" spans="1:16" x14ac:dyDescent="0.25">
      <c r="A2208" s="21">
        <v>3000004288</v>
      </c>
      <c r="B2208" s="22">
        <v>46216</v>
      </c>
      <c r="C2208" s="20">
        <v>15010301.109999999</v>
      </c>
      <c r="D2208" s="21" t="s">
        <v>89</v>
      </c>
      <c r="E2208" s="21">
        <v>91003332</v>
      </c>
      <c r="F2208" s="20">
        <v>15010301.109999999</v>
      </c>
      <c r="G2208" s="22">
        <v>46219</v>
      </c>
      <c r="H2208" t="s">
        <v>79</v>
      </c>
      <c r="I2208" s="51" t="str">
        <f>IFERROR(IF(VLOOKUP(E2208,extracto!C:C,1,FALSE)=E2208,"pagado","no pagado"),"no pagado")</f>
        <v>pagado</v>
      </c>
      <c r="J2208" s="52" t="str">
        <f t="shared" si="864"/>
        <v>pagado</v>
      </c>
      <c r="K2208" s="51" t="str">
        <f t="shared" ca="1" si="865"/>
        <v>excluir</v>
      </c>
      <c r="L2208" s="51" t="str">
        <f t="shared" ca="1" si="866"/>
        <v>no semana</v>
      </c>
      <c r="M2208" s="51" t="str">
        <f>IFERROR(VLOOKUP(E2208,'cheques a conf'!A:D,4,FALSE),"no clearing")</f>
        <v>no clearing</v>
      </c>
      <c r="N2208" s="51">
        <f t="shared" si="867"/>
        <v>29</v>
      </c>
      <c r="O2208" s="53">
        <f t="shared" si="868"/>
        <v>7</v>
      </c>
      <c r="P2208" s="53">
        <f t="shared" si="869"/>
        <v>2026</v>
      </c>
    </row>
    <row r="2209" spans="1:16" x14ac:dyDescent="0.25">
      <c r="A2209" s="21">
        <v>3000004289</v>
      </c>
      <c r="B2209" s="22">
        <v>46216</v>
      </c>
      <c r="C2209" s="20">
        <v>7314226.79</v>
      </c>
      <c r="D2209" s="21" t="s">
        <v>664</v>
      </c>
      <c r="E2209" s="21">
        <v>91003333</v>
      </c>
      <c r="F2209" s="20">
        <v>7314226.79</v>
      </c>
      <c r="G2209" s="22">
        <v>46219</v>
      </c>
      <c r="H2209" t="s">
        <v>79</v>
      </c>
      <c r="I2209" s="51" t="str">
        <f>IFERROR(IF(VLOOKUP(E2209,extracto!C:C,1,FALSE)=E2209,"pagado","no pagado"),"no pagado")</f>
        <v>pagado</v>
      </c>
      <c r="J2209" s="52" t="str">
        <f t="shared" si="864"/>
        <v>pagado</v>
      </c>
      <c r="K2209" s="51" t="str">
        <f t="shared" ca="1" si="865"/>
        <v>excluir</v>
      </c>
      <c r="L2209" s="51" t="str">
        <f t="shared" ca="1" si="866"/>
        <v>no semana</v>
      </c>
      <c r="M2209" s="51" t="str">
        <f>IFERROR(VLOOKUP(E2209,'cheques a conf'!A:D,4,FALSE),"no clearing")</f>
        <v>no clearing</v>
      </c>
      <c r="N2209" s="51">
        <f t="shared" si="867"/>
        <v>29</v>
      </c>
      <c r="O2209" s="53">
        <f t="shared" si="868"/>
        <v>7</v>
      </c>
      <c r="P2209" s="53">
        <f t="shared" si="869"/>
        <v>2026</v>
      </c>
    </row>
    <row r="2210" spans="1:16" x14ac:dyDescent="0.25">
      <c r="A2210" s="21">
        <v>3000004290</v>
      </c>
      <c r="B2210" s="22">
        <v>46216</v>
      </c>
      <c r="C2210" s="20">
        <v>6003269</v>
      </c>
      <c r="D2210" s="21" t="s">
        <v>702</v>
      </c>
      <c r="E2210" s="21">
        <v>91003334</v>
      </c>
      <c r="F2210" s="20">
        <v>6003269</v>
      </c>
      <c r="G2210" s="22">
        <v>46219</v>
      </c>
      <c r="H2210" t="s">
        <v>79</v>
      </c>
      <c r="I2210" s="51" t="str">
        <f>IFERROR(IF(VLOOKUP(E2210,extracto!C:C,1,FALSE)=E2210,"pagado","no pagado"),"no pagado")</f>
        <v>pagado</v>
      </c>
      <c r="J2210" s="52" t="str">
        <f t="shared" si="864"/>
        <v>pagado</v>
      </c>
      <c r="K2210" s="51" t="str">
        <f t="shared" ca="1" si="865"/>
        <v>excluir</v>
      </c>
      <c r="L2210" s="51" t="str">
        <f t="shared" ca="1" si="866"/>
        <v>no semana</v>
      </c>
      <c r="M2210" s="51" t="str">
        <f>IFERROR(VLOOKUP(E2210,'cheques a conf'!A:D,4,FALSE),"no clearing")</f>
        <v>no clearing</v>
      </c>
      <c r="N2210" s="51">
        <f t="shared" si="867"/>
        <v>29</v>
      </c>
      <c r="O2210" s="53">
        <f t="shared" si="868"/>
        <v>7</v>
      </c>
      <c r="P2210" s="53">
        <f t="shared" si="869"/>
        <v>2026</v>
      </c>
    </row>
    <row r="2211" spans="1:16" x14ac:dyDescent="0.25">
      <c r="A2211" s="21">
        <v>3000004291</v>
      </c>
      <c r="B2211" s="22">
        <v>46216</v>
      </c>
      <c r="C2211" s="20">
        <v>5643449.7599999998</v>
      </c>
      <c r="D2211" s="21" t="s">
        <v>777</v>
      </c>
      <c r="E2211" s="21">
        <v>91003335</v>
      </c>
      <c r="F2211" s="20">
        <v>5643449.7599999998</v>
      </c>
      <c r="G2211" s="22">
        <v>46219</v>
      </c>
      <c r="H2211" t="s">
        <v>79</v>
      </c>
      <c r="I2211" s="51" t="str">
        <f>IFERROR(IF(VLOOKUP(E2211,extracto!C:C,1,FALSE)=E2211,"pagado","no pagado"),"no pagado")</f>
        <v>pagado</v>
      </c>
      <c r="J2211" s="52" t="str">
        <f t="shared" si="864"/>
        <v>pagado</v>
      </c>
      <c r="K2211" s="51" t="str">
        <f t="shared" ca="1" si="865"/>
        <v>excluir</v>
      </c>
      <c r="L2211" s="51" t="str">
        <f t="shared" ca="1" si="866"/>
        <v>no semana</v>
      </c>
      <c r="M2211" s="51" t="str">
        <f>IFERROR(VLOOKUP(E2211,'cheques a conf'!A:D,4,FALSE),"no clearing")</f>
        <v>no clearing</v>
      </c>
      <c r="N2211" s="51">
        <f t="shared" si="867"/>
        <v>29</v>
      </c>
      <c r="O2211" s="53">
        <f t="shared" si="868"/>
        <v>7</v>
      </c>
      <c r="P2211" s="53">
        <f t="shared" si="869"/>
        <v>2026</v>
      </c>
    </row>
    <row r="2212" spans="1:16" x14ac:dyDescent="0.25">
      <c r="A2212" s="21">
        <v>3000004292</v>
      </c>
      <c r="B2212" s="22">
        <v>46216</v>
      </c>
      <c r="C2212" s="20">
        <v>12361745.539999999</v>
      </c>
      <c r="D2212" s="21" t="s">
        <v>740</v>
      </c>
      <c r="E2212" s="21">
        <v>91003336</v>
      </c>
      <c r="F2212" s="20">
        <v>12361745.539999999</v>
      </c>
      <c r="G2212" s="22">
        <v>46219</v>
      </c>
      <c r="H2212" t="s">
        <v>79</v>
      </c>
      <c r="I2212" s="51" t="str">
        <f>IFERROR(IF(VLOOKUP(E2212,extracto!C:C,1,FALSE)=E2212,"pagado","no pagado"),"no pagado")</f>
        <v>pagado</v>
      </c>
      <c r="J2212" s="52" t="str">
        <f t="shared" si="864"/>
        <v>pagado</v>
      </c>
      <c r="K2212" s="51" t="str">
        <f t="shared" ca="1" si="865"/>
        <v>excluir</v>
      </c>
      <c r="L2212" s="51" t="str">
        <f t="shared" ca="1" si="866"/>
        <v>no semana</v>
      </c>
      <c r="M2212" s="51" t="str">
        <f>IFERROR(VLOOKUP(E2212,'cheques a conf'!A:D,4,FALSE),"no clearing")</f>
        <v>no clearing</v>
      </c>
      <c r="N2212" s="51">
        <f t="shared" si="867"/>
        <v>29</v>
      </c>
      <c r="O2212" s="53">
        <f t="shared" si="868"/>
        <v>7</v>
      </c>
      <c r="P2212" s="53">
        <f t="shared" si="869"/>
        <v>2026</v>
      </c>
    </row>
    <row r="2213" spans="1:16" x14ac:dyDescent="0.25">
      <c r="A2213" s="21">
        <v>3000004293</v>
      </c>
      <c r="B2213" s="22">
        <v>46216</v>
      </c>
      <c r="C2213" s="20">
        <v>7812681.4100000001</v>
      </c>
      <c r="D2213" s="21" t="s">
        <v>644</v>
      </c>
      <c r="E2213" s="21">
        <v>91003337</v>
      </c>
      <c r="F2213" s="20">
        <v>7812681.4100000001</v>
      </c>
      <c r="G2213" s="22">
        <v>46219</v>
      </c>
      <c r="H2213" t="s">
        <v>79</v>
      </c>
      <c r="I2213" s="51" t="str">
        <f>IFERROR(IF(VLOOKUP(E2213,extracto!C:C,1,FALSE)=E2213,"pagado","no pagado"),"no pagado")</f>
        <v>pagado</v>
      </c>
      <c r="J2213" s="52" t="str">
        <f t="shared" si="864"/>
        <v>pagado</v>
      </c>
      <c r="K2213" s="51" t="str">
        <f t="shared" ca="1" si="865"/>
        <v>excluir</v>
      </c>
      <c r="L2213" s="51" t="str">
        <f t="shared" ca="1" si="866"/>
        <v>no semana</v>
      </c>
      <c r="M2213" s="51" t="str">
        <f>IFERROR(VLOOKUP(E2213,'cheques a conf'!A:D,4,FALSE),"no clearing")</f>
        <v>no clearing</v>
      </c>
      <c r="N2213" s="51">
        <f t="shared" si="867"/>
        <v>29</v>
      </c>
      <c r="O2213" s="53">
        <f t="shared" si="868"/>
        <v>7</v>
      </c>
      <c r="P2213" s="53">
        <f t="shared" si="869"/>
        <v>2026</v>
      </c>
    </row>
    <row r="2214" spans="1:16" x14ac:dyDescent="0.25">
      <c r="A2214" s="21">
        <v>3000004294</v>
      </c>
      <c r="B2214" s="22">
        <v>46216</v>
      </c>
      <c r="C2214" s="20">
        <v>5471093.4000000004</v>
      </c>
      <c r="D2214" s="21" t="s">
        <v>39</v>
      </c>
      <c r="E2214" s="21">
        <v>91003338</v>
      </c>
      <c r="F2214" s="20">
        <v>5471093.4000000004</v>
      </c>
      <c r="G2214" s="22">
        <v>46219</v>
      </c>
      <c r="H2214" t="s">
        <v>79</v>
      </c>
      <c r="I2214" s="51" t="str">
        <f>IFERROR(IF(VLOOKUP(E2214,extracto!C:C,1,FALSE)=E2214,"pagado","no pagado"),"no pagado")</f>
        <v>pagado</v>
      </c>
      <c r="J2214" s="52" t="str">
        <f t="shared" si="864"/>
        <v>pagado</v>
      </c>
      <c r="K2214" s="51" t="str">
        <f t="shared" ca="1" si="865"/>
        <v>excluir</v>
      </c>
      <c r="L2214" s="51" t="str">
        <f t="shared" ca="1" si="866"/>
        <v>no semana</v>
      </c>
      <c r="M2214" s="51" t="str">
        <f>IFERROR(VLOOKUP(E2214,'cheques a conf'!A:D,4,FALSE),"no clearing")</f>
        <v>no clearing</v>
      </c>
      <c r="N2214" s="51">
        <f t="shared" si="867"/>
        <v>29</v>
      </c>
      <c r="O2214" s="53">
        <f t="shared" si="868"/>
        <v>7</v>
      </c>
      <c r="P2214" s="53">
        <f t="shared" si="869"/>
        <v>2026</v>
      </c>
    </row>
    <row r="2215" spans="1:16" x14ac:dyDescent="0.25">
      <c r="A2215" s="21">
        <v>3000004295</v>
      </c>
      <c r="B2215" s="22">
        <v>46216</v>
      </c>
      <c r="C2215" s="20">
        <v>22700807.460000001</v>
      </c>
      <c r="D2215" s="21" t="s">
        <v>74</v>
      </c>
      <c r="E2215" s="21">
        <v>91003339</v>
      </c>
      <c r="F2215" s="20">
        <v>22700807.460000001</v>
      </c>
      <c r="G2215" s="22">
        <v>46219</v>
      </c>
      <c r="H2215" t="s">
        <v>79</v>
      </c>
      <c r="I2215" s="51" t="str">
        <f>IFERROR(IF(VLOOKUP(E2215,extracto!C:C,1,FALSE)=E2215,"pagado","no pagado"),"no pagado")</f>
        <v>pagado</v>
      </c>
      <c r="J2215" s="52" t="str">
        <f t="shared" si="864"/>
        <v>pagado</v>
      </c>
      <c r="K2215" s="51" t="str">
        <f t="shared" ca="1" si="865"/>
        <v>excluir</v>
      </c>
      <c r="L2215" s="51" t="str">
        <f t="shared" ca="1" si="866"/>
        <v>no semana</v>
      </c>
      <c r="M2215" s="51" t="str">
        <f>IFERROR(VLOOKUP(E2215,'cheques a conf'!A:D,4,FALSE),"no clearing")</f>
        <v>no clearing</v>
      </c>
      <c r="N2215" s="51">
        <f t="shared" si="867"/>
        <v>29</v>
      </c>
      <c r="O2215" s="53">
        <f t="shared" si="868"/>
        <v>7</v>
      </c>
      <c r="P2215" s="53">
        <f t="shared" si="869"/>
        <v>2026</v>
      </c>
    </row>
    <row r="2216" spans="1:16" x14ac:dyDescent="0.25">
      <c r="A2216" s="21">
        <v>3000004299</v>
      </c>
      <c r="B2216" s="22">
        <v>46216</v>
      </c>
      <c r="C2216" s="20">
        <v>667589.18000000005</v>
      </c>
      <c r="D2216" s="21" t="s">
        <v>1768</v>
      </c>
      <c r="E2216" s="21">
        <v>91003340</v>
      </c>
      <c r="F2216" s="20">
        <v>667589.18000000005</v>
      </c>
      <c r="G2216" s="22">
        <v>46218</v>
      </c>
      <c r="H2216" t="s">
        <v>79</v>
      </c>
      <c r="I2216" s="51" t="str">
        <f>IFERROR(IF(VLOOKUP(E2216,extracto!C:C,1,FALSE)=E2216,"pagado","no pagado"),"no pagado")</f>
        <v>pagado</v>
      </c>
      <c r="J2216" s="52" t="str">
        <f t="shared" si="864"/>
        <v>pagado</v>
      </c>
      <c r="K2216" s="51" t="str">
        <f t="shared" ca="1" si="865"/>
        <v>excluir</v>
      </c>
      <c r="L2216" s="51" t="str">
        <f t="shared" ca="1" si="866"/>
        <v>no semana</v>
      </c>
      <c r="M2216" s="51" t="str">
        <f>IFERROR(VLOOKUP(E2216,'cheques a conf'!A:D,4,FALSE),"no clearing")</f>
        <v>no clearing</v>
      </c>
      <c r="N2216" s="51">
        <f t="shared" si="867"/>
        <v>29</v>
      </c>
      <c r="O2216" s="53">
        <f t="shared" si="868"/>
        <v>7</v>
      </c>
      <c r="P2216" s="53">
        <f t="shared" si="869"/>
        <v>2026</v>
      </c>
    </row>
    <row r="2217" spans="1:16" x14ac:dyDescent="0.25">
      <c r="A2217" s="21">
        <v>3000002708</v>
      </c>
      <c r="B2217" s="22">
        <v>46216</v>
      </c>
      <c r="C2217" s="20">
        <v>4364576.5999999996</v>
      </c>
      <c r="D2217" s="21" t="s">
        <v>776</v>
      </c>
      <c r="E2217" s="21">
        <v>61301860</v>
      </c>
      <c r="F2217" s="20">
        <v>4364576.5999999996</v>
      </c>
      <c r="G2217" s="22">
        <v>46219</v>
      </c>
      <c r="H2217" t="s">
        <v>79</v>
      </c>
      <c r="I2217" s="51" t="str">
        <f>IFERROR(IF(VLOOKUP(E2217,extracto!C:C,1,FALSE)=E2217,"pagado","no pagado"),"no pagado")</f>
        <v>pagado</v>
      </c>
      <c r="J2217" s="52" t="str">
        <f t="shared" si="864"/>
        <v>pagado</v>
      </c>
      <c r="K2217" s="51" t="str">
        <f t="shared" ca="1" si="865"/>
        <v>excluir</v>
      </c>
      <c r="L2217" s="51" t="str">
        <f t="shared" ca="1" si="866"/>
        <v>no semana</v>
      </c>
      <c r="M2217" s="51" t="str">
        <f>IFERROR(VLOOKUP(E2217,'cheques a conf'!A:D,4,FALSE),"no clearing")</f>
        <v>no clearing</v>
      </c>
      <c r="N2217" s="51">
        <f t="shared" si="867"/>
        <v>29</v>
      </c>
      <c r="O2217" s="53">
        <f t="shared" si="868"/>
        <v>7</v>
      </c>
      <c r="P2217" s="53">
        <f t="shared" si="869"/>
        <v>2026</v>
      </c>
    </row>
    <row r="2218" spans="1:16" x14ac:dyDescent="0.25">
      <c r="A2218" s="21">
        <v>3000003045</v>
      </c>
      <c r="B2218" s="22">
        <v>46216</v>
      </c>
      <c r="C2218" s="20">
        <v>6132962.7300000004</v>
      </c>
      <c r="D2218" s="21" t="s">
        <v>776</v>
      </c>
      <c r="E2218" s="21">
        <v>61301861</v>
      </c>
      <c r="F2218" s="20">
        <v>6132962.7300000004</v>
      </c>
      <c r="G2218" s="22">
        <v>46219</v>
      </c>
      <c r="H2218" t="s">
        <v>79</v>
      </c>
      <c r="I2218" s="51" t="str">
        <f>IFERROR(IF(VLOOKUP(E2218,extracto!C:C,1,FALSE)=E2218,"pagado","no pagado"),"no pagado")</f>
        <v>pagado</v>
      </c>
      <c r="J2218" s="52" t="str">
        <f t="shared" si="864"/>
        <v>pagado</v>
      </c>
      <c r="K2218" s="51" t="str">
        <f t="shared" ca="1" si="865"/>
        <v>excluir</v>
      </c>
      <c r="L2218" s="51" t="str">
        <f t="shared" ca="1" si="866"/>
        <v>no semana</v>
      </c>
      <c r="M2218" s="51" t="str">
        <f>IFERROR(VLOOKUP(E2218,'cheques a conf'!A:D,4,FALSE),"no clearing")</f>
        <v>no clearing</v>
      </c>
      <c r="N2218" s="51">
        <f t="shared" si="867"/>
        <v>29</v>
      </c>
      <c r="O2218" s="53">
        <f t="shared" si="868"/>
        <v>7</v>
      </c>
      <c r="P2218" s="53">
        <f t="shared" si="869"/>
        <v>2026</v>
      </c>
    </row>
    <row r="2219" spans="1:16" x14ac:dyDescent="0.25">
      <c r="A2219" s="21">
        <v>3000004341</v>
      </c>
      <c r="B2219" s="22">
        <v>46218</v>
      </c>
      <c r="C2219" s="20">
        <v>20000000</v>
      </c>
      <c r="D2219" s="21" t="s">
        <v>661</v>
      </c>
      <c r="E2219" s="21">
        <v>91003342</v>
      </c>
      <c r="F2219" s="20">
        <v>20000000</v>
      </c>
      <c r="G2219" s="22">
        <v>46220</v>
      </c>
      <c r="H2219" t="s">
        <v>79</v>
      </c>
      <c r="I2219" s="51" t="str">
        <f>IFERROR(IF(VLOOKUP(E2219,extracto!C:C,1,FALSE)=E2219,"pagado","no pagado"),"no pagado")</f>
        <v>pagado</v>
      </c>
      <c r="J2219" s="52" t="str">
        <f t="shared" si="864"/>
        <v>pagado</v>
      </c>
      <c r="K2219" s="51" t="str">
        <f t="shared" ca="1" si="865"/>
        <v>excluir</v>
      </c>
      <c r="L2219" s="51" t="str">
        <f t="shared" ca="1" si="866"/>
        <v>no semana</v>
      </c>
      <c r="M2219" s="51" t="str">
        <f>IFERROR(VLOOKUP(E2219,'cheques a conf'!A:D,4,FALSE),"no clearing")</f>
        <v>no clearing</v>
      </c>
      <c r="N2219" s="51">
        <f t="shared" si="867"/>
        <v>29</v>
      </c>
      <c r="O2219" s="53">
        <f t="shared" si="868"/>
        <v>7</v>
      </c>
      <c r="P2219" s="53">
        <f t="shared" si="869"/>
        <v>2026</v>
      </c>
    </row>
    <row r="2220" spans="1:16" x14ac:dyDescent="0.25">
      <c r="A2220" s="21">
        <v>3000004341</v>
      </c>
      <c r="B2220" s="22">
        <v>46218</v>
      </c>
      <c r="C2220" s="20">
        <v>16379416.83</v>
      </c>
      <c r="D2220" s="21" t="s">
        <v>661</v>
      </c>
      <c r="E2220" s="21">
        <v>91003343</v>
      </c>
      <c r="F2220" s="20">
        <v>16379416.83</v>
      </c>
      <c r="G2220" s="22">
        <v>46223</v>
      </c>
      <c r="H2220" t="s">
        <v>79</v>
      </c>
      <c r="I2220" s="51" t="str">
        <f>IFERROR(IF(VLOOKUP(E2220,extracto!C:C,1,FALSE)=E2220,"pagado","no pagado"),"no pagado")</f>
        <v>pagado</v>
      </c>
      <c r="J2220" s="52" t="str">
        <f t="shared" si="864"/>
        <v>pagado</v>
      </c>
      <c r="K2220" s="51" t="str">
        <f t="shared" ca="1" si="865"/>
        <v>excluir</v>
      </c>
      <c r="L2220" s="51" t="str">
        <f t="shared" ca="1" si="866"/>
        <v>no semana</v>
      </c>
      <c r="M2220" s="51" t="str">
        <f>IFERROR(VLOOKUP(E2220,'cheques a conf'!A:D,4,FALSE),"no clearing")</f>
        <v>no clearing</v>
      </c>
      <c r="N2220" s="51">
        <f t="shared" si="867"/>
        <v>30</v>
      </c>
      <c r="O2220" s="53">
        <f t="shared" si="868"/>
        <v>7</v>
      </c>
      <c r="P2220" s="53">
        <f t="shared" si="869"/>
        <v>2026</v>
      </c>
    </row>
    <row r="2221" spans="1:16" x14ac:dyDescent="0.25">
      <c r="A2221" s="21">
        <v>3000004340</v>
      </c>
      <c r="B2221" s="22">
        <v>46218</v>
      </c>
      <c r="C2221" s="20">
        <v>5236393.82</v>
      </c>
      <c r="D2221" s="21" t="s">
        <v>785</v>
      </c>
      <c r="E2221" s="21">
        <v>91003341</v>
      </c>
      <c r="F2221" s="20">
        <v>5236393.82</v>
      </c>
      <c r="G2221" s="22">
        <v>46223</v>
      </c>
      <c r="H2221" t="s">
        <v>79</v>
      </c>
      <c r="I2221" s="51" t="str">
        <f>IFERROR(IF(VLOOKUP(E2221,extracto!C:C,1,FALSE)=E2221,"pagado","no pagado"),"no pagado")</f>
        <v>pagado</v>
      </c>
      <c r="J2221" s="52" t="str">
        <f t="shared" si="864"/>
        <v>pagado</v>
      </c>
      <c r="K2221" s="51" t="str">
        <f t="shared" ca="1" si="865"/>
        <v>excluir</v>
      </c>
      <c r="L2221" s="51" t="str">
        <f t="shared" ca="1" si="866"/>
        <v>no semana</v>
      </c>
      <c r="M2221" s="51" t="str">
        <f>IFERROR(VLOOKUP(E2221,'cheques a conf'!A:D,4,FALSE),"no clearing")</f>
        <v>no clearing</v>
      </c>
      <c r="N2221" s="51">
        <f t="shared" si="867"/>
        <v>30</v>
      </c>
      <c r="O2221" s="53">
        <f t="shared" si="868"/>
        <v>7</v>
      </c>
      <c r="P2221" s="53">
        <f t="shared" si="869"/>
        <v>2026</v>
      </c>
    </row>
    <row r="2222" spans="1:16" x14ac:dyDescent="0.25">
      <c r="A2222" s="21">
        <v>3000004342</v>
      </c>
      <c r="B2222" s="22">
        <v>46218</v>
      </c>
      <c r="C2222" s="20">
        <v>20916741.260000002</v>
      </c>
      <c r="D2222" s="21" t="s">
        <v>83</v>
      </c>
      <c r="E2222" s="21">
        <v>91003344</v>
      </c>
      <c r="F2222" s="20">
        <v>20916741.260000002</v>
      </c>
      <c r="G2222" s="22">
        <v>46223</v>
      </c>
      <c r="H2222" t="s">
        <v>79</v>
      </c>
      <c r="I2222" s="51" t="str">
        <f>IFERROR(IF(VLOOKUP(E2222,extracto!C:C,1,FALSE)=E2222,"pagado","no pagado"),"no pagado")</f>
        <v>pagado</v>
      </c>
      <c r="J2222" s="52" t="str">
        <f t="shared" si="864"/>
        <v>pagado</v>
      </c>
      <c r="K2222" s="51" t="str">
        <f t="shared" ca="1" si="865"/>
        <v>excluir</v>
      </c>
      <c r="L2222" s="51" t="str">
        <f t="shared" ca="1" si="866"/>
        <v>no semana</v>
      </c>
      <c r="M2222" s="51" t="str">
        <f>IFERROR(VLOOKUP(E2222,'cheques a conf'!A:D,4,FALSE),"no clearing")</f>
        <v>no clearing</v>
      </c>
      <c r="N2222" s="51">
        <f t="shared" si="867"/>
        <v>30</v>
      </c>
      <c r="O2222" s="53">
        <f t="shared" si="868"/>
        <v>7</v>
      </c>
      <c r="P2222" s="53">
        <f t="shared" si="869"/>
        <v>2026</v>
      </c>
    </row>
    <row r="2223" spans="1:16" x14ac:dyDescent="0.25">
      <c r="A2223" s="21">
        <v>3000004343</v>
      </c>
      <c r="B2223" s="22">
        <v>46218</v>
      </c>
      <c r="C2223" s="20">
        <v>8539093.4000000004</v>
      </c>
      <c r="D2223" s="21" t="s">
        <v>672</v>
      </c>
      <c r="E2223" s="21">
        <v>91003345</v>
      </c>
      <c r="F2223" s="20">
        <v>8539093.4000000004</v>
      </c>
      <c r="G2223" s="22">
        <v>46223</v>
      </c>
      <c r="H2223" t="s">
        <v>79</v>
      </c>
      <c r="I2223" s="51" t="str">
        <f>IFERROR(IF(VLOOKUP(E2223,extracto!C:C,1,FALSE)=E2223,"pagado","no pagado"),"no pagado")</f>
        <v>pagado</v>
      </c>
      <c r="J2223" s="52" t="str">
        <f t="shared" si="864"/>
        <v>pagado</v>
      </c>
      <c r="K2223" s="51" t="str">
        <f t="shared" ca="1" si="865"/>
        <v>excluir</v>
      </c>
      <c r="L2223" s="51" t="str">
        <f t="shared" ca="1" si="866"/>
        <v>no semana</v>
      </c>
      <c r="M2223" s="51" t="str">
        <f>IFERROR(VLOOKUP(E2223,'cheques a conf'!A:D,4,FALSE),"no clearing")</f>
        <v>no clearing</v>
      </c>
      <c r="N2223" s="51">
        <f t="shared" si="867"/>
        <v>30</v>
      </c>
      <c r="O2223" s="53">
        <f t="shared" si="868"/>
        <v>7</v>
      </c>
      <c r="P2223" s="53">
        <f t="shared" si="869"/>
        <v>2026</v>
      </c>
    </row>
    <row r="2224" spans="1:16" x14ac:dyDescent="0.25">
      <c r="A2224" s="21">
        <v>3000004344</v>
      </c>
      <c r="B2224" s="22">
        <v>46218</v>
      </c>
      <c r="C2224" s="20">
        <v>11518182.73</v>
      </c>
      <c r="D2224" s="21" t="s">
        <v>616</v>
      </c>
      <c r="E2224" s="21">
        <v>91003346</v>
      </c>
      <c r="F2224" s="20">
        <v>11518182.73</v>
      </c>
      <c r="G2224" s="22">
        <v>46223</v>
      </c>
      <c r="H2224" t="s">
        <v>79</v>
      </c>
      <c r="I2224" s="51" t="str">
        <f>IFERROR(IF(VLOOKUP(E2224,extracto!C:C,1,FALSE)=E2224,"pagado","no pagado"),"no pagado")</f>
        <v>pagado</v>
      </c>
      <c r="J2224" s="52" t="str">
        <f t="shared" si="864"/>
        <v>pagado</v>
      </c>
      <c r="K2224" s="51" t="str">
        <f t="shared" ca="1" si="865"/>
        <v>excluir</v>
      </c>
      <c r="L2224" s="51" t="str">
        <f t="shared" ca="1" si="866"/>
        <v>no semana</v>
      </c>
      <c r="M2224" s="51" t="str">
        <f>IFERROR(VLOOKUP(E2224,'cheques a conf'!A:D,4,FALSE),"no clearing")</f>
        <v>no clearing</v>
      </c>
      <c r="N2224" s="51">
        <f t="shared" si="867"/>
        <v>30</v>
      </c>
      <c r="O2224" s="53">
        <f t="shared" si="868"/>
        <v>7</v>
      </c>
      <c r="P2224" s="53">
        <f t="shared" si="869"/>
        <v>2026</v>
      </c>
    </row>
    <row r="2225" spans="1:16" x14ac:dyDescent="0.25">
      <c r="A2225" s="21">
        <v>3000004345</v>
      </c>
      <c r="B2225" s="22">
        <v>46218</v>
      </c>
      <c r="C2225" s="20">
        <v>16235667.48</v>
      </c>
      <c r="D2225" s="21" t="s">
        <v>618</v>
      </c>
      <c r="E2225" s="21">
        <v>91003347</v>
      </c>
      <c r="F2225" s="20">
        <v>16235667.48</v>
      </c>
      <c r="G2225" s="22">
        <v>46223</v>
      </c>
      <c r="H2225" t="s">
        <v>79</v>
      </c>
      <c r="I2225" s="51" t="str">
        <f>IFERROR(IF(VLOOKUP(E2225,extracto!C:C,1,FALSE)=E2225,"pagado","no pagado"),"no pagado")</f>
        <v>pagado</v>
      </c>
      <c r="J2225" s="52" t="str">
        <f t="shared" si="864"/>
        <v>pagado</v>
      </c>
      <c r="K2225" s="51" t="str">
        <f t="shared" ca="1" si="865"/>
        <v>excluir</v>
      </c>
      <c r="L2225" s="51" t="str">
        <f t="shared" ca="1" si="866"/>
        <v>no semana</v>
      </c>
      <c r="M2225" s="51" t="str">
        <f>IFERROR(VLOOKUP(E2225,'cheques a conf'!A:D,4,FALSE),"no clearing")</f>
        <v>no clearing</v>
      </c>
      <c r="N2225" s="51">
        <f t="shared" si="867"/>
        <v>30</v>
      </c>
      <c r="O2225" s="53">
        <f t="shared" si="868"/>
        <v>7</v>
      </c>
      <c r="P2225" s="53">
        <f t="shared" si="869"/>
        <v>2026</v>
      </c>
    </row>
    <row r="2226" spans="1:16" x14ac:dyDescent="0.25">
      <c r="A2226" s="21">
        <v>3000004346</v>
      </c>
      <c r="B2226" s="22">
        <v>46218</v>
      </c>
      <c r="C2226" s="20">
        <v>13166941.689999999</v>
      </c>
      <c r="D2226" s="21" t="s">
        <v>654</v>
      </c>
      <c r="E2226" s="21">
        <v>91003348</v>
      </c>
      <c r="F2226" s="20">
        <v>13166941.689999999</v>
      </c>
      <c r="G2226" s="22">
        <v>46223</v>
      </c>
      <c r="H2226" t="s">
        <v>79</v>
      </c>
      <c r="I2226" s="51" t="str">
        <f>IFERROR(IF(VLOOKUP(E2226,extracto!C:C,1,FALSE)=E2226,"pagado","no pagado"),"no pagado")</f>
        <v>pagado</v>
      </c>
      <c r="J2226" s="52" t="str">
        <f t="shared" si="864"/>
        <v>pagado</v>
      </c>
      <c r="K2226" s="51" t="str">
        <f t="shared" ca="1" si="865"/>
        <v>excluir</v>
      </c>
      <c r="L2226" s="51" t="str">
        <f t="shared" ca="1" si="866"/>
        <v>no semana</v>
      </c>
      <c r="M2226" s="51" t="str">
        <f>IFERROR(VLOOKUP(E2226,'cheques a conf'!A:D,4,FALSE),"no clearing")</f>
        <v>no clearing</v>
      </c>
      <c r="N2226" s="51">
        <f t="shared" si="867"/>
        <v>30</v>
      </c>
      <c r="O2226" s="53">
        <f t="shared" si="868"/>
        <v>7</v>
      </c>
      <c r="P2226" s="53">
        <f t="shared" si="869"/>
        <v>2026</v>
      </c>
    </row>
    <row r="2227" spans="1:16" x14ac:dyDescent="0.25">
      <c r="A2227" s="21">
        <v>3000004347</v>
      </c>
      <c r="B2227" s="22">
        <v>46218</v>
      </c>
      <c r="C2227" s="20">
        <v>10566361.52</v>
      </c>
      <c r="D2227" s="21" t="s">
        <v>612</v>
      </c>
      <c r="E2227" s="21">
        <v>91003349</v>
      </c>
      <c r="F2227" s="20">
        <v>10566361.52</v>
      </c>
      <c r="G2227" s="22">
        <v>46223</v>
      </c>
      <c r="H2227" t="s">
        <v>79</v>
      </c>
      <c r="I2227" s="51" t="str">
        <f>IFERROR(IF(VLOOKUP(E2227,extracto!C:C,1,FALSE)=E2227,"pagado","no pagado"),"no pagado")</f>
        <v>pagado</v>
      </c>
      <c r="J2227" s="52" t="str">
        <f t="shared" si="864"/>
        <v>pagado</v>
      </c>
      <c r="K2227" s="51" t="str">
        <f t="shared" ca="1" si="865"/>
        <v>excluir</v>
      </c>
      <c r="L2227" s="51" t="str">
        <f t="shared" ca="1" si="866"/>
        <v>no semana</v>
      </c>
      <c r="M2227" s="51" t="str">
        <f>IFERROR(VLOOKUP(E2227,'cheques a conf'!A:D,4,FALSE),"no clearing")</f>
        <v>no clearing</v>
      </c>
      <c r="N2227" s="51">
        <f t="shared" si="867"/>
        <v>30</v>
      </c>
      <c r="O2227" s="53">
        <f t="shared" si="868"/>
        <v>7</v>
      </c>
      <c r="P2227" s="53">
        <f t="shared" si="869"/>
        <v>2026</v>
      </c>
    </row>
    <row r="2228" spans="1:16" x14ac:dyDescent="0.25">
      <c r="A2228" s="21">
        <v>3000004348</v>
      </c>
      <c r="B2228" s="22">
        <v>46218</v>
      </c>
      <c r="C2228" s="20">
        <v>19087807.280000001</v>
      </c>
      <c r="D2228" s="21" t="s">
        <v>691</v>
      </c>
      <c r="E2228" s="21">
        <v>91003350</v>
      </c>
      <c r="F2228" s="20">
        <v>19087807.280000001</v>
      </c>
      <c r="G2228" s="22">
        <v>46223</v>
      </c>
      <c r="H2228" t="s">
        <v>79</v>
      </c>
      <c r="I2228" s="51" t="str">
        <f>IFERROR(IF(VLOOKUP(E2228,extracto!C:C,1,FALSE)=E2228,"pagado","no pagado"),"no pagado")</f>
        <v>pagado</v>
      </c>
      <c r="J2228" s="52" t="str">
        <f t="shared" si="864"/>
        <v>pagado</v>
      </c>
      <c r="K2228" s="51" t="str">
        <f t="shared" ca="1" si="865"/>
        <v>excluir</v>
      </c>
      <c r="L2228" s="51" t="str">
        <f t="shared" ca="1" si="866"/>
        <v>no semana</v>
      </c>
      <c r="M2228" s="51" t="str">
        <f>IFERROR(VLOOKUP(E2228,'cheques a conf'!A:D,4,FALSE),"no clearing")</f>
        <v>no clearing</v>
      </c>
      <c r="N2228" s="51">
        <f t="shared" si="867"/>
        <v>30</v>
      </c>
      <c r="O2228" s="53">
        <f t="shared" si="868"/>
        <v>7</v>
      </c>
      <c r="P2228" s="53">
        <f t="shared" si="869"/>
        <v>2026</v>
      </c>
    </row>
    <row r="2229" spans="1:16" x14ac:dyDescent="0.25">
      <c r="A2229" s="21">
        <v>3000004349</v>
      </c>
      <c r="B2229" s="22">
        <v>46218</v>
      </c>
      <c r="C2229" s="20">
        <v>5256841.4000000004</v>
      </c>
      <c r="D2229" s="21" t="s">
        <v>663</v>
      </c>
      <c r="E2229" s="21">
        <v>91003351</v>
      </c>
      <c r="F2229" s="20">
        <v>5256841.4000000004</v>
      </c>
      <c r="G2229" s="22">
        <v>46223</v>
      </c>
      <c r="H2229" t="s">
        <v>79</v>
      </c>
      <c r="I2229" s="51" t="str">
        <f>IFERROR(IF(VLOOKUP(E2229,extracto!C:C,1,FALSE)=E2229,"pagado","no pagado"),"no pagado")</f>
        <v>pagado</v>
      </c>
      <c r="J2229" s="52" t="str">
        <f t="shared" si="864"/>
        <v>pagado</v>
      </c>
      <c r="K2229" s="51" t="str">
        <f t="shared" ca="1" si="865"/>
        <v>excluir</v>
      </c>
      <c r="L2229" s="51" t="str">
        <f t="shared" ca="1" si="866"/>
        <v>no semana</v>
      </c>
      <c r="M2229" s="51" t="str">
        <f>IFERROR(VLOOKUP(E2229,'cheques a conf'!A:D,4,FALSE),"no clearing")</f>
        <v>no clearing</v>
      </c>
      <c r="N2229" s="51">
        <f t="shared" si="867"/>
        <v>30</v>
      </c>
      <c r="O2229" s="53">
        <f t="shared" si="868"/>
        <v>7</v>
      </c>
      <c r="P2229" s="53">
        <f t="shared" si="869"/>
        <v>2026</v>
      </c>
    </row>
    <row r="2230" spans="1:16" x14ac:dyDescent="0.25">
      <c r="A2230" s="21">
        <v>3000004350</v>
      </c>
      <c r="B2230" s="22">
        <v>46218</v>
      </c>
      <c r="C2230" s="20">
        <v>5749016.1100000003</v>
      </c>
      <c r="D2230" s="21" t="s">
        <v>1737</v>
      </c>
      <c r="E2230" s="21">
        <v>91003352</v>
      </c>
      <c r="F2230" s="20">
        <v>5749016.1100000003</v>
      </c>
      <c r="G2230" s="22">
        <v>46223</v>
      </c>
      <c r="H2230" t="s">
        <v>79</v>
      </c>
      <c r="I2230" s="51" t="str">
        <f>IFERROR(IF(VLOOKUP(E2230,extracto!C:C,1,FALSE)=E2230,"pagado","no pagado"),"no pagado")</f>
        <v>pagado</v>
      </c>
      <c r="J2230" s="52" t="str">
        <f t="shared" si="864"/>
        <v>pagado</v>
      </c>
      <c r="K2230" s="51" t="str">
        <f t="shared" ca="1" si="865"/>
        <v>excluir</v>
      </c>
      <c r="L2230" s="51" t="str">
        <f t="shared" ca="1" si="866"/>
        <v>no semana</v>
      </c>
      <c r="M2230" s="51" t="str">
        <f>IFERROR(VLOOKUP(E2230,'cheques a conf'!A:D,4,FALSE),"no clearing")</f>
        <v>no clearing</v>
      </c>
      <c r="N2230" s="51">
        <f t="shared" si="867"/>
        <v>30</v>
      </c>
      <c r="O2230" s="53">
        <f t="shared" si="868"/>
        <v>7</v>
      </c>
      <c r="P2230" s="53">
        <f t="shared" si="869"/>
        <v>2026</v>
      </c>
    </row>
    <row r="2231" spans="1:16" x14ac:dyDescent="0.25">
      <c r="A2231" s="21">
        <v>3000004351</v>
      </c>
      <c r="B2231" s="22">
        <v>46218</v>
      </c>
      <c r="C2231" s="20">
        <v>20100625.23</v>
      </c>
      <c r="D2231" s="21" t="s">
        <v>613</v>
      </c>
      <c r="E2231" s="21">
        <v>91003353</v>
      </c>
      <c r="F2231" s="20">
        <v>20100625.23</v>
      </c>
      <c r="G2231" s="22">
        <v>46223</v>
      </c>
      <c r="H2231" t="s">
        <v>79</v>
      </c>
      <c r="I2231" s="51" t="str">
        <f>IFERROR(IF(VLOOKUP(E2231,extracto!C:C,1,FALSE)=E2231,"pagado","no pagado"),"no pagado")</f>
        <v>pagado</v>
      </c>
      <c r="J2231" s="52" t="str">
        <f t="shared" si="864"/>
        <v>pagado</v>
      </c>
      <c r="K2231" s="51" t="str">
        <f t="shared" ca="1" si="865"/>
        <v>excluir</v>
      </c>
      <c r="L2231" s="51" t="str">
        <f t="shared" ca="1" si="866"/>
        <v>no semana</v>
      </c>
      <c r="M2231" s="51" t="str">
        <f>IFERROR(VLOOKUP(E2231,'cheques a conf'!A:D,4,FALSE),"no clearing")</f>
        <v>no clearing</v>
      </c>
      <c r="N2231" s="51">
        <f t="shared" si="867"/>
        <v>30</v>
      </c>
      <c r="O2231" s="53">
        <f t="shared" si="868"/>
        <v>7</v>
      </c>
      <c r="P2231" s="53">
        <f t="shared" si="869"/>
        <v>2026</v>
      </c>
    </row>
    <row r="2232" spans="1:16" x14ac:dyDescent="0.25">
      <c r="A2232" s="21">
        <v>3000004352</v>
      </c>
      <c r="B2232" s="22">
        <v>46218</v>
      </c>
      <c r="C2232" s="20">
        <v>17042210.379999999</v>
      </c>
      <c r="D2232" s="21" t="s">
        <v>619</v>
      </c>
      <c r="E2232" s="21">
        <v>91003354</v>
      </c>
      <c r="F2232" s="20">
        <v>17042210.379999999</v>
      </c>
      <c r="G2232" s="22">
        <v>46223</v>
      </c>
      <c r="H2232" t="s">
        <v>79</v>
      </c>
      <c r="I2232" s="51" t="str">
        <f>IFERROR(IF(VLOOKUP(E2232,extracto!C:C,1,FALSE)=E2232,"pagado","no pagado"),"no pagado")</f>
        <v>pagado</v>
      </c>
      <c r="J2232" s="52" t="str">
        <f t="shared" ref="J2232:J2295" si="870">IF(I2232="pagado","pagado",IF(G2232&lt;$V$1-30,"fuera de fecha","en periodo de pago"))</f>
        <v>pagado</v>
      </c>
      <c r="K2232" s="51" t="str">
        <f t="shared" ref="K2232:K2295" ca="1" si="871">+IF(B2232&gt;$V$1,"excluir",IF(J2232="en periodo de pago",IF($V$1&gt;G2232,"a pagar","proximo a vencer"),"excluir"))</f>
        <v>excluir</v>
      </c>
      <c r="L2232" s="51" t="str">
        <f t="shared" ref="L2232:L2295" ca="1" si="872">+IF(K2232="proximo a vencer",IF($V$1+5&gt;G2232,"para la semana","no semana"),"no semana")</f>
        <v>no semana</v>
      </c>
      <c r="M2232" s="51" t="str">
        <f>IFERROR(VLOOKUP(E2232,'cheques a conf'!A:D,4,FALSE),"no clearing")</f>
        <v>no clearing</v>
      </c>
      <c r="N2232" s="51">
        <f t="shared" ref="N2232:N2295" si="873">+WEEKNUM(G2232,2)</f>
        <v>30</v>
      </c>
      <c r="O2232" s="53">
        <f t="shared" ref="O2232:O2295" si="874">+MONTH(G2232)</f>
        <v>7</v>
      </c>
      <c r="P2232" s="53">
        <f t="shared" ref="P2232:P2295" si="875">+YEAR(G2232)</f>
        <v>2026</v>
      </c>
    </row>
    <row r="2233" spans="1:16" x14ac:dyDescent="0.25">
      <c r="A2233" s="21">
        <v>3000004353</v>
      </c>
      <c r="B2233" s="22">
        <v>46218</v>
      </c>
      <c r="C2233" s="20">
        <v>5520914.6299999999</v>
      </c>
      <c r="D2233" s="21" t="s">
        <v>652</v>
      </c>
      <c r="E2233" s="21">
        <v>91003355</v>
      </c>
      <c r="F2233" s="20">
        <v>5520914.6299999999</v>
      </c>
      <c r="G2233" s="22">
        <v>46223</v>
      </c>
      <c r="H2233" t="s">
        <v>79</v>
      </c>
      <c r="I2233" s="51" t="str">
        <f>IFERROR(IF(VLOOKUP(E2233,extracto!C:C,1,FALSE)=E2233,"pagado","no pagado"),"no pagado")</f>
        <v>pagado</v>
      </c>
      <c r="J2233" s="52" t="str">
        <f t="shared" si="870"/>
        <v>pagado</v>
      </c>
      <c r="K2233" s="51" t="str">
        <f t="shared" ca="1" si="871"/>
        <v>excluir</v>
      </c>
      <c r="L2233" s="51" t="str">
        <f t="shared" ca="1" si="872"/>
        <v>no semana</v>
      </c>
      <c r="M2233" s="51" t="str">
        <f>IFERROR(VLOOKUP(E2233,'cheques a conf'!A:D,4,FALSE),"no clearing")</f>
        <v>no clearing</v>
      </c>
      <c r="N2233" s="51">
        <f t="shared" si="873"/>
        <v>30</v>
      </c>
      <c r="O2233" s="53">
        <f t="shared" si="874"/>
        <v>7</v>
      </c>
      <c r="P2233" s="53">
        <f t="shared" si="875"/>
        <v>2026</v>
      </c>
    </row>
    <row r="2234" spans="1:16" x14ac:dyDescent="0.25">
      <c r="A2234" s="21">
        <v>3000004354</v>
      </c>
      <c r="B2234" s="22">
        <v>46218</v>
      </c>
      <c r="C2234" s="20">
        <v>6419237.9100000001</v>
      </c>
      <c r="D2234" s="21" t="s">
        <v>708</v>
      </c>
      <c r="E2234" s="21">
        <v>91003356</v>
      </c>
      <c r="F2234" s="20">
        <v>6419237.9100000001</v>
      </c>
      <c r="G2234" s="22">
        <v>46223</v>
      </c>
      <c r="H2234" t="s">
        <v>79</v>
      </c>
      <c r="I2234" s="51" t="str">
        <f>IFERROR(IF(VLOOKUP(E2234,extracto!C:C,1,FALSE)=E2234,"pagado","no pagado"),"no pagado")</f>
        <v>pagado</v>
      </c>
      <c r="J2234" s="52" t="str">
        <f t="shared" si="870"/>
        <v>pagado</v>
      </c>
      <c r="K2234" s="51" t="str">
        <f t="shared" ca="1" si="871"/>
        <v>excluir</v>
      </c>
      <c r="L2234" s="51" t="str">
        <f t="shared" ca="1" si="872"/>
        <v>no semana</v>
      </c>
      <c r="M2234" s="51" t="str">
        <f>IFERROR(VLOOKUP(E2234,'cheques a conf'!A:D,4,FALSE),"no clearing")</f>
        <v>no clearing</v>
      </c>
      <c r="N2234" s="51">
        <f t="shared" si="873"/>
        <v>30</v>
      </c>
      <c r="O2234" s="53">
        <f t="shared" si="874"/>
        <v>7</v>
      </c>
      <c r="P2234" s="53">
        <f t="shared" si="875"/>
        <v>2026</v>
      </c>
    </row>
    <row r="2235" spans="1:16" x14ac:dyDescent="0.25">
      <c r="A2235" s="21">
        <v>3000004355</v>
      </c>
      <c r="B2235" s="22">
        <v>46218</v>
      </c>
      <c r="C2235" s="20">
        <v>5945350.1200000001</v>
      </c>
      <c r="D2235" s="21" t="s">
        <v>1733</v>
      </c>
      <c r="E2235" s="21">
        <v>91003357</v>
      </c>
      <c r="F2235" s="20">
        <v>5945350.1200000001</v>
      </c>
      <c r="G2235" s="22">
        <v>46223</v>
      </c>
      <c r="H2235" t="s">
        <v>79</v>
      </c>
      <c r="I2235" s="51" t="str">
        <f>IFERROR(IF(VLOOKUP(E2235,extracto!C:C,1,FALSE)=E2235,"pagado","no pagado"),"no pagado")</f>
        <v>pagado</v>
      </c>
      <c r="J2235" s="52" t="str">
        <f t="shared" si="870"/>
        <v>pagado</v>
      </c>
      <c r="K2235" s="51" t="str">
        <f t="shared" ca="1" si="871"/>
        <v>excluir</v>
      </c>
      <c r="L2235" s="51" t="str">
        <f t="shared" ca="1" si="872"/>
        <v>no semana</v>
      </c>
      <c r="M2235" s="51" t="str">
        <f>IFERROR(VLOOKUP(E2235,'cheques a conf'!A:D,4,FALSE),"no clearing")</f>
        <v>no clearing</v>
      </c>
      <c r="N2235" s="51">
        <f t="shared" si="873"/>
        <v>30</v>
      </c>
      <c r="O2235" s="53">
        <f t="shared" si="874"/>
        <v>7</v>
      </c>
      <c r="P2235" s="53">
        <f t="shared" si="875"/>
        <v>2026</v>
      </c>
    </row>
    <row r="2236" spans="1:16" x14ac:dyDescent="0.25">
      <c r="A2236" s="21">
        <v>3000004391</v>
      </c>
      <c r="B2236" s="22">
        <v>46220</v>
      </c>
      <c r="C2236" s="20">
        <v>4500000</v>
      </c>
      <c r="D2236" s="21" t="s">
        <v>583</v>
      </c>
      <c r="E2236" s="21">
        <v>61301862</v>
      </c>
      <c r="F2236" s="20">
        <v>4500000</v>
      </c>
      <c r="G2236" s="22">
        <v>46223</v>
      </c>
      <c r="H2236" t="s">
        <v>79</v>
      </c>
      <c r="I2236" s="51" t="str">
        <f>IFERROR(IF(VLOOKUP(E2236,extracto!C:C,1,FALSE)=E2236,"pagado","no pagado"),"no pagado")</f>
        <v>pagado</v>
      </c>
      <c r="J2236" s="52" t="str">
        <f t="shared" si="870"/>
        <v>pagado</v>
      </c>
      <c r="K2236" s="51" t="str">
        <f t="shared" ca="1" si="871"/>
        <v>excluir</v>
      </c>
      <c r="L2236" s="51" t="str">
        <f t="shared" ca="1" si="872"/>
        <v>no semana</v>
      </c>
      <c r="M2236" s="51" t="str">
        <f>IFERROR(VLOOKUP(E2236,'cheques a conf'!A:D,4,FALSE),"no clearing")</f>
        <v>no clearing</v>
      </c>
      <c r="N2236" s="51">
        <f t="shared" si="873"/>
        <v>30</v>
      </c>
      <c r="O2236" s="53">
        <f t="shared" si="874"/>
        <v>7</v>
      </c>
      <c r="P2236" s="53">
        <f t="shared" si="875"/>
        <v>2026</v>
      </c>
    </row>
    <row r="2237" spans="1:16" x14ac:dyDescent="0.25">
      <c r="A2237" s="21">
        <v>3000004392</v>
      </c>
      <c r="B2237" s="22">
        <v>46220</v>
      </c>
      <c r="C2237" s="20">
        <v>1233278</v>
      </c>
      <c r="D2237" s="21" t="s">
        <v>611</v>
      </c>
      <c r="E2237" s="21">
        <v>61301863</v>
      </c>
      <c r="F2237" s="20">
        <v>1233278</v>
      </c>
      <c r="G2237" s="22">
        <v>46223</v>
      </c>
      <c r="H2237" t="s">
        <v>79</v>
      </c>
      <c r="I2237" s="51" t="str">
        <f>IFERROR(IF(VLOOKUP(E2237,extracto!C:C,1,FALSE)=E2237,"pagado","no pagado"),"no pagado")</f>
        <v>pagado</v>
      </c>
      <c r="J2237" s="52" t="str">
        <f t="shared" si="870"/>
        <v>pagado</v>
      </c>
      <c r="K2237" s="51" t="str">
        <f t="shared" ca="1" si="871"/>
        <v>excluir</v>
      </c>
      <c r="L2237" s="51" t="str">
        <f t="shared" ca="1" si="872"/>
        <v>no semana</v>
      </c>
      <c r="M2237" s="51" t="str">
        <f>IFERROR(VLOOKUP(E2237,'cheques a conf'!A:D,4,FALSE),"no clearing")</f>
        <v>no clearing</v>
      </c>
      <c r="N2237" s="51">
        <f t="shared" si="873"/>
        <v>30</v>
      </c>
      <c r="O2237" s="53">
        <f t="shared" si="874"/>
        <v>7</v>
      </c>
      <c r="P2237" s="53">
        <f t="shared" si="875"/>
        <v>2026</v>
      </c>
    </row>
    <row r="2238" spans="1:16" x14ac:dyDescent="0.25">
      <c r="A2238" s="21">
        <v>3000004469</v>
      </c>
      <c r="B2238" s="22">
        <v>46223</v>
      </c>
      <c r="C2238" s="20">
        <v>22733841.359999999</v>
      </c>
      <c r="D2238" s="21" t="s">
        <v>613</v>
      </c>
      <c r="E2238" s="21">
        <v>61301864</v>
      </c>
      <c r="F2238" s="20">
        <v>22733841.359999999</v>
      </c>
      <c r="G2238" s="22">
        <v>46226</v>
      </c>
      <c r="H2238" t="s">
        <v>79</v>
      </c>
      <c r="I2238" s="51" t="str">
        <f>IFERROR(IF(VLOOKUP(E2238,extracto!C:C,1,FALSE)=E2238,"pagado","no pagado"),"no pagado")</f>
        <v>pagado</v>
      </c>
      <c r="J2238" s="52" t="str">
        <f t="shared" si="870"/>
        <v>pagado</v>
      </c>
      <c r="K2238" s="51" t="str">
        <f t="shared" ca="1" si="871"/>
        <v>excluir</v>
      </c>
      <c r="L2238" s="51" t="str">
        <f t="shared" ca="1" si="872"/>
        <v>no semana</v>
      </c>
      <c r="M2238" s="51" t="str">
        <f>IFERROR(VLOOKUP(E2238,'cheques a conf'!A:D,4,FALSE),"no clearing")</f>
        <v>no clearing</v>
      </c>
      <c r="N2238" s="51">
        <f t="shared" si="873"/>
        <v>30</v>
      </c>
      <c r="O2238" s="53">
        <f t="shared" si="874"/>
        <v>7</v>
      </c>
      <c r="P2238" s="53">
        <f t="shared" si="875"/>
        <v>2026</v>
      </c>
    </row>
    <row r="2239" spans="1:16" x14ac:dyDescent="0.25">
      <c r="A2239" s="21">
        <v>3000004470</v>
      </c>
      <c r="B2239" s="22">
        <v>46223</v>
      </c>
      <c r="C2239" s="20">
        <v>19156407.719999999</v>
      </c>
      <c r="D2239" s="21" t="s">
        <v>600</v>
      </c>
      <c r="E2239" s="21">
        <v>91003358</v>
      </c>
      <c r="F2239" s="20">
        <v>19156407.719999999</v>
      </c>
      <c r="G2239" s="22">
        <v>46226</v>
      </c>
      <c r="H2239" t="s">
        <v>79</v>
      </c>
      <c r="I2239" s="51" t="str">
        <f>IFERROR(IF(VLOOKUP(E2239,extracto!C:C,1,FALSE)=E2239,"pagado","no pagado"),"no pagado")</f>
        <v>pagado</v>
      </c>
      <c r="J2239" s="52" t="str">
        <f t="shared" si="870"/>
        <v>pagado</v>
      </c>
      <c r="K2239" s="51" t="str">
        <f t="shared" ca="1" si="871"/>
        <v>excluir</v>
      </c>
      <c r="L2239" s="51" t="str">
        <f t="shared" ca="1" si="872"/>
        <v>no semana</v>
      </c>
      <c r="M2239" s="51" t="str">
        <f>IFERROR(VLOOKUP(E2239,'cheques a conf'!A:D,4,FALSE),"no clearing")</f>
        <v>no clearing</v>
      </c>
      <c r="N2239" s="51">
        <f t="shared" si="873"/>
        <v>30</v>
      </c>
      <c r="O2239" s="53">
        <f t="shared" si="874"/>
        <v>7</v>
      </c>
      <c r="P2239" s="53">
        <f t="shared" si="875"/>
        <v>2026</v>
      </c>
    </row>
    <row r="2240" spans="1:16" x14ac:dyDescent="0.25">
      <c r="A2240" s="21">
        <v>3000004471</v>
      </c>
      <c r="B2240" s="22">
        <v>46223</v>
      </c>
      <c r="C2240" s="20">
        <v>20646345.800000001</v>
      </c>
      <c r="D2240" s="21" t="s">
        <v>1773</v>
      </c>
      <c r="E2240" s="21">
        <v>91003359</v>
      </c>
      <c r="F2240" s="20">
        <v>20646345.800000001</v>
      </c>
      <c r="G2240" s="22">
        <v>46226</v>
      </c>
      <c r="H2240" t="s">
        <v>79</v>
      </c>
      <c r="I2240" s="51" t="str">
        <f>IFERROR(IF(VLOOKUP(E2240,extracto!C:C,1,FALSE)=E2240,"pagado","no pagado"),"no pagado")</f>
        <v>pagado</v>
      </c>
      <c r="J2240" s="52" t="str">
        <f t="shared" si="870"/>
        <v>pagado</v>
      </c>
      <c r="K2240" s="51" t="str">
        <f t="shared" ca="1" si="871"/>
        <v>excluir</v>
      </c>
      <c r="L2240" s="51" t="str">
        <f t="shared" ca="1" si="872"/>
        <v>no semana</v>
      </c>
      <c r="M2240" s="51" t="str">
        <f>IFERROR(VLOOKUP(E2240,'cheques a conf'!A:D,4,FALSE),"no clearing")</f>
        <v>no clearing</v>
      </c>
      <c r="N2240" s="51">
        <f t="shared" si="873"/>
        <v>30</v>
      </c>
      <c r="O2240" s="53">
        <f t="shared" si="874"/>
        <v>7</v>
      </c>
      <c r="P2240" s="53">
        <f t="shared" si="875"/>
        <v>2026</v>
      </c>
    </row>
    <row r="2241" spans="1:16" x14ac:dyDescent="0.25">
      <c r="A2241" s="21">
        <v>3000004472</v>
      </c>
      <c r="B2241" s="22">
        <v>46223</v>
      </c>
      <c r="C2241" s="20">
        <v>11461364.26</v>
      </c>
      <c r="D2241" s="21" t="s">
        <v>607</v>
      </c>
      <c r="E2241" s="21">
        <v>91003360</v>
      </c>
      <c r="F2241" s="20">
        <v>11461364.26</v>
      </c>
      <c r="G2241" s="22">
        <v>46226</v>
      </c>
      <c r="H2241" t="s">
        <v>79</v>
      </c>
      <c r="I2241" s="51" t="str">
        <f>IFERROR(IF(VLOOKUP(E2241,extracto!C:C,1,FALSE)=E2241,"pagado","no pagado"),"no pagado")</f>
        <v>pagado</v>
      </c>
      <c r="J2241" s="52" t="str">
        <f t="shared" si="870"/>
        <v>pagado</v>
      </c>
      <c r="K2241" s="51" t="str">
        <f t="shared" ca="1" si="871"/>
        <v>excluir</v>
      </c>
      <c r="L2241" s="51" t="str">
        <f t="shared" ca="1" si="872"/>
        <v>no semana</v>
      </c>
      <c r="M2241" s="51" t="str">
        <f>IFERROR(VLOOKUP(E2241,'cheques a conf'!A:D,4,FALSE),"no clearing")</f>
        <v>no clearing</v>
      </c>
      <c r="N2241" s="51">
        <f t="shared" si="873"/>
        <v>30</v>
      </c>
      <c r="O2241" s="53">
        <f t="shared" si="874"/>
        <v>7</v>
      </c>
      <c r="P2241" s="53">
        <f t="shared" si="875"/>
        <v>2026</v>
      </c>
    </row>
    <row r="2242" spans="1:16" x14ac:dyDescent="0.25">
      <c r="A2242" s="21">
        <v>3000004473</v>
      </c>
      <c r="B2242" s="22">
        <v>46223</v>
      </c>
      <c r="C2242" s="20">
        <v>7353600.2999999998</v>
      </c>
      <c r="D2242" s="21" t="s">
        <v>626</v>
      </c>
      <c r="E2242" s="21">
        <v>91003361</v>
      </c>
      <c r="F2242" s="20">
        <v>7353600.2999999998</v>
      </c>
      <c r="G2242" s="22">
        <v>46226</v>
      </c>
      <c r="H2242" t="s">
        <v>79</v>
      </c>
      <c r="I2242" s="51" t="str">
        <f>IFERROR(IF(VLOOKUP(E2242,extracto!C:C,1,FALSE)=E2242,"pagado","no pagado"),"no pagado")</f>
        <v>pagado</v>
      </c>
      <c r="J2242" s="52" t="str">
        <f t="shared" si="870"/>
        <v>pagado</v>
      </c>
      <c r="K2242" s="51" t="str">
        <f t="shared" ca="1" si="871"/>
        <v>excluir</v>
      </c>
      <c r="L2242" s="51" t="str">
        <f t="shared" ca="1" si="872"/>
        <v>no semana</v>
      </c>
      <c r="M2242" s="51" t="str">
        <f>IFERROR(VLOOKUP(E2242,'cheques a conf'!A:D,4,FALSE),"no clearing")</f>
        <v>no clearing</v>
      </c>
      <c r="N2242" s="51">
        <f t="shared" si="873"/>
        <v>30</v>
      </c>
      <c r="O2242" s="53">
        <f t="shared" si="874"/>
        <v>7</v>
      </c>
      <c r="P2242" s="53">
        <f t="shared" si="875"/>
        <v>2026</v>
      </c>
    </row>
    <row r="2243" spans="1:16" x14ac:dyDescent="0.25">
      <c r="A2243" s="21">
        <v>3000004474</v>
      </c>
      <c r="B2243" s="22">
        <v>46223</v>
      </c>
      <c r="C2243" s="20">
        <v>6408915.9000000004</v>
      </c>
      <c r="D2243" s="21" t="s">
        <v>743</v>
      </c>
      <c r="E2243" s="21">
        <v>91003362</v>
      </c>
      <c r="F2243" s="20">
        <v>6408915.9000000004</v>
      </c>
      <c r="G2243" s="22">
        <v>46226</v>
      </c>
      <c r="H2243" t="s">
        <v>79</v>
      </c>
      <c r="I2243" s="51" t="str">
        <f>IFERROR(IF(VLOOKUP(E2243,extracto!C:C,1,FALSE)=E2243,"pagado","no pagado"),"no pagado")</f>
        <v>pagado</v>
      </c>
      <c r="J2243" s="52" t="str">
        <f t="shared" si="870"/>
        <v>pagado</v>
      </c>
      <c r="K2243" s="51" t="str">
        <f t="shared" ca="1" si="871"/>
        <v>excluir</v>
      </c>
      <c r="L2243" s="51" t="str">
        <f t="shared" ca="1" si="872"/>
        <v>no semana</v>
      </c>
      <c r="M2243" s="51" t="str">
        <f>IFERROR(VLOOKUP(E2243,'cheques a conf'!A:D,4,FALSE),"no clearing")</f>
        <v>no clearing</v>
      </c>
      <c r="N2243" s="51">
        <f t="shared" si="873"/>
        <v>30</v>
      </c>
      <c r="O2243" s="53">
        <f t="shared" si="874"/>
        <v>7</v>
      </c>
      <c r="P2243" s="53">
        <f t="shared" si="875"/>
        <v>2026</v>
      </c>
    </row>
    <row r="2244" spans="1:16" x14ac:dyDescent="0.25">
      <c r="A2244" s="21">
        <v>3000004475</v>
      </c>
      <c r="B2244" s="22">
        <v>46223</v>
      </c>
      <c r="C2244" s="20">
        <v>11405380</v>
      </c>
      <c r="D2244" s="21" t="s">
        <v>1722</v>
      </c>
      <c r="E2244" s="21">
        <v>91003363</v>
      </c>
      <c r="F2244" s="20">
        <v>11405380</v>
      </c>
      <c r="G2244" s="22">
        <v>46226</v>
      </c>
      <c r="H2244" t="s">
        <v>79</v>
      </c>
      <c r="I2244" s="51" t="str">
        <f>IFERROR(IF(VLOOKUP(E2244,extracto!C:C,1,FALSE)=E2244,"pagado","no pagado"),"no pagado")</f>
        <v>pagado</v>
      </c>
      <c r="J2244" s="52" t="str">
        <f t="shared" si="870"/>
        <v>pagado</v>
      </c>
      <c r="K2244" s="51" t="str">
        <f t="shared" ca="1" si="871"/>
        <v>excluir</v>
      </c>
      <c r="L2244" s="51" t="str">
        <f t="shared" ca="1" si="872"/>
        <v>no semana</v>
      </c>
      <c r="M2244" s="51" t="str">
        <f>IFERROR(VLOOKUP(E2244,'cheques a conf'!A:D,4,FALSE),"no clearing")</f>
        <v>no clearing</v>
      </c>
      <c r="N2244" s="51">
        <f t="shared" si="873"/>
        <v>30</v>
      </c>
      <c r="O2244" s="53">
        <f t="shared" si="874"/>
        <v>7</v>
      </c>
      <c r="P2244" s="53">
        <f t="shared" si="875"/>
        <v>2026</v>
      </c>
    </row>
    <row r="2245" spans="1:16" x14ac:dyDescent="0.25">
      <c r="A2245" s="21">
        <v>3000004476</v>
      </c>
      <c r="B2245" s="22">
        <v>46223</v>
      </c>
      <c r="C2245" s="20">
        <v>14694000</v>
      </c>
      <c r="D2245" s="21" t="s">
        <v>1774</v>
      </c>
      <c r="E2245" s="21">
        <v>91003364</v>
      </c>
      <c r="F2245" s="20">
        <v>14694000</v>
      </c>
      <c r="G2245" s="22">
        <v>46226</v>
      </c>
      <c r="H2245" t="s">
        <v>79</v>
      </c>
      <c r="I2245" s="51" t="str">
        <f>IFERROR(IF(VLOOKUP(E2245,extracto!C:C,1,FALSE)=E2245,"pagado","no pagado"),"no pagado")</f>
        <v>pagado</v>
      </c>
      <c r="J2245" s="52" t="str">
        <f t="shared" si="870"/>
        <v>pagado</v>
      </c>
      <c r="K2245" s="51" t="str">
        <f t="shared" ca="1" si="871"/>
        <v>excluir</v>
      </c>
      <c r="L2245" s="51" t="str">
        <f t="shared" ca="1" si="872"/>
        <v>no semana</v>
      </c>
      <c r="M2245" s="51" t="str">
        <f>IFERROR(VLOOKUP(E2245,'cheques a conf'!A:D,4,FALSE),"no clearing")</f>
        <v>no clearing</v>
      </c>
      <c r="N2245" s="51">
        <f t="shared" si="873"/>
        <v>30</v>
      </c>
      <c r="O2245" s="53">
        <f t="shared" si="874"/>
        <v>7</v>
      </c>
      <c r="P2245" s="53">
        <f t="shared" si="875"/>
        <v>2026</v>
      </c>
    </row>
    <row r="2246" spans="1:16" x14ac:dyDescent="0.25">
      <c r="A2246" s="21">
        <v>3000004477</v>
      </c>
      <c r="B2246" s="22">
        <v>46223</v>
      </c>
      <c r="C2246" s="20">
        <v>15376417.08</v>
      </c>
      <c r="D2246" s="21" t="s">
        <v>618</v>
      </c>
      <c r="E2246" s="21">
        <v>91003365</v>
      </c>
      <c r="F2246" s="20">
        <v>15376417.08</v>
      </c>
      <c r="G2246" s="22">
        <v>46226</v>
      </c>
      <c r="H2246" t="s">
        <v>79</v>
      </c>
      <c r="I2246" s="51" t="str">
        <f>IFERROR(IF(VLOOKUP(E2246,extracto!C:C,1,FALSE)=E2246,"pagado","no pagado"),"no pagado")</f>
        <v>pagado</v>
      </c>
      <c r="J2246" s="52" t="str">
        <f t="shared" si="870"/>
        <v>pagado</v>
      </c>
      <c r="K2246" s="51" t="str">
        <f t="shared" ca="1" si="871"/>
        <v>excluir</v>
      </c>
      <c r="L2246" s="51" t="str">
        <f t="shared" ca="1" si="872"/>
        <v>no semana</v>
      </c>
      <c r="M2246" s="51" t="str">
        <f>IFERROR(VLOOKUP(E2246,'cheques a conf'!A:D,4,FALSE),"no clearing")</f>
        <v>no clearing</v>
      </c>
      <c r="N2246" s="51">
        <f t="shared" si="873"/>
        <v>30</v>
      </c>
      <c r="O2246" s="53">
        <f t="shared" si="874"/>
        <v>7</v>
      </c>
      <c r="P2246" s="53">
        <f t="shared" si="875"/>
        <v>2026</v>
      </c>
    </row>
    <row r="2247" spans="1:16" x14ac:dyDescent="0.25">
      <c r="A2247" s="21">
        <v>3000004478</v>
      </c>
      <c r="B2247" s="22">
        <v>46223</v>
      </c>
      <c r="C2247" s="20">
        <v>5234927.92</v>
      </c>
      <c r="D2247" s="21" t="s">
        <v>1775</v>
      </c>
      <c r="E2247" s="21">
        <v>91003366</v>
      </c>
      <c r="F2247" s="20">
        <v>5234927.92</v>
      </c>
      <c r="G2247" s="22">
        <v>46226</v>
      </c>
      <c r="H2247" t="s">
        <v>79</v>
      </c>
      <c r="I2247" s="51" t="str">
        <f>IFERROR(IF(VLOOKUP(E2247,extracto!C:C,1,FALSE)=E2247,"pagado","no pagado"),"no pagado")</f>
        <v>pagado</v>
      </c>
      <c r="J2247" s="52" t="str">
        <f t="shared" si="870"/>
        <v>pagado</v>
      </c>
      <c r="K2247" s="51" t="str">
        <f t="shared" ca="1" si="871"/>
        <v>excluir</v>
      </c>
      <c r="L2247" s="51" t="str">
        <f t="shared" ca="1" si="872"/>
        <v>no semana</v>
      </c>
      <c r="M2247" s="51" t="str">
        <f>IFERROR(VLOOKUP(E2247,'cheques a conf'!A:D,4,FALSE),"no clearing")</f>
        <v>no clearing</v>
      </c>
      <c r="N2247" s="51">
        <f t="shared" si="873"/>
        <v>30</v>
      </c>
      <c r="O2247" s="53">
        <f t="shared" si="874"/>
        <v>7</v>
      </c>
      <c r="P2247" s="53">
        <f t="shared" si="875"/>
        <v>2026</v>
      </c>
    </row>
    <row r="2248" spans="1:16" x14ac:dyDescent="0.25">
      <c r="A2248" s="21">
        <v>3000004479</v>
      </c>
      <c r="B2248" s="22">
        <v>46223</v>
      </c>
      <c r="C2248" s="20">
        <v>5777004.5099999998</v>
      </c>
      <c r="D2248" s="21" t="s">
        <v>31</v>
      </c>
      <c r="E2248" s="21">
        <v>91003367</v>
      </c>
      <c r="F2248" s="20">
        <v>5777004.5099999998</v>
      </c>
      <c r="G2248" s="22">
        <v>46226</v>
      </c>
      <c r="H2248" t="s">
        <v>79</v>
      </c>
      <c r="I2248" s="51" t="str">
        <f>IFERROR(IF(VLOOKUP(E2248,extracto!C:C,1,FALSE)=E2248,"pagado","no pagado"),"no pagado")</f>
        <v>pagado</v>
      </c>
      <c r="J2248" s="52" t="str">
        <f t="shared" si="870"/>
        <v>pagado</v>
      </c>
      <c r="K2248" s="51" t="str">
        <f t="shared" ca="1" si="871"/>
        <v>excluir</v>
      </c>
      <c r="L2248" s="51" t="str">
        <f t="shared" ca="1" si="872"/>
        <v>no semana</v>
      </c>
      <c r="M2248" s="51" t="str">
        <f>IFERROR(VLOOKUP(E2248,'cheques a conf'!A:D,4,FALSE),"no clearing")</f>
        <v>no clearing</v>
      </c>
      <c r="N2248" s="51">
        <f t="shared" si="873"/>
        <v>30</v>
      </c>
      <c r="O2248" s="53">
        <f t="shared" si="874"/>
        <v>7</v>
      </c>
      <c r="P2248" s="53">
        <f t="shared" si="875"/>
        <v>2026</v>
      </c>
    </row>
    <row r="2249" spans="1:16" x14ac:dyDescent="0.25">
      <c r="A2249" s="21">
        <v>3000004480</v>
      </c>
      <c r="B2249" s="22">
        <v>46223</v>
      </c>
      <c r="C2249" s="20">
        <v>20659765.75</v>
      </c>
      <c r="D2249" s="21" t="s">
        <v>775</v>
      </c>
      <c r="E2249" s="21">
        <v>91003368</v>
      </c>
      <c r="F2249" s="20">
        <v>20659765.75</v>
      </c>
      <c r="G2249" s="22">
        <v>46226</v>
      </c>
      <c r="H2249" t="s">
        <v>79</v>
      </c>
      <c r="I2249" s="51" t="str">
        <f>IFERROR(IF(VLOOKUP(E2249,extracto!C:C,1,FALSE)=E2249,"pagado","no pagado"),"no pagado")</f>
        <v>pagado</v>
      </c>
      <c r="J2249" s="52" t="str">
        <f t="shared" si="870"/>
        <v>pagado</v>
      </c>
      <c r="K2249" s="51" t="str">
        <f t="shared" ca="1" si="871"/>
        <v>excluir</v>
      </c>
      <c r="L2249" s="51" t="str">
        <f t="shared" ca="1" si="872"/>
        <v>no semana</v>
      </c>
      <c r="M2249" s="51" t="str">
        <f>IFERROR(VLOOKUP(E2249,'cheques a conf'!A:D,4,FALSE),"no clearing")</f>
        <v>no clearing</v>
      </c>
      <c r="N2249" s="51">
        <f t="shared" si="873"/>
        <v>30</v>
      </c>
      <c r="O2249" s="53">
        <f t="shared" si="874"/>
        <v>7</v>
      </c>
      <c r="P2249" s="53">
        <f t="shared" si="875"/>
        <v>2026</v>
      </c>
    </row>
    <row r="2250" spans="1:16" x14ac:dyDescent="0.25">
      <c r="A2250" s="21">
        <v>3000004481</v>
      </c>
      <c r="B2250" s="22">
        <v>46223</v>
      </c>
      <c r="C2250" s="20">
        <v>33765919.299999997</v>
      </c>
      <c r="D2250" s="21" t="s">
        <v>644</v>
      </c>
      <c r="E2250" s="21">
        <v>91003369</v>
      </c>
      <c r="F2250" s="20">
        <v>33765919.299999997</v>
      </c>
      <c r="G2250" s="22">
        <v>46226</v>
      </c>
      <c r="H2250" t="s">
        <v>79</v>
      </c>
      <c r="I2250" s="51" t="str">
        <f>IFERROR(IF(VLOOKUP(E2250,extracto!C:C,1,FALSE)=E2250,"pagado","no pagado"),"no pagado")</f>
        <v>pagado</v>
      </c>
      <c r="J2250" s="52" t="str">
        <f t="shared" si="870"/>
        <v>pagado</v>
      </c>
      <c r="K2250" s="51" t="str">
        <f t="shared" ca="1" si="871"/>
        <v>excluir</v>
      </c>
      <c r="L2250" s="51" t="str">
        <f t="shared" ca="1" si="872"/>
        <v>no semana</v>
      </c>
      <c r="M2250" s="51" t="str">
        <f>IFERROR(VLOOKUP(E2250,'cheques a conf'!A:D,4,FALSE),"no clearing")</f>
        <v>no clearing</v>
      </c>
      <c r="N2250" s="51">
        <f t="shared" si="873"/>
        <v>30</v>
      </c>
      <c r="O2250" s="53">
        <f t="shared" si="874"/>
        <v>7</v>
      </c>
      <c r="P2250" s="53">
        <f t="shared" si="875"/>
        <v>2026</v>
      </c>
    </row>
    <row r="2251" spans="1:16" x14ac:dyDescent="0.25">
      <c r="A2251" s="21">
        <v>3000004482</v>
      </c>
      <c r="B2251" s="22">
        <v>46223</v>
      </c>
      <c r="C2251" s="20">
        <v>11739889.42</v>
      </c>
      <c r="D2251" s="21" t="s">
        <v>622</v>
      </c>
      <c r="E2251" s="21">
        <v>91003370</v>
      </c>
      <c r="F2251" s="20">
        <v>11739889.42</v>
      </c>
      <c r="G2251" s="22">
        <v>46226</v>
      </c>
      <c r="H2251" t="s">
        <v>79</v>
      </c>
      <c r="I2251" s="51" t="str">
        <f>IFERROR(IF(VLOOKUP(E2251,extracto!C:C,1,FALSE)=E2251,"pagado","no pagado"),"no pagado")</f>
        <v>pagado</v>
      </c>
      <c r="J2251" s="52" t="str">
        <f t="shared" si="870"/>
        <v>pagado</v>
      </c>
      <c r="K2251" s="51" t="str">
        <f t="shared" ca="1" si="871"/>
        <v>excluir</v>
      </c>
      <c r="L2251" s="51" t="str">
        <f t="shared" ca="1" si="872"/>
        <v>no semana</v>
      </c>
      <c r="M2251" s="51" t="str">
        <f>IFERROR(VLOOKUP(E2251,'cheques a conf'!A:D,4,FALSE),"no clearing")</f>
        <v>no clearing</v>
      </c>
      <c r="N2251" s="51">
        <f t="shared" si="873"/>
        <v>30</v>
      </c>
      <c r="O2251" s="53">
        <f t="shared" si="874"/>
        <v>7</v>
      </c>
      <c r="P2251" s="53">
        <f t="shared" si="875"/>
        <v>2026</v>
      </c>
    </row>
    <row r="2252" spans="1:16" x14ac:dyDescent="0.25">
      <c r="A2252" s="21">
        <v>3000004483</v>
      </c>
      <c r="B2252" s="22">
        <v>46224</v>
      </c>
      <c r="C2252" s="20">
        <v>11000000</v>
      </c>
      <c r="D2252" s="21" t="s">
        <v>1776</v>
      </c>
      <c r="E2252" s="21">
        <v>91003371</v>
      </c>
      <c r="F2252" s="20">
        <v>11000000</v>
      </c>
      <c r="G2252" s="22">
        <v>46275</v>
      </c>
      <c r="H2252" t="s">
        <v>79</v>
      </c>
      <c r="I2252" s="51" t="str">
        <f>IFERROR(IF(VLOOKUP(E2252,extracto!C:C,1,FALSE)=E2252,"pagado","no pagado"),"no pagado")</f>
        <v>no pagado</v>
      </c>
      <c r="J2252" s="52" t="str">
        <f t="shared" ca="1" si="870"/>
        <v>en periodo de pago</v>
      </c>
      <c r="K2252" s="51" t="str">
        <f t="shared" ca="1" si="871"/>
        <v>proximo a vencer</v>
      </c>
      <c r="L2252" s="51" t="str">
        <f t="shared" ca="1" si="872"/>
        <v>para la semana</v>
      </c>
      <c r="M2252" s="51" t="str">
        <f>IFERROR(VLOOKUP(E2252,'cheques a conf'!A:D,4,FALSE),"no clearing")</f>
        <v>no clearing</v>
      </c>
      <c r="N2252" s="51">
        <f t="shared" si="873"/>
        <v>37</v>
      </c>
      <c r="O2252" s="53">
        <f t="shared" si="874"/>
        <v>9</v>
      </c>
      <c r="P2252" s="53">
        <f t="shared" si="875"/>
        <v>2026</v>
      </c>
    </row>
    <row r="2253" spans="1:16" x14ac:dyDescent="0.25">
      <c r="A2253" s="21">
        <v>3000004483</v>
      </c>
      <c r="B2253" s="22">
        <v>46224</v>
      </c>
      <c r="C2253" s="20">
        <v>10124650.75</v>
      </c>
      <c r="D2253" s="21" t="s">
        <v>1776</v>
      </c>
      <c r="E2253" s="21">
        <v>91003372</v>
      </c>
      <c r="F2253" s="20">
        <v>10124650.75</v>
      </c>
      <c r="G2253" s="22">
        <v>46304</v>
      </c>
      <c r="H2253" t="s">
        <v>79</v>
      </c>
      <c r="I2253" s="51" t="str">
        <f>IFERROR(IF(VLOOKUP(E2253,extracto!C:C,1,FALSE)=E2253,"pagado","no pagado"),"no pagado")</f>
        <v>no pagado</v>
      </c>
      <c r="J2253" s="52" t="str">
        <f t="shared" ca="1" si="870"/>
        <v>en periodo de pago</v>
      </c>
      <c r="K2253" s="51" t="str">
        <f t="shared" ca="1" si="871"/>
        <v>proximo a vencer</v>
      </c>
      <c r="L2253" s="51" t="str">
        <f t="shared" ca="1" si="872"/>
        <v>no semana</v>
      </c>
      <c r="M2253" s="51" t="str">
        <f>IFERROR(VLOOKUP(E2253,'cheques a conf'!A:D,4,FALSE),"no clearing")</f>
        <v>no clearing</v>
      </c>
      <c r="N2253" s="51">
        <f t="shared" si="873"/>
        <v>41</v>
      </c>
      <c r="O2253" s="53">
        <f t="shared" si="874"/>
        <v>10</v>
      </c>
      <c r="P2253" s="53">
        <f t="shared" si="875"/>
        <v>2026</v>
      </c>
    </row>
    <row r="2254" spans="1:16" x14ac:dyDescent="0.25">
      <c r="A2254" s="21">
        <v>3000004484</v>
      </c>
      <c r="B2254" s="22">
        <v>46224</v>
      </c>
      <c r="C2254" s="20">
        <v>25899764.850000001</v>
      </c>
      <c r="D2254" s="21" t="s">
        <v>631</v>
      </c>
      <c r="E2254" s="21">
        <v>91003373</v>
      </c>
      <c r="F2254" s="20">
        <v>25899764.850000001</v>
      </c>
      <c r="G2254" s="22">
        <v>46227</v>
      </c>
      <c r="H2254" t="s">
        <v>79</v>
      </c>
      <c r="I2254" s="51" t="str">
        <f>IFERROR(IF(VLOOKUP(E2254,extracto!C:C,1,FALSE)=E2254,"pagado","no pagado"),"no pagado")</f>
        <v>pagado</v>
      </c>
      <c r="J2254" s="52" t="str">
        <f t="shared" si="870"/>
        <v>pagado</v>
      </c>
      <c r="K2254" s="51" t="str">
        <f t="shared" ca="1" si="871"/>
        <v>excluir</v>
      </c>
      <c r="L2254" s="51" t="str">
        <f t="shared" ca="1" si="872"/>
        <v>no semana</v>
      </c>
      <c r="M2254" s="51" t="str">
        <f>IFERROR(VLOOKUP(E2254,'cheques a conf'!A:D,4,FALSE),"no clearing")</f>
        <v>no clearing</v>
      </c>
      <c r="N2254" s="51">
        <f t="shared" si="873"/>
        <v>30</v>
      </c>
      <c r="O2254" s="53">
        <f t="shared" si="874"/>
        <v>7</v>
      </c>
      <c r="P2254" s="53">
        <f t="shared" si="875"/>
        <v>2026</v>
      </c>
    </row>
    <row r="2255" spans="1:16" x14ac:dyDescent="0.25">
      <c r="A2255" s="21">
        <v>3000004524</v>
      </c>
      <c r="B2255" s="22">
        <v>46224</v>
      </c>
      <c r="C2255" s="20">
        <v>11087231.119999999</v>
      </c>
      <c r="D2255" s="21" t="s">
        <v>616</v>
      </c>
      <c r="E2255" s="21">
        <v>91003374</v>
      </c>
      <c r="F2255" s="20">
        <v>11087231.119999999</v>
      </c>
      <c r="G2255" s="22">
        <v>46227</v>
      </c>
      <c r="H2255" t="s">
        <v>79</v>
      </c>
      <c r="I2255" s="51" t="str">
        <f>IFERROR(IF(VLOOKUP(E2255,extracto!C:C,1,FALSE)=E2255,"pagado","no pagado"),"no pagado")</f>
        <v>pagado</v>
      </c>
      <c r="J2255" s="52" t="str">
        <f t="shared" si="870"/>
        <v>pagado</v>
      </c>
      <c r="K2255" s="51" t="str">
        <f t="shared" ca="1" si="871"/>
        <v>excluir</v>
      </c>
      <c r="L2255" s="51" t="str">
        <f t="shared" ca="1" si="872"/>
        <v>no semana</v>
      </c>
      <c r="M2255" s="51" t="str">
        <f>IFERROR(VLOOKUP(E2255,'cheques a conf'!A:D,4,FALSE),"no clearing")</f>
        <v>no clearing</v>
      </c>
      <c r="N2255" s="51">
        <f t="shared" si="873"/>
        <v>30</v>
      </c>
      <c r="O2255" s="53">
        <f t="shared" si="874"/>
        <v>7</v>
      </c>
      <c r="P2255" s="53">
        <f t="shared" si="875"/>
        <v>2026</v>
      </c>
    </row>
    <row r="2256" spans="1:16" x14ac:dyDescent="0.25">
      <c r="A2256" s="21">
        <v>3000004525</v>
      </c>
      <c r="B2256" s="22">
        <v>46224</v>
      </c>
      <c r="C2256" s="20">
        <v>39978684.420000002</v>
      </c>
      <c r="D2256" s="21" t="s">
        <v>618</v>
      </c>
      <c r="E2256" s="21">
        <v>91003375</v>
      </c>
      <c r="F2256" s="20">
        <v>39978684.420000002</v>
      </c>
      <c r="G2256" s="22">
        <v>46227</v>
      </c>
      <c r="H2256" t="s">
        <v>79</v>
      </c>
      <c r="I2256" s="51" t="str">
        <f>IFERROR(IF(VLOOKUP(E2256,extracto!C:C,1,FALSE)=E2256,"pagado","no pagado"),"no pagado")</f>
        <v>pagado</v>
      </c>
      <c r="J2256" s="52" t="str">
        <f t="shared" si="870"/>
        <v>pagado</v>
      </c>
      <c r="K2256" s="51" t="str">
        <f t="shared" ca="1" si="871"/>
        <v>excluir</v>
      </c>
      <c r="L2256" s="51" t="str">
        <f t="shared" ca="1" si="872"/>
        <v>no semana</v>
      </c>
      <c r="M2256" s="51" t="str">
        <f>IFERROR(VLOOKUP(E2256,'cheques a conf'!A:D,4,FALSE),"no clearing")</f>
        <v>no clearing</v>
      </c>
      <c r="N2256" s="51">
        <f t="shared" si="873"/>
        <v>30</v>
      </c>
      <c r="O2256" s="53">
        <f t="shared" si="874"/>
        <v>7</v>
      </c>
      <c r="P2256" s="53">
        <f t="shared" si="875"/>
        <v>2026</v>
      </c>
    </row>
    <row r="2257" spans="1:16" x14ac:dyDescent="0.25">
      <c r="A2257" s="21">
        <v>3000004526</v>
      </c>
      <c r="B2257" s="22">
        <v>46224</v>
      </c>
      <c r="C2257" s="20">
        <v>18202167.920000002</v>
      </c>
      <c r="D2257" s="21" t="s">
        <v>596</v>
      </c>
      <c r="E2257" s="21">
        <v>91003376</v>
      </c>
      <c r="F2257" s="20">
        <v>18202167.920000002</v>
      </c>
      <c r="G2257" s="22">
        <v>46227</v>
      </c>
      <c r="H2257" t="s">
        <v>79</v>
      </c>
      <c r="I2257" s="51" t="str">
        <f>IFERROR(IF(VLOOKUP(E2257,extracto!C:C,1,FALSE)=E2257,"pagado","no pagado"),"no pagado")</f>
        <v>pagado</v>
      </c>
      <c r="J2257" s="52" t="str">
        <f t="shared" si="870"/>
        <v>pagado</v>
      </c>
      <c r="K2257" s="51" t="str">
        <f t="shared" ca="1" si="871"/>
        <v>excluir</v>
      </c>
      <c r="L2257" s="51" t="str">
        <f t="shared" ca="1" si="872"/>
        <v>no semana</v>
      </c>
      <c r="M2257" s="51" t="str">
        <f>IFERROR(VLOOKUP(E2257,'cheques a conf'!A:D,4,FALSE),"no clearing")</f>
        <v>no clearing</v>
      </c>
      <c r="N2257" s="51">
        <f t="shared" si="873"/>
        <v>30</v>
      </c>
      <c r="O2257" s="53">
        <f t="shared" si="874"/>
        <v>7</v>
      </c>
      <c r="P2257" s="53">
        <f t="shared" si="875"/>
        <v>2026</v>
      </c>
    </row>
    <row r="2258" spans="1:16" x14ac:dyDescent="0.25">
      <c r="A2258" s="21">
        <v>3000004527</v>
      </c>
      <c r="B2258" s="22">
        <v>46224</v>
      </c>
      <c r="C2258" s="20">
        <v>7920167.9199999999</v>
      </c>
      <c r="D2258" s="21" t="s">
        <v>732</v>
      </c>
      <c r="E2258" s="21">
        <v>91003377</v>
      </c>
      <c r="F2258" s="20">
        <v>7920167.9199999999</v>
      </c>
      <c r="G2258" s="22">
        <v>46227</v>
      </c>
      <c r="H2258" t="s">
        <v>79</v>
      </c>
      <c r="I2258" s="51" t="str">
        <f>IFERROR(IF(VLOOKUP(E2258,extracto!C:C,1,FALSE)=E2258,"pagado","no pagado"),"no pagado")</f>
        <v>pagado</v>
      </c>
      <c r="J2258" s="52" t="str">
        <f t="shared" si="870"/>
        <v>pagado</v>
      </c>
      <c r="K2258" s="51" t="str">
        <f t="shared" ca="1" si="871"/>
        <v>excluir</v>
      </c>
      <c r="L2258" s="51" t="str">
        <f t="shared" ca="1" si="872"/>
        <v>no semana</v>
      </c>
      <c r="M2258" s="51" t="str">
        <f>IFERROR(VLOOKUP(E2258,'cheques a conf'!A:D,4,FALSE),"no clearing")</f>
        <v>no clearing</v>
      </c>
      <c r="N2258" s="51">
        <f t="shared" si="873"/>
        <v>30</v>
      </c>
      <c r="O2258" s="53">
        <f t="shared" si="874"/>
        <v>7</v>
      </c>
      <c r="P2258" s="53">
        <f t="shared" si="875"/>
        <v>2026</v>
      </c>
    </row>
    <row r="2259" spans="1:16" x14ac:dyDescent="0.25">
      <c r="A2259" s="21">
        <v>3000004528</v>
      </c>
      <c r="B2259" s="22">
        <v>46224</v>
      </c>
      <c r="C2259" s="20">
        <v>33109439.16</v>
      </c>
      <c r="D2259" s="21" t="s">
        <v>661</v>
      </c>
      <c r="E2259" s="21">
        <v>91003378</v>
      </c>
      <c r="F2259" s="20">
        <v>33109439.16</v>
      </c>
      <c r="G2259" s="22">
        <v>46227</v>
      </c>
      <c r="H2259" t="s">
        <v>79</v>
      </c>
      <c r="I2259" s="51" t="str">
        <f>IFERROR(IF(VLOOKUP(E2259,extracto!C:C,1,FALSE)=E2259,"pagado","no pagado"),"no pagado")</f>
        <v>pagado</v>
      </c>
      <c r="J2259" s="52" t="str">
        <f t="shared" si="870"/>
        <v>pagado</v>
      </c>
      <c r="K2259" s="51" t="str">
        <f t="shared" ca="1" si="871"/>
        <v>excluir</v>
      </c>
      <c r="L2259" s="51" t="str">
        <f t="shared" ca="1" si="872"/>
        <v>no semana</v>
      </c>
      <c r="M2259" s="51" t="str">
        <f>IFERROR(VLOOKUP(E2259,'cheques a conf'!A:D,4,FALSE),"no clearing")</f>
        <v>no clearing</v>
      </c>
      <c r="N2259" s="51">
        <f t="shared" si="873"/>
        <v>30</v>
      </c>
      <c r="O2259" s="53">
        <f t="shared" si="874"/>
        <v>7</v>
      </c>
      <c r="P2259" s="53">
        <f t="shared" si="875"/>
        <v>2026</v>
      </c>
    </row>
    <row r="2260" spans="1:16" x14ac:dyDescent="0.25">
      <c r="A2260" s="21">
        <v>3000004529</v>
      </c>
      <c r="B2260" s="22">
        <v>46224</v>
      </c>
      <c r="C2260" s="20">
        <v>10067805.58</v>
      </c>
      <c r="D2260" s="21" t="s">
        <v>657</v>
      </c>
      <c r="E2260" s="21">
        <v>91003379</v>
      </c>
      <c r="F2260" s="20">
        <v>10067805.58</v>
      </c>
      <c r="G2260" s="22">
        <v>46227</v>
      </c>
      <c r="H2260" t="s">
        <v>79</v>
      </c>
      <c r="I2260" s="51" t="str">
        <f>IFERROR(IF(VLOOKUP(E2260,extracto!C:C,1,FALSE)=E2260,"pagado","no pagado"),"no pagado")</f>
        <v>pagado</v>
      </c>
      <c r="J2260" s="52" t="str">
        <f t="shared" si="870"/>
        <v>pagado</v>
      </c>
      <c r="K2260" s="51" t="str">
        <f t="shared" ca="1" si="871"/>
        <v>excluir</v>
      </c>
      <c r="L2260" s="51" t="str">
        <f t="shared" ca="1" si="872"/>
        <v>no semana</v>
      </c>
      <c r="M2260" s="51" t="str">
        <f>IFERROR(VLOOKUP(E2260,'cheques a conf'!A:D,4,FALSE),"no clearing")</f>
        <v>no clearing</v>
      </c>
      <c r="N2260" s="51">
        <f t="shared" si="873"/>
        <v>30</v>
      </c>
      <c r="O2260" s="53">
        <f t="shared" si="874"/>
        <v>7</v>
      </c>
      <c r="P2260" s="53">
        <f t="shared" si="875"/>
        <v>2026</v>
      </c>
    </row>
    <row r="2261" spans="1:16" x14ac:dyDescent="0.25">
      <c r="A2261" s="21">
        <v>3000004530</v>
      </c>
      <c r="B2261" s="22">
        <v>46224</v>
      </c>
      <c r="C2261" s="20">
        <v>11350142.369999999</v>
      </c>
      <c r="D2261" s="21" t="s">
        <v>619</v>
      </c>
      <c r="E2261" s="21">
        <v>91003380</v>
      </c>
      <c r="F2261" s="20">
        <v>11350142.369999999</v>
      </c>
      <c r="G2261" s="22">
        <v>46227</v>
      </c>
      <c r="H2261" t="s">
        <v>79</v>
      </c>
      <c r="I2261" s="51" t="str">
        <f>IFERROR(IF(VLOOKUP(E2261,extracto!C:C,1,FALSE)=E2261,"pagado","no pagado"),"no pagado")</f>
        <v>pagado</v>
      </c>
      <c r="J2261" s="52" t="str">
        <f t="shared" si="870"/>
        <v>pagado</v>
      </c>
      <c r="K2261" s="51" t="str">
        <f t="shared" ca="1" si="871"/>
        <v>excluir</v>
      </c>
      <c r="L2261" s="51" t="str">
        <f t="shared" ca="1" si="872"/>
        <v>no semana</v>
      </c>
      <c r="M2261" s="51" t="str">
        <f>IFERROR(VLOOKUP(E2261,'cheques a conf'!A:D,4,FALSE),"no clearing")</f>
        <v>no clearing</v>
      </c>
      <c r="N2261" s="51">
        <f t="shared" si="873"/>
        <v>30</v>
      </c>
      <c r="O2261" s="53">
        <f t="shared" si="874"/>
        <v>7</v>
      </c>
      <c r="P2261" s="53">
        <f t="shared" si="875"/>
        <v>2026</v>
      </c>
    </row>
    <row r="2262" spans="1:16" x14ac:dyDescent="0.25">
      <c r="A2262" s="21">
        <v>3000004537</v>
      </c>
      <c r="B2262" s="22">
        <v>46225</v>
      </c>
      <c r="C2262" s="20">
        <v>43955280</v>
      </c>
      <c r="D2262" s="21" t="s">
        <v>25</v>
      </c>
      <c r="E2262" s="21">
        <v>95780904</v>
      </c>
      <c r="F2262" s="20">
        <v>43955280</v>
      </c>
      <c r="G2262" s="22">
        <v>46225</v>
      </c>
      <c r="H2262" t="s">
        <v>79</v>
      </c>
      <c r="I2262" s="51" t="str">
        <f>IFERROR(IF(VLOOKUP(E2262,extracto!C:C,1,FALSE)=E2262,"pagado","no pagado"),"no pagado")</f>
        <v>pagado</v>
      </c>
      <c r="J2262" s="52" t="str">
        <f t="shared" si="870"/>
        <v>pagado</v>
      </c>
      <c r="K2262" s="51" t="str">
        <f t="shared" ca="1" si="871"/>
        <v>excluir</v>
      </c>
      <c r="L2262" s="51" t="str">
        <f t="shared" ca="1" si="872"/>
        <v>no semana</v>
      </c>
      <c r="M2262" s="51" t="str">
        <f>IFERROR(VLOOKUP(E2262,'cheques a conf'!A:D,4,FALSE),"no clearing")</f>
        <v>no clearing</v>
      </c>
      <c r="N2262" s="51">
        <f t="shared" si="873"/>
        <v>30</v>
      </c>
      <c r="O2262" s="53">
        <f t="shared" si="874"/>
        <v>7</v>
      </c>
      <c r="P2262" s="53">
        <f t="shared" si="875"/>
        <v>2026</v>
      </c>
    </row>
    <row r="2263" spans="1:16" x14ac:dyDescent="0.25">
      <c r="A2263" s="21">
        <v>3000004672</v>
      </c>
      <c r="B2263" s="22">
        <v>46230</v>
      </c>
      <c r="C2263" s="20">
        <v>4099325.68</v>
      </c>
      <c r="D2263" s="21" t="s">
        <v>659</v>
      </c>
      <c r="E2263" s="21">
        <v>61301865</v>
      </c>
      <c r="F2263" s="20">
        <v>4099325.68</v>
      </c>
      <c r="G2263" s="22">
        <v>46233</v>
      </c>
      <c r="H2263" t="s">
        <v>79</v>
      </c>
      <c r="I2263" s="51" t="str">
        <f>IFERROR(IF(VLOOKUP(E2263,extracto!C:C,1,FALSE)=E2263,"pagado","no pagado"),"no pagado")</f>
        <v>pagado</v>
      </c>
      <c r="J2263" s="52" t="str">
        <f t="shared" si="870"/>
        <v>pagado</v>
      </c>
      <c r="K2263" s="51" t="str">
        <f t="shared" ca="1" si="871"/>
        <v>excluir</v>
      </c>
      <c r="L2263" s="51" t="str">
        <f t="shared" ca="1" si="872"/>
        <v>no semana</v>
      </c>
      <c r="M2263" s="51" t="str">
        <f>IFERROR(VLOOKUP(E2263,'cheques a conf'!A:D,4,FALSE),"no clearing")</f>
        <v>no clearing</v>
      </c>
      <c r="N2263" s="51">
        <f t="shared" si="873"/>
        <v>31</v>
      </c>
      <c r="O2263" s="53">
        <f t="shared" si="874"/>
        <v>7</v>
      </c>
      <c r="P2263" s="53">
        <f t="shared" si="875"/>
        <v>2026</v>
      </c>
    </row>
    <row r="2264" spans="1:16" x14ac:dyDescent="0.25">
      <c r="A2264" s="21">
        <v>3000004661</v>
      </c>
      <c r="B2264" s="22">
        <v>46231</v>
      </c>
      <c r="C2264" s="20">
        <v>10488239.15</v>
      </c>
      <c r="D2264" s="21" t="s">
        <v>623</v>
      </c>
      <c r="E2264" s="21">
        <v>91003381</v>
      </c>
      <c r="F2264" s="20">
        <v>10488239.15</v>
      </c>
      <c r="G2264" s="22">
        <v>46233</v>
      </c>
      <c r="H2264" t="s">
        <v>79</v>
      </c>
      <c r="I2264" s="51" t="str">
        <f>IFERROR(IF(VLOOKUP(E2264,extracto!C:C,1,FALSE)=E2264,"pagado","no pagado"),"no pagado")</f>
        <v>pagado</v>
      </c>
      <c r="J2264" s="52" t="str">
        <f t="shared" si="870"/>
        <v>pagado</v>
      </c>
      <c r="K2264" s="51" t="str">
        <f t="shared" ca="1" si="871"/>
        <v>excluir</v>
      </c>
      <c r="L2264" s="51" t="str">
        <f t="shared" ca="1" si="872"/>
        <v>no semana</v>
      </c>
      <c r="M2264" s="51" t="str">
        <f>IFERROR(VLOOKUP(E2264,'cheques a conf'!A:D,4,FALSE),"no clearing")</f>
        <v>no clearing</v>
      </c>
      <c r="N2264" s="51">
        <f t="shared" si="873"/>
        <v>31</v>
      </c>
      <c r="O2264" s="53">
        <f t="shared" si="874"/>
        <v>7</v>
      </c>
      <c r="P2264" s="53">
        <f t="shared" si="875"/>
        <v>2026</v>
      </c>
    </row>
    <row r="2265" spans="1:16" x14ac:dyDescent="0.25">
      <c r="A2265" s="21">
        <v>3000004662</v>
      </c>
      <c r="B2265" s="22">
        <v>46231</v>
      </c>
      <c r="C2265" s="20">
        <v>5042700.57</v>
      </c>
      <c r="D2265" s="21" t="s">
        <v>595</v>
      </c>
      <c r="E2265" s="21">
        <v>91003382</v>
      </c>
      <c r="F2265" s="20">
        <v>5042700.57</v>
      </c>
      <c r="G2265" s="22">
        <v>46233</v>
      </c>
      <c r="H2265" t="s">
        <v>79</v>
      </c>
      <c r="I2265" s="51" t="str">
        <f>IFERROR(IF(VLOOKUP(E2265,extracto!C:C,1,FALSE)=E2265,"pagado","no pagado"),"no pagado")</f>
        <v>pagado</v>
      </c>
      <c r="J2265" s="52" t="str">
        <f t="shared" si="870"/>
        <v>pagado</v>
      </c>
      <c r="K2265" s="51" t="str">
        <f t="shared" ca="1" si="871"/>
        <v>excluir</v>
      </c>
      <c r="L2265" s="51" t="str">
        <f t="shared" ca="1" si="872"/>
        <v>no semana</v>
      </c>
      <c r="M2265" s="51" t="str">
        <f>IFERROR(VLOOKUP(E2265,'cheques a conf'!A:D,4,FALSE),"no clearing")</f>
        <v>no clearing</v>
      </c>
      <c r="N2265" s="51">
        <f t="shared" si="873"/>
        <v>31</v>
      </c>
      <c r="O2265" s="53">
        <f t="shared" si="874"/>
        <v>7</v>
      </c>
      <c r="P2265" s="53">
        <f t="shared" si="875"/>
        <v>2026</v>
      </c>
    </row>
    <row r="2266" spans="1:16" x14ac:dyDescent="0.25">
      <c r="A2266" s="21">
        <v>3000004663</v>
      </c>
      <c r="B2266" s="22">
        <v>46231</v>
      </c>
      <c r="C2266" s="20">
        <v>8354146</v>
      </c>
      <c r="D2266" s="21" t="s">
        <v>1782</v>
      </c>
      <c r="E2266" s="21">
        <v>91003383</v>
      </c>
      <c r="F2266" s="20">
        <v>8354146</v>
      </c>
      <c r="G2266" s="22">
        <v>46233</v>
      </c>
      <c r="H2266" t="s">
        <v>79</v>
      </c>
      <c r="I2266" s="51" t="str">
        <f>IFERROR(IF(VLOOKUP(E2266,extracto!C:C,1,FALSE)=E2266,"pagado","no pagado"),"no pagado")</f>
        <v>pagado</v>
      </c>
      <c r="J2266" s="52" t="str">
        <f t="shared" si="870"/>
        <v>pagado</v>
      </c>
      <c r="K2266" s="51" t="str">
        <f t="shared" ca="1" si="871"/>
        <v>excluir</v>
      </c>
      <c r="L2266" s="51" t="str">
        <f t="shared" ca="1" si="872"/>
        <v>no semana</v>
      </c>
      <c r="M2266" s="51" t="str">
        <f>IFERROR(VLOOKUP(E2266,'cheques a conf'!A:D,4,FALSE),"no clearing")</f>
        <v>no clearing</v>
      </c>
      <c r="N2266" s="51">
        <f t="shared" si="873"/>
        <v>31</v>
      </c>
      <c r="O2266" s="53">
        <f t="shared" si="874"/>
        <v>7</v>
      </c>
      <c r="P2266" s="53">
        <f t="shared" si="875"/>
        <v>2026</v>
      </c>
    </row>
    <row r="2267" spans="1:16" x14ac:dyDescent="0.25">
      <c r="A2267" s="21">
        <v>3000004664</v>
      </c>
      <c r="B2267" s="22">
        <v>46231</v>
      </c>
      <c r="C2267" s="20">
        <v>7500000</v>
      </c>
      <c r="D2267" s="21" t="s">
        <v>1736</v>
      </c>
      <c r="E2267" s="21">
        <v>91003384</v>
      </c>
      <c r="F2267" s="20">
        <v>7500000</v>
      </c>
      <c r="G2267" s="22">
        <v>46233</v>
      </c>
      <c r="H2267" t="s">
        <v>79</v>
      </c>
      <c r="I2267" s="51" t="str">
        <f>IFERROR(IF(VLOOKUP(E2267,extracto!C:C,1,FALSE)=E2267,"pagado","no pagado"),"no pagado")</f>
        <v>pagado</v>
      </c>
      <c r="J2267" s="52" t="str">
        <f t="shared" si="870"/>
        <v>pagado</v>
      </c>
      <c r="K2267" s="51" t="str">
        <f t="shared" ca="1" si="871"/>
        <v>excluir</v>
      </c>
      <c r="L2267" s="51" t="str">
        <f t="shared" ca="1" si="872"/>
        <v>no semana</v>
      </c>
      <c r="M2267" s="51" t="str">
        <f>IFERROR(VLOOKUP(E2267,'cheques a conf'!A:D,4,FALSE),"no clearing")</f>
        <v>no clearing</v>
      </c>
      <c r="N2267" s="51">
        <f t="shared" si="873"/>
        <v>31</v>
      </c>
      <c r="O2267" s="53">
        <f t="shared" si="874"/>
        <v>7</v>
      </c>
      <c r="P2267" s="53">
        <f t="shared" si="875"/>
        <v>2026</v>
      </c>
    </row>
    <row r="2268" spans="1:16" x14ac:dyDescent="0.25">
      <c r="A2268" s="21">
        <v>3000004665</v>
      </c>
      <c r="B2268" s="22">
        <v>46231</v>
      </c>
      <c r="C2268" s="20">
        <v>45669992.840000004</v>
      </c>
      <c r="D2268" s="21" t="s">
        <v>626</v>
      </c>
      <c r="E2268" s="21">
        <v>91003385</v>
      </c>
      <c r="F2268" s="20">
        <v>45669992.840000004</v>
      </c>
      <c r="G2268" s="22">
        <v>46233</v>
      </c>
      <c r="H2268" t="s">
        <v>79</v>
      </c>
      <c r="I2268" s="51" t="str">
        <f>IFERROR(IF(VLOOKUP(E2268,extracto!C:C,1,FALSE)=E2268,"pagado","no pagado"),"no pagado")</f>
        <v>pagado</v>
      </c>
      <c r="J2268" s="52" t="str">
        <f t="shared" si="870"/>
        <v>pagado</v>
      </c>
      <c r="K2268" s="51" t="str">
        <f t="shared" ca="1" si="871"/>
        <v>excluir</v>
      </c>
      <c r="L2268" s="51" t="str">
        <f t="shared" ca="1" si="872"/>
        <v>no semana</v>
      </c>
      <c r="M2268" s="51" t="str">
        <f>IFERROR(VLOOKUP(E2268,'cheques a conf'!A:D,4,FALSE),"no clearing")</f>
        <v>no clearing</v>
      </c>
      <c r="N2268" s="51">
        <f t="shared" si="873"/>
        <v>31</v>
      </c>
      <c r="O2268" s="53">
        <f t="shared" si="874"/>
        <v>7</v>
      </c>
      <c r="P2268" s="53">
        <f t="shared" si="875"/>
        <v>2026</v>
      </c>
    </row>
    <row r="2269" spans="1:16" x14ac:dyDescent="0.25">
      <c r="A2269" s="21">
        <v>3000004666</v>
      </c>
      <c r="B2269" s="22">
        <v>46231</v>
      </c>
      <c r="C2269" s="20">
        <v>6316433.0099999998</v>
      </c>
      <c r="D2269" s="21" t="s">
        <v>675</v>
      </c>
      <c r="E2269" s="21">
        <v>91003386</v>
      </c>
      <c r="F2269" s="20">
        <v>6316433.0099999998</v>
      </c>
      <c r="G2269" s="22">
        <v>46233</v>
      </c>
      <c r="H2269" t="s">
        <v>79</v>
      </c>
      <c r="I2269" s="51" t="str">
        <f>IFERROR(IF(VLOOKUP(E2269,extracto!C:C,1,FALSE)=E2269,"pagado","no pagado"),"no pagado")</f>
        <v>pagado</v>
      </c>
      <c r="J2269" s="52" t="str">
        <f t="shared" si="870"/>
        <v>pagado</v>
      </c>
      <c r="K2269" s="51" t="str">
        <f t="shared" ca="1" si="871"/>
        <v>excluir</v>
      </c>
      <c r="L2269" s="51" t="str">
        <f t="shared" ca="1" si="872"/>
        <v>no semana</v>
      </c>
      <c r="M2269" s="51" t="str">
        <f>IFERROR(VLOOKUP(E2269,'cheques a conf'!A:D,4,FALSE),"no clearing")</f>
        <v>no clearing</v>
      </c>
      <c r="N2269" s="51">
        <f t="shared" si="873"/>
        <v>31</v>
      </c>
      <c r="O2269" s="53">
        <f t="shared" si="874"/>
        <v>7</v>
      </c>
      <c r="P2269" s="53">
        <f t="shared" si="875"/>
        <v>2026</v>
      </c>
    </row>
    <row r="2270" spans="1:16" x14ac:dyDescent="0.25">
      <c r="A2270" s="21">
        <v>3000004667</v>
      </c>
      <c r="B2270" s="22">
        <v>46231</v>
      </c>
      <c r="C2270" s="20">
        <v>11501432.369999999</v>
      </c>
      <c r="D2270" s="21" t="s">
        <v>85</v>
      </c>
      <c r="E2270" s="21">
        <v>91003387</v>
      </c>
      <c r="F2270" s="20">
        <v>11501432.369999999</v>
      </c>
      <c r="G2270" s="22">
        <v>46233</v>
      </c>
      <c r="H2270" t="s">
        <v>79</v>
      </c>
      <c r="I2270" s="51" t="str">
        <f>IFERROR(IF(VLOOKUP(E2270,extracto!C:C,1,FALSE)=E2270,"pagado","no pagado"),"no pagado")</f>
        <v>pagado</v>
      </c>
      <c r="J2270" s="52" t="str">
        <f t="shared" si="870"/>
        <v>pagado</v>
      </c>
      <c r="K2270" s="51" t="str">
        <f t="shared" ca="1" si="871"/>
        <v>excluir</v>
      </c>
      <c r="L2270" s="51" t="str">
        <f t="shared" ca="1" si="872"/>
        <v>no semana</v>
      </c>
      <c r="M2270" s="51" t="str">
        <f>IFERROR(VLOOKUP(E2270,'cheques a conf'!A:D,4,FALSE),"no clearing")</f>
        <v>no clearing</v>
      </c>
      <c r="N2270" s="51">
        <f t="shared" si="873"/>
        <v>31</v>
      </c>
      <c r="O2270" s="53">
        <f t="shared" si="874"/>
        <v>7</v>
      </c>
      <c r="P2270" s="53">
        <f t="shared" si="875"/>
        <v>2026</v>
      </c>
    </row>
    <row r="2271" spans="1:16" x14ac:dyDescent="0.25">
      <c r="A2271" s="21">
        <v>3000004668</v>
      </c>
      <c r="B2271" s="22">
        <v>46231</v>
      </c>
      <c r="C2271" s="20">
        <v>15516146.66</v>
      </c>
      <c r="D2271" s="21" t="s">
        <v>89</v>
      </c>
      <c r="E2271" s="21">
        <v>91003388</v>
      </c>
      <c r="F2271" s="20">
        <v>15516146.66</v>
      </c>
      <c r="G2271" s="22">
        <v>46233</v>
      </c>
      <c r="H2271" t="s">
        <v>79</v>
      </c>
      <c r="I2271" s="51" t="str">
        <f>IFERROR(IF(VLOOKUP(E2271,extracto!C:C,1,FALSE)=E2271,"pagado","no pagado"),"no pagado")</f>
        <v>pagado</v>
      </c>
      <c r="J2271" s="52" t="str">
        <f t="shared" si="870"/>
        <v>pagado</v>
      </c>
      <c r="K2271" s="51" t="str">
        <f t="shared" ca="1" si="871"/>
        <v>excluir</v>
      </c>
      <c r="L2271" s="51" t="str">
        <f t="shared" ca="1" si="872"/>
        <v>no semana</v>
      </c>
      <c r="M2271" s="51" t="str">
        <f>IFERROR(VLOOKUP(E2271,'cheques a conf'!A:D,4,FALSE),"no clearing")</f>
        <v>no clearing</v>
      </c>
      <c r="N2271" s="51">
        <f t="shared" si="873"/>
        <v>31</v>
      </c>
      <c r="O2271" s="53">
        <f t="shared" si="874"/>
        <v>7</v>
      </c>
      <c r="P2271" s="53">
        <f t="shared" si="875"/>
        <v>2026</v>
      </c>
    </row>
    <row r="2272" spans="1:16" x14ac:dyDescent="0.25">
      <c r="A2272" s="21">
        <v>3000004669</v>
      </c>
      <c r="B2272" s="22">
        <v>46231</v>
      </c>
      <c r="C2272" s="20">
        <v>37344496.280000001</v>
      </c>
      <c r="D2272" s="21" t="s">
        <v>613</v>
      </c>
      <c r="E2272" s="21">
        <v>91003389</v>
      </c>
      <c r="F2272" s="20">
        <v>37344496.280000001</v>
      </c>
      <c r="G2272" s="22">
        <v>46233</v>
      </c>
      <c r="H2272" t="s">
        <v>79</v>
      </c>
      <c r="I2272" s="51" t="str">
        <f>IFERROR(IF(VLOOKUP(E2272,extracto!C:C,1,FALSE)=E2272,"pagado","no pagado"),"no pagado")</f>
        <v>pagado</v>
      </c>
      <c r="J2272" s="52" t="str">
        <f t="shared" si="870"/>
        <v>pagado</v>
      </c>
      <c r="K2272" s="51" t="str">
        <f t="shared" ca="1" si="871"/>
        <v>excluir</v>
      </c>
      <c r="L2272" s="51" t="str">
        <f t="shared" ca="1" si="872"/>
        <v>no semana</v>
      </c>
      <c r="M2272" s="51" t="str">
        <f>IFERROR(VLOOKUP(E2272,'cheques a conf'!A:D,4,FALSE),"no clearing")</f>
        <v>no clearing</v>
      </c>
      <c r="N2272" s="51">
        <f t="shared" si="873"/>
        <v>31</v>
      </c>
      <c r="O2272" s="53">
        <f t="shared" si="874"/>
        <v>7</v>
      </c>
      <c r="P2272" s="53">
        <f t="shared" si="875"/>
        <v>2026</v>
      </c>
    </row>
    <row r="2273" spans="1:16" x14ac:dyDescent="0.25">
      <c r="A2273" s="21">
        <v>3000004670</v>
      </c>
      <c r="B2273" s="22">
        <v>46231</v>
      </c>
      <c r="C2273" s="20">
        <v>11831043.35</v>
      </c>
      <c r="D2273" s="21" t="s">
        <v>619</v>
      </c>
      <c r="E2273" s="21">
        <v>91003390</v>
      </c>
      <c r="F2273" s="20">
        <v>11831043.35</v>
      </c>
      <c r="G2273" s="22">
        <v>46233</v>
      </c>
      <c r="H2273" t="s">
        <v>79</v>
      </c>
      <c r="I2273" s="51" t="str">
        <f>IFERROR(IF(VLOOKUP(E2273,extracto!C:C,1,FALSE)=E2273,"pagado","no pagado"),"no pagado")</f>
        <v>pagado</v>
      </c>
      <c r="J2273" s="52" t="str">
        <f t="shared" si="870"/>
        <v>pagado</v>
      </c>
      <c r="K2273" s="51" t="str">
        <f t="shared" ca="1" si="871"/>
        <v>excluir</v>
      </c>
      <c r="L2273" s="51" t="str">
        <f t="shared" ca="1" si="872"/>
        <v>no semana</v>
      </c>
      <c r="M2273" s="51" t="str">
        <f>IFERROR(VLOOKUP(E2273,'cheques a conf'!A:D,4,FALSE),"no clearing")</f>
        <v>no clearing</v>
      </c>
      <c r="N2273" s="51">
        <f t="shared" si="873"/>
        <v>31</v>
      </c>
      <c r="O2273" s="53">
        <f t="shared" si="874"/>
        <v>7</v>
      </c>
      <c r="P2273" s="53">
        <f t="shared" si="875"/>
        <v>2026</v>
      </c>
    </row>
    <row r="2274" spans="1:16" x14ac:dyDescent="0.25">
      <c r="A2274" s="21">
        <v>3000004671</v>
      </c>
      <c r="B2274" s="22">
        <v>46231</v>
      </c>
      <c r="C2274" s="20">
        <v>7650430.1399999997</v>
      </c>
      <c r="D2274" s="21" t="s">
        <v>1783</v>
      </c>
      <c r="E2274" s="21">
        <v>91003391</v>
      </c>
      <c r="F2274" s="20">
        <v>7650430.1399999997</v>
      </c>
      <c r="G2274" s="22">
        <v>46233</v>
      </c>
      <c r="H2274" t="s">
        <v>79</v>
      </c>
      <c r="I2274" s="51" t="str">
        <f>IFERROR(IF(VLOOKUP(E2274,extracto!C:C,1,FALSE)=E2274,"pagado","no pagado"),"no pagado")</f>
        <v>pagado</v>
      </c>
      <c r="J2274" s="52" t="str">
        <f t="shared" si="870"/>
        <v>pagado</v>
      </c>
      <c r="K2274" s="51" t="str">
        <f t="shared" ca="1" si="871"/>
        <v>excluir</v>
      </c>
      <c r="L2274" s="51" t="str">
        <f t="shared" ca="1" si="872"/>
        <v>no semana</v>
      </c>
      <c r="M2274" s="51" t="str">
        <f>IFERROR(VLOOKUP(E2274,'cheques a conf'!A:D,4,FALSE),"no clearing")</f>
        <v>no clearing</v>
      </c>
      <c r="N2274" s="51">
        <f t="shared" si="873"/>
        <v>31</v>
      </c>
      <c r="O2274" s="53">
        <f t="shared" si="874"/>
        <v>7</v>
      </c>
      <c r="P2274" s="53">
        <f t="shared" si="875"/>
        <v>2026</v>
      </c>
    </row>
    <row r="2275" spans="1:16" x14ac:dyDescent="0.25">
      <c r="A2275" s="21">
        <v>3000004700</v>
      </c>
      <c r="B2275" s="22">
        <v>46231</v>
      </c>
      <c r="C2275" s="20">
        <v>7283525.3799999999</v>
      </c>
      <c r="D2275" s="21" t="s">
        <v>664</v>
      </c>
      <c r="E2275" s="21">
        <v>91003392</v>
      </c>
      <c r="F2275" s="20">
        <v>7283525.3799999999</v>
      </c>
      <c r="G2275" s="22">
        <v>46234</v>
      </c>
      <c r="H2275" t="s">
        <v>79</v>
      </c>
      <c r="I2275" s="51" t="str">
        <f>IFERROR(IF(VLOOKUP(E2275,extracto!C:C,1,FALSE)=E2275,"pagado","no pagado"),"no pagado")</f>
        <v>pagado</v>
      </c>
      <c r="J2275" s="52" t="str">
        <f t="shared" si="870"/>
        <v>pagado</v>
      </c>
      <c r="K2275" s="51" t="str">
        <f t="shared" ca="1" si="871"/>
        <v>excluir</v>
      </c>
      <c r="L2275" s="51" t="str">
        <f t="shared" ca="1" si="872"/>
        <v>no semana</v>
      </c>
      <c r="M2275" s="51" t="str">
        <f>IFERROR(VLOOKUP(E2275,'cheques a conf'!A:D,4,FALSE),"no clearing")</f>
        <v>no clearing</v>
      </c>
      <c r="N2275" s="51">
        <f t="shared" si="873"/>
        <v>31</v>
      </c>
      <c r="O2275" s="53">
        <f t="shared" si="874"/>
        <v>7</v>
      </c>
      <c r="P2275" s="53">
        <f t="shared" si="875"/>
        <v>2026</v>
      </c>
    </row>
    <row r="2276" spans="1:16" x14ac:dyDescent="0.25">
      <c r="A2276" s="21">
        <v>3000004701</v>
      </c>
      <c r="B2276" s="22">
        <v>46231</v>
      </c>
      <c r="C2276" s="20">
        <v>6709593.46</v>
      </c>
      <c r="D2276" s="21" t="s">
        <v>1783</v>
      </c>
      <c r="E2276" s="21">
        <v>91003393</v>
      </c>
      <c r="F2276" s="20">
        <v>6709593.46</v>
      </c>
      <c r="G2276" s="22">
        <v>46234</v>
      </c>
      <c r="H2276" t="s">
        <v>79</v>
      </c>
      <c r="I2276" s="51" t="str">
        <f>IFERROR(IF(VLOOKUP(E2276,extracto!C:C,1,FALSE)=E2276,"pagado","no pagado"),"no pagado")</f>
        <v>pagado</v>
      </c>
      <c r="J2276" s="52" t="str">
        <f t="shared" si="870"/>
        <v>pagado</v>
      </c>
      <c r="K2276" s="51" t="str">
        <f t="shared" ca="1" si="871"/>
        <v>excluir</v>
      </c>
      <c r="L2276" s="51" t="str">
        <f t="shared" ca="1" si="872"/>
        <v>no semana</v>
      </c>
      <c r="M2276" s="51" t="str">
        <f>IFERROR(VLOOKUP(E2276,'cheques a conf'!A:D,4,FALSE),"no clearing")</f>
        <v>no clearing</v>
      </c>
      <c r="N2276" s="51">
        <f t="shared" si="873"/>
        <v>31</v>
      </c>
      <c r="O2276" s="53">
        <f t="shared" si="874"/>
        <v>7</v>
      </c>
      <c r="P2276" s="53">
        <f t="shared" si="875"/>
        <v>2026</v>
      </c>
    </row>
    <row r="2277" spans="1:16" x14ac:dyDescent="0.25">
      <c r="A2277" s="21">
        <v>3000004702</v>
      </c>
      <c r="B2277" s="22">
        <v>46231</v>
      </c>
      <c r="C2277" s="20">
        <v>8044675.6399999997</v>
      </c>
      <c r="D2277" s="21" t="s">
        <v>693</v>
      </c>
      <c r="E2277" s="21">
        <v>91003394</v>
      </c>
      <c r="F2277" s="20">
        <v>8044675.6399999997</v>
      </c>
      <c r="G2277" s="22">
        <v>46234</v>
      </c>
      <c r="H2277" t="s">
        <v>79</v>
      </c>
      <c r="I2277" s="51" t="str">
        <f>IFERROR(IF(VLOOKUP(E2277,extracto!C:C,1,FALSE)=E2277,"pagado","no pagado"),"no pagado")</f>
        <v>pagado</v>
      </c>
      <c r="J2277" s="52" t="str">
        <f t="shared" si="870"/>
        <v>pagado</v>
      </c>
      <c r="K2277" s="51" t="str">
        <f t="shared" ca="1" si="871"/>
        <v>excluir</v>
      </c>
      <c r="L2277" s="51" t="str">
        <f t="shared" ca="1" si="872"/>
        <v>no semana</v>
      </c>
      <c r="M2277" s="51" t="str">
        <f>IFERROR(VLOOKUP(E2277,'cheques a conf'!A:D,4,FALSE),"no clearing")</f>
        <v>no clearing</v>
      </c>
      <c r="N2277" s="51">
        <f t="shared" si="873"/>
        <v>31</v>
      </c>
      <c r="O2277" s="53">
        <f t="shared" si="874"/>
        <v>7</v>
      </c>
      <c r="P2277" s="53">
        <f t="shared" si="875"/>
        <v>2026</v>
      </c>
    </row>
    <row r="2278" spans="1:16" x14ac:dyDescent="0.25">
      <c r="A2278" s="21">
        <v>3000004703</v>
      </c>
      <c r="B2278" s="22">
        <v>46231</v>
      </c>
      <c r="C2278" s="20">
        <v>20407800</v>
      </c>
      <c r="D2278" s="21" t="s">
        <v>621</v>
      </c>
      <c r="E2278" s="21">
        <v>91003395</v>
      </c>
      <c r="F2278" s="20">
        <v>20407800</v>
      </c>
      <c r="G2278" s="22">
        <v>46234</v>
      </c>
      <c r="H2278" t="s">
        <v>79</v>
      </c>
      <c r="I2278" s="51" t="str">
        <f>IFERROR(IF(VLOOKUP(E2278,extracto!C:C,1,FALSE)=E2278,"pagado","no pagado"),"no pagado")</f>
        <v>pagado</v>
      </c>
      <c r="J2278" s="52" t="str">
        <f t="shared" si="870"/>
        <v>pagado</v>
      </c>
      <c r="K2278" s="51" t="str">
        <f t="shared" ca="1" si="871"/>
        <v>excluir</v>
      </c>
      <c r="L2278" s="51" t="str">
        <f t="shared" ca="1" si="872"/>
        <v>no semana</v>
      </c>
      <c r="M2278" s="51" t="str">
        <f>IFERROR(VLOOKUP(E2278,'cheques a conf'!A:D,4,FALSE),"no clearing")</f>
        <v>no clearing</v>
      </c>
      <c r="N2278" s="51">
        <f t="shared" si="873"/>
        <v>31</v>
      </c>
      <c r="O2278" s="53">
        <f t="shared" si="874"/>
        <v>7</v>
      </c>
      <c r="P2278" s="53">
        <f t="shared" si="875"/>
        <v>2026</v>
      </c>
    </row>
    <row r="2279" spans="1:16" x14ac:dyDescent="0.25">
      <c r="A2279" s="21">
        <v>3000004704</v>
      </c>
      <c r="B2279" s="22">
        <v>46231</v>
      </c>
      <c r="C2279" s="20">
        <v>27129969.649999999</v>
      </c>
      <c r="D2279" s="21" t="s">
        <v>1738</v>
      </c>
      <c r="E2279" s="21">
        <v>91003396</v>
      </c>
      <c r="F2279" s="20">
        <v>27129969.649999999</v>
      </c>
      <c r="G2279" s="22">
        <v>46234</v>
      </c>
      <c r="H2279" t="s">
        <v>79</v>
      </c>
      <c r="I2279" s="51" t="str">
        <f>IFERROR(IF(VLOOKUP(E2279,extracto!C:C,1,FALSE)=E2279,"pagado","no pagado"),"no pagado")</f>
        <v>pagado</v>
      </c>
      <c r="J2279" s="52" t="str">
        <f t="shared" si="870"/>
        <v>pagado</v>
      </c>
      <c r="K2279" s="51" t="str">
        <f t="shared" ca="1" si="871"/>
        <v>excluir</v>
      </c>
      <c r="L2279" s="51" t="str">
        <f t="shared" ca="1" si="872"/>
        <v>no semana</v>
      </c>
      <c r="M2279" s="51" t="str">
        <f>IFERROR(VLOOKUP(E2279,'cheques a conf'!A:D,4,FALSE),"no clearing")</f>
        <v>no clearing</v>
      </c>
      <c r="N2279" s="51">
        <f t="shared" si="873"/>
        <v>31</v>
      </c>
      <c r="O2279" s="53">
        <f t="shared" si="874"/>
        <v>7</v>
      </c>
      <c r="P2279" s="53">
        <f t="shared" si="875"/>
        <v>2026</v>
      </c>
    </row>
    <row r="2280" spans="1:16" x14ac:dyDescent="0.25">
      <c r="A2280" s="21">
        <v>3000004705</v>
      </c>
      <c r="B2280" s="22">
        <v>46231</v>
      </c>
      <c r="C2280" s="20">
        <v>18868422.68</v>
      </c>
      <c r="D2280" s="21" t="s">
        <v>1784</v>
      </c>
      <c r="E2280" s="21">
        <v>91003397</v>
      </c>
      <c r="F2280" s="20">
        <v>18868422.68</v>
      </c>
      <c r="G2280" s="22">
        <v>46234</v>
      </c>
      <c r="H2280" t="s">
        <v>79</v>
      </c>
      <c r="I2280" s="51" t="str">
        <f>IFERROR(IF(VLOOKUP(E2280,extracto!C:C,1,FALSE)=E2280,"pagado","no pagado"),"no pagado")</f>
        <v>pagado</v>
      </c>
      <c r="J2280" s="52" t="str">
        <f t="shared" si="870"/>
        <v>pagado</v>
      </c>
      <c r="K2280" s="51" t="str">
        <f t="shared" ca="1" si="871"/>
        <v>excluir</v>
      </c>
      <c r="L2280" s="51" t="str">
        <f t="shared" ca="1" si="872"/>
        <v>no semana</v>
      </c>
      <c r="M2280" s="51" t="str">
        <f>IFERROR(VLOOKUP(E2280,'cheques a conf'!A:D,4,FALSE),"no clearing")</f>
        <v>no clearing</v>
      </c>
      <c r="N2280" s="51">
        <f t="shared" si="873"/>
        <v>31</v>
      </c>
      <c r="O2280" s="53">
        <f t="shared" si="874"/>
        <v>7</v>
      </c>
      <c r="P2280" s="53">
        <f t="shared" si="875"/>
        <v>2026</v>
      </c>
    </row>
    <row r="2281" spans="1:16" x14ac:dyDescent="0.25">
      <c r="A2281" s="21">
        <v>3000004706</v>
      </c>
      <c r="B2281" s="22">
        <v>46231</v>
      </c>
      <c r="C2281" s="20">
        <v>27158985</v>
      </c>
      <c r="D2281" s="21" t="s">
        <v>618</v>
      </c>
      <c r="E2281" s="21">
        <v>91003398</v>
      </c>
      <c r="F2281" s="20">
        <v>27158985</v>
      </c>
      <c r="G2281" s="22">
        <v>46234</v>
      </c>
      <c r="H2281" t="s">
        <v>79</v>
      </c>
      <c r="I2281" s="51" t="str">
        <f>IFERROR(IF(VLOOKUP(E2281,extracto!C:C,1,FALSE)=E2281,"pagado","no pagado"),"no pagado")</f>
        <v>pagado</v>
      </c>
      <c r="J2281" s="52" t="str">
        <f t="shared" si="870"/>
        <v>pagado</v>
      </c>
      <c r="K2281" s="51" t="str">
        <f t="shared" ca="1" si="871"/>
        <v>excluir</v>
      </c>
      <c r="L2281" s="51" t="str">
        <f t="shared" ca="1" si="872"/>
        <v>no semana</v>
      </c>
      <c r="M2281" s="51" t="str">
        <f>IFERROR(VLOOKUP(E2281,'cheques a conf'!A:D,4,FALSE),"no clearing")</f>
        <v>no clearing</v>
      </c>
      <c r="N2281" s="51">
        <f t="shared" si="873"/>
        <v>31</v>
      </c>
      <c r="O2281" s="53">
        <f t="shared" si="874"/>
        <v>7</v>
      </c>
      <c r="P2281" s="53">
        <f t="shared" si="875"/>
        <v>2026</v>
      </c>
    </row>
    <row r="2282" spans="1:16" x14ac:dyDescent="0.25">
      <c r="A2282" s="21">
        <v>3000004707</v>
      </c>
      <c r="B2282" s="22">
        <v>46231</v>
      </c>
      <c r="C2282" s="20">
        <v>16283235.300000001</v>
      </c>
      <c r="D2282" s="21" t="s">
        <v>642</v>
      </c>
      <c r="E2282" s="21">
        <v>91003399</v>
      </c>
      <c r="F2282" s="20">
        <v>16283235.300000001</v>
      </c>
      <c r="G2282" s="22">
        <v>46234</v>
      </c>
      <c r="H2282" t="s">
        <v>79</v>
      </c>
      <c r="I2282" s="51" t="str">
        <f>IFERROR(IF(VLOOKUP(E2282,extracto!C:C,1,FALSE)=E2282,"pagado","no pagado"),"no pagado")</f>
        <v>pagado</v>
      </c>
      <c r="J2282" s="52" t="str">
        <f t="shared" si="870"/>
        <v>pagado</v>
      </c>
      <c r="K2282" s="51" t="str">
        <f t="shared" ca="1" si="871"/>
        <v>excluir</v>
      </c>
      <c r="L2282" s="51" t="str">
        <f t="shared" ca="1" si="872"/>
        <v>no semana</v>
      </c>
      <c r="M2282" s="51" t="str">
        <f>IFERROR(VLOOKUP(E2282,'cheques a conf'!A:D,4,FALSE),"no clearing")</f>
        <v>no clearing</v>
      </c>
      <c r="N2282" s="51">
        <f t="shared" si="873"/>
        <v>31</v>
      </c>
      <c r="O2282" s="53">
        <f t="shared" si="874"/>
        <v>7</v>
      </c>
      <c r="P2282" s="53">
        <f t="shared" si="875"/>
        <v>2026</v>
      </c>
    </row>
    <row r="2283" spans="1:16" x14ac:dyDescent="0.25">
      <c r="A2283" s="21">
        <v>3000004708</v>
      </c>
      <c r="B2283" s="22">
        <v>46231</v>
      </c>
      <c r="C2283" s="20">
        <v>10504023.1</v>
      </c>
      <c r="D2283" s="21" t="s">
        <v>686</v>
      </c>
      <c r="E2283" s="21">
        <v>91003400</v>
      </c>
      <c r="F2283" s="20">
        <v>10504023.1</v>
      </c>
      <c r="G2283" s="22">
        <v>46234</v>
      </c>
      <c r="H2283" t="s">
        <v>79</v>
      </c>
      <c r="I2283" s="51" t="str">
        <f>IFERROR(IF(VLOOKUP(E2283,extracto!C:C,1,FALSE)=E2283,"pagado","no pagado"),"no pagado")</f>
        <v>pagado</v>
      </c>
      <c r="J2283" s="52" t="str">
        <f t="shared" si="870"/>
        <v>pagado</v>
      </c>
      <c r="K2283" s="51" t="str">
        <f t="shared" ca="1" si="871"/>
        <v>excluir</v>
      </c>
      <c r="L2283" s="51" t="str">
        <f t="shared" ca="1" si="872"/>
        <v>no semana</v>
      </c>
      <c r="M2283" s="51" t="str">
        <f>IFERROR(VLOOKUP(E2283,'cheques a conf'!A:D,4,FALSE),"no clearing")</f>
        <v>no clearing</v>
      </c>
      <c r="N2283" s="51">
        <f t="shared" si="873"/>
        <v>31</v>
      </c>
      <c r="O2283" s="53">
        <f t="shared" si="874"/>
        <v>7</v>
      </c>
      <c r="P2283" s="53">
        <f t="shared" si="875"/>
        <v>2026</v>
      </c>
    </row>
    <row r="2284" spans="1:16" x14ac:dyDescent="0.25">
      <c r="A2284" s="21">
        <v>3000004709</v>
      </c>
      <c r="B2284" s="22">
        <v>46231</v>
      </c>
      <c r="C2284" s="20">
        <v>21831600</v>
      </c>
      <c r="D2284" s="21" t="s">
        <v>761</v>
      </c>
      <c r="E2284" s="21">
        <v>91003401</v>
      </c>
      <c r="F2284" s="20">
        <v>21831600</v>
      </c>
      <c r="G2284" s="22">
        <v>46234</v>
      </c>
      <c r="H2284" t="s">
        <v>79</v>
      </c>
      <c r="I2284" s="51" t="str">
        <f>IFERROR(IF(VLOOKUP(E2284,extracto!C:C,1,FALSE)=E2284,"pagado","no pagado"),"no pagado")</f>
        <v>pagado</v>
      </c>
      <c r="J2284" s="52" t="str">
        <f t="shared" si="870"/>
        <v>pagado</v>
      </c>
      <c r="K2284" s="51" t="str">
        <f t="shared" ca="1" si="871"/>
        <v>excluir</v>
      </c>
      <c r="L2284" s="51" t="str">
        <f t="shared" ca="1" si="872"/>
        <v>no semana</v>
      </c>
      <c r="M2284" s="51" t="str">
        <f>IFERROR(VLOOKUP(E2284,'cheques a conf'!A:D,4,FALSE),"no clearing")</f>
        <v>no clearing</v>
      </c>
      <c r="N2284" s="51">
        <f t="shared" si="873"/>
        <v>31</v>
      </c>
      <c r="O2284" s="53">
        <f t="shared" si="874"/>
        <v>7</v>
      </c>
      <c r="P2284" s="53">
        <f t="shared" si="875"/>
        <v>2026</v>
      </c>
    </row>
    <row r="2285" spans="1:16" x14ac:dyDescent="0.25">
      <c r="A2285" s="21">
        <v>3000004710</v>
      </c>
      <c r="B2285" s="22">
        <v>46231</v>
      </c>
      <c r="C2285" s="20">
        <v>8400733.9900000002</v>
      </c>
      <c r="D2285" s="21" t="s">
        <v>1737</v>
      </c>
      <c r="E2285" s="21">
        <v>91003402</v>
      </c>
      <c r="F2285" s="20">
        <v>8400733.9900000002</v>
      </c>
      <c r="G2285" s="22">
        <v>46234</v>
      </c>
      <c r="H2285" t="s">
        <v>79</v>
      </c>
      <c r="I2285" s="51" t="str">
        <f>IFERROR(IF(VLOOKUP(E2285,extracto!C:C,1,FALSE)=E2285,"pagado","no pagado"),"no pagado")</f>
        <v>pagado</v>
      </c>
      <c r="J2285" s="52" t="str">
        <f t="shared" si="870"/>
        <v>pagado</v>
      </c>
      <c r="K2285" s="51" t="str">
        <f t="shared" ca="1" si="871"/>
        <v>excluir</v>
      </c>
      <c r="L2285" s="51" t="str">
        <f t="shared" ca="1" si="872"/>
        <v>no semana</v>
      </c>
      <c r="M2285" s="51" t="str">
        <f>IFERROR(VLOOKUP(E2285,'cheques a conf'!A:D,4,FALSE),"no clearing")</f>
        <v>no clearing</v>
      </c>
      <c r="N2285" s="51">
        <f t="shared" si="873"/>
        <v>31</v>
      </c>
      <c r="O2285" s="53">
        <f t="shared" si="874"/>
        <v>7</v>
      </c>
      <c r="P2285" s="53">
        <f t="shared" si="875"/>
        <v>2026</v>
      </c>
    </row>
    <row r="2286" spans="1:16" x14ac:dyDescent="0.25">
      <c r="A2286" s="21">
        <v>3000004711</v>
      </c>
      <c r="B2286" s="22">
        <v>46231</v>
      </c>
      <c r="C2286" s="20">
        <v>30083865.960000001</v>
      </c>
      <c r="D2286" s="21" t="s">
        <v>661</v>
      </c>
      <c r="E2286" s="21">
        <v>91003403</v>
      </c>
      <c r="F2286" s="20">
        <v>30083865.960000001</v>
      </c>
      <c r="G2286" s="22">
        <v>46234</v>
      </c>
      <c r="H2286" t="s">
        <v>79</v>
      </c>
      <c r="I2286" s="51" t="str">
        <f>IFERROR(IF(VLOOKUP(E2286,extracto!C:C,1,FALSE)=E2286,"pagado","no pagado"),"no pagado")</f>
        <v>pagado</v>
      </c>
      <c r="J2286" s="52" t="str">
        <f t="shared" si="870"/>
        <v>pagado</v>
      </c>
      <c r="K2286" s="51" t="str">
        <f t="shared" ca="1" si="871"/>
        <v>excluir</v>
      </c>
      <c r="L2286" s="51" t="str">
        <f t="shared" ca="1" si="872"/>
        <v>no semana</v>
      </c>
      <c r="M2286" s="51" t="str">
        <f>IFERROR(VLOOKUP(E2286,'cheques a conf'!A:D,4,FALSE),"no clearing")</f>
        <v>no clearing</v>
      </c>
      <c r="N2286" s="51">
        <f t="shared" si="873"/>
        <v>31</v>
      </c>
      <c r="O2286" s="53">
        <f t="shared" si="874"/>
        <v>7</v>
      </c>
      <c r="P2286" s="53">
        <f t="shared" si="875"/>
        <v>2026</v>
      </c>
    </row>
    <row r="2287" spans="1:16" x14ac:dyDescent="0.25">
      <c r="A2287" s="21">
        <v>3000004712</v>
      </c>
      <c r="B2287" s="22">
        <v>46231</v>
      </c>
      <c r="C2287" s="20">
        <v>16006021.18</v>
      </c>
      <c r="D2287" s="21" t="s">
        <v>31</v>
      </c>
      <c r="E2287" s="21">
        <v>91003404</v>
      </c>
      <c r="F2287" s="20">
        <v>16006021.18</v>
      </c>
      <c r="G2287" s="22">
        <v>46234</v>
      </c>
      <c r="H2287" t="s">
        <v>79</v>
      </c>
      <c r="I2287" s="51" t="str">
        <f>IFERROR(IF(VLOOKUP(E2287,extracto!C:C,1,FALSE)=E2287,"pagado","no pagado"),"no pagado")</f>
        <v>pagado</v>
      </c>
      <c r="J2287" s="52" t="str">
        <f t="shared" si="870"/>
        <v>pagado</v>
      </c>
      <c r="K2287" s="51" t="str">
        <f t="shared" ca="1" si="871"/>
        <v>excluir</v>
      </c>
      <c r="L2287" s="51" t="str">
        <f t="shared" ca="1" si="872"/>
        <v>no semana</v>
      </c>
      <c r="M2287" s="51" t="str">
        <f>IFERROR(VLOOKUP(E2287,'cheques a conf'!A:D,4,FALSE),"no clearing")</f>
        <v>no clearing</v>
      </c>
      <c r="N2287" s="51">
        <f t="shared" si="873"/>
        <v>31</v>
      </c>
      <c r="O2287" s="53">
        <f t="shared" si="874"/>
        <v>7</v>
      </c>
      <c r="P2287" s="53">
        <f t="shared" si="875"/>
        <v>2026</v>
      </c>
    </row>
    <row r="2288" spans="1:16" x14ac:dyDescent="0.25">
      <c r="A2288" s="21">
        <v>3000004713</v>
      </c>
      <c r="B2288" s="22">
        <v>46231</v>
      </c>
      <c r="C2288" s="20">
        <v>6841482.0199999996</v>
      </c>
      <c r="D2288" s="21" t="s">
        <v>672</v>
      </c>
      <c r="E2288" s="21">
        <v>91003405</v>
      </c>
      <c r="F2288" s="20">
        <v>6841482.0199999996</v>
      </c>
      <c r="G2288" s="22">
        <v>46234</v>
      </c>
      <c r="H2288" t="s">
        <v>79</v>
      </c>
      <c r="I2288" s="51" t="str">
        <f>IFERROR(IF(VLOOKUP(E2288,extracto!C:C,1,FALSE)=E2288,"pagado","no pagado"),"no pagado")</f>
        <v>pagado</v>
      </c>
      <c r="J2288" s="52" t="str">
        <f t="shared" si="870"/>
        <v>pagado</v>
      </c>
      <c r="K2288" s="51" t="str">
        <f t="shared" ca="1" si="871"/>
        <v>excluir</v>
      </c>
      <c r="L2288" s="51" t="str">
        <f t="shared" ca="1" si="872"/>
        <v>no semana</v>
      </c>
      <c r="M2288" s="51" t="str">
        <f>IFERROR(VLOOKUP(E2288,'cheques a conf'!A:D,4,FALSE),"no clearing")</f>
        <v>no clearing</v>
      </c>
      <c r="N2288" s="51">
        <f t="shared" si="873"/>
        <v>31</v>
      </c>
      <c r="O2288" s="53">
        <f t="shared" si="874"/>
        <v>7</v>
      </c>
      <c r="P2288" s="53">
        <f t="shared" si="875"/>
        <v>2026</v>
      </c>
    </row>
    <row r="2289" spans="1:16" x14ac:dyDescent="0.25">
      <c r="A2289" s="21">
        <v>3000004714</v>
      </c>
      <c r="B2289" s="22">
        <v>46231</v>
      </c>
      <c r="C2289" s="20">
        <v>13769881.73</v>
      </c>
      <c r="D2289" s="21" t="s">
        <v>616</v>
      </c>
      <c r="E2289" s="21">
        <v>91003406</v>
      </c>
      <c r="F2289" s="20">
        <v>13769881.73</v>
      </c>
      <c r="G2289" s="22">
        <v>46234</v>
      </c>
      <c r="H2289" t="s">
        <v>79</v>
      </c>
      <c r="I2289" s="51" t="str">
        <f>IFERROR(IF(VLOOKUP(E2289,extracto!C:C,1,FALSE)=E2289,"pagado","no pagado"),"no pagado")</f>
        <v>pagado</v>
      </c>
      <c r="J2289" s="52" t="str">
        <f t="shared" si="870"/>
        <v>pagado</v>
      </c>
      <c r="K2289" s="51" t="str">
        <f t="shared" ca="1" si="871"/>
        <v>excluir</v>
      </c>
      <c r="L2289" s="51" t="str">
        <f t="shared" ca="1" si="872"/>
        <v>no semana</v>
      </c>
      <c r="M2289" s="51" t="str">
        <f>IFERROR(VLOOKUP(E2289,'cheques a conf'!A:D,4,FALSE),"no clearing")</f>
        <v>no clearing</v>
      </c>
      <c r="N2289" s="51">
        <f t="shared" si="873"/>
        <v>31</v>
      </c>
      <c r="O2289" s="53">
        <f t="shared" si="874"/>
        <v>7</v>
      </c>
      <c r="P2289" s="53">
        <f t="shared" si="875"/>
        <v>2026</v>
      </c>
    </row>
    <row r="2290" spans="1:16" x14ac:dyDescent="0.25">
      <c r="A2290" s="21">
        <v>3000004765</v>
      </c>
      <c r="B2290" s="22">
        <v>46232</v>
      </c>
      <c r="C2290" s="20">
        <v>1005781.98</v>
      </c>
      <c r="D2290" s="21" t="s">
        <v>611</v>
      </c>
      <c r="E2290" s="21">
        <v>61301866</v>
      </c>
      <c r="F2290" s="20">
        <v>1005781.98</v>
      </c>
      <c r="G2290" s="22">
        <v>46234</v>
      </c>
      <c r="H2290" t="s">
        <v>79</v>
      </c>
      <c r="I2290" s="51" t="str">
        <f>IFERROR(IF(VLOOKUP(E2290,extracto!C:C,1,FALSE)=E2290,"pagado","no pagado"),"no pagado")</f>
        <v>pagado</v>
      </c>
      <c r="J2290" s="52" t="str">
        <f t="shared" si="870"/>
        <v>pagado</v>
      </c>
      <c r="K2290" s="51" t="str">
        <f t="shared" ca="1" si="871"/>
        <v>excluir</v>
      </c>
      <c r="L2290" s="51" t="str">
        <f t="shared" ca="1" si="872"/>
        <v>no semana</v>
      </c>
      <c r="M2290" s="51" t="str">
        <f>IFERROR(VLOOKUP(E2290,'cheques a conf'!A:D,4,FALSE),"no clearing")</f>
        <v>no clearing</v>
      </c>
      <c r="N2290" s="51">
        <f t="shared" si="873"/>
        <v>31</v>
      </c>
      <c r="O2290" s="53">
        <f t="shared" si="874"/>
        <v>7</v>
      </c>
      <c r="P2290" s="53">
        <f t="shared" si="875"/>
        <v>2026</v>
      </c>
    </row>
    <row r="2291" spans="1:16" x14ac:dyDescent="0.25">
      <c r="A2291" s="21">
        <v>3000004837</v>
      </c>
      <c r="B2291" s="22">
        <v>46237</v>
      </c>
      <c r="C2291" s="20">
        <v>5762882.5300000003</v>
      </c>
      <c r="D2291" s="21" t="s">
        <v>633</v>
      </c>
      <c r="E2291" s="21">
        <v>91003407</v>
      </c>
      <c r="F2291" s="20">
        <v>5762882.5300000003</v>
      </c>
      <c r="G2291" s="22">
        <v>46241</v>
      </c>
      <c r="H2291" t="s">
        <v>79</v>
      </c>
      <c r="I2291" s="51" t="str">
        <f>IFERROR(IF(VLOOKUP(E2291,extracto!C:C,1,FALSE)=E2291,"pagado","no pagado"),"no pagado")</f>
        <v>pagado</v>
      </c>
      <c r="J2291" s="52" t="str">
        <f t="shared" si="870"/>
        <v>pagado</v>
      </c>
      <c r="K2291" s="51" t="str">
        <f t="shared" ca="1" si="871"/>
        <v>excluir</v>
      </c>
      <c r="L2291" s="51" t="str">
        <f t="shared" ca="1" si="872"/>
        <v>no semana</v>
      </c>
      <c r="M2291" s="51" t="str">
        <f>IFERROR(VLOOKUP(E2291,'cheques a conf'!A:D,4,FALSE),"no clearing")</f>
        <v>no clearing</v>
      </c>
      <c r="N2291" s="51">
        <f t="shared" si="873"/>
        <v>32</v>
      </c>
      <c r="O2291" s="53">
        <f t="shared" si="874"/>
        <v>8</v>
      </c>
      <c r="P2291" s="53">
        <f t="shared" si="875"/>
        <v>2026</v>
      </c>
    </row>
    <row r="2292" spans="1:16" x14ac:dyDescent="0.25">
      <c r="A2292" s="21">
        <v>3000004838</v>
      </c>
      <c r="B2292" s="22">
        <v>46237</v>
      </c>
      <c r="C2292" s="20">
        <v>7479389.4400000004</v>
      </c>
      <c r="D2292" s="21" t="s">
        <v>756</v>
      </c>
      <c r="E2292" s="21">
        <v>91003408</v>
      </c>
      <c r="F2292" s="20">
        <v>7479389.4400000004</v>
      </c>
      <c r="G2292" s="22">
        <v>46241</v>
      </c>
      <c r="H2292" t="s">
        <v>79</v>
      </c>
      <c r="I2292" s="51" t="str">
        <f>IFERROR(IF(VLOOKUP(E2292,extracto!C:C,1,FALSE)=E2292,"pagado","no pagado"),"no pagado")</f>
        <v>pagado</v>
      </c>
      <c r="J2292" s="52" t="str">
        <f t="shared" si="870"/>
        <v>pagado</v>
      </c>
      <c r="K2292" s="51" t="str">
        <f t="shared" ca="1" si="871"/>
        <v>excluir</v>
      </c>
      <c r="L2292" s="51" t="str">
        <f t="shared" ca="1" si="872"/>
        <v>no semana</v>
      </c>
      <c r="M2292" s="51" t="str">
        <f>IFERROR(VLOOKUP(E2292,'cheques a conf'!A:D,4,FALSE),"no clearing")</f>
        <v>no clearing</v>
      </c>
      <c r="N2292" s="51">
        <f t="shared" si="873"/>
        <v>32</v>
      </c>
      <c r="O2292" s="53">
        <f t="shared" si="874"/>
        <v>8</v>
      </c>
      <c r="P2292" s="53">
        <f t="shared" si="875"/>
        <v>2026</v>
      </c>
    </row>
    <row r="2293" spans="1:16" x14ac:dyDescent="0.25">
      <c r="A2293" s="21">
        <v>3000004839</v>
      </c>
      <c r="B2293" s="22">
        <v>46237</v>
      </c>
      <c r="C2293" s="20">
        <v>6873096</v>
      </c>
      <c r="D2293" s="21" t="s">
        <v>76</v>
      </c>
      <c r="E2293" s="21">
        <v>91003409</v>
      </c>
      <c r="F2293" s="20">
        <v>6873096</v>
      </c>
      <c r="G2293" s="22">
        <v>46241</v>
      </c>
      <c r="H2293" t="s">
        <v>79</v>
      </c>
      <c r="I2293" s="51" t="str">
        <f>IFERROR(IF(VLOOKUP(E2293,extracto!C:C,1,FALSE)=E2293,"pagado","no pagado"),"no pagado")</f>
        <v>pagado</v>
      </c>
      <c r="J2293" s="52" t="str">
        <f t="shared" si="870"/>
        <v>pagado</v>
      </c>
      <c r="K2293" s="51" t="str">
        <f t="shared" ca="1" si="871"/>
        <v>excluir</v>
      </c>
      <c r="L2293" s="51" t="str">
        <f t="shared" ca="1" si="872"/>
        <v>no semana</v>
      </c>
      <c r="M2293" s="51" t="str">
        <f>IFERROR(VLOOKUP(E2293,'cheques a conf'!A:D,4,FALSE),"no clearing")</f>
        <v>no clearing</v>
      </c>
      <c r="N2293" s="51">
        <f t="shared" si="873"/>
        <v>32</v>
      </c>
      <c r="O2293" s="53">
        <f t="shared" si="874"/>
        <v>8</v>
      </c>
      <c r="P2293" s="53">
        <f t="shared" si="875"/>
        <v>2026</v>
      </c>
    </row>
    <row r="2294" spans="1:16" x14ac:dyDescent="0.25">
      <c r="A2294" s="21">
        <v>3000004840</v>
      </c>
      <c r="B2294" s="22">
        <v>46237</v>
      </c>
      <c r="C2294" s="20">
        <v>7558680</v>
      </c>
      <c r="D2294" s="21" t="s">
        <v>853</v>
      </c>
      <c r="E2294" s="21">
        <v>91003410</v>
      </c>
      <c r="F2294" s="20">
        <v>7558680</v>
      </c>
      <c r="G2294" s="22">
        <v>46241</v>
      </c>
      <c r="H2294" t="s">
        <v>79</v>
      </c>
      <c r="I2294" s="51" t="str">
        <f>IFERROR(IF(VLOOKUP(E2294,extracto!C:C,1,FALSE)=E2294,"pagado","no pagado"),"no pagado")</f>
        <v>pagado</v>
      </c>
      <c r="J2294" s="52" t="str">
        <f t="shared" si="870"/>
        <v>pagado</v>
      </c>
      <c r="K2294" s="51" t="str">
        <f t="shared" ca="1" si="871"/>
        <v>excluir</v>
      </c>
      <c r="L2294" s="51" t="str">
        <f t="shared" ca="1" si="872"/>
        <v>no semana</v>
      </c>
      <c r="M2294" s="51" t="str">
        <f>IFERROR(VLOOKUP(E2294,'cheques a conf'!A:D,4,FALSE),"no clearing")</f>
        <v>no clearing</v>
      </c>
      <c r="N2294" s="51">
        <f t="shared" si="873"/>
        <v>32</v>
      </c>
      <c r="O2294" s="53">
        <f t="shared" si="874"/>
        <v>8</v>
      </c>
      <c r="P2294" s="53">
        <f t="shared" si="875"/>
        <v>2026</v>
      </c>
    </row>
    <row r="2295" spans="1:16" x14ac:dyDescent="0.25">
      <c r="A2295" s="21">
        <v>3000004841</v>
      </c>
      <c r="B2295" s="22">
        <v>46237</v>
      </c>
      <c r="C2295" s="20">
        <v>5265058.3</v>
      </c>
      <c r="D2295" s="21" t="s">
        <v>669</v>
      </c>
      <c r="E2295" s="21">
        <v>91003411</v>
      </c>
      <c r="F2295" s="20">
        <v>5265058.3</v>
      </c>
      <c r="G2295" s="22">
        <v>46241</v>
      </c>
      <c r="H2295" t="s">
        <v>79</v>
      </c>
      <c r="I2295" s="51" t="str">
        <f>IFERROR(IF(VLOOKUP(E2295,extracto!C:C,1,FALSE)=E2295,"pagado","no pagado"),"no pagado")</f>
        <v>pagado</v>
      </c>
      <c r="J2295" s="52" t="str">
        <f t="shared" si="870"/>
        <v>pagado</v>
      </c>
      <c r="K2295" s="51" t="str">
        <f t="shared" ca="1" si="871"/>
        <v>excluir</v>
      </c>
      <c r="L2295" s="51" t="str">
        <f t="shared" ca="1" si="872"/>
        <v>no semana</v>
      </c>
      <c r="M2295" s="51" t="str">
        <f>IFERROR(VLOOKUP(E2295,'cheques a conf'!A:D,4,FALSE),"no clearing")</f>
        <v>no clearing</v>
      </c>
      <c r="N2295" s="51">
        <f t="shared" si="873"/>
        <v>32</v>
      </c>
      <c r="O2295" s="53">
        <f t="shared" si="874"/>
        <v>8</v>
      </c>
      <c r="P2295" s="53">
        <f t="shared" si="875"/>
        <v>2026</v>
      </c>
    </row>
    <row r="2296" spans="1:16" x14ac:dyDescent="0.25">
      <c r="A2296" s="21">
        <v>3000004842</v>
      </c>
      <c r="B2296" s="22">
        <v>46237</v>
      </c>
      <c r="C2296" s="20">
        <v>12753742.130000001</v>
      </c>
      <c r="D2296" s="21" t="s">
        <v>68</v>
      </c>
      <c r="E2296" s="21">
        <v>91003412</v>
      </c>
      <c r="F2296" s="20">
        <v>12753742.130000001</v>
      </c>
      <c r="G2296" s="22">
        <v>46241</v>
      </c>
      <c r="H2296" t="s">
        <v>79</v>
      </c>
      <c r="I2296" s="51" t="str">
        <f>IFERROR(IF(VLOOKUP(E2296,extracto!C:C,1,FALSE)=E2296,"pagado","no pagado"),"no pagado")</f>
        <v>pagado</v>
      </c>
      <c r="J2296" s="52" t="str">
        <f t="shared" ref="J2296:J2359" si="876">IF(I2296="pagado","pagado",IF(G2296&lt;$V$1-30,"fuera de fecha","en periodo de pago"))</f>
        <v>pagado</v>
      </c>
      <c r="K2296" s="51" t="str">
        <f t="shared" ref="K2296:K2359" ca="1" si="877">+IF(B2296&gt;$V$1,"excluir",IF(J2296="en periodo de pago",IF($V$1&gt;G2296,"a pagar","proximo a vencer"),"excluir"))</f>
        <v>excluir</v>
      </c>
      <c r="L2296" s="51" t="str">
        <f t="shared" ref="L2296:L2359" ca="1" si="878">+IF(K2296="proximo a vencer",IF($V$1+5&gt;G2296,"para la semana","no semana"),"no semana")</f>
        <v>no semana</v>
      </c>
      <c r="M2296" s="51" t="str">
        <f>IFERROR(VLOOKUP(E2296,'cheques a conf'!A:D,4,FALSE),"no clearing")</f>
        <v>no clearing</v>
      </c>
      <c r="N2296" s="51">
        <f t="shared" ref="N2296:N2359" si="879">+WEEKNUM(G2296,2)</f>
        <v>32</v>
      </c>
      <c r="O2296" s="53">
        <f t="shared" ref="O2296:O2359" si="880">+MONTH(G2296)</f>
        <v>8</v>
      </c>
      <c r="P2296" s="53">
        <f t="shared" ref="P2296:P2359" si="881">+YEAR(G2296)</f>
        <v>2026</v>
      </c>
    </row>
    <row r="2297" spans="1:16" x14ac:dyDescent="0.25">
      <c r="A2297" s="21">
        <v>3000004843</v>
      </c>
      <c r="B2297" s="22">
        <v>46237</v>
      </c>
      <c r="C2297" s="20">
        <v>8188952.9199999999</v>
      </c>
      <c r="D2297" s="21" t="s">
        <v>1775</v>
      </c>
      <c r="E2297" s="21">
        <v>91003413</v>
      </c>
      <c r="F2297" s="20">
        <v>8188952.9199999999</v>
      </c>
      <c r="G2297" s="22">
        <v>46241</v>
      </c>
      <c r="H2297" t="s">
        <v>79</v>
      </c>
      <c r="I2297" s="51" t="str">
        <f>IFERROR(IF(VLOOKUP(E2297,extracto!C:C,1,FALSE)=E2297,"pagado","no pagado"),"no pagado")</f>
        <v>pagado</v>
      </c>
      <c r="J2297" s="52" t="str">
        <f t="shared" si="876"/>
        <v>pagado</v>
      </c>
      <c r="K2297" s="51" t="str">
        <f t="shared" ca="1" si="877"/>
        <v>excluir</v>
      </c>
      <c r="L2297" s="51" t="str">
        <f t="shared" ca="1" si="878"/>
        <v>no semana</v>
      </c>
      <c r="M2297" s="51" t="str">
        <f>IFERROR(VLOOKUP(E2297,'cheques a conf'!A:D,4,FALSE),"no clearing")</f>
        <v>no clearing</v>
      </c>
      <c r="N2297" s="51">
        <f t="shared" si="879"/>
        <v>32</v>
      </c>
      <c r="O2297" s="53">
        <f t="shared" si="880"/>
        <v>8</v>
      </c>
      <c r="P2297" s="53">
        <f t="shared" si="881"/>
        <v>2026</v>
      </c>
    </row>
    <row r="2298" spans="1:16" x14ac:dyDescent="0.25">
      <c r="A2298" s="21">
        <v>3000004844</v>
      </c>
      <c r="B2298" s="22">
        <v>46237</v>
      </c>
      <c r="C2298" s="20">
        <v>7959566.8600000003</v>
      </c>
      <c r="D2298" s="21" t="s">
        <v>89</v>
      </c>
      <c r="E2298" s="21">
        <v>91003414</v>
      </c>
      <c r="F2298" s="20">
        <v>7959566.8600000003</v>
      </c>
      <c r="G2298" s="22">
        <v>46241</v>
      </c>
      <c r="H2298" t="s">
        <v>79</v>
      </c>
      <c r="I2298" s="51" t="str">
        <f>IFERROR(IF(VLOOKUP(E2298,extracto!C:C,1,FALSE)=E2298,"pagado","no pagado"),"no pagado")</f>
        <v>pagado</v>
      </c>
      <c r="J2298" s="52" t="str">
        <f t="shared" si="876"/>
        <v>pagado</v>
      </c>
      <c r="K2298" s="51" t="str">
        <f t="shared" ca="1" si="877"/>
        <v>excluir</v>
      </c>
      <c r="L2298" s="51" t="str">
        <f t="shared" ca="1" si="878"/>
        <v>no semana</v>
      </c>
      <c r="M2298" s="51" t="str">
        <f>IFERROR(VLOOKUP(E2298,'cheques a conf'!A:D,4,FALSE),"no clearing")</f>
        <v>no clearing</v>
      </c>
      <c r="N2298" s="51">
        <f t="shared" si="879"/>
        <v>32</v>
      </c>
      <c r="O2298" s="53">
        <f t="shared" si="880"/>
        <v>8</v>
      </c>
      <c r="P2298" s="53">
        <f t="shared" si="881"/>
        <v>2026</v>
      </c>
    </row>
    <row r="2299" spans="1:16" x14ac:dyDescent="0.25">
      <c r="A2299" s="21">
        <v>3000004845</v>
      </c>
      <c r="B2299" s="22">
        <v>46237</v>
      </c>
      <c r="C2299" s="20">
        <v>5005080</v>
      </c>
      <c r="D2299" s="21" t="s">
        <v>663</v>
      </c>
      <c r="E2299" s="21">
        <v>91003415</v>
      </c>
      <c r="F2299" s="20">
        <v>5005080</v>
      </c>
      <c r="G2299" s="22">
        <v>46241</v>
      </c>
      <c r="H2299" t="s">
        <v>79</v>
      </c>
      <c r="I2299" s="51" t="str">
        <f>IFERROR(IF(VLOOKUP(E2299,extracto!C:C,1,FALSE)=E2299,"pagado","no pagado"),"no pagado")</f>
        <v>pagado</v>
      </c>
      <c r="J2299" s="52" t="str">
        <f t="shared" si="876"/>
        <v>pagado</v>
      </c>
      <c r="K2299" s="51" t="str">
        <f t="shared" ca="1" si="877"/>
        <v>excluir</v>
      </c>
      <c r="L2299" s="51" t="str">
        <f t="shared" ca="1" si="878"/>
        <v>no semana</v>
      </c>
      <c r="M2299" s="51" t="str">
        <f>IFERROR(VLOOKUP(E2299,'cheques a conf'!A:D,4,FALSE),"no clearing")</f>
        <v>no clearing</v>
      </c>
      <c r="N2299" s="51">
        <f t="shared" si="879"/>
        <v>32</v>
      </c>
      <c r="O2299" s="53">
        <f t="shared" si="880"/>
        <v>8</v>
      </c>
      <c r="P2299" s="53">
        <f t="shared" si="881"/>
        <v>2026</v>
      </c>
    </row>
    <row r="2300" spans="1:16" x14ac:dyDescent="0.25">
      <c r="A2300" s="21">
        <v>3000004846</v>
      </c>
      <c r="B2300" s="22">
        <v>46237</v>
      </c>
      <c r="C2300" s="20">
        <v>6656402.4299999997</v>
      </c>
      <c r="D2300" s="21" t="s">
        <v>781</v>
      </c>
      <c r="E2300" s="21">
        <v>91003416</v>
      </c>
      <c r="F2300" s="20">
        <v>6656402.4299999997</v>
      </c>
      <c r="G2300" s="22">
        <v>46241</v>
      </c>
      <c r="H2300" t="s">
        <v>79</v>
      </c>
      <c r="I2300" s="51" t="str">
        <f>IFERROR(IF(VLOOKUP(E2300,extracto!C:C,1,FALSE)=E2300,"pagado","no pagado"),"no pagado")</f>
        <v>pagado</v>
      </c>
      <c r="J2300" s="52" t="str">
        <f t="shared" si="876"/>
        <v>pagado</v>
      </c>
      <c r="K2300" s="51" t="str">
        <f t="shared" ca="1" si="877"/>
        <v>excluir</v>
      </c>
      <c r="L2300" s="51" t="str">
        <f t="shared" ca="1" si="878"/>
        <v>no semana</v>
      </c>
      <c r="M2300" s="51" t="str">
        <f>IFERROR(VLOOKUP(E2300,'cheques a conf'!A:D,4,FALSE),"no clearing")</f>
        <v>no clearing</v>
      </c>
      <c r="N2300" s="51">
        <f t="shared" si="879"/>
        <v>32</v>
      </c>
      <c r="O2300" s="53">
        <f t="shared" si="880"/>
        <v>8</v>
      </c>
      <c r="P2300" s="53">
        <f t="shared" si="881"/>
        <v>2026</v>
      </c>
    </row>
    <row r="2301" spans="1:16" x14ac:dyDescent="0.25">
      <c r="A2301" s="21">
        <v>3000004847</v>
      </c>
      <c r="B2301" s="22">
        <v>46237</v>
      </c>
      <c r="C2301" s="20">
        <v>14053560.390000001</v>
      </c>
      <c r="D2301" s="21" t="s">
        <v>642</v>
      </c>
      <c r="E2301" s="21">
        <v>91003417</v>
      </c>
      <c r="F2301" s="20">
        <v>14053560.390000001</v>
      </c>
      <c r="G2301" s="22">
        <v>46241</v>
      </c>
      <c r="H2301" t="s">
        <v>79</v>
      </c>
      <c r="I2301" s="51" t="str">
        <f>IFERROR(IF(VLOOKUP(E2301,extracto!C:C,1,FALSE)=E2301,"pagado","no pagado"),"no pagado")</f>
        <v>pagado</v>
      </c>
      <c r="J2301" s="52" t="str">
        <f t="shared" si="876"/>
        <v>pagado</v>
      </c>
      <c r="K2301" s="51" t="str">
        <f t="shared" ca="1" si="877"/>
        <v>excluir</v>
      </c>
      <c r="L2301" s="51" t="str">
        <f t="shared" ca="1" si="878"/>
        <v>no semana</v>
      </c>
      <c r="M2301" s="51" t="str">
        <f>IFERROR(VLOOKUP(E2301,'cheques a conf'!A:D,4,FALSE),"no clearing")</f>
        <v>no clearing</v>
      </c>
      <c r="N2301" s="51">
        <f t="shared" si="879"/>
        <v>32</v>
      </c>
      <c r="O2301" s="53">
        <f t="shared" si="880"/>
        <v>8</v>
      </c>
      <c r="P2301" s="53">
        <f t="shared" si="881"/>
        <v>2026</v>
      </c>
    </row>
    <row r="2302" spans="1:16" x14ac:dyDescent="0.25">
      <c r="A2302" s="21">
        <v>3000004848</v>
      </c>
      <c r="B2302" s="22">
        <v>46237</v>
      </c>
      <c r="C2302" s="20">
        <v>5646389.5700000003</v>
      </c>
      <c r="D2302" s="21" t="s">
        <v>680</v>
      </c>
      <c r="E2302" s="21">
        <v>91003418</v>
      </c>
      <c r="F2302" s="20">
        <v>5646389.5700000003</v>
      </c>
      <c r="G2302" s="22">
        <v>46241</v>
      </c>
      <c r="H2302" t="s">
        <v>79</v>
      </c>
      <c r="I2302" s="51" t="str">
        <f>IFERROR(IF(VLOOKUP(E2302,extracto!C:C,1,FALSE)=E2302,"pagado","no pagado"),"no pagado")</f>
        <v>pagado</v>
      </c>
      <c r="J2302" s="52" t="str">
        <f t="shared" si="876"/>
        <v>pagado</v>
      </c>
      <c r="K2302" s="51" t="str">
        <f t="shared" ca="1" si="877"/>
        <v>excluir</v>
      </c>
      <c r="L2302" s="51" t="str">
        <f t="shared" ca="1" si="878"/>
        <v>no semana</v>
      </c>
      <c r="M2302" s="51" t="str">
        <f>IFERROR(VLOOKUP(E2302,'cheques a conf'!A:D,4,FALSE),"no clearing")</f>
        <v>no clearing</v>
      </c>
      <c r="N2302" s="51">
        <f t="shared" si="879"/>
        <v>32</v>
      </c>
      <c r="O2302" s="53">
        <f t="shared" si="880"/>
        <v>8</v>
      </c>
      <c r="P2302" s="53">
        <f t="shared" si="881"/>
        <v>2026</v>
      </c>
    </row>
    <row r="2303" spans="1:16" x14ac:dyDescent="0.25">
      <c r="A2303" s="21">
        <v>3000004849</v>
      </c>
      <c r="B2303" s="22">
        <v>46237</v>
      </c>
      <c r="C2303" s="20">
        <v>5473337.9199999999</v>
      </c>
      <c r="D2303" s="21" t="s">
        <v>619</v>
      </c>
      <c r="E2303" s="21">
        <v>91003419</v>
      </c>
      <c r="F2303" s="20">
        <v>5473337.9199999999</v>
      </c>
      <c r="G2303" s="22">
        <v>46241</v>
      </c>
      <c r="H2303" t="s">
        <v>79</v>
      </c>
      <c r="I2303" s="51" t="str">
        <f>IFERROR(IF(VLOOKUP(E2303,extracto!C:C,1,FALSE)=E2303,"pagado","no pagado"),"no pagado")</f>
        <v>pagado</v>
      </c>
      <c r="J2303" s="52" t="str">
        <f t="shared" si="876"/>
        <v>pagado</v>
      </c>
      <c r="K2303" s="51" t="str">
        <f t="shared" ca="1" si="877"/>
        <v>excluir</v>
      </c>
      <c r="L2303" s="51" t="str">
        <f t="shared" ca="1" si="878"/>
        <v>no semana</v>
      </c>
      <c r="M2303" s="51" t="str">
        <f>IFERROR(VLOOKUP(E2303,'cheques a conf'!A:D,4,FALSE),"no clearing")</f>
        <v>no clearing</v>
      </c>
      <c r="N2303" s="51">
        <f t="shared" si="879"/>
        <v>32</v>
      </c>
      <c r="O2303" s="53">
        <f t="shared" si="880"/>
        <v>8</v>
      </c>
      <c r="P2303" s="53">
        <f t="shared" si="881"/>
        <v>2026</v>
      </c>
    </row>
    <row r="2304" spans="1:16" x14ac:dyDescent="0.25">
      <c r="A2304" s="21">
        <v>3000004850</v>
      </c>
      <c r="B2304" s="22">
        <v>46237</v>
      </c>
      <c r="C2304" s="20">
        <v>34271130.200000003</v>
      </c>
      <c r="D2304" s="21" t="s">
        <v>83</v>
      </c>
      <c r="E2304" s="21">
        <v>91003420</v>
      </c>
      <c r="F2304" s="20">
        <v>34271130.200000003</v>
      </c>
      <c r="G2304" s="22">
        <v>46241</v>
      </c>
      <c r="H2304" t="s">
        <v>79</v>
      </c>
      <c r="I2304" s="51" t="str">
        <f>IFERROR(IF(VLOOKUP(E2304,extracto!C:C,1,FALSE)=E2304,"pagado","no pagado"),"no pagado")</f>
        <v>pagado</v>
      </c>
      <c r="J2304" s="52" t="str">
        <f t="shared" si="876"/>
        <v>pagado</v>
      </c>
      <c r="K2304" s="51" t="str">
        <f t="shared" ca="1" si="877"/>
        <v>excluir</v>
      </c>
      <c r="L2304" s="51" t="str">
        <f t="shared" ca="1" si="878"/>
        <v>no semana</v>
      </c>
      <c r="M2304" s="51" t="str">
        <f>IFERROR(VLOOKUP(E2304,'cheques a conf'!A:D,4,FALSE),"no clearing")</f>
        <v>no clearing</v>
      </c>
      <c r="N2304" s="51">
        <f t="shared" si="879"/>
        <v>32</v>
      </c>
      <c r="O2304" s="53">
        <f t="shared" si="880"/>
        <v>8</v>
      </c>
      <c r="P2304" s="53">
        <f t="shared" si="881"/>
        <v>2026</v>
      </c>
    </row>
    <row r="2305" spans="1:16" x14ac:dyDescent="0.25">
      <c r="A2305" s="21">
        <v>3000004902</v>
      </c>
      <c r="B2305" s="22">
        <v>46239</v>
      </c>
      <c r="C2305" s="20">
        <v>2764712.92</v>
      </c>
      <c r="D2305" s="21" t="s">
        <v>612</v>
      </c>
      <c r="E2305" s="21">
        <v>61301867</v>
      </c>
      <c r="F2305" s="20">
        <v>2764712.92</v>
      </c>
      <c r="G2305" s="22">
        <v>46241</v>
      </c>
      <c r="H2305" t="s">
        <v>79</v>
      </c>
      <c r="I2305" s="51" t="str">
        <f>IFERROR(IF(VLOOKUP(E2305,extracto!C:C,1,FALSE)=E2305,"pagado","no pagado"),"no pagado")</f>
        <v>pagado</v>
      </c>
      <c r="J2305" s="52" t="str">
        <f t="shared" si="876"/>
        <v>pagado</v>
      </c>
      <c r="K2305" s="51" t="str">
        <f t="shared" ca="1" si="877"/>
        <v>excluir</v>
      </c>
      <c r="L2305" s="51" t="str">
        <f t="shared" ca="1" si="878"/>
        <v>no semana</v>
      </c>
      <c r="M2305" s="51" t="str">
        <f>IFERROR(VLOOKUP(E2305,'cheques a conf'!A:D,4,FALSE),"no clearing")</f>
        <v>no clearing</v>
      </c>
      <c r="N2305" s="51">
        <f t="shared" si="879"/>
        <v>32</v>
      </c>
      <c r="O2305" s="53">
        <f t="shared" si="880"/>
        <v>8</v>
      </c>
      <c r="P2305" s="53">
        <f t="shared" si="881"/>
        <v>2026</v>
      </c>
    </row>
    <row r="2306" spans="1:16" x14ac:dyDescent="0.25">
      <c r="A2306" s="21">
        <v>3000004903</v>
      </c>
      <c r="B2306" s="22">
        <v>46239</v>
      </c>
      <c r="C2306" s="20">
        <v>35305119.100000001</v>
      </c>
      <c r="D2306" s="21" t="s">
        <v>661</v>
      </c>
      <c r="E2306" s="21">
        <v>91003421</v>
      </c>
      <c r="F2306" s="20">
        <v>35305119.100000001</v>
      </c>
      <c r="G2306" s="22">
        <v>46244</v>
      </c>
      <c r="H2306" t="s">
        <v>79</v>
      </c>
      <c r="I2306" s="51" t="str">
        <f>IFERROR(IF(VLOOKUP(E2306,extracto!C:C,1,FALSE)=E2306,"pagado","no pagado"),"no pagado")</f>
        <v>pagado</v>
      </c>
      <c r="J2306" s="52" t="str">
        <f t="shared" si="876"/>
        <v>pagado</v>
      </c>
      <c r="K2306" s="51" t="str">
        <f t="shared" ca="1" si="877"/>
        <v>excluir</v>
      </c>
      <c r="L2306" s="51" t="str">
        <f t="shared" ca="1" si="878"/>
        <v>no semana</v>
      </c>
      <c r="M2306" s="51" t="str">
        <f>IFERROR(VLOOKUP(E2306,'cheques a conf'!A:D,4,FALSE),"no clearing")</f>
        <v>no clearing</v>
      </c>
      <c r="N2306" s="51">
        <f t="shared" si="879"/>
        <v>33</v>
      </c>
      <c r="O2306" s="53">
        <f t="shared" si="880"/>
        <v>8</v>
      </c>
      <c r="P2306" s="53">
        <f t="shared" si="881"/>
        <v>2026</v>
      </c>
    </row>
    <row r="2307" spans="1:16" x14ac:dyDescent="0.25">
      <c r="A2307" s="21">
        <v>3000004904</v>
      </c>
      <c r="B2307" s="22">
        <v>46239</v>
      </c>
      <c r="C2307" s="20">
        <v>29587417.920000002</v>
      </c>
      <c r="D2307" s="21" t="s">
        <v>684</v>
      </c>
      <c r="E2307" s="21">
        <v>91003422</v>
      </c>
      <c r="F2307" s="20">
        <v>29587417.920000002</v>
      </c>
      <c r="G2307" s="22">
        <v>46244</v>
      </c>
      <c r="H2307" t="s">
        <v>79</v>
      </c>
      <c r="I2307" s="51" t="str">
        <f>IFERROR(IF(VLOOKUP(E2307,extracto!C:C,1,FALSE)=E2307,"pagado","no pagado"),"no pagado")</f>
        <v>pagado</v>
      </c>
      <c r="J2307" s="52" t="str">
        <f t="shared" si="876"/>
        <v>pagado</v>
      </c>
      <c r="K2307" s="51" t="str">
        <f t="shared" ca="1" si="877"/>
        <v>excluir</v>
      </c>
      <c r="L2307" s="51" t="str">
        <f t="shared" ca="1" si="878"/>
        <v>no semana</v>
      </c>
      <c r="M2307" s="51" t="str">
        <f>IFERROR(VLOOKUP(E2307,'cheques a conf'!A:D,4,FALSE),"no clearing")</f>
        <v>no clearing</v>
      </c>
      <c r="N2307" s="51">
        <f t="shared" si="879"/>
        <v>33</v>
      </c>
      <c r="O2307" s="53">
        <f t="shared" si="880"/>
        <v>8</v>
      </c>
      <c r="P2307" s="53">
        <f t="shared" si="881"/>
        <v>2026</v>
      </c>
    </row>
    <row r="2308" spans="1:16" x14ac:dyDescent="0.25">
      <c r="A2308" s="21">
        <v>3000004905</v>
      </c>
      <c r="B2308" s="22">
        <v>46239</v>
      </c>
      <c r="C2308" s="20">
        <v>5252179.4800000004</v>
      </c>
      <c r="D2308" s="21" t="s">
        <v>686</v>
      </c>
      <c r="E2308" s="21">
        <v>91003423</v>
      </c>
      <c r="F2308" s="20">
        <v>5252179.4800000004</v>
      </c>
      <c r="G2308" s="22">
        <v>46244</v>
      </c>
      <c r="H2308" t="s">
        <v>79</v>
      </c>
      <c r="I2308" s="51" t="str">
        <f>IFERROR(IF(VLOOKUP(E2308,extracto!C:C,1,FALSE)=E2308,"pagado","no pagado"),"no pagado")</f>
        <v>pagado</v>
      </c>
      <c r="J2308" s="52" t="str">
        <f t="shared" si="876"/>
        <v>pagado</v>
      </c>
      <c r="K2308" s="51" t="str">
        <f t="shared" ca="1" si="877"/>
        <v>excluir</v>
      </c>
      <c r="L2308" s="51" t="str">
        <f t="shared" ca="1" si="878"/>
        <v>no semana</v>
      </c>
      <c r="M2308" s="51" t="str">
        <f>IFERROR(VLOOKUP(E2308,'cheques a conf'!A:D,4,FALSE),"no clearing")</f>
        <v>no clearing</v>
      </c>
      <c r="N2308" s="51">
        <f t="shared" si="879"/>
        <v>33</v>
      </c>
      <c r="O2308" s="53">
        <f t="shared" si="880"/>
        <v>8</v>
      </c>
      <c r="P2308" s="53">
        <f t="shared" si="881"/>
        <v>2026</v>
      </c>
    </row>
    <row r="2309" spans="1:16" x14ac:dyDescent="0.25">
      <c r="A2309" s="21">
        <v>3000004906</v>
      </c>
      <c r="B2309" s="22">
        <v>46239</v>
      </c>
      <c r="C2309" s="20">
        <v>9432842.9199999999</v>
      </c>
      <c r="D2309" s="21" t="s">
        <v>618</v>
      </c>
      <c r="E2309" s="21">
        <v>91003424</v>
      </c>
      <c r="F2309" s="20">
        <v>9432842.9199999999</v>
      </c>
      <c r="G2309" s="22">
        <v>46244</v>
      </c>
      <c r="H2309" t="s">
        <v>79</v>
      </c>
      <c r="I2309" s="51" t="str">
        <f>IFERROR(IF(VLOOKUP(E2309,extracto!C:C,1,FALSE)=E2309,"pagado","no pagado"),"no pagado")</f>
        <v>pagado</v>
      </c>
      <c r="J2309" s="52" t="str">
        <f t="shared" si="876"/>
        <v>pagado</v>
      </c>
      <c r="K2309" s="51" t="str">
        <f t="shared" ca="1" si="877"/>
        <v>excluir</v>
      </c>
      <c r="L2309" s="51" t="str">
        <f t="shared" ca="1" si="878"/>
        <v>no semana</v>
      </c>
      <c r="M2309" s="51" t="str">
        <f>IFERROR(VLOOKUP(E2309,'cheques a conf'!A:D,4,FALSE),"no clearing")</f>
        <v>no clearing</v>
      </c>
      <c r="N2309" s="51">
        <f t="shared" si="879"/>
        <v>33</v>
      </c>
      <c r="O2309" s="53">
        <f t="shared" si="880"/>
        <v>8</v>
      </c>
      <c r="P2309" s="53">
        <f t="shared" si="881"/>
        <v>2026</v>
      </c>
    </row>
    <row r="2310" spans="1:16" x14ac:dyDescent="0.25">
      <c r="A2310" s="21">
        <v>3000004907</v>
      </c>
      <c r="B2310" s="22">
        <v>46239</v>
      </c>
      <c r="C2310" s="20">
        <v>13036315.41</v>
      </c>
      <c r="D2310" s="21" t="s">
        <v>691</v>
      </c>
      <c r="E2310" s="21">
        <v>91003425</v>
      </c>
      <c r="F2310" s="20">
        <v>13036315.41</v>
      </c>
      <c r="G2310" s="22">
        <v>46244</v>
      </c>
      <c r="H2310" t="s">
        <v>79</v>
      </c>
      <c r="I2310" s="51" t="str">
        <f>IFERROR(IF(VLOOKUP(E2310,extracto!C:C,1,FALSE)=E2310,"pagado","no pagado"),"no pagado")</f>
        <v>pagado</v>
      </c>
      <c r="J2310" s="52" t="str">
        <f t="shared" si="876"/>
        <v>pagado</v>
      </c>
      <c r="K2310" s="51" t="str">
        <f t="shared" ca="1" si="877"/>
        <v>excluir</v>
      </c>
      <c r="L2310" s="51" t="str">
        <f t="shared" ca="1" si="878"/>
        <v>no semana</v>
      </c>
      <c r="M2310" s="51" t="str">
        <f>IFERROR(VLOOKUP(E2310,'cheques a conf'!A:D,4,FALSE),"no clearing")</f>
        <v>no clearing</v>
      </c>
      <c r="N2310" s="51">
        <f t="shared" si="879"/>
        <v>33</v>
      </c>
      <c r="O2310" s="53">
        <f t="shared" si="880"/>
        <v>8</v>
      </c>
      <c r="P2310" s="53">
        <f t="shared" si="881"/>
        <v>2026</v>
      </c>
    </row>
    <row r="2311" spans="1:16" x14ac:dyDescent="0.25">
      <c r="A2311" s="21">
        <v>3000004908</v>
      </c>
      <c r="B2311" s="22">
        <v>46239</v>
      </c>
      <c r="C2311" s="20">
        <v>8691757.9199999999</v>
      </c>
      <c r="D2311" s="21" t="s">
        <v>613</v>
      </c>
      <c r="E2311" s="21">
        <v>91003426</v>
      </c>
      <c r="F2311" s="20">
        <v>8691757.9199999999</v>
      </c>
      <c r="G2311" s="22">
        <v>46244</v>
      </c>
      <c r="H2311" t="s">
        <v>79</v>
      </c>
      <c r="I2311" s="51" t="str">
        <f>IFERROR(IF(VLOOKUP(E2311,extracto!C:C,1,FALSE)=E2311,"pagado","no pagado"),"no pagado")</f>
        <v>pagado</v>
      </c>
      <c r="J2311" s="52" t="str">
        <f t="shared" si="876"/>
        <v>pagado</v>
      </c>
      <c r="K2311" s="51" t="str">
        <f t="shared" ca="1" si="877"/>
        <v>excluir</v>
      </c>
      <c r="L2311" s="51" t="str">
        <f t="shared" ca="1" si="878"/>
        <v>no semana</v>
      </c>
      <c r="M2311" s="51" t="str">
        <f>IFERROR(VLOOKUP(E2311,'cheques a conf'!A:D,4,FALSE),"no clearing")</f>
        <v>no clearing</v>
      </c>
      <c r="N2311" s="51">
        <f t="shared" si="879"/>
        <v>33</v>
      </c>
      <c r="O2311" s="53">
        <f t="shared" si="880"/>
        <v>8</v>
      </c>
      <c r="P2311" s="53">
        <f t="shared" si="881"/>
        <v>2026</v>
      </c>
    </row>
    <row r="2312" spans="1:16" x14ac:dyDescent="0.25">
      <c r="A2312" s="21">
        <v>3000004909</v>
      </c>
      <c r="B2312" s="22">
        <v>46239</v>
      </c>
      <c r="C2312" s="20">
        <v>11742840</v>
      </c>
      <c r="D2312" s="21" t="s">
        <v>619</v>
      </c>
      <c r="E2312" s="21">
        <v>91003427</v>
      </c>
      <c r="F2312" s="20">
        <v>11742840</v>
      </c>
      <c r="G2312" s="22">
        <v>46244</v>
      </c>
      <c r="H2312" t="s">
        <v>79</v>
      </c>
      <c r="I2312" s="51" t="str">
        <f>IFERROR(IF(VLOOKUP(E2312,extracto!C:C,1,FALSE)=E2312,"pagado","no pagado"),"no pagado")</f>
        <v>pagado</v>
      </c>
      <c r="J2312" s="52" t="str">
        <f t="shared" si="876"/>
        <v>pagado</v>
      </c>
      <c r="K2312" s="51" t="str">
        <f t="shared" ca="1" si="877"/>
        <v>excluir</v>
      </c>
      <c r="L2312" s="51" t="str">
        <f t="shared" ca="1" si="878"/>
        <v>no semana</v>
      </c>
      <c r="M2312" s="51" t="str">
        <f>IFERROR(VLOOKUP(E2312,'cheques a conf'!A:D,4,FALSE),"no clearing")</f>
        <v>no clearing</v>
      </c>
      <c r="N2312" s="51">
        <f t="shared" si="879"/>
        <v>33</v>
      </c>
      <c r="O2312" s="53">
        <f t="shared" si="880"/>
        <v>8</v>
      </c>
      <c r="P2312" s="53">
        <f t="shared" si="881"/>
        <v>2026</v>
      </c>
    </row>
    <row r="2313" spans="1:16" x14ac:dyDescent="0.25">
      <c r="A2313" s="21">
        <v>3000004910</v>
      </c>
      <c r="B2313" s="22">
        <v>46239</v>
      </c>
      <c r="C2313" s="20">
        <v>8224211.8899999997</v>
      </c>
      <c r="D2313" s="21" t="s">
        <v>1730</v>
      </c>
      <c r="E2313" s="21">
        <v>91003428</v>
      </c>
      <c r="F2313" s="20">
        <v>8224211.8899999997</v>
      </c>
      <c r="G2313" s="22">
        <v>46244</v>
      </c>
      <c r="H2313" t="s">
        <v>79</v>
      </c>
      <c r="I2313" s="51" t="str">
        <f>IFERROR(IF(VLOOKUP(E2313,extracto!C:C,1,FALSE)=E2313,"pagado","no pagado"),"no pagado")</f>
        <v>pagado</v>
      </c>
      <c r="J2313" s="52" t="str">
        <f t="shared" si="876"/>
        <v>pagado</v>
      </c>
      <c r="K2313" s="51" t="str">
        <f t="shared" ca="1" si="877"/>
        <v>excluir</v>
      </c>
      <c r="L2313" s="51" t="str">
        <f t="shared" ca="1" si="878"/>
        <v>no semana</v>
      </c>
      <c r="M2313" s="51" t="str">
        <f>IFERROR(VLOOKUP(E2313,'cheques a conf'!A:D,4,FALSE),"no clearing")</f>
        <v>no clearing</v>
      </c>
      <c r="N2313" s="51">
        <f t="shared" si="879"/>
        <v>33</v>
      </c>
      <c r="O2313" s="53">
        <f t="shared" si="880"/>
        <v>8</v>
      </c>
      <c r="P2313" s="53">
        <f t="shared" si="881"/>
        <v>2026</v>
      </c>
    </row>
    <row r="2314" spans="1:16" x14ac:dyDescent="0.25">
      <c r="A2314" s="21">
        <v>3000004911</v>
      </c>
      <c r="B2314" s="22">
        <v>46239</v>
      </c>
      <c r="C2314" s="20">
        <v>30460905.370000001</v>
      </c>
      <c r="D2314" s="21" t="s">
        <v>1738</v>
      </c>
      <c r="E2314" s="21">
        <v>91003429</v>
      </c>
      <c r="F2314" s="20">
        <v>30460905.370000001</v>
      </c>
      <c r="G2314" s="22">
        <v>46244</v>
      </c>
      <c r="H2314" t="s">
        <v>79</v>
      </c>
      <c r="I2314" s="51" t="str">
        <f>IFERROR(IF(VLOOKUP(E2314,extracto!C:C,1,FALSE)=E2314,"pagado","no pagado"),"no pagado")</f>
        <v>pagado</v>
      </c>
      <c r="J2314" s="52" t="str">
        <f t="shared" si="876"/>
        <v>pagado</v>
      </c>
      <c r="K2314" s="51" t="str">
        <f t="shared" ca="1" si="877"/>
        <v>excluir</v>
      </c>
      <c r="L2314" s="51" t="str">
        <f t="shared" ca="1" si="878"/>
        <v>no semana</v>
      </c>
      <c r="M2314" s="51" t="str">
        <f>IFERROR(VLOOKUP(E2314,'cheques a conf'!A:D,4,FALSE),"no clearing")</f>
        <v>no clearing</v>
      </c>
      <c r="N2314" s="51">
        <f t="shared" si="879"/>
        <v>33</v>
      </c>
      <c r="O2314" s="53">
        <f t="shared" si="880"/>
        <v>8</v>
      </c>
      <c r="P2314" s="53">
        <f t="shared" si="881"/>
        <v>2026</v>
      </c>
    </row>
    <row r="2315" spans="1:16" x14ac:dyDescent="0.25">
      <c r="A2315" s="21">
        <v>3000004912</v>
      </c>
      <c r="B2315" s="22">
        <v>46239</v>
      </c>
      <c r="C2315" s="20">
        <v>5025398.29</v>
      </c>
      <c r="D2315" s="21" t="s">
        <v>592</v>
      </c>
      <c r="E2315" s="21">
        <v>91003430</v>
      </c>
      <c r="F2315" s="20">
        <v>5025398.29</v>
      </c>
      <c r="G2315" s="22">
        <v>46244</v>
      </c>
      <c r="H2315" t="s">
        <v>79</v>
      </c>
      <c r="I2315" s="51" t="str">
        <f>IFERROR(IF(VLOOKUP(E2315,extracto!C:C,1,FALSE)=E2315,"pagado","no pagado"),"no pagado")</f>
        <v>pagado</v>
      </c>
      <c r="J2315" s="52" t="str">
        <f t="shared" si="876"/>
        <v>pagado</v>
      </c>
      <c r="K2315" s="51" t="str">
        <f t="shared" ca="1" si="877"/>
        <v>excluir</v>
      </c>
      <c r="L2315" s="51" t="str">
        <f t="shared" ca="1" si="878"/>
        <v>no semana</v>
      </c>
      <c r="M2315" s="51" t="str">
        <f>IFERROR(VLOOKUP(E2315,'cheques a conf'!A:D,4,FALSE),"no clearing")</f>
        <v>no clearing</v>
      </c>
      <c r="N2315" s="51">
        <f t="shared" si="879"/>
        <v>33</v>
      </c>
      <c r="O2315" s="53">
        <f t="shared" si="880"/>
        <v>8</v>
      </c>
      <c r="P2315" s="53">
        <f t="shared" si="881"/>
        <v>2026</v>
      </c>
    </row>
    <row r="2316" spans="1:16" x14ac:dyDescent="0.25">
      <c r="A2316" s="21">
        <v>3000004996</v>
      </c>
      <c r="B2316" s="22">
        <v>46244</v>
      </c>
      <c r="C2316" s="20">
        <v>25000000</v>
      </c>
      <c r="D2316" s="21" t="s">
        <v>595</v>
      </c>
      <c r="E2316" s="21">
        <v>91003437</v>
      </c>
      <c r="F2316" s="20">
        <v>25000000</v>
      </c>
      <c r="G2316" s="22">
        <v>46247</v>
      </c>
      <c r="H2316" t="s">
        <v>79</v>
      </c>
      <c r="I2316" s="51" t="str">
        <f>IFERROR(IF(VLOOKUP(E2316,extracto!C:C,1,FALSE)=E2316,"pagado","no pagado"),"no pagado")</f>
        <v>pagado</v>
      </c>
      <c r="J2316" s="52" t="str">
        <f t="shared" si="876"/>
        <v>pagado</v>
      </c>
      <c r="K2316" s="51" t="str">
        <f t="shared" ca="1" si="877"/>
        <v>excluir</v>
      </c>
      <c r="L2316" s="51" t="str">
        <f t="shared" ca="1" si="878"/>
        <v>no semana</v>
      </c>
      <c r="M2316" s="51" t="str">
        <f>IFERROR(VLOOKUP(E2316,'cheques a conf'!A:D,4,FALSE),"no clearing")</f>
        <v>no clearing</v>
      </c>
      <c r="N2316" s="51">
        <f t="shared" si="879"/>
        <v>33</v>
      </c>
      <c r="O2316" s="53">
        <f t="shared" si="880"/>
        <v>8</v>
      </c>
      <c r="P2316" s="53">
        <f t="shared" si="881"/>
        <v>2026</v>
      </c>
    </row>
    <row r="2317" spans="1:16" x14ac:dyDescent="0.25">
      <c r="A2317" s="21">
        <v>3000004996</v>
      </c>
      <c r="B2317" s="22">
        <v>46244</v>
      </c>
      <c r="C2317" s="20">
        <v>27112251.559999999</v>
      </c>
      <c r="D2317" s="21" t="s">
        <v>595</v>
      </c>
      <c r="E2317" s="21">
        <v>91003438</v>
      </c>
      <c r="F2317" s="20">
        <v>27112251.559999999</v>
      </c>
      <c r="G2317" s="22">
        <v>46248</v>
      </c>
      <c r="H2317" t="s">
        <v>79</v>
      </c>
      <c r="I2317" s="51" t="str">
        <f>IFERROR(IF(VLOOKUP(E2317,extracto!C:C,1,FALSE)=E2317,"pagado","no pagado"),"no pagado")</f>
        <v>pagado</v>
      </c>
      <c r="J2317" s="52" t="str">
        <f t="shared" si="876"/>
        <v>pagado</v>
      </c>
      <c r="K2317" s="51" t="str">
        <f t="shared" ca="1" si="877"/>
        <v>excluir</v>
      </c>
      <c r="L2317" s="51" t="str">
        <f t="shared" ca="1" si="878"/>
        <v>no semana</v>
      </c>
      <c r="M2317" s="51" t="str">
        <f>IFERROR(VLOOKUP(E2317,'cheques a conf'!A:D,4,FALSE),"no clearing")</f>
        <v>no clearing</v>
      </c>
      <c r="N2317" s="51">
        <f t="shared" si="879"/>
        <v>33</v>
      </c>
      <c r="O2317" s="53">
        <f t="shared" si="880"/>
        <v>8</v>
      </c>
      <c r="P2317" s="53">
        <f t="shared" si="881"/>
        <v>2026</v>
      </c>
    </row>
    <row r="2318" spans="1:16" x14ac:dyDescent="0.25">
      <c r="A2318" s="21">
        <v>3000005019</v>
      </c>
      <c r="B2318" s="22">
        <v>46244</v>
      </c>
      <c r="C2318" s="20">
        <v>25000000</v>
      </c>
      <c r="D2318" s="21" t="s">
        <v>631</v>
      </c>
      <c r="E2318" s="21">
        <v>91003461</v>
      </c>
      <c r="F2318" s="20">
        <v>25000000</v>
      </c>
      <c r="G2318" s="22">
        <v>46247</v>
      </c>
      <c r="H2318" t="s">
        <v>79</v>
      </c>
      <c r="I2318" s="51" t="str">
        <f>IFERROR(IF(VLOOKUP(E2318,extracto!C:C,1,FALSE)=E2318,"pagado","no pagado"),"no pagado")</f>
        <v>pagado</v>
      </c>
      <c r="J2318" s="52" t="str">
        <f t="shared" si="876"/>
        <v>pagado</v>
      </c>
      <c r="K2318" s="51" t="str">
        <f t="shared" ca="1" si="877"/>
        <v>excluir</v>
      </c>
      <c r="L2318" s="51" t="str">
        <f t="shared" ca="1" si="878"/>
        <v>no semana</v>
      </c>
      <c r="M2318" s="51" t="str">
        <f>IFERROR(VLOOKUP(E2318,'cheques a conf'!A:D,4,FALSE),"no clearing")</f>
        <v>no clearing</v>
      </c>
      <c r="N2318" s="51">
        <f t="shared" si="879"/>
        <v>33</v>
      </c>
      <c r="O2318" s="53">
        <f t="shared" si="880"/>
        <v>8</v>
      </c>
      <c r="P2318" s="53">
        <f t="shared" si="881"/>
        <v>2026</v>
      </c>
    </row>
    <row r="2319" spans="1:16" x14ac:dyDescent="0.25">
      <c r="A2319" s="21">
        <v>3000005019</v>
      </c>
      <c r="B2319" s="22">
        <v>46244</v>
      </c>
      <c r="C2319" s="20">
        <v>28113073.309999999</v>
      </c>
      <c r="D2319" s="21" t="s">
        <v>631</v>
      </c>
      <c r="E2319" s="21">
        <v>91003462</v>
      </c>
      <c r="F2319" s="20">
        <v>28113073.309999999</v>
      </c>
      <c r="G2319" s="22">
        <v>46248</v>
      </c>
      <c r="H2319" t="s">
        <v>79</v>
      </c>
      <c r="I2319" s="51" t="str">
        <f>IFERROR(IF(VLOOKUP(E2319,extracto!C:C,1,FALSE)=E2319,"pagado","no pagado"),"no pagado")</f>
        <v>pagado</v>
      </c>
      <c r="J2319" s="52" t="str">
        <f t="shared" si="876"/>
        <v>pagado</v>
      </c>
      <c r="K2319" s="51" t="str">
        <f t="shared" ca="1" si="877"/>
        <v>excluir</v>
      </c>
      <c r="L2319" s="51" t="str">
        <f t="shared" ca="1" si="878"/>
        <v>no semana</v>
      </c>
      <c r="M2319" s="51" t="str">
        <f>IFERROR(VLOOKUP(E2319,'cheques a conf'!A:D,4,FALSE),"no clearing")</f>
        <v>no clearing</v>
      </c>
      <c r="N2319" s="51">
        <f t="shared" si="879"/>
        <v>33</v>
      </c>
      <c r="O2319" s="53">
        <f t="shared" si="880"/>
        <v>8</v>
      </c>
      <c r="P2319" s="53">
        <f t="shared" si="881"/>
        <v>2026</v>
      </c>
    </row>
    <row r="2320" spans="1:16" x14ac:dyDescent="0.25">
      <c r="A2320" s="21">
        <v>3000005023</v>
      </c>
      <c r="B2320" s="22">
        <v>46244</v>
      </c>
      <c r="C2320" s="20">
        <v>22000000</v>
      </c>
      <c r="D2320" s="21" t="s">
        <v>1794</v>
      </c>
      <c r="E2320" s="21">
        <v>61301870</v>
      </c>
      <c r="F2320" s="20">
        <v>22000000</v>
      </c>
      <c r="G2320" s="22">
        <v>46248</v>
      </c>
      <c r="H2320" t="s">
        <v>79</v>
      </c>
      <c r="I2320" s="51" t="str">
        <f>IFERROR(IF(VLOOKUP(E2320,extracto!C:C,1,FALSE)=E2320,"pagado","no pagado"),"no pagado")</f>
        <v>pagado</v>
      </c>
      <c r="J2320" s="52" t="str">
        <f t="shared" si="876"/>
        <v>pagado</v>
      </c>
      <c r="K2320" s="51" t="str">
        <f t="shared" ca="1" si="877"/>
        <v>excluir</v>
      </c>
      <c r="L2320" s="51" t="str">
        <f t="shared" ca="1" si="878"/>
        <v>no semana</v>
      </c>
      <c r="M2320" s="51" t="str">
        <f>IFERROR(VLOOKUP(E2320,'cheques a conf'!A:D,4,FALSE),"no clearing")</f>
        <v>no clearing</v>
      </c>
      <c r="N2320" s="51">
        <f t="shared" si="879"/>
        <v>33</v>
      </c>
      <c r="O2320" s="53">
        <f t="shared" si="880"/>
        <v>8</v>
      </c>
      <c r="P2320" s="53">
        <f t="shared" si="881"/>
        <v>2026</v>
      </c>
    </row>
    <row r="2321" spans="1:16" x14ac:dyDescent="0.25">
      <c r="A2321" s="21">
        <v>3000005023</v>
      </c>
      <c r="B2321" s="22">
        <v>46244</v>
      </c>
      <c r="C2321" s="20">
        <v>21466972.52</v>
      </c>
      <c r="D2321" s="21" t="s">
        <v>1794</v>
      </c>
      <c r="E2321" s="21">
        <v>61301871</v>
      </c>
      <c r="F2321" s="20">
        <v>21466972.52</v>
      </c>
      <c r="G2321" s="22">
        <v>46275</v>
      </c>
      <c r="H2321" t="s">
        <v>79</v>
      </c>
      <c r="I2321" s="51" t="str">
        <f>IFERROR(IF(VLOOKUP(E2321,extracto!C:C,1,FALSE)=E2321,"pagado","no pagado"),"no pagado")</f>
        <v>no pagado</v>
      </c>
      <c r="J2321" s="52" t="str">
        <f t="shared" ca="1" si="876"/>
        <v>en periodo de pago</v>
      </c>
      <c r="K2321" s="51" t="str">
        <f t="shared" ca="1" si="877"/>
        <v>proximo a vencer</v>
      </c>
      <c r="L2321" s="51" t="str">
        <f t="shared" ca="1" si="878"/>
        <v>para la semana</v>
      </c>
      <c r="M2321" s="51" t="str">
        <f>IFERROR(VLOOKUP(E2321,'cheques a conf'!A:D,4,FALSE),"no clearing")</f>
        <v>no clearing</v>
      </c>
      <c r="N2321" s="51">
        <f t="shared" si="879"/>
        <v>37</v>
      </c>
      <c r="O2321" s="53">
        <f t="shared" si="880"/>
        <v>9</v>
      </c>
      <c r="P2321" s="53">
        <f t="shared" si="881"/>
        <v>2026</v>
      </c>
    </row>
    <row r="2322" spans="1:16" x14ac:dyDescent="0.25">
      <c r="A2322" s="21">
        <v>3000005024</v>
      </c>
      <c r="B2322" s="22">
        <v>46244</v>
      </c>
      <c r="C2322" s="20">
        <v>2500000</v>
      </c>
      <c r="D2322" s="21" t="s">
        <v>1795</v>
      </c>
      <c r="E2322" s="21">
        <v>61301872</v>
      </c>
      <c r="F2322" s="20">
        <v>2500000</v>
      </c>
      <c r="G2322" s="22">
        <v>46248</v>
      </c>
      <c r="H2322" t="s">
        <v>79</v>
      </c>
      <c r="I2322" s="51" t="str">
        <f>IFERROR(IF(VLOOKUP(E2322,extracto!C:C,1,FALSE)=E2322,"pagado","no pagado"),"no pagado")</f>
        <v>pagado</v>
      </c>
      <c r="J2322" s="52" t="str">
        <f t="shared" si="876"/>
        <v>pagado</v>
      </c>
      <c r="K2322" s="51" t="str">
        <f t="shared" ca="1" si="877"/>
        <v>excluir</v>
      </c>
      <c r="L2322" s="51" t="str">
        <f t="shared" ca="1" si="878"/>
        <v>no semana</v>
      </c>
      <c r="M2322" s="51" t="str">
        <f>IFERROR(VLOOKUP(E2322,'cheques a conf'!A:D,4,FALSE),"no clearing")</f>
        <v>no clearing</v>
      </c>
      <c r="N2322" s="51">
        <f t="shared" si="879"/>
        <v>33</v>
      </c>
      <c r="O2322" s="53">
        <f t="shared" si="880"/>
        <v>8</v>
      </c>
      <c r="P2322" s="53">
        <f t="shared" si="881"/>
        <v>2026</v>
      </c>
    </row>
    <row r="2323" spans="1:16" x14ac:dyDescent="0.25">
      <c r="A2323" s="21">
        <v>3000005024</v>
      </c>
      <c r="B2323" s="22">
        <v>46244</v>
      </c>
      <c r="C2323" s="20">
        <v>2500000</v>
      </c>
      <c r="D2323" s="21" t="s">
        <v>1795</v>
      </c>
      <c r="E2323" s="21">
        <v>61301873</v>
      </c>
      <c r="F2323" s="20">
        <v>2500000</v>
      </c>
      <c r="G2323" s="22">
        <v>46269</v>
      </c>
      <c r="H2323" t="s">
        <v>79</v>
      </c>
      <c r="I2323" s="51" t="str">
        <f>IFERROR(IF(VLOOKUP(E2323,extracto!C:C,1,FALSE)=E2323,"pagado","no pagado"),"no pagado")</f>
        <v>pagado</v>
      </c>
      <c r="J2323" s="52" t="str">
        <f t="shared" si="876"/>
        <v>pagado</v>
      </c>
      <c r="K2323" s="51" t="str">
        <f t="shared" ca="1" si="877"/>
        <v>excluir</v>
      </c>
      <c r="L2323" s="51" t="str">
        <f t="shared" ca="1" si="878"/>
        <v>no semana</v>
      </c>
      <c r="M2323" s="51" t="str">
        <f>IFERROR(VLOOKUP(E2323,'cheques a conf'!A:D,4,FALSE),"no clearing")</f>
        <v>no clearing</v>
      </c>
      <c r="N2323" s="51">
        <f t="shared" si="879"/>
        <v>36</v>
      </c>
      <c r="O2323" s="53">
        <f t="shared" si="880"/>
        <v>9</v>
      </c>
      <c r="P2323" s="53">
        <f t="shared" si="881"/>
        <v>2026</v>
      </c>
    </row>
    <row r="2324" spans="1:16" x14ac:dyDescent="0.25">
      <c r="A2324" s="21">
        <v>3000005024</v>
      </c>
      <c r="B2324" s="22">
        <v>46244</v>
      </c>
      <c r="C2324" s="20">
        <v>2500000</v>
      </c>
      <c r="D2324" s="21" t="s">
        <v>1795</v>
      </c>
      <c r="E2324" s="21">
        <v>61301874</v>
      </c>
      <c r="F2324" s="20">
        <v>2500000</v>
      </c>
      <c r="G2324" s="22">
        <v>46300</v>
      </c>
      <c r="H2324" t="s">
        <v>79</v>
      </c>
      <c r="I2324" s="51" t="str">
        <f>IFERROR(IF(VLOOKUP(E2324,extracto!C:C,1,FALSE)=E2324,"pagado","no pagado"),"no pagado")</f>
        <v>no pagado</v>
      </c>
      <c r="J2324" s="52" t="str">
        <f t="shared" ca="1" si="876"/>
        <v>en periodo de pago</v>
      </c>
      <c r="K2324" s="51" t="str">
        <f t="shared" ca="1" si="877"/>
        <v>proximo a vencer</v>
      </c>
      <c r="L2324" s="51" t="str">
        <f t="shared" ca="1" si="878"/>
        <v>no semana</v>
      </c>
      <c r="M2324" s="51" t="str">
        <f>IFERROR(VLOOKUP(E2324,'cheques a conf'!A:D,4,FALSE),"no clearing")</f>
        <v>no clearing</v>
      </c>
      <c r="N2324" s="51">
        <f t="shared" si="879"/>
        <v>41</v>
      </c>
      <c r="O2324" s="53">
        <f t="shared" si="880"/>
        <v>10</v>
      </c>
      <c r="P2324" s="53">
        <f t="shared" si="881"/>
        <v>2026</v>
      </c>
    </row>
    <row r="2325" spans="1:16" x14ac:dyDescent="0.25">
      <c r="A2325" s="21">
        <v>3000005024</v>
      </c>
      <c r="B2325" s="22">
        <v>46244</v>
      </c>
      <c r="C2325" s="20">
        <v>2265052.4900000002</v>
      </c>
      <c r="D2325" s="21" t="s">
        <v>1795</v>
      </c>
      <c r="E2325" s="21">
        <v>61301875</v>
      </c>
      <c r="F2325" s="20">
        <v>2265052.4900000002</v>
      </c>
      <c r="G2325" s="22">
        <v>46331</v>
      </c>
      <c r="H2325" t="s">
        <v>79</v>
      </c>
      <c r="I2325" s="51" t="str">
        <f>IFERROR(IF(VLOOKUP(E2325,extracto!C:C,1,FALSE)=E2325,"pagado","no pagado"),"no pagado")</f>
        <v>no pagado</v>
      </c>
      <c r="J2325" s="52" t="str">
        <f t="shared" ca="1" si="876"/>
        <v>en periodo de pago</v>
      </c>
      <c r="K2325" s="51" t="str">
        <f t="shared" ca="1" si="877"/>
        <v>proximo a vencer</v>
      </c>
      <c r="L2325" s="51" t="str">
        <f t="shared" ca="1" si="878"/>
        <v>no semana</v>
      </c>
      <c r="M2325" s="51" t="str">
        <f>IFERROR(VLOOKUP(E2325,'cheques a conf'!A:D,4,FALSE),"no clearing")</f>
        <v>no clearing</v>
      </c>
      <c r="N2325" s="51">
        <f t="shared" si="879"/>
        <v>45</v>
      </c>
      <c r="O2325" s="53">
        <f t="shared" si="880"/>
        <v>11</v>
      </c>
      <c r="P2325" s="53">
        <f t="shared" si="881"/>
        <v>2026</v>
      </c>
    </row>
    <row r="2326" spans="1:16" x14ac:dyDescent="0.25">
      <c r="A2326" s="21">
        <v>3000004990</v>
      </c>
      <c r="B2326" s="22">
        <v>46244</v>
      </c>
      <c r="C2326" s="20">
        <v>10380401.630000001</v>
      </c>
      <c r="D2326" s="21" t="s">
        <v>71</v>
      </c>
      <c r="E2326" s="21">
        <v>91003431</v>
      </c>
      <c r="F2326" s="20">
        <v>10380401.630000001</v>
      </c>
      <c r="G2326" s="22">
        <v>46247</v>
      </c>
      <c r="H2326" t="s">
        <v>79</v>
      </c>
      <c r="I2326" s="51" t="str">
        <f>IFERROR(IF(VLOOKUP(E2326,extracto!C:C,1,FALSE)=E2326,"pagado","no pagado"),"no pagado")</f>
        <v>pagado</v>
      </c>
      <c r="J2326" s="52" t="str">
        <f t="shared" si="876"/>
        <v>pagado</v>
      </c>
      <c r="K2326" s="51" t="str">
        <f t="shared" ca="1" si="877"/>
        <v>excluir</v>
      </c>
      <c r="L2326" s="51" t="str">
        <f t="shared" ca="1" si="878"/>
        <v>no semana</v>
      </c>
      <c r="M2326" s="51" t="str">
        <f>IFERROR(VLOOKUP(E2326,'cheques a conf'!A:D,4,FALSE),"no clearing")</f>
        <v>no clearing</v>
      </c>
      <c r="N2326" s="51">
        <f t="shared" si="879"/>
        <v>33</v>
      </c>
      <c r="O2326" s="53">
        <f t="shared" si="880"/>
        <v>8</v>
      </c>
      <c r="P2326" s="53">
        <f t="shared" si="881"/>
        <v>2026</v>
      </c>
    </row>
    <row r="2327" spans="1:16" x14ac:dyDescent="0.25">
      <c r="A2327" s="21">
        <v>3000004991</v>
      </c>
      <c r="B2327" s="22">
        <v>46244</v>
      </c>
      <c r="C2327" s="20">
        <v>7964741.1100000003</v>
      </c>
      <c r="D2327" s="21" t="s">
        <v>639</v>
      </c>
      <c r="E2327" s="21">
        <v>91003432</v>
      </c>
      <c r="F2327" s="20">
        <v>7964741.1100000003</v>
      </c>
      <c r="G2327" s="22">
        <v>46247</v>
      </c>
      <c r="H2327" t="s">
        <v>79</v>
      </c>
      <c r="I2327" s="51" t="str">
        <f>IFERROR(IF(VLOOKUP(E2327,extracto!C:C,1,FALSE)=E2327,"pagado","no pagado"),"no pagado")</f>
        <v>pagado</v>
      </c>
      <c r="J2327" s="52" t="str">
        <f t="shared" si="876"/>
        <v>pagado</v>
      </c>
      <c r="K2327" s="51" t="str">
        <f t="shared" ca="1" si="877"/>
        <v>excluir</v>
      </c>
      <c r="L2327" s="51" t="str">
        <f t="shared" ca="1" si="878"/>
        <v>no semana</v>
      </c>
      <c r="M2327" s="51" t="str">
        <f>IFERROR(VLOOKUP(E2327,'cheques a conf'!A:D,4,FALSE),"no clearing")</f>
        <v>no clearing</v>
      </c>
      <c r="N2327" s="51">
        <f t="shared" si="879"/>
        <v>33</v>
      </c>
      <c r="O2327" s="53">
        <f t="shared" si="880"/>
        <v>8</v>
      </c>
      <c r="P2327" s="53">
        <f t="shared" si="881"/>
        <v>2026</v>
      </c>
    </row>
    <row r="2328" spans="1:16" x14ac:dyDescent="0.25">
      <c r="A2328" s="21">
        <v>3000004992</v>
      </c>
      <c r="B2328" s="22">
        <v>46244</v>
      </c>
      <c r="C2328" s="20">
        <v>16066665.800000001</v>
      </c>
      <c r="D2328" s="21" t="s">
        <v>86</v>
      </c>
      <c r="E2328" s="21">
        <v>91003433</v>
      </c>
      <c r="F2328" s="20">
        <v>16066665.800000001</v>
      </c>
      <c r="G2328" s="22">
        <v>46247</v>
      </c>
      <c r="H2328" t="s">
        <v>79</v>
      </c>
      <c r="I2328" s="51" t="str">
        <f>IFERROR(IF(VLOOKUP(E2328,extracto!C:C,1,FALSE)=E2328,"pagado","no pagado"),"no pagado")</f>
        <v>pagado</v>
      </c>
      <c r="J2328" s="52" t="str">
        <f t="shared" si="876"/>
        <v>pagado</v>
      </c>
      <c r="K2328" s="51" t="str">
        <f t="shared" ca="1" si="877"/>
        <v>excluir</v>
      </c>
      <c r="L2328" s="51" t="str">
        <f t="shared" ca="1" si="878"/>
        <v>no semana</v>
      </c>
      <c r="M2328" s="51" t="str">
        <f>IFERROR(VLOOKUP(E2328,'cheques a conf'!A:D,4,FALSE),"no clearing")</f>
        <v>no clearing</v>
      </c>
      <c r="N2328" s="51">
        <f t="shared" si="879"/>
        <v>33</v>
      </c>
      <c r="O2328" s="53">
        <f t="shared" si="880"/>
        <v>8</v>
      </c>
      <c r="P2328" s="53">
        <f t="shared" si="881"/>
        <v>2026</v>
      </c>
    </row>
    <row r="2329" spans="1:16" x14ac:dyDescent="0.25">
      <c r="A2329" s="21">
        <v>3000004993</v>
      </c>
      <c r="B2329" s="22">
        <v>46244</v>
      </c>
      <c r="C2329" s="20">
        <v>15667425.939999999</v>
      </c>
      <c r="D2329" s="21" t="s">
        <v>1758</v>
      </c>
      <c r="E2329" s="21">
        <v>91003434</v>
      </c>
      <c r="F2329" s="20">
        <v>15667425.939999999</v>
      </c>
      <c r="G2329" s="22">
        <v>46247</v>
      </c>
      <c r="H2329" t="s">
        <v>79</v>
      </c>
      <c r="I2329" s="51" t="str">
        <f>IFERROR(IF(VLOOKUP(E2329,extracto!C:C,1,FALSE)=E2329,"pagado","no pagado"),"no pagado")</f>
        <v>pagado</v>
      </c>
      <c r="J2329" s="52" t="str">
        <f t="shared" si="876"/>
        <v>pagado</v>
      </c>
      <c r="K2329" s="51" t="str">
        <f t="shared" ca="1" si="877"/>
        <v>excluir</v>
      </c>
      <c r="L2329" s="51" t="str">
        <f t="shared" ca="1" si="878"/>
        <v>no semana</v>
      </c>
      <c r="M2329" s="51" t="str">
        <f>IFERROR(VLOOKUP(E2329,'cheques a conf'!A:D,4,FALSE),"no clearing")</f>
        <v>no clearing</v>
      </c>
      <c r="N2329" s="51">
        <f t="shared" si="879"/>
        <v>33</v>
      </c>
      <c r="O2329" s="53">
        <f t="shared" si="880"/>
        <v>8</v>
      </c>
      <c r="P2329" s="53">
        <f t="shared" si="881"/>
        <v>2026</v>
      </c>
    </row>
    <row r="2330" spans="1:16" x14ac:dyDescent="0.25">
      <c r="A2330" s="21">
        <v>3000004994</v>
      </c>
      <c r="B2330" s="22">
        <v>46244</v>
      </c>
      <c r="C2330" s="20">
        <v>16061443.869999999</v>
      </c>
      <c r="D2330" s="21" t="s">
        <v>672</v>
      </c>
      <c r="E2330" s="21">
        <v>91003435</v>
      </c>
      <c r="F2330" s="20">
        <v>16061443.869999999</v>
      </c>
      <c r="G2330" s="22">
        <v>46247</v>
      </c>
      <c r="H2330" t="s">
        <v>79</v>
      </c>
      <c r="I2330" s="51" t="str">
        <f>IFERROR(IF(VLOOKUP(E2330,extracto!C:C,1,FALSE)=E2330,"pagado","no pagado"),"no pagado")</f>
        <v>pagado</v>
      </c>
      <c r="J2330" s="52" t="str">
        <f t="shared" si="876"/>
        <v>pagado</v>
      </c>
      <c r="K2330" s="51" t="str">
        <f t="shared" ca="1" si="877"/>
        <v>excluir</v>
      </c>
      <c r="L2330" s="51" t="str">
        <f t="shared" ca="1" si="878"/>
        <v>no semana</v>
      </c>
      <c r="M2330" s="51" t="str">
        <f>IFERROR(VLOOKUP(E2330,'cheques a conf'!A:D,4,FALSE),"no clearing")</f>
        <v>no clearing</v>
      </c>
      <c r="N2330" s="51">
        <f t="shared" si="879"/>
        <v>33</v>
      </c>
      <c r="O2330" s="53">
        <f t="shared" si="880"/>
        <v>8</v>
      </c>
      <c r="P2330" s="53">
        <f t="shared" si="881"/>
        <v>2026</v>
      </c>
    </row>
    <row r="2331" spans="1:16" x14ac:dyDescent="0.25">
      <c r="A2331" s="21">
        <v>3000004995</v>
      </c>
      <c r="B2331" s="22">
        <v>46244</v>
      </c>
      <c r="C2331" s="20">
        <v>6800607.8799999999</v>
      </c>
      <c r="D2331" s="21" t="s">
        <v>645</v>
      </c>
      <c r="E2331" s="21">
        <v>91003436</v>
      </c>
      <c r="F2331" s="20">
        <v>6800607.8799999999</v>
      </c>
      <c r="G2331" s="22">
        <v>46247</v>
      </c>
      <c r="H2331" t="s">
        <v>79</v>
      </c>
      <c r="I2331" s="51" t="str">
        <f>IFERROR(IF(VLOOKUP(E2331,extracto!C:C,1,FALSE)=E2331,"pagado","no pagado"),"no pagado")</f>
        <v>pagado</v>
      </c>
      <c r="J2331" s="52" t="str">
        <f t="shared" si="876"/>
        <v>pagado</v>
      </c>
      <c r="K2331" s="51" t="str">
        <f t="shared" ca="1" si="877"/>
        <v>excluir</v>
      </c>
      <c r="L2331" s="51" t="str">
        <f t="shared" ca="1" si="878"/>
        <v>no semana</v>
      </c>
      <c r="M2331" s="51" t="str">
        <f>IFERROR(VLOOKUP(E2331,'cheques a conf'!A:D,4,FALSE),"no clearing")</f>
        <v>no clearing</v>
      </c>
      <c r="N2331" s="51">
        <f t="shared" si="879"/>
        <v>33</v>
      </c>
      <c r="O2331" s="53">
        <f t="shared" si="880"/>
        <v>8</v>
      </c>
      <c r="P2331" s="53">
        <f t="shared" si="881"/>
        <v>2026</v>
      </c>
    </row>
    <row r="2332" spans="1:16" x14ac:dyDescent="0.25">
      <c r="A2332" s="21">
        <v>3000004997</v>
      </c>
      <c r="B2332" s="22">
        <v>46244</v>
      </c>
      <c r="C2332" s="20">
        <v>6952984.0099999998</v>
      </c>
      <c r="D2332" s="21" t="s">
        <v>628</v>
      </c>
      <c r="E2332" s="21">
        <v>91003439</v>
      </c>
      <c r="F2332" s="20">
        <v>6952984.0099999998</v>
      </c>
      <c r="G2332" s="22">
        <v>46247</v>
      </c>
      <c r="H2332" t="s">
        <v>79</v>
      </c>
      <c r="I2332" s="51" t="str">
        <f>IFERROR(IF(VLOOKUP(E2332,extracto!C:C,1,FALSE)=E2332,"pagado","no pagado"),"no pagado")</f>
        <v>pagado</v>
      </c>
      <c r="J2332" s="52" t="str">
        <f t="shared" si="876"/>
        <v>pagado</v>
      </c>
      <c r="K2332" s="51" t="str">
        <f t="shared" ca="1" si="877"/>
        <v>excluir</v>
      </c>
      <c r="L2332" s="51" t="str">
        <f t="shared" ca="1" si="878"/>
        <v>no semana</v>
      </c>
      <c r="M2332" s="51" t="str">
        <f>IFERROR(VLOOKUP(E2332,'cheques a conf'!A:D,4,FALSE),"no clearing")</f>
        <v>no clearing</v>
      </c>
      <c r="N2332" s="51">
        <f t="shared" si="879"/>
        <v>33</v>
      </c>
      <c r="O2332" s="53">
        <f t="shared" si="880"/>
        <v>8</v>
      </c>
      <c r="P2332" s="53">
        <f t="shared" si="881"/>
        <v>2026</v>
      </c>
    </row>
    <row r="2333" spans="1:16" x14ac:dyDescent="0.25">
      <c r="A2333" s="21">
        <v>3000004998</v>
      </c>
      <c r="B2333" s="22">
        <v>46244</v>
      </c>
      <c r="C2333" s="20">
        <v>12285246.16</v>
      </c>
      <c r="D2333" s="21" t="s">
        <v>607</v>
      </c>
      <c r="E2333" s="21">
        <v>91003440</v>
      </c>
      <c r="F2333" s="20">
        <v>12285246.16</v>
      </c>
      <c r="G2333" s="22">
        <v>46247</v>
      </c>
      <c r="H2333" t="s">
        <v>79</v>
      </c>
      <c r="I2333" s="51" t="str">
        <f>IFERROR(IF(VLOOKUP(E2333,extracto!C:C,1,FALSE)=E2333,"pagado","no pagado"),"no pagado")</f>
        <v>pagado</v>
      </c>
      <c r="J2333" s="52" t="str">
        <f t="shared" si="876"/>
        <v>pagado</v>
      </c>
      <c r="K2333" s="51" t="str">
        <f t="shared" ca="1" si="877"/>
        <v>excluir</v>
      </c>
      <c r="L2333" s="51" t="str">
        <f t="shared" ca="1" si="878"/>
        <v>no semana</v>
      </c>
      <c r="M2333" s="51" t="str">
        <f>IFERROR(VLOOKUP(E2333,'cheques a conf'!A:D,4,FALSE),"no clearing")</f>
        <v>no clearing</v>
      </c>
      <c r="N2333" s="51">
        <f t="shared" si="879"/>
        <v>33</v>
      </c>
      <c r="O2333" s="53">
        <f t="shared" si="880"/>
        <v>8</v>
      </c>
      <c r="P2333" s="53">
        <f t="shared" si="881"/>
        <v>2026</v>
      </c>
    </row>
    <row r="2334" spans="1:16" x14ac:dyDescent="0.25">
      <c r="A2334" s="21">
        <v>3000004999</v>
      </c>
      <c r="B2334" s="22">
        <v>46244</v>
      </c>
      <c r="C2334" s="20">
        <v>48746138.609999999</v>
      </c>
      <c r="D2334" s="21" t="s">
        <v>626</v>
      </c>
      <c r="E2334" s="21">
        <v>91003441</v>
      </c>
      <c r="F2334" s="20">
        <v>48746138.609999999</v>
      </c>
      <c r="G2334" s="22">
        <v>46247</v>
      </c>
      <c r="H2334" t="s">
        <v>79</v>
      </c>
      <c r="I2334" s="51" t="str">
        <f>IFERROR(IF(VLOOKUP(E2334,extracto!C:C,1,FALSE)=E2334,"pagado","no pagado"),"no pagado")</f>
        <v>pagado</v>
      </c>
      <c r="J2334" s="52" t="str">
        <f t="shared" si="876"/>
        <v>pagado</v>
      </c>
      <c r="K2334" s="51" t="str">
        <f t="shared" ca="1" si="877"/>
        <v>excluir</v>
      </c>
      <c r="L2334" s="51" t="str">
        <f t="shared" ca="1" si="878"/>
        <v>no semana</v>
      </c>
      <c r="M2334" s="51" t="str">
        <f>IFERROR(VLOOKUP(E2334,'cheques a conf'!A:D,4,FALSE),"no clearing")</f>
        <v>no clearing</v>
      </c>
      <c r="N2334" s="51">
        <f t="shared" si="879"/>
        <v>33</v>
      </c>
      <c r="O2334" s="53">
        <f t="shared" si="880"/>
        <v>8</v>
      </c>
      <c r="P2334" s="53">
        <f t="shared" si="881"/>
        <v>2026</v>
      </c>
    </row>
    <row r="2335" spans="1:16" x14ac:dyDescent="0.25">
      <c r="A2335" s="21">
        <v>3000005000</v>
      </c>
      <c r="B2335" s="22">
        <v>46244</v>
      </c>
      <c r="C2335" s="20">
        <v>19398076.25</v>
      </c>
      <c r="D2335" s="21" t="s">
        <v>1722</v>
      </c>
      <c r="E2335" s="21">
        <v>91003442</v>
      </c>
      <c r="F2335" s="20">
        <v>19398076.25</v>
      </c>
      <c r="G2335" s="22">
        <v>46248</v>
      </c>
      <c r="H2335" t="s">
        <v>79</v>
      </c>
      <c r="I2335" s="51" t="str">
        <f>IFERROR(IF(VLOOKUP(E2335,extracto!C:C,1,FALSE)=E2335,"pagado","no pagado"),"no pagado")</f>
        <v>pagado</v>
      </c>
      <c r="J2335" s="52" t="str">
        <f t="shared" si="876"/>
        <v>pagado</v>
      </c>
      <c r="K2335" s="51" t="str">
        <f t="shared" ca="1" si="877"/>
        <v>excluir</v>
      </c>
      <c r="L2335" s="51" t="str">
        <f t="shared" ca="1" si="878"/>
        <v>no semana</v>
      </c>
      <c r="M2335" s="51" t="str">
        <f>IFERROR(VLOOKUP(E2335,'cheques a conf'!A:D,4,FALSE),"no clearing")</f>
        <v>no clearing</v>
      </c>
      <c r="N2335" s="51">
        <f t="shared" si="879"/>
        <v>33</v>
      </c>
      <c r="O2335" s="53">
        <f t="shared" si="880"/>
        <v>8</v>
      </c>
      <c r="P2335" s="53">
        <f t="shared" si="881"/>
        <v>2026</v>
      </c>
    </row>
    <row r="2336" spans="1:16" x14ac:dyDescent="0.25">
      <c r="A2336" s="21">
        <v>3000005001</v>
      </c>
      <c r="B2336" s="22">
        <v>46244</v>
      </c>
      <c r="C2336" s="20">
        <v>13476107.789999999</v>
      </c>
      <c r="D2336" s="21" t="s">
        <v>675</v>
      </c>
      <c r="E2336" s="21">
        <v>91003443</v>
      </c>
      <c r="F2336" s="20">
        <v>13476107.789999999</v>
      </c>
      <c r="G2336" s="22">
        <v>46247</v>
      </c>
      <c r="H2336" t="s">
        <v>79</v>
      </c>
      <c r="I2336" s="51" t="str">
        <f>IFERROR(IF(VLOOKUP(E2336,extracto!C:C,1,FALSE)=E2336,"pagado","no pagado"),"no pagado")</f>
        <v>pagado</v>
      </c>
      <c r="J2336" s="52" t="str">
        <f t="shared" si="876"/>
        <v>pagado</v>
      </c>
      <c r="K2336" s="51" t="str">
        <f t="shared" ca="1" si="877"/>
        <v>excluir</v>
      </c>
      <c r="L2336" s="51" t="str">
        <f t="shared" ca="1" si="878"/>
        <v>no semana</v>
      </c>
      <c r="M2336" s="51" t="str">
        <f>IFERROR(VLOOKUP(E2336,'cheques a conf'!A:D,4,FALSE),"no clearing")</f>
        <v>no clearing</v>
      </c>
      <c r="N2336" s="51">
        <f t="shared" si="879"/>
        <v>33</v>
      </c>
      <c r="O2336" s="53">
        <f t="shared" si="880"/>
        <v>8</v>
      </c>
      <c r="P2336" s="53">
        <f t="shared" si="881"/>
        <v>2026</v>
      </c>
    </row>
    <row r="2337" spans="1:16" x14ac:dyDescent="0.25">
      <c r="A2337" s="21">
        <v>3000005002</v>
      </c>
      <c r="B2337" s="22">
        <v>46244</v>
      </c>
      <c r="C2337" s="20">
        <v>5042931.2699999996</v>
      </c>
      <c r="D2337" s="21" t="s">
        <v>717</v>
      </c>
      <c r="E2337" s="21">
        <v>91003444</v>
      </c>
      <c r="F2337" s="20">
        <v>5042931.2699999996</v>
      </c>
      <c r="G2337" s="22">
        <v>46247</v>
      </c>
      <c r="H2337" t="s">
        <v>79</v>
      </c>
      <c r="I2337" s="51" t="str">
        <f>IFERROR(IF(VLOOKUP(E2337,extracto!C:C,1,FALSE)=E2337,"pagado","no pagado"),"no pagado")</f>
        <v>pagado</v>
      </c>
      <c r="J2337" s="52" t="str">
        <f t="shared" si="876"/>
        <v>pagado</v>
      </c>
      <c r="K2337" s="51" t="str">
        <f t="shared" ca="1" si="877"/>
        <v>excluir</v>
      </c>
      <c r="L2337" s="51" t="str">
        <f t="shared" ca="1" si="878"/>
        <v>no semana</v>
      </c>
      <c r="M2337" s="51" t="str">
        <f>IFERROR(VLOOKUP(E2337,'cheques a conf'!A:D,4,FALSE),"no clearing")</f>
        <v>no clearing</v>
      </c>
      <c r="N2337" s="51">
        <f t="shared" si="879"/>
        <v>33</v>
      </c>
      <c r="O2337" s="53">
        <f t="shared" si="880"/>
        <v>8</v>
      </c>
      <c r="P2337" s="53">
        <f t="shared" si="881"/>
        <v>2026</v>
      </c>
    </row>
    <row r="2338" spans="1:16" x14ac:dyDescent="0.25">
      <c r="A2338" s="21">
        <v>3000005003</v>
      </c>
      <c r="B2338" s="22">
        <v>46244</v>
      </c>
      <c r="C2338" s="20">
        <v>6884068.3499999996</v>
      </c>
      <c r="D2338" s="21" t="s">
        <v>669</v>
      </c>
      <c r="E2338" s="21">
        <v>91003445</v>
      </c>
      <c r="F2338" s="20">
        <v>6884068.3499999996</v>
      </c>
      <c r="G2338" s="22">
        <v>46247</v>
      </c>
      <c r="H2338" t="s">
        <v>79</v>
      </c>
      <c r="I2338" s="51" t="str">
        <f>IFERROR(IF(VLOOKUP(E2338,extracto!C:C,1,FALSE)=E2338,"pagado","no pagado"),"no pagado")</f>
        <v>pagado</v>
      </c>
      <c r="J2338" s="52" t="str">
        <f t="shared" si="876"/>
        <v>pagado</v>
      </c>
      <c r="K2338" s="51" t="str">
        <f t="shared" ca="1" si="877"/>
        <v>excluir</v>
      </c>
      <c r="L2338" s="51" t="str">
        <f t="shared" ca="1" si="878"/>
        <v>no semana</v>
      </c>
      <c r="M2338" s="51" t="str">
        <f>IFERROR(VLOOKUP(E2338,'cheques a conf'!A:D,4,FALSE),"no clearing")</f>
        <v>no clearing</v>
      </c>
      <c r="N2338" s="51">
        <f t="shared" si="879"/>
        <v>33</v>
      </c>
      <c r="O2338" s="53">
        <f t="shared" si="880"/>
        <v>8</v>
      </c>
      <c r="P2338" s="53">
        <f t="shared" si="881"/>
        <v>2026</v>
      </c>
    </row>
    <row r="2339" spans="1:16" x14ac:dyDescent="0.25">
      <c r="A2339" s="21">
        <v>3000005004</v>
      </c>
      <c r="B2339" s="22">
        <v>46244</v>
      </c>
      <c r="C2339" s="20">
        <v>20701260.280000001</v>
      </c>
      <c r="D2339" s="21" t="s">
        <v>657</v>
      </c>
      <c r="E2339" s="21">
        <v>91003446</v>
      </c>
      <c r="F2339" s="20">
        <v>20701260.280000001</v>
      </c>
      <c r="G2339" s="22">
        <v>46247</v>
      </c>
      <c r="H2339" t="s">
        <v>79</v>
      </c>
      <c r="I2339" s="51" t="str">
        <f>IFERROR(IF(VLOOKUP(E2339,extracto!C:C,1,FALSE)=E2339,"pagado","no pagado"),"no pagado")</f>
        <v>pagado</v>
      </c>
      <c r="J2339" s="52" t="str">
        <f t="shared" si="876"/>
        <v>pagado</v>
      </c>
      <c r="K2339" s="51" t="str">
        <f t="shared" ca="1" si="877"/>
        <v>excluir</v>
      </c>
      <c r="L2339" s="51" t="str">
        <f t="shared" ca="1" si="878"/>
        <v>no semana</v>
      </c>
      <c r="M2339" s="51" t="str">
        <f>IFERROR(VLOOKUP(E2339,'cheques a conf'!A:D,4,FALSE),"no clearing")</f>
        <v>no clearing</v>
      </c>
      <c r="N2339" s="51">
        <f t="shared" si="879"/>
        <v>33</v>
      </c>
      <c r="O2339" s="53">
        <f t="shared" si="880"/>
        <v>8</v>
      </c>
      <c r="P2339" s="53">
        <f t="shared" si="881"/>
        <v>2026</v>
      </c>
    </row>
    <row r="2340" spans="1:16" x14ac:dyDescent="0.25">
      <c r="A2340" s="21">
        <v>3000005005</v>
      </c>
      <c r="B2340" s="22">
        <v>46244</v>
      </c>
      <c r="C2340" s="20">
        <v>19556107.18</v>
      </c>
      <c r="D2340" s="21" t="s">
        <v>616</v>
      </c>
      <c r="E2340" s="21">
        <v>91003447</v>
      </c>
      <c r="F2340" s="20">
        <v>19556107.18</v>
      </c>
      <c r="G2340" s="22">
        <v>46247</v>
      </c>
      <c r="H2340" t="s">
        <v>79</v>
      </c>
      <c r="I2340" s="51" t="str">
        <f>IFERROR(IF(VLOOKUP(E2340,extracto!C:C,1,FALSE)=E2340,"pagado","no pagado"),"no pagado")</f>
        <v>pagado</v>
      </c>
      <c r="J2340" s="52" t="str">
        <f t="shared" si="876"/>
        <v>pagado</v>
      </c>
      <c r="K2340" s="51" t="str">
        <f t="shared" ca="1" si="877"/>
        <v>excluir</v>
      </c>
      <c r="L2340" s="51" t="str">
        <f t="shared" ca="1" si="878"/>
        <v>no semana</v>
      </c>
      <c r="M2340" s="51" t="str">
        <f>IFERROR(VLOOKUP(E2340,'cheques a conf'!A:D,4,FALSE),"no clearing")</f>
        <v>no clearing</v>
      </c>
      <c r="N2340" s="51">
        <f t="shared" si="879"/>
        <v>33</v>
      </c>
      <c r="O2340" s="53">
        <f t="shared" si="880"/>
        <v>8</v>
      </c>
      <c r="P2340" s="53">
        <f t="shared" si="881"/>
        <v>2026</v>
      </c>
    </row>
    <row r="2341" spans="1:16" x14ac:dyDescent="0.25">
      <c r="A2341" s="21">
        <v>3000005006</v>
      </c>
      <c r="B2341" s="22">
        <v>46244</v>
      </c>
      <c r="C2341" s="20">
        <v>15721125</v>
      </c>
      <c r="D2341" s="21" t="s">
        <v>618</v>
      </c>
      <c r="E2341" s="21">
        <v>91003448</v>
      </c>
      <c r="F2341" s="20">
        <v>15721125</v>
      </c>
      <c r="G2341" s="22">
        <v>46247</v>
      </c>
      <c r="H2341" t="s">
        <v>79</v>
      </c>
      <c r="I2341" s="51" t="str">
        <f>IFERROR(IF(VLOOKUP(E2341,extracto!C:C,1,FALSE)=E2341,"pagado","no pagado"),"no pagado")</f>
        <v>pagado</v>
      </c>
      <c r="J2341" s="52" t="str">
        <f t="shared" si="876"/>
        <v>pagado</v>
      </c>
      <c r="K2341" s="51" t="str">
        <f t="shared" ca="1" si="877"/>
        <v>excluir</v>
      </c>
      <c r="L2341" s="51" t="str">
        <f t="shared" ca="1" si="878"/>
        <v>no semana</v>
      </c>
      <c r="M2341" s="51" t="str">
        <f>IFERROR(VLOOKUP(E2341,'cheques a conf'!A:D,4,FALSE),"no clearing")</f>
        <v>no clearing</v>
      </c>
      <c r="N2341" s="51">
        <f t="shared" si="879"/>
        <v>33</v>
      </c>
      <c r="O2341" s="53">
        <f t="shared" si="880"/>
        <v>8</v>
      </c>
      <c r="P2341" s="53">
        <f t="shared" si="881"/>
        <v>2026</v>
      </c>
    </row>
    <row r="2342" spans="1:16" x14ac:dyDescent="0.25">
      <c r="A2342" s="21">
        <v>3000005007</v>
      </c>
      <c r="B2342" s="22">
        <v>46244</v>
      </c>
      <c r="C2342" s="20">
        <v>10340277.960000001</v>
      </c>
      <c r="D2342" s="21" t="s">
        <v>654</v>
      </c>
      <c r="E2342" s="21">
        <v>91003449</v>
      </c>
      <c r="F2342" s="20">
        <v>10340277.960000001</v>
      </c>
      <c r="G2342" s="22">
        <v>46247</v>
      </c>
      <c r="H2342" t="s">
        <v>79</v>
      </c>
      <c r="I2342" s="51" t="str">
        <f>IFERROR(IF(VLOOKUP(E2342,extracto!C:C,1,FALSE)=E2342,"pagado","no pagado"),"no pagado")</f>
        <v>pagado</v>
      </c>
      <c r="J2342" s="52" t="str">
        <f t="shared" si="876"/>
        <v>pagado</v>
      </c>
      <c r="K2342" s="51" t="str">
        <f t="shared" ca="1" si="877"/>
        <v>excluir</v>
      </c>
      <c r="L2342" s="51" t="str">
        <f t="shared" ca="1" si="878"/>
        <v>no semana</v>
      </c>
      <c r="M2342" s="51" t="str">
        <f>IFERROR(VLOOKUP(E2342,'cheques a conf'!A:D,4,FALSE),"no clearing")</f>
        <v>no clearing</v>
      </c>
      <c r="N2342" s="51">
        <f t="shared" si="879"/>
        <v>33</v>
      </c>
      <c r="O2342" s="53">
        <f t="shared" si="880"/>
        <v>8</v>
      </c>
      <c r="P2342" s="53">
        <f t="shared" si="881"/>
        <v>2026</v>
      </c>
    </row>
    <row r="2343" spans="1:16" x14ac:dyDescent="0.25">
      <c r="A2343" s="21">
        <v>3000005008</v>
      </c>
      <c r="B2343" s="22">
        <v>46244</v>
      </c>
      <c r="C2343" s="20">
        <v>21699792.690000001</v>
      </c>
      <c r="D2343" s="21" t="s">
        <v>31</v>
      </c>
      <c r="E2343" s="21">
        <v>91003450</v>
      </c>
      <c r="F2343" s="20">
        <v>21699792.690000001</v>
      </c>
      <c r="G2343" s="22">
        <v>46247</v>
      </c>
      <c r="H2343" t="s">
        <v>79</v>
      </c>
      <c r="I2343" s="51" t="str">
        <f>IFERROR(IF(VLOOKUP(E2343,extracto!C:C,1,FALSE)=E2343,"pagado","no pagado"),"no pagado")</f>
        <v>pagado</v>
      </c>
      <c r="J2343" s="52" t="str">
        <f t="shared" si="876"/>
        <v>pagado</v>
      </c>
      <c r="K2343" s="51" t="str">
        <f t="shared" ca="1" si="877"/>
        <v>excluir</v>
      </c>
      <c r="L2343" s="51" t="str">
        <f t="shared" ca="1" si="878"/>
        <v>no semana</v>
      </c>
      <c r="M2343" s="51" t="str">
        <f>IFERROR(VLOOKUP(E2343,'cheques a conf'!A:D,4,FALSE),"no clearing")</f>
        <v>no clearing</v>
      </c>
      <c r="N2343" s="51">
        <f t="shared" si="879"/>
        <v>33</v>
      </c>
      <c r="O2343" s="53">
        <f t="shared" si="880"/>
        <v>8</v>
      </c>
      <c r="P2343" s="53">
        <f t="shared" si="881"/>
        <v>2026</v>
      </c>
    </row>
    <row r="2344" spans="1:16" x14ac:dyDescent="0.25">
      <c r="A2344" s="21">
        <v>3000005009</v>
      </c>
      <c r="B2344" s="22">
        <v>46244</v>
      </c>
      <c r="C2344" s="20">
        <v>15212171.48</v>
      </c>
      <c r="D2344" s="21" t="s">
        <v>732</v>
      </c>
      <c r="E2344" s="21">
        <v>91003451</v>
      </c>
      <c r="F2344" s="20">
        <v>15212171.48</v>
      </c>
      <c r="G2344" s="22">
        <v>46247</v>
      </c>
      <c r="H2344" t="s">
        <v>79</v>
      </c>
      <c r="I2344" s="51" t="str">
        <f>IFERROR(IF(VLOOKUP(E2344,extracto!C:C,1,FALSE)=E2344,"pagado","no pagado"),"no pagado")</f>
        <v>pagado</v>
      </c>
      <c r="J2344" s="52" t="str">
        <f t="shared" si="876"/>
        <v>pagado</v>
      </c>
      <c r="K2344" s="51" t="str">
        <f t="shared" ca="1" si="877"/>
        <v>excluir</v>
      </c>
      <c r="L2344" s="51" t="str">
        <f t="shared" ca="1" si="878"/>
        <v>no semana</v>
      </c>
      <c r="M2344" s="51" t="str">
        <f>IFERROR(VLOOKUP(E2344,'cheques a conf'!A:D,4,FALSE),"no clearing")</f>
        <v>no clearing</v>
      </c>
      <c r="N2344" s="51">
        <f t="shared" si="879"/>
        <v>33</v>
      </c>
      <c r="O2344" s="53">
        <f t="shared" si="880"/>
        <v>8</v>
      </c>
      <c r="P2344" s="53">
        <f t="shared" si="881"/>
        <v>2026</v>
      </c>
    </row>
    <row r="2345" spans="1:16" x14ac:dyDescent="0.25">
      <c r="A2345" s="21">
        <v>3000005010</v>
      </c>
      <c r="B2345" s="22">
        <v>46244</v>
      </c>
      <c r="C2345" s="20">
        <v>9900419.2300000004</v>
      </c>
      <c r="D2345" s="21" t="s">
        <v>1737</v>
      </c>
      <c r="E2345" s="21">
        <v>91003452</v>
      </c>
      <c r="F2345" s="20">
        <v>9900419.2300000004</v>
      </c>
      <c r="G2345" s="22">
        <v>46247</v>
      </c>
      <c r="H2345" t="s">
        <v>79</v>
      </c>
      <c r="I2345" s="51" t="str">
        <f>IFERROR(IF(VLOOKUP(E2345,extracto!C:C,1,FALSE)=E2345,"pagado","no pagado"),"no pagado")</f>
        <v>pagado</v>
      </c>
      <c r="J2345" s="52" t="str">
        <f t="shared" si="876"/>
        <v>pagado</v>
      </c>
      <c r="K2345" s="51" t="str">
        <f t="shared" ca="1" si="877"/>
        <v>excluir</v>
      </c>
      <c r="L2345" s="51" t="str">
        <f t="shared" ca="1" si="878"/>
        <v>no semana</v>
      </c>
      <c r="M2345" s="51" t="str">
        <f>IFERROR(VLOOKUP(E2345,'cheques a conf'!A:D,4,FALSE),"no clearing")</f>
        <v>no clearing</v>
      </c>
      <c r="N2345" s="51">
        <f t="shared" si="879"/>
        <v>33</v>
      </c>
      <c r="O2345" s="53">
        <f t="shared" si="880"/>
        <v>8</v>
      </c>
      <c r="P2345" s="53">
        <f t="shared" si="881"/>
        <v>2026</v>
      </c>
    </row>
    <row r="2346" spans="1:16" x14ac:dyDescent="0.25">
      <c r="A2346" s="21">
        <v>3000005011</v>
      </c>
      <c r="B2346" s="22">
        <v>46244</v>
      </c>
      <c r="C2346" s="20">
        <v>8201247.2300000004</v>
      </c>
      <c r="D2346" s="21" t="s">
        <v>664</v>
      </c>
      <c r="E2346" s="21">
        <v>91003453</v>
      </c>
      <c r="F2346" s="20">
        <v>8201247.2300000004</v>
      </c>
      <c r="G2346" s="22">
        <v>46247</v>
      </c>
      <c r="H2346" t="s">
        <v>79</v>
      </c>
      <c r="I2346" s="51" t="str">
        <f>IFERROR(IF(VLOOKUP(E2346,extracto!C:C,1,FALSE)=E2346,"pagado","no pagado"),"no pagado")</f>
        <v>pagado</v>
      </c>
      <c r="J2346" s="52" t="str">
        <f t="shared" si="876"/>
        <v>pagado</v>
      </c>
      <c r="K2346" s="51" t="str">
        <f t="shared" ca="1" si="877"/>
        <v>excluir</v>
      </c>
      <c r="L2346" s="51" t="str">
        <f t="shared" ca="1" si="878"/>
        <v>no semana</v>
      </c>
      <c r="M2346" s="51" t="str">
        <f>IFERROR(VLOOKUP(E2346,'cheques a conf'!A:D,4,FALSE),"no clearing")</f>
        <v>no clearing</v>
      </c>
      <c r="N2346" s="51">
        <f t="shared" si="879"/>
        <v>33</v>
      </c>
      <c r="O2346" s="53">
        <f t="shared" si="880"/>
        <v>8</v>
      </c>
      <c r="P2346" s="53">
        <f t="shared" si="881"/>
        <v>2026</v>
      </c>
    </row>
    <row r="2347" spans="1:16" x14ac:dyDescent="0.25">
      <c r="A2347" s="21">
        <v>3000005012</v>
      </c>
      <c r="B2347" s="22">
        <v>46244</v>
      </c>
      <c r="C2347" s="20">
        <v>6261579.71</v>
      </c>
      <c r="D2347" s="21" t="s">
        <v>690</v>
      </c>
      <c r="E2347" s="21">
        <v>91003454</v>
      </c>
      <c r="F2347" s="20">
        <v>6261579.71</v>
      </c>
      <c r="G2347" s="22">
        <v>46247</v>
      </c>
      <c r="H2347" t="s">
        <v>79</v>
      </c>
      <c r="I2347" s="51" t="str">
        <f>IFERROR(IF(VLOOKUP(E2347,extracto!C:C,1,FALSE)=E2347,"pagado","no pagado"),"no pagado")</f>
        <v>pagado</v>
      </c>
      <c r="J2347" s="52" t="str">
        <f t="shared" si="876"/>
        <v>pagado</v>
      </c>
      <c r="K2347" s="51" t="str">
        <f t="shared" ca="1" si="877"/>
        <v>excluir</v>
      </c>
      <c r="L2347" s="51" t="str">
        <f t="shared" ca="1" si="878"/>
        <v>no semana</v>
      </c>
      <c r="M2347" s="51" t="str">
        <f>IFERROR(VLOOKUP(E2347,'cheques a conf'!A:D,4,FALSE),"no clearing")</f>
        <v>no clearing</v>
      </c>
      <c r="N2347" s="51">
        <f t="shared" si="879"/>
        <v>33</v>
      </c>
      <c r="O2347" s="53">
        <f t="shared" si="880"/>
        <v>8</v>
      </c>
      <c r="P2347" s="53">
        <f t="shared" si="881"/>
        <v>2026</v>
      </c>
    </row>
    <row r="2348" spans="1:16" x14ac:dyDescent="0.25">
      <c r="A2348" s="21">
        <v>3000005013</v>
      </c>
      <c r="B2348" s="22">
        <v>46244</v>
      </c>
      <c r="C2348" s="20">
        <v>11223714.42</v>
      </c>
      <c r="D2348" s="21" t="s">
        <v>702</v>
      </c>
      <c r="E2348" s="21">
        <v>91003455</v>
      </c>
      <c r="F2348" s="20">
        <v>11223714.42</v>
      </c>
      <c r="G2348" s="22">
        <v>46247</v>
      </c>
      <c r="H2348" t="s">
        <v>79</v>
      </c>
      <c r="I2348" s="51" t="str">
        <f>IFERROR(IF(VLOOKUP(E2348,extracto!C:C,1,FALSE)=E2348,"pagado","no pagado"),"no pagado")</f>
        <v>pagado</v>
      </c>
      <c r="J2348" s="52" t="str">
        <f t="shared" si="876"/>
        <v>pagado</v>
      </c>
      <c r="K2348" s="51" t="str">
        <f t="shared" ca="1" si="877"/>
        <v>excluir</v>
      </c>
      <c r="L2348" s="51" t="str">
        <f t="shared" ca="1" si="878"/>
        <v>no semana</v>
      </c>
      <c r="M2348" s="51" t="str">
        <f>IFERROR(VLOOKUP(E2348,'cheques a conf'!A:D,4,FALSE),"no clearing")</f>
        <v>no clearing</v>
      </c>
      <c r="N2348" s="51">
        <f t="shared" si="879"/>
        <v>33</v>
      </c>
      <c r="O2348" s="53">
        <f t="shared" si="880"/>
        <v>8</v>
      </c>
      <c r="P2348" s="53">
        <f t="shared" si="881"/>
        <v>2026</v>
      </c>
    </row>
    <row r="2349" spans="1:16" x14ac:dyDescent="0.25">
      <c r="A2349" s="21">
        <v>3000005014</v>
      </c>
      <c r="B2349" s="22">
        <v>46244</v>
      </c>
      <c r="C2349" s="20">
        <v>6117737.4000000004</v>
      </c>
      <c r="D2349" s="21" t="s">
        <v>630</v>
      </c>
      <c r="E2349" s="21">
        <v>91003456</v>
      </c>
      <c r="F2349" s="20">
        <v>6117737.4000000004</v>
      </c>
      <c r="G2349" s="22">
        <v>46247</v>
      </c>
      <c r="H2349" t="s">
        <v>79</v>
      </c>
      <c r="I2349" s="51" t="str">
        <f>IFERROR(IF(VLOOKUP(E2349,extracto!C:C,1,FALSE)=E2349,"pagado","no pagado"),"no pagado")</f>
        <v>pagado</v>
      </c>
      <c r="J2349" s="52" t="str">
        <f t="shared" si="876"/>
        <v>pagado</v>
      </c>
      <c r="K2349" s="51" t="str">
        <f t="shared" ca="1" si="877"/>
        <v>excluir</v>
      </c>
      <c r="L2349" s="51" t="str">
        <f t="shared" ca="1" si="878"/>
        <v>no semana</v>
      </c>
      <c r="M2349" s="51" t="str">
        <f>IFERROR(VLOOKUP(E2349,'cheques a conf'!A:D,4,FALSE),"no clearing")</f>
        <v>no clearing</v>
      </c>
      <c r="N2349" s="51">
        <f t="shared" si="879"/>
        <v>33</v>
      </c>
      <c r="O2349" s="53">
        <f t="shared" si="880"/>
        <v>8</v>
      </c>
      <c r="P2349" s="53">
        <f t="shared" si="881"/>
        <v>2026</v>
      </c>
    </row>
    <row r="2350" spans="1:16" x14ac:dyDescent="0.25">
      <c r="A2350" s="21">
        <v>3000005015</v>
      </c>
      <c r="B2350" s="22">
        <v>46244</v>
      </c>
      <c r="C2350" s="20">
        <v>32683016.219999999</v>
      </c>
      <c r="D2350" s="21" t="s">
        <v>644</v>
      </c>
      <c r="E2350" s="21">
        <v>91003457</v>
      </c>
      <c r="F2350" s="20">
        <v>32683016.219999999</v>
      </c>
      <c r="G2350" s="22">
        <v>46247</v>
      </c>
      <c r="H2350" t="s">
        <v>79</v>
      </c>
      <c r="I2350" s="51" t="str">
        <f>IFERROR(IF(VLOOKUP(E2350,extracto!C:C,1,FALSE)=E2350,"pagado","no pagado"),"no pagado")</f>
        <v>pagado</v>
      </c>
      <c r="J2350" s="52" t="str">
        <f t="shared" si="876"/>
        <v>pagado</v>
      </c>
      <c r="K2350" s="51" t="str">
        <f t="shared" ca="1" si="877"/>
        <v>excluir</v>
      </c>
      <c r="L2350" s="51" t="str">
        <f t="shared" ca="1" si="878"/>
        <v>no semana</v>
      </c>
      <c r="M2350" s="51" t="str">
        <f>IFERROR(VLOOKUP(E2350,'cheques a conf'!A:D,4,FALSE),"no clearing")</f>
        <v>no clearing</v>
      </c>
      <c r="N2350" s="51">
        <f t="shared" si="879"/>
        <v>33</v>
      </c>
      <c r="O2350" s="53">
        <f t="shared" si="880"/>
        <v>8</v>
      </c>
      <c r="P2350" s="53">
        <f t="shared" si="881"/>
        <v>2026</v>
      </c>
    </row>
    <row r="2351" spans="1:16" x14ac:dyDescent="0.25">
      <c r="A2351" s="21">
        <v>3000005016</v>
      </c>
      <c r="B2351" s="22">
        <v>46244</v>
      </c>
      <c r="C2351" s="20">
        <v>21978587.09</v>
      </c>
      <c r="D2351" s="21" t="s">
        <v>796</v>
      </c>
      <c r="E2351" s="21">
        <v>91003458</v>
      </c>
      <c r="F2351" s="20">
        <v>21978587.09</v>
      </c>
      <c r="G2351" s="22">
        <v>46248</v>
      </c>
      <c r="H2351" t="s">
        <v>79</v>
      </c>
      <c r="I2351" s="51" t="str">
        <f>IFERROR(IF(VLOOKUP(E2351,extracto!C:C,1,FALSE)=E2351,"pagado","no pagado"),"no pagado")</f>
        <v>pagado</v>
      </c>
      <c r="J2351" s="52" t="str">
        <f t="shared" si="876"/>
        <v>pagado</v>
      </c>
      <c r="K2351" s="51" t="str">
        <f t="shared" ca="1" si="877"/>
        <v>excluir</v>
      </c>
      <c r="L2351" s="51" t="str">
        <f t="shared" ca="1" si="878"/>
        <v>no semana</v>
      </c>
      <c r="M2351" s="51" t="str">
        <f>IFERROR(VLOOKUP(E2351,'cheques a conf'!A:D,4,FALSE),"no clearing")</f>
        <v>no clearing</v>
      </c>
      <c r="N2351" s="51">
        <f t="shared" si="879"/>
        <v>33</v>
      </c>
      <c r="O2351" s="53">
        <f t="shared" si="880"/>
        <v>8</v>
      </c>
      <c r="P2351" s="53">
        <f t="shared" si="881"/>
        <v>2026</v>
      </c>
    </row>
    <row r="2352" spans="1:16" x14ac:dyDescent="0.25">
      <c r="A2352" s="21">
        <v>3000005017</v>
      </c>
      <c r="B2352" s="22">
        <v>46244</v>
      </c>
      <c r="C2352" s="20">
        <v>40622666.259999998</v>
      </c>
      <c r="D2352" s="21" t="s">
        <v>622</v>
      </c>
      <c r="E2352" s="21">
        <v>91003459</v>
      </c>
      <c r="F2352" s="20">
        <v>40622666.259999998</v>
      </c>
      <c r="G2352" s="22">
        <v>46247</v>
      </c>
      <c r="H2352" t="s">
        <v>79</v>
      </c>
      <c r="I2352" s="51" t="str">
        <f>IFERROR(IF(VLOOKUP(E2352,extracto!C:C,1,FALSE)=E2352,"pagado","no pagado"),"no pagado")</f>
        <v>pagado</v>
      </c>
      <c r="J2352" s="52" t="str">
        <f t="shared" si="876"/>
        <v>pagado</v>
      </c>
      <c r="K2352" s="51" t="str">
        <f t="shared" ca="1" si="877"/>
        <v>excluir</v>
      </c>
      <c r="L2352" s="51" t="str">
        <f t="shared" ca="1" si="878"/>
        <v>no semana</v>
      </c>
      <c r="M2352" s="51" t="str">
        <f>IFERROR(VLOOKUP(E2352,'cheques a conf'!A:D,4,FALSE),"no clearing")</f>
        <v>no clearing</v>
      </c>
      <c r="N2352" s="51">
        <f t="shared" si="879"/>
        <v>33</v>
      </c>
      <c r="O2352" s="53">
        <f t="shared" si="880"/>
        <v>8</v>
      </c>
      <c r="P2352" s="53">
        <f t="shared" si="881"/>
        <v>2026</v>
      </c>
    </row>
    <row r="2353" spans="1:16" x14ac:dyDescent="0.25">
      <c r="A2353" s="21">
        <v>3000005018</v>
      </c>
      <c r="B2353" s="22">
        <v>46244</v>
      </c>
      <c r="C2353" s="20">
        <v>22756182.469999999</v>
      </c>
      <c r="D2353" s="21" t="s">
        <v>620</v>
      </c>
      <c r="E2353" s="21">
        <v>91003460</v>
      </c>
      <c r="F2353" s="20">
        <v>22756182.469999999</v>
      </c>
      <c r="G2353" s="22">
        <v>46247</v>
      </c>
      <c r="H2353" t="s">
        <v>79</v>
      </c>
      <c r="I2353" s="51" t="str">
        <f>IFERROR(IF(VLOOKUP(E2353,extracto!C:C,1,FALSE)=E2353,"pagado","no pagado"),"no pagado")</f>
        <v>pagado</v>
      </c>
      <c r="J2353" s="52" t="str">
        <f t="shared" si="876"/>
        <v>pagado</v>
      </c>
      <c r="K2353" s="51" t="str">
        <f t="shared" ca="1" si="877"/>
        <v>excluir</v>
      </c>
      <c r="L2353" s="51" t="str">
        <f t="shared" ca="1" si="878"/>
        <v>no semana</v>
      </c>
      <c r="M2353" s="51" t="str">
        <f>IFERROR(VLOOKUP(E2353,'cheques a conf'!A:D,4,FALSE),"no clearing")</f>
        <v>no clearing</v>
      </c>
      <c r="N2353" s="51">
        <f t="shared" si="879"/>
        <v>33</v>
      </c>
      <c r="O2353" s="53">
        <f t="shared" si="880"/>
        <v>8</v>
      </c>
      <c r="P2353" s="53">
        <f t="shared" si="881"/>
        <v>2026</v>
      </c>
    </row>
    <row r="2354" spans="1:16" x14ac:dyDescent="0.25">
      <c r="A2354" s="21">
        <v>3000005020</v>
      </c>
      <c r="B2354" s="22">
        <v>46244</v>
      </c>
      <c r="C2354" s="20">
        <v>21192379.57</v>
      </c>
      <c r="D2354" s="21" t="s">
        <v>74</v>
      </c>
      <c r="E2354" s="21">
        <v>91003463</v>
      </c>
      <c r="F2354" s="20">
        <v>21192379.57</v>
      </c>
      <c r="G2354" s="22">
        <v>46247</v>
      </c>
      <c r="H2354" t="s">
        <v>79</v>
      </c>
      <c r="I2354" s="51" t="str">
        <f>IFERROR(IF(VLOOKUP(E2354,extracto!C:C,1,FALSE)=E2354,"pagado","no pagado"),"no pagado")</f>
        <v>pagado</v>
      </c>
      <c r="J2354" s="52" t="str">
        <f t="shared" si="876"/>
        <v>pagado</v>
      </c>
      <c r="K2354" s="51" t="str">
        <f t="shared" ca="1" si="877"/>
        <v>excluir</v>
      </c>
      <c r="L2354" s="51" t="str">
        <f t="shared" ca="1" si="878"/>
        <v>no semana</v>
      </c>
      <c r="M2354" s="51" t="str">
        <f>IFERROR(VLOOKUP(E2354,'cheques a conf'!A:D,4,FALSE),"no clearing")</f>
        <v>no clearing</v>
      </c>
      <c r="N2354" s="51">
        <f t="shared" si="879"/>
        <v>33</v>
      </c>
      <c r="O2354" s="53">
        <f t="shared" si="880"/>
        <v>8</v>
      </c>
      <c r="P2354" s="53">
        <f t="shared" si="881"/>
        <v>2026</v>
      </c>
    </row>
    <row r="2355" spans="1:16" x14ac:dyDescent="0.25">
      <c r="A2355" s="21">
        <v>3000005021</v>
      </c>
      <c r="B2355" s="22">
        <v>46244</v>
      </c>
      <c r="C2355" s="20">
        <v>2930136.51</v>
      </c>
      <c r="D2355" s="21" t="s">
        <v>612</v>
      </c>
      <c r="E2355" s="21">
        <v>61301868</v>
      </c>
      <c r="F2355" s="20">
        <v>2930136.51</v>
      </c>
      <c r="G2355" s="22">
        <v>46248</v>
      </c>
      <c r="H2355" t="s">
        <v>79</v>
      </c>
      <c r="I2355" s="51" t="str">
        <f>IFERROR(IF(VLOOKUP(E2355,extracto!C:C,1,FALSE)=E2355,"pagado","no pagado"),"no pagado")</f>
        <v>pagado</v>
      </c>
      <c r="J2355" s="52" t="str">
        <f t="shared" si="876"/>
        <v>pagado</v>
      </c>
      <c r="K2355" s="51" t="str">
        <f t="shared" ca="1" si="877"/>
        <v>excluir</v>
      </c>
      <c r="L2355" s="51" t="str">
        <f t="shared" ca="1" si="878"/>
        <v>no semana</v>
      </c>
      <c r="M2355" s="51" t="str">
        <f>IFERROR(VLOOKUP(E2355,'cheques a conf'!A:D,4,FALSE),"no clearing")</f>
        <v>no clearing</v>
      </c>
      <c r="N2355" s="51">
        <f t="shared" si="879"/>
        <v>33</v>
      </c>
      <c r="O2355" s="53">
        <f t="shared" si="880"/>
        <v>8</v>
      </c>
      <c r="P2355" s="53">
        <f t="shared" si="881"/>
        <v>2026</v>
      </c>
    </row>
    <row r="2356" spans="1:16" x14ac:dyDescent="0.25">
      <c r="A2356" s="21">
        <v>3000005022</v>
      </c>
      <c r="B2356" s="22">
        <v>46244</v>
      </c>
      <c r="C2356" s="20">
        <v>8875287.4700000007</v>
      </c>
      <c r="D2356" s="21" t="s">
        <v>659</v>
      </c>
      <c r="E2356" s="21">
        <v>61301869</v>
      </c>
      <c r="F2356" s="20">
        <v>8875287.4700000007</v>
      </c>
      <c r="G2356" s="22">
        <v>46247</v>
      </c>
      <c r="H2356" t="s">
        <v>79</v>
      </c>
      <c r="I2356" s="51" t="str">
        <f>IFERROR(IF(VLOOKUP(E2356,extracto!C:C,1,FALSE)=E2356,"pagado","no pagado"),"no pagado")</f>
        <v>pagado</v>
      </c>
      <c r="J2356" s="52" t="str">
        <f t="shared" si="876"/>
        <v>pagado</v>
      </c>
      <c r="K2356" s="51" t="str">
        <f t="shared" ca="1" si="877"/>
        <v>excluir</v>
      </c>
      <c r="L2356" s="51" t="str">
        <f t="shared" ca="1" si="878"/>
        <v>no semana</v>
      </c>
      <c r="M2356" s="51" t="str">
        <f>IFERROR(VLOOKUP(E2356,'cheques a conf'!A:D,4,FALSE),"no clearing")</f>
        <v>no clearing</v>
      </c>
      <c r="N2356" s="51">
        <f t="shared" si="879"/>
        <v>33</v>
      </c>
      <c r="O2356" s="53">
        <f t="shared" si="880"/>
        <v>8</v>
      </c>
      <c r="P2356" s="53">
        <f t="shared" si="881"/>
        <v>2026</v>
      </c>
    </row>
    <row r="2357" spans="1:16" x14ac:dyDescent="0.25">
      <c r="A2357" s="21">
        <v>3000005099</v>
      </c>
      <c r="B2357" s="22">
        <v>46246</v>
      </c>
      <c r="C2357" s="20">
        <v>41856340.350000001</v>
      </c>
      <c r="D2357" s="21" t="s">
        <v>661</v>
      </c>
      <c r="E2357" s="21">
        <v>91003464</v>
      </c>
      <c r="F2357" s="20">
        <v>41856340.350000001</v>
      </c>
      <c r="G2357" s="22">
        <v>46248</v>
      </c>
      <c r="H2357" t="s">
        <v>79</v>
      </c>
      <c r="I2357" s="51" t="str">
        <f>IFERROR(IF(VLOOKUP(E2357,extracto!C:C,1,FALSE)=E2357,"pagado","no pagado"),"no pagado")</f>
        <v>pagado</v>
      </c>
      <c r="J2357" s="52" t="str">
        <f t="shared" si="876"/>
        <v>pagado</v>
      </c>
      <c r="K2357" s="51" t="str">
        <f t="shared" ca="1" si="877"/>
        <v>excluir</v>
      </c>
      <c r="L2357" s="51" t="str">
        <f t="shared" ca="1" si="878"/>
        <v>no semana</v>
      </c>
      <c r="M2357" s="51" t="str">
        <f>IFERROR(VLOOKUP(E2357,'cheques a conf'!A:D,4,FALSE),"no clearing")</f>
        <v>no clearing</v>
      </c>
      <c r="N2357" s="51">
        <f t="shared" si="879"/>
        <v>33</v>
      </c>
      <c r="O2357" s="53">
        <f t="shared" si="880"/>
        <v>8</v>
      </c>
      <c r="P2357" s="53">
        <f t="shared" si="881"/>
        <v>2026</v>
      </c>
    </row>
    <row r="2358" spans="1:16" x14ac:dyDescent="0.25">
      <c r="A2358" s="21">
        <v>3000005100</v>
      </c>
      <c r="B2358" s="22">
        <v>46246</v>
      </c>
      <c r="C2358" s="20">
        <v>7753970.7000000002</v>
      </c>
      <c r="D2358" s="21" t="s">
        <v>83</v>
      </c>
      <c r="E2358" s="21">
        <v>91003465</v>
      </c>
      <c r="F2358" s="20">
        <v>7753970.7000000002</v>
      </c>
      <c r="G2358" s="22">
        <v>46251</v>
      </c>
      <c r="H2358" t="s">
        <v>79</v>
      </c>
      <c r="I2358" s="51" t="str">
        <f>IFERROR(IF(VLOOKUP(E2358,extracto!C:C,1,FALSE)=E2358,"pagado","no pagado"),"no pagado")</f>
        <v>pagado</v>
      </c>
      <c r="J2358" s="52" t="str">
        <f t="shared" si="876"/>
        <v>pagado</v>
      </c>
      <c r="K2358" s="51" t="str">
        <f t="shared" ca="1" si="877"/>
        <v>excluir</v>
      </c>
      <c r="L2358" s="51" t="str">
        <f t="shared" ca="1" si="878"/>
        <v>no semana</v>
      </c>
      <c r="M2358" s="51" t="str">
        <f>IFERROR(VLOOKUP(E2358,'cheques a conf'!A:D,4,FALSE),"no clearing")</f>
        <v>no clearing</v>
      </c>
      <c r="N2358" s="51">
        <f t="shared" si="879"/>
        <v>34</v>
      </c>
      <c r="O2358" s="53">
        <f t="shared" si="880"/>
        <v>8</v>
      </c>
      <c r="P2358" s="53">
        <f t="shared" si="881"/>
        <v>2026</v>
      </c>
    </row>
    <row r="2359" spans="1:16" x14ac:dyDescent="0.25">
      <c r="A2359" s="21">
        <v>3000005101</v>
      </c>
      <c r="B2359" s="22">
        <v>46246</v>
      </c>
      <c r="C2359" s="20">
        <v>5673531.8799999999</v>
      </c>
      <c r="D2359" s="21" t="s">
        <v>673</v>
      </c>
      <c r="E2359" s="21">
        <v>91003466</v>
      </c>
      <c r="F2359" s="20">
        <v>5673531.8799999999</v>
      </c>
      <c r="G2359" s="22">
        <v>46251</v>
      </c>
      <c r="H2359" t="s">
        <v>79</v>
      </c>
      <c r="I2359" s="51" t="str">
        <f>IFERROR(IF(VLOOKUP(E2359,extracto!C:C,1,FALSE)=E2359,"pagado","no pagado"),"no pagado")</f>
        <v>pagado</v>
      </c>
      <c r="J2359" s="52" t="str">
        <f t="shared" si="876"/>
        <v>pagado</v>
      </c>
      <c r="K2359" s="51" t="str">
        <f t="shared" ca="1" si="877"/>
        <v>excluir</v>
      </c>
      <c r="L2359" s="51" t="str">
        <f t="shared" ca="1" si="878"/>
        <v>no semana</v>
      </c>
      <c r="M2359" s="51" t="str">
        <f>IFERROR(VLOOKUP(E2359,'cheques a conf'!A:D,4,FALSE),"no clearing")</f>
        <v>no clearing</v>
      </c>
      <c r="N2359" s="51">
        <f t="shared" si="879"/>
        <v>34</v>
      </c>
      <c r="O2359" s="53">
        <f t="shared" si="880"/>
        <v>8</v>
      </c>
      <c r="P2359" s="53">
        <f t="shared" si="881"/>
        <v>2026</v>
      </c>
    </row>
    <row r="2360" spans="1:16" x14ac:dyDescent="0.25">
      <c r="A2360" s="21">
        <v>3000005102</v>
      </c>
      <c r="B2360" s="22">
        <v>46246</v>
      </c>
      <c r="C2360" s="20">
        <v>16052308</v>
      </c>
      <c r="D2360" s="21" t="s">
        <v>618</v>
      </c>
      <c r="E2360" s="21">
        <v>91003467</v>
      </c>
      <c r="F2360" s="20">
        <v>16052308</v>
      </c>
      <c r="G2360" s="22">
        <v>46251</v>
      </c>
      <c r="H2360" t="s">
        <v>79</v>
      </c>
      <c r="I2360" s="51" t="str">
        <f>IFERROR(IF(VLOOKUP(E2360,extracto!C:C,1,FALSE)=E2360,"pagado","no pagado"),"no pagado")</f>
        <v>pagado</v>
      </c>
      <c r="J2360" s="52" t="str">
        <f t="shared" ref="J2360:J2423" si="882">IF(I2360="pagado","pagado",IF(G2360&lt;$V$1-30,"fuera de fecha","en periodo de pago"))</f>
        <v>pagado</v>
      </c>
      <c r="K2360" s="51" t="str">
        <f t="shared" ref="K2360:K2423" ca="1" si="883">+IF(B2360&gt;$V$1,"excluir",IF(J2360="en periodo de pago",IF($V$1&gt;G2360,"a pagar","proximo a vencer"),"excluir"))</f>
        <v>excluir</v>
      </c>
      <c r="L2360" s="51" t="str">
        <f t="shared" ref="L2360:L2423" ca="1" si="884">+IF(K2360="proximo a vencer",IF($V$1+5&gt;G2360,"para la semana","no semana"),"no semana")</f>
        <v>no semana</v>
      </c>
      <c r="M2360" s="51" t="str">
        <f>IFERROR(VLOOKUP(E2360,'cheques a conf'!A:D,4,FALSE),"no clearing")</f>
        <v>no clearing</v>
      </c>
      <c r="N2360" s="51">
        <f t="shared" ref="N2360:N2423" si="885">+WEEKNUM(G2360,2)</f>
        <v>34</v>
      </c>
      <c r="O2360" s="53">
        <f t="shared" ref="O2360:O2423" si="886">+MONTH(G2360)</f>
        <v>8</v>
      </c>
      <c r="P2360" s="53">
        <f t="shared" ref="P2360:P2423" si="887">+YEAR(G2360)</f>
        <v>2026</v>
      </c>
    </row>
    <row r="2361" spans="1:16" x14ac:dyDescent="0.25">
      <c r="A2361" s="21">
        <v>3000005103</v>
      </c>
      <c r="B2361" s="22">
        <v>46246</v>
      </c>
      <c r="C2361" s="20">
        <v>5529090</v>
      </c>
      <c r="D2361" s="21" t="s">
        <v>612</v>
      </c>
      <c r="E2361" s="21">
        <v>91003468</v>
      </c>
      <c r="F2361" s="20">
        <v>5529090</v>
      </c>
      <c r="G2361" s="22">
        <v>46251</v>
      </c>
      <c r="H2361" t="s">
        <v>79</v>
      </c>
      <c r="I2361" s="51" t="str">
        <f>IFERROR(IF(VLOOKUP(E2361,extracto!C:C,1,FALSE)=E2361,"pagado","no pagado"),"no pagado")</f>
        <v>pagado</v>
      </c>
      <c r="J2361" s="52" t="str">
        <f t="shared" si="882"/>
        <v>pagado</v>
      </c>
      <c r="K2361" s="51" t="str">
        <f t="shared" ca="1" si="883"/>
        <v>excluir</v>
      </c>
      <c r="L2361" s="51" t="str">
        <f t="shared" ca="1" si="884"/>
        <v>no semana</v>
      </c>
      <c r="M2361" s="51" t="str">
        <f>IFERROR(VLOOKUP(E2361,'cheques a conf'!A:D,4,FALSE),"no clearing")</f>
        <v>no clearing</v>
      </c>
      <c r="N2361" s="51">
        <f t="shared" si="885"/>
        <v>34</v>
      </c>
      <c r="O2361" s="53">
        <f t="shared" si="886"/>
        <v>8</v>
      </c>
      <c r="P2361" s="53">
        <f t="shared" si="887"/>
        <v>2026</v>
      </c>
    </row>
    <row r="2362" spans="1:16" x14ac:dyDescent="0.25">
      <c r="A2362" s="21">
        <v>3000005104</v>
      </c>
      <c r="B2362" s="22">
        <v>46246</v>
      </c>
      <c r="C2362" s="20">
        <v>8411614.8000000007</v>
      </c>
      <c r="D2362" s="21" t="s">
        <v>691</v>
      </c>
      <c r="E2362" s="21">
        <v>91003469</v>
      </c>
      <c r="F2362" s="20">
        <v>8411614.8000000007</v>
      </c>
      <c r="G2362" s="22">
        <v>46251</v>
      </c>
      <c r="H2362" t="s">
        <v>79</v>
      </c>
      <c r="I2362" s="51" t="str">
        <f>IFERROR(IF(VLOOKUP(E2362,extracto!C:C,1,FALSE)=E2362,"pagado","no pagado"),"no pagado")</f>
        <v>pagado</v>
      </c>
      <c r="J2362" s="52" t="str">
        <f t="shared" si="882"/>
        <v>pagado</v>
      </c>
      <c r="K2362" s="51" t="str">
        <f t="shared" ca="1" si="883"/>
        <v>excluir</v>
      </c>
      <c r="L2362" s="51" t="str">
        <f t="shared" ca="1" si="884"/>
        <v>no semana</v>
      </c>
      <c r="M2362" s="51" t="str">
        <f>IFERROR(VLOOKUP(E2362,'cheques a conf'!A:D,4,FALSE),"no clearing")</f>
        <v>no clearing</v>
      </c>
      <c r="N2362" s="51">
        <f t="shared" si="885"/>
        <v>34</v>
      </c>
      <c r="O2362" s="53">
        <f t="shared" si="886"/>
        <v>8</v>
      </c>
      <c r="P2362" s="53">
        <f t="shared" si="887"/>
        <v>2026</v>
      </c>
    </row>
    <row r="2363" spans="1:16" x14ac:dyDescent="0.25">
      <c r="A2363" s="21">
        <v>3000005105</v>
      </c>
      <c r="B2363" s="22">
        <v>46246</v>
      </c>
      <c r="C2363" s="20">
        <v>14737546.800000001</v>
      </c>
      <c r="D2363" s="21" t="s">
        <v>613</v>
      </c>
      <c r="E2363" s="21">
        <v>91003470</v>
      </c>
      <c r="F2363" s="20">
        <v>14737546.800000001</v>
      </c>
      <c r="G2363" s="22">
        <v>46251</v>
      </c>
      <c r="H2363" t="s">
        <v>79</v>
      </c>
      <c r="I2363" s="51" t="str">
        <f>IFERROR(IF(VLOOKUP(E2363,extracto!C:C,1,FALSE)=E2363,"pagado","no pagado"),"no pagado")</f>
        <v>pagado</v>
      </c>
      <c r="J2363" s="52" t="str">
        <f t="shared" si="882"/>
        <v>pagado</v>
      </c>
      <c r="K2363" s="51" t="str">
        <f t="shared" ca="1" si="883"/>
        <v>excluir</v>
      </c>
      <c r="L2363" s="51" t="str">
        <f t="shared" ca="1" si="884"/>
        <v>no semana</v>
      </c>
      <c r="M2363" s="51" t="str">
        <f>IFERROR(VLOOKUP(E2363,'cheques a conf'!A:D,4,FALSE),"no clearing")</f>
        <v>no clearing</v>
      </c>
      <c r="N2363" s="51">
        <f t="shared" si="885"/>
        <v>34</v>
      </c>
      <c r="O2363" s="53">
        <f t="shared" si="886"/>
        <v>8</v>
      </c>
      <c r="P2363" s="53">
        <f t="shared" si="887"/>
        <v>2026</v>
      </c>
    </row>
    <row r="2364" spans="1:16" x14ac:dyDescent="0.25">
      <c r="A2364" s="21">
        <v>3000005106</v>
      </c>
      <c r="B2364" s="22">
        <v>46246</v>
      </c>
      <c r="C2364" s="20">
        <v>11742840</v>
      </c>
      <c r="D2364" s="21" t="s">
        <v>619</v>
      </c>
      <c r="E2364" s="21">
        <v>91003471</v>
      </c>
      <c r="F2364" s="20">
        <v>11742840</v>
      </c>
      <c r="G2364" s="22">
        <v>46251</v>
      </c>
      <c r="H2364" t="s">
        <v>79</v>
      </c>
      <c r="I2364" s="51" t="str">
        <f>IFERROR(IF(VLOOKUP(E2364,extracto!C:C,1,FALSE)=E2364,"pagado","no pagado"),"no pagado")</f>
        <v>pagado</v>
      </c>
      <c r="J2364" s="52" t="str">
        <f t="shared" si="882"/>
        <v>pagado</v>
      </c>
      <c r="K2364" s="51" t="str">
        <f t="shared" ca="1" si="883"/>
        <v>excluir</v>
      </c>
      <c r="L2364" s="51" t="str">
        <f t="shared" ca="1" si="884"/>
        <v>no semana</v>
      </c>
      <c r="M2364" s="51" t="str">
        <f>IFERROR(VLOOKUP(E2364,'cheques a conf'!A:D,4,FALSE),"no clearing")</f>
        <v>no clearing</v>
      </c>
      <c r="N2364" s="51">
        <f t="shared" si="885"/>
        <v>34</v>
      </c>
      <c r="O2364" s="53">
        <f t="shared" si="886"/>
        <v>8</v>
      </c>
      <c r="P2364" s="53">
        <f t="shared" si="887"/>
        <v>2026</v>
      </c>
    </row>
    <row r="2365" spans="1:16" x14ac:dyDescent="0.25">
      <c r="A2365" s="21">
        <v>3000005107</v>
      </c>
      <c r="B2365" s="22">
        <v>46246</v>
      </c>
      <c r="C2365" s="20">
        <v>7079595.6399999997</v>
      </c>
      <c r="D2365" s="21" t="s">
        <v>652</v>
      </c>
      <c r="E2365" s="21">
        <v>91003472</v>
      </c>
      <c r="F2365" s="20">
        <v>7079595.6399999997</v>
      </c>
      <c r="G2365" s="22">
        <v>46251</v>
      </c>
      <c r="H2365" t="s">
        <v>79</v>
      </c>
      <c r="I2365" s="51" t="str">
        <f>IFERROR(IF(VLOOKUP(E2365,extracto!C:C,1,FALSE)=E2365,"pagado","no pagado"),"no pagado")</f>
        <v>pagado</v>
      </c>
      <c r="J2365" s="52" t="str">
        <f t="shared" si="882"/>
        <v>pagado</v>
      </c>
      <c r="K2365" s="51" t="str">
        <f t="shared" ca="1" si="883"/>
        <v>excluir</v>
      </c>
      <c r="L2365" s="51" t="str">
        <f t="shared" ca="1" si="884"/>
        <v>no semana</v>
      </c>
      <c r="M2365" s="51" t="str">
        <f>IFERROR(VLOOKUP(E2365,'cheques a conf'!A:D,4,FALSE),"no clearing")</f>
        <v>no clearing</v>
      </c>
      <c r="N2365" s="51">
        <f t="shared" si="885"/>
        <v>34</v>
      </c>
      <c r="O2365" s="53">
        <f t="shared" si="886"/>
        <v>8</v>
      </c>
      <c r="P2365" s="53">
        <f t="shared" si="887"/>
        <v>2026</v>
      </c>
    </row>
    <row r="2366" spans="1:16" x14ac:dyDescent="0.25">
      <c r="A2366" s="21">
        <v>3000005108</v>
      </c>
      <c r="B2366" s="22">
        <v>46246</v>
      </c>
      <c r="C2366" s="20">
        <v>6083967.8399999999</v>
      </c>
      <c r="D2366" s="21" t="s">
        <v>708</v>
      </c>
      <c r="E2366" s="21">
        <v>91003473</v>
      </c>
      <c r="F2366" s="20">
        <v>6083967.8399999999</v>
      </c>
      <c r="G2366" s="22">
        <v>46251</v>
      </c>
      <c r="H2366" t="s">
        <v>79</v>
      </c>
      <c r="I2366" s="51" t="str">
        <f>IFERROR(IF(VLOOKUP(E2366,extracto!C:C,1,FALSE)=E2366,"pagado","no pagado"),"no pagado")</f>
        <v>pagado</v>
      </c>
      <c r="J2366" s="52" t="str">
        <f t="shared" si="882"/>
        <v>pagado</v>
      </c>
      <c r="K2366" s="51" t="str">
        <f t="shared" ca="1" si="883"/>
        <v>excluir</v>
      </c>
      <c r="L2366" s="51" t="str">
        <f t="shared" ca="1" si="884"/>
        <v>no semana</v>
      </c>
      <c r="M2366" s="51" t="str">
        <f>IFERROR(VLOOKUP(E2366,'cheques a conf'!A:D,4,FALSE),"no clearing")</f>
        <v>no clearing</v>
      </c>
      <c r="N2366" s="51">
        <f t="shared" si="885"/>
        <v>34</v>
      </c>
      <c r="O2366" s="53">
        <f t="shared" si="886"/>
        <v>8</v>
      </c>
      <c r="P2366" s="53">
        <f t="shared" si="887"/>
        <v>2026</v>
      </c>
    </row>
    <row r="2367" spans="1:16" x14ac:dyDescent="0.25">
      <c r="A2367" s="21">
        <v>3000005109</v>
      </c>
      <c r="B2367" s="22">
        <v>46246</v>
      </c>
      <c r="C2367" s="20">
        <v>10785916.880000001</v>
      </c>
      <c r="D2367" s="21" t="s">
        <v>1733</v>
      </c>
      <c r="E2367" s="21">
        <v>91003474</v>
      </c>
      <c r="F2367" s="20">
        <v>10785916.880000001</v>
      </c>
      <c r="G2367" s="22">
        <v>46251</v>
      </c>
      <c r="H2367" t="s">
        <v>79</v>
      </c>
      <c r="I2367" s="51" t="str">
        <f>IFERROR(IF(VLOOKUP(E2367,extracto!C:C,1,FALSE)=E2367,"pagado","no pagado"),"no pagado")</f>
        <v>pagado</v>
      </c>
      <c r="J2367" s="52" t="str">
        <f t="shared" si="882"/>
        <v>pagado</v>
      </c>
      <c r="K2367" s="51" t="str">
        <f t="shared" ca="1" si="883"/>
        <v>excluir</v>
      </c>
      <c r="L2367" s="51" t="str">
        <f t="shared" ca="1" si="884"/>
        <v>no semana</v>
      </c>
      <c r="M2367" s="51" t="str">
        <f>IFERROR(VLOOKUP(E2367,'cheques a conf'!A:D,4,FALSE),"no clearing")</f>
        <v>no clearing</v>
      </c>
      <c r="N2367" s="51">
        <f t="shared" si="885"/>
        <v>34</v>
      </c>
      <c r="O2367" s="53">
        <f t="shared" si="886"/>
        <v>8</v>
      </c>
      <c r="P2367" s="53">
        <f t="shared" si="887"/>
        <v>2026</v>
      </c>
    </row>
    <row r="2368" spans="1:16" x14ac:dyDescent="0.25">
      <c r="A2368" s="21">
        <v>3000005110</v>
      </c>
      <c r="B2368" s="22">
        <v>46246</v>
      </c>
      <c r="C2368" s="20">
        <v>9219580.7699999996</v>
      </c>
      <c r="D2368" s="21" t="s">
        <v>1783</v>
      </c>
      <c r="E2368" s="21">
        <v>91003475</v>
      </c>
      <c r="F2368" s="20">
        <v>9219580.7699999996</v>
      </c>
      <c r="G2368" s="22">
        <v>46251</v>
      </c>
      <c r="H2368" t="s">
        <v>79</v>
      </c>
      <c r="I2368" s="51" t="str">
        <f>IFERROR(IF(VLOOKUP(E2368,extracto!C:C,1,FALSE)=E2368,"pagado","no pagado"),"no pagado")</f>
        <v>pagado</v>
      </c>
      <c r="J2368" s="52" t="str">
        <f t="shared" si="882"/>
        <v>pagado</v>
      </c>
      <c r="K2368" s="51" t="str">
        <f t="shared" ca="1" si="883"/>
        <v>excluir</v>
      </c>
      <c r="L2368" s="51" t="str">
        <f t="shared" ca="1" si="884"/>
        <v>no semana</v>
      </c>
      <c r="M2368" s="51" t="str">
        <f>IFERROR(VLOOKUP(E2368,'cheques a conf'!A:D,4,FALSE),"no clearing")</f>
        <v>no clearing</v>
      </c>
      <c r="N2368" s="51">
        <f t="shared" si="885"/>
        <v>34</v>
      </c>
      <c r="O2368" s="53">
        <f t="shared" si="886"/>
        <v>8</v>
      </c>
      <c r="P2368" s="53">
        <f t="shared" si="887"/>
        <v>2026</v>
      </c>
    </row>
    <row r="2369" spans="1:16" x14ac:dyDescent="0.25">
      <c r="A2369" s="21">
        <v>3000005111</v>
      </c>
      <c r="B2369" s="22">
        <v>46246</v>
      </c>
      <c r="C2369" s="20">
        <v>7363889.0800000001</v>
      </c>
      <c r="D2369" s="21" t="s">
        <v>1798</v>
      </c>
      <c r="E2369" s="21">
        <v>91003476</v>
      </c>
      <c r="F2369" s="20">
        <v>7363889.0800000001</v>
      </c>
      <c r="G2369" s="22">
        <v>46251</v>
      </c>
      <c r="H2369" t="s">
        <v>79</v>
      </c>
      <c r="I2369" s="51" t="str">
        <f>IFERROR(IF(VLOOKUP(E2369,extracto!C:C,1,FALSE)=E2369,"pagado","no pagado"),"no pagado")</f>
        <v>pagado</v>
      </c>
      <c r="J2369" s="52" t="str">
        <f t="shared" si="882"/>
        <v>pagado</v>
      </c>
      <c r="K2369" s="51" t="str">
        <f t="shared" ca="1" si="883"/>
        <v>excluir</v>
      </c>
      <c r="L2369" s="51" t="str">
        <f t="shared" ca="1" si="884"/>
        <v>no semana</v>
      </c>
      <c r="M2369" s="51" t="str">
        <f>IFERROR(VLOOKUP(E2369,'cheques a conf'!A:D,4,FALSE),"no clearing")</f>
        <v>no clearing</v>
      </c>
      <c r="N2369" s="51">
        <f t="shared" si="885"/>
        <v>34</v>
      </c>
      <c r="O2369" s="53">
        <f t="shared" si="886"/>
        <v>8</v>
      </c>
      <c r="P2369" s="53">
        <f t="shared" si="887"/>
        <v>2026</v>
      </c>
    </row>
    <row r="2370" spans="1:16" x14ac:dyDescent="0.25">
      <c r="A2370" s="21">
        <v>3000005112</v>
      </c>
      <c r="B2370" s="22">
        <v>46246</v>
      </c>
      <c r="C2370" s="20">
        <v>8182825.7599999998</v>
      </c>
      <c r="D2370" s="21" t="s">
        <v>1799</v>
      </c>
      <c r="E2370" s="21">
        <v>91003477</v>
      </c>
      <c r="F2370" s="20">
        <v>8182825.7599999998</v>
      </c>
      <c r="G2370" s="22">
        <v>46251</v>
      </c>
      <c r="H2370" t="s">
        <v>79</v>
      </c>
      <c r="I2370" s="51" t="str">
        <f>IFERROR(IF(VLOOKUP(E2370,extracto!C:C,1,FALSE)=E2370,"pagado","no pagado"),"no pagado")</f>
        <v>pagado</v>
      </c>
      <c r="J2370" s="52" t="str">
        <f t="shared" si="882"/>
        <v>pagado</v>
      </c>
      <c r="K2370" s="51" t="str">
        <f t="shared" ca="1" si="883"/>
        <v>excluir</v>
      </c>
      <c r="L2370" s="51" t="str">
        <f t="shared" ca="1" si="884"/>
        <v>no semana</v>
      </c>
      <c r="M2370" s="51" t="str">
        <f>IFERROR(VLOOKUP(E2370,'cheques a conf'!A:D,4,FALSE),"no clearing")</f>
        <v>no clearing</v>
      </c>
      <c r="N2370" s="51">
        <f t="shared" si="885"/>
        <v>34</v>
      </c>
      <c r="O2370" s="53">
        <f t="shared" si="886"/>
        <v>8</v>
      </c>
      <c r="P2370" s="53">
        <f t="shared" si="887"/>
        <v>2026</v>
      </c>
    </row>
    <row r="2371" spans="1:16" x14ac:dyDescent="0.25">
      <c r="A2371" s="21">
        <v>3000005153</v>
      </c>
      <c r="B2371" s="22">
        <v>46247</v>
      </c>
      <c r="C2371" s="20">
        <v>215909.12</v>
      </c>
      <c r="D2371" s="21" t="s">
        <v>1800</v>
      </c>
      <c r="E2371" s="21">
        <v>66622026</v>
      </c>
      <c r="F2371" s="20">
        <v>215909.12</v>
      </c>
      <c r="G2371" s="22">
        <v>46248</v>
      </c>
      <c r="H2371" t="s">
        <v>79</v>
      </c>
      <c r="I2371" s="51" t="str">
        <f>IFERROR(IF(VLOOKUP(E2371,extracto!C:C,1,FALSE)=E2371,"pagado","no pagado"),"no pagado")</f>
        <v>pagado</v>
      </c>
      <c r="J2371" s="52" t="str">
        <f t="shared" si="882"/>
        <v>pagado</v>
      </c>
      <c r="K2371" s="51" t="str">
        <f t="shared" ca="1" si="883"/>
        <v>excluir</v>
      </c>
      <c r="L2371" s="51" t="str">
        <f t="shared" ca="1" si="884"/>
        <v>no semana</v>
      </c>
      <c r="M2371" s="51" t="str">
        <f>IFERROR(VLOOKUP(E2371,'cheques a conf'!A:D,4,FALSE),"no clearing")</f>
        <v>no clearing</v>
      </c>
      <c r="N2371" s="51">
        <f t="shared" si="885"/>
        <v>33</v>
      </c>
      <c r="O2371" s="53">
        <f t="shared" si="886"/>
        <v>8</v>
      </c>
      <c r="P2371" s="53">
        <f t="shared" si="887"/>
        <v>2026</v>
      </c>
    </row>
    <row r="2372" spans="1:16" x14ac:dyDescent="0.25">
      <c r="A2372" s="21">
        <v>3000005235</v>
      </c>
      <c r="B2372" s="22">
        <v>46252</v>
      </c>
      <c r="C2372" s="20">
        <v>12208463.75</v>
      </c>
      <c r="D2372" s="21" t="s">
        <v>1722</v>
      </c>
      <c r="E2372" s="21">
        <v>91003478</v>
      </c>
      <c r="F2372" s="20">
        <v>12208463.75</v>
      </c>
      <c r="G2372" s="22">
        <v>46259</v>
      </c>
      <c r="H2372" t="s">
        <v>79</v>
      </c>
      <c r="I2372" s="51" t="str">
        <f>IFERROR(IF(VLOOKUP(E2372,extracto!C:C,1,FALSE)=E2372,"pagado","no pagado"),"no pagado")</f>
        <v>pagado</v>
      </c>
      <c r="J2372" s="52" t="str">
        <f t="shared" si="882"/>
        <v>pagado</v>
      </c>
      <c r="K2372" s="51" t="str">
        <f t="shared" ca="1" si="883"/>
        <v>excluir</v>
      </c>
      <c r="L2372" s="51" t="str">
        <f t="shared" ca="1" si="884"/>
        <v>no semana</v>
      </c>
      <c r="M2372" s="51" t="str">
        <f>IFERROR(VLOOKUP(E2372,'cheques a conf'!A:D,4,FALSE),"no clearing")</f>
        <v>no clearing</v>
      </c>
      <c r="N2372" s="51">
        <f t="shared" si="885"/>
        <v>35</v>
      </c>
      <c r="O2372" s="53">
        <f t="shared" si="886"/>
        <v>8</v>
      </c>
      <c r="P2372" s="53">
        <f t="shared" si="887"/>
        <v>2026</v>
      </c>
    </row>
    <row r="2373" spans="1:16" x14ac:dyDescent="0.25">
      <c r="A2373" s="21">
        <v>3000005236</v>
      </c>
      <c r="B2373" s="22">
        <v>46252</v>
      </c>
      <c r="C2373" s="20">
        <v>7198980.8799999999</v>
      </c>
      <c r="D2373" s="21" t="s">
        <v>89</v>
      </c>
      <c r="E2373" s="21">
        <v>91003479</v>
      </c>
      <c r="F2373" s="20">
        <v>7198980.8799999999</v>
      </c>
      <c r="G2373" s="22">
        <v>46259</v>
      </c>
      <c r="H2373" t="s">
        <v>79</v>
      </c>
      <c r="I2373" s="51" t="str">
        <f>IFERROR(IF(VLOOKUP(E2373,extracto!C:C,1,FALSE)=E2373,"pagado","no pagado"),"no pagado")</f>
        <v>pagado</v>
      </c>
      <c r="J2373" s="52" t="str">
        <f t="shared" si="882"/>
        <v>pagado</v>
      </c>
      <c r="K2373" s="51" t="str">
        <f t="shared" ca="1" si="883"/>
        <v>excluir</v>
      </c>
      <c r="L2373" s="51" t="str">
        <f t="shared" ca="1" si="884"/>
        <v>no semana</v>
      </c>
      <c r="M2373" s="51" t="str">
        <f>IFERROR(VLOOKUP(E2373,'cheques a conf'!A:D,4,FALSE),"no clearing")</f>
        <v>no clearing</v>
      </c>
      <c r="N2373" s="51">
        <f t="shared" si="885"/>
        <v>35</v>
      </c>
      <c r="O2373" s="53">
        <f t="shared" si="886"/>
        <v>8</v>
      </c>
      <c r="P2373" s="53">
        <f t="shared" si="887"/>
        <v>2026</v>
      </c>
    </row>
    <row r="2374" spans="1:16" x14ac:dyDescent="0.25">
      <c r="A2374" s="21">
        <v>3000005237</v>
      </c>
      <c r="B2374" s="22">
        <v>46252</v>
      </c>
      <c r="C2374" s="20">
        <v>10427887.130000001</v>
      </c>
      <c r="D2374" s="21" t="s">
        <v>72</v>
      </c>
      <c r="E2374" s="21">
        <v>91003480</v>
      </c>
      <c r="F2374" s="20">
        <v>10427887.130000001</v>
      </c>
      <c r="G2374" s="22">
        <v>46259</v>
      </c>
      <c r="H2374" t="s">
        <v>79</v>
      </c>
      <c r="I2374" s="51" t="str">
        <f>IFERROR(IF(VLOOKUP(E2374,extracto!C:C,1,FALSE)=E2374,"pagado","no pagado"),"no pagado")</f>
        <v>pagado</v>
      </c>
      <c r="J2374" s="52" t="str">
        <f t="shared" si="882"/>
        <v>pagado</v>
      </c>
      <c r="K2374" s="51" t="str">
        <f t="shared" ca="1" si="883"/>
        <v>excluir</v>
      </c>
      <c r="L2374" s="51" t="str">
        <f t="shared" ca="1" si="884"/>
        <v>no semana</v>
      </c>
      <c r="M2374" s="51" t="str">
        <f>IFERROR(VLOOKUP(E2374,'cheques a conf'!A:D,4,FALSE),"no clearing")</f>
        <v>no clearing</v>
      </c>
      <c r="N2374" s="51">
        <f t="shared" si="885"/>
        <v>35</v>
      </c>
      <c r="O2374" s="53">
        <f t="shared" si="886"/>
        <v>8</v>
      </c>
      <c r="P2374" s="53">
        <f t="shared" si="887"/>
        <v>2026</v>
      </c>
    </row>
    <row r="2375" spans="1:16" x14ac:dyDescent="0.25">
      <c r="A2375" s="21">
        <v>3000005238</v>
      </c>
      <c r="B2375" s="22">
        <v>46252</v>
      </c>
      <c r="C2375" s="20">
        <v>14723459.039999999</v>
      </c>
      <c r="D2375" s="21" t="s">
        <v>723</v>
      </c>
      <c r="E2375" s="21">
        <v>91003481</v>
      </c>
      <c r="F2375" s="20">
        <v>14723459.039999999</v>
      </c>
      <c r="G2375" s="22">
        <v>46259</v>
      </c>
      <c r="H2375" t="s">
        <v>79</v>
      </c>
      <c r="I2375" s="51" t="str">
        <f>IFERROR(IF(VLOOKUP(E2375,extracto!C:C,1,FALSE)=E2375,"pagado","no pagado"),"no pagado")</f>
        <v>pagado</v>
      </c>
      <c r="J2375" s="52" t="str">
        <f t="shared" si="882"/>
        <v>pagado</v>
      </c>
      <c r="K2375" s="51" t="str">
        <f t="shared" ca="1" si="883"/>
        <v>excluir</v>
      </c>
      <c r="L2375" s="51" t="str">
        <f t="shared" ca="1" si="884"/>
        <v>no semana</v>
      </c>
      <c r="M2375" s="51" t="str">
        <f>IFERROR(VLOOKUP(E2375,'cheques a conf'!A:D,4,FALSE),"no clearing")</f>
        <v>no clearing</v>
      </c>
      <c r="N2375" s="51">
        <f t="shared" si="885"/>
        <v>35</v>
      </c>
      <c r="O2375" s="53">
        <f t="shared" si="886"/>
        <v>8</v>
      </c>
      <c r="P2375" s="53">
        <f t="shared" si="887"/>
        <v>2026</v>
      </c>
    </row>
    <row r="2376" spans="1:16" x14ac:dyDescent="0.25">
      <c r="A2376" s="21">
        <v>3000005239</v>
      </c>
      <c r="B2376" s="22">
        <v>46252</v>
      </c>
      <c r="C2376" s="20">
        <v>6608817.7199999997</v>
      </c>
      <c r="D2376" s="21" t="s">
        <v>739</v>
      </c>
      <c r="E2376" s="21">
        <v>91003482</v>
      </c>
      <c r="F2376" s="20">
        <v>6608817.7199999997</v>
      </c>
      <c r="G2376" s="22">
        <v>46259</v>
      </c>
      <c r="H2376" t="s">
        <v>79</v>
      </c>
      <c r="I2376" s="51" t="str">
        <f>IFERROR(IF(VLOOKUP(E2376,extracto!C:C,1,FALSE)=E2376,"pagado","no pagado"),"no pagado")</f>
        <v>pagado</v>
      </c>
      <c r="J2376" s="52" t="str">
        <f t="shared" si="882"/>
        <v>pagado</v>
      </c>
      <c r="K2376" s="51" t="str">
        <f t="shared" ca="1" si="883"/>
        <v>excluir</v>
      </c>
      <c r="L2376" s="51" t="str">
        <f t="shared" ca="1" si="884"/>
        <v>no semana</v>
      </c>
      <c r="M2376" s="51" t="str">
        <f>IFERROR(VLOOKUP(E2376,'cheques a conf'!A:D,4,FALSE),"no clearing")</f>
        <v>no clearing</v>
      </c>
      <c r="N2376" s="51">
        <f t="shared" si="885"/>
        <v>35</v>
      </c>
      <c r="O2376" s="53">
        <f t="shared" si="886"/>
        <v>8</v>
      </c>
      <c r="P2376" s="53">
        <f t="shared" si="887"/>
        <v>2026</v>
      </c>
    </row>
    <row r="2377" spans="1:16" x14ac:dyDescent="0.25">
      <c r="A2377" s="21">
        <v>3000005240</v>
      </c>
      <c r="B2377" s="22">
        <v>46252</v>
      </c>
      <c r="C2377" s="20">
        <v>5529090</v>
      </c>
      <c r="D2377" s="21" t="s">
        <v>642</v>
      </c>
      <c r="E2377" s="21">
        <v>91003483</v>
      </c>
      <c r="F2377" s="20">
        <v>5529090</v>
      </c>
      <c r="G2377" s="22">
        <v>46259</v>
      </c>
      <c r="H2377" t="s">
        <v>79</v>
      </c>
      <c r="I2377" s="51" t="str">
        <f>IFERROR(IF(VLOOKUP(E2377,extracto!C:C,1,FALSE)=E2377,"pagado","no pagado"),"no pagado")</f>
        <v>pagado</v>
      </c>
      <c r="J2377" s="52" t="str">
        <f t="shared" si="882"/>
        <v>pagado</v>
      </c>
      <c r="K2377" s="51" t="str">
        <f t="shared" ca="1" si="883"/>
        <v>excluir</v>
      </c>
      <c r="L2377" s="51" t="str">
        <f t="shared" ca="1" si="884"/>
        <v>no semana</v>
      </c>
      <c r="M2377" s="51" t="str">
        <f>IFERROR(VLOOKUP(E2377,'cheques a conf'!A:D,4,FALSE),"no clearing")</f>
        <v>no clearing</v>
      </c>
      <c r="N2377" s="51">
        <f t="shared" si="885"/>
        <v>35</v>
      </c>
      <c r="O2377" s="53">
        <f t="shared" si="886"/>
        <v>8</v>
      </c>
      <c r="P2377" s="53">
        <f t="shared" si="887"/>
        <v>2026</v>
      </c>
    </row>
    <row r="2378" spans="1:16" x14ac:dyDescent="0.25">
      <c r="A2378" s="21">
        <v>3000005241</v>
      </c>
      <c r="B2378" s="22">
        <v>46252</v>
      </c>
      <c r="C2378" s="20">
        <v>8231290</v>
      </c>
      <c r="D2378" s="21" t="s">
        <v>616</v>
      </c>
      <c r="E2378" s="21">
        <v>91003484</v>
      </c>
      <c r="F2378" s="20">
        <v>8231290</v>
      </c>
      <c r="G2378" s="22">
        <v>46259</v>
      </c>
      <c r="H2378" t="s">
        <v>79</v>
      </c>
      <c r="I2378" s="51" t="str">
        <f>IFERROR(IF(VLOOKUP(E2378,extracto!C:C,1,FALSE)=E2378,"pagado","no pagado"),"no pagado")</f>
        <v>pagado</v>
      </c>
      <c r="J2378" s="52" t="str">
        <f t="shared" si="882"/>
        <v>pagado</v>
      </c>
      <c r="K2378" s="51" t="str">
        <f t="shared" ca="1" si="883"/>
        <v>excluir</v>
      </c>
      <c r="L2378" s="51" t="str">
        <f t="shared" ca="1" si="884"/>
        <v>no semana</v>
      </c>
      <c r="M2378" s="51" t="str">
        <f>IFERROR(VLOOKUP(E2378,'cheques a conf'!A:D,4,FALSE),"no clearing")</f>
        <v>no clearing</v>
      </c>
      <c r="N2378" s="51">
        <f t="shared" si="885"/>
        <v>35</v>
      </c>
      <c r="O2378" s="53">
        <f t="shared" si="886"/>
        <v>8</v>
      </c>
      <c r="P2378" s="53">
        <f t="shared" si="887"/>
        <v>2026</v>
      </c>
    </row>
    <row r="2379" spans="1:16" x14ac:dyDescent="0.25">
      <c r="A2379" s="21">
        <v>3000005242</v>
      </c>
      <c r="B2379" s="22">
        <v>46252</v>
      </c>
      <c r="C2379" s="20">
        <v>8220240</v>
      </c>
      <c r="D2379" s="21" t="s">
        <v>619</v>
      </c>
      <c r="E2379" s="21">
        <v>91003485</v>
      </c>
      <c r="F2379" s="20">
        <v>8220240</v>
      </c>
      <c r="G2379" s="22">
        <v>46259</v>
      </c>
      <c r="H2379" t="s">
        <v>79</v>
      </c>
      <c r="I2379" s="51" t="str">
        <f>IFERROR(IF(VLOOKUP(E2379,extracto!C:C,1,FALSE)=E2379,"pagado","no pagado"),"no pagado")</f>
        <v>pagado</v>
      </c>
      <c r="J2379" s="52" t="str">
        <f t="shared" si="882"/>
        <v>pagado</v>
      </c>
      <c r="K2379" s="51" t="str">
        <f t="shared" ca="1" si="883"/>
        <v>excluir</v>
      </c>
      <c r="L2379" s="51" t="str">
        <f t="shared" ca="1" si="884"/>
        <v>no semana</v>
      </c>
      <c r="M2379" s="51" t="str">
        <f>IFERROR(VLOOKUP(E2379,'cheques a conf'!A:D,4,FALSE),"no clearing")</f>
        <v>no clearing</v>
      </c>
      <c r="N2379" s="51">
        <f t="shared" si="885"/>
        <v>35</v>
      </c>
      <c r="O2379" s="53">
        <f t="shared" si="886"/>
        <v>8</v>
      </c>
      <c r="P2379" s="53">
        <f t="shared" si="887"/>
        <v>2026</v>
      </c>
    </row>
    <row r="2380" spans="1:16" x14ac:dyDescent="0.25">
      <c r="A2380" s="21">
        <v>3000005243</v>
      </c>
      <c r="B2380" s="22">
        <v>46252</v>
      </c>
      <c r="C2380" s="20">
        <v>6222653.0800000001</v>
      </c>
      <c r="D2380" s="21" t="s">
        <v>689</v>
      </c>
      <c r="E2380" s="21">
        <v>91003486</v>
      </c>
      <c r="F2380" s="20">
        <v>6222653.0800000001</v>
      </c>
      <c r="G2380" s="22">
        <v>46259</v>
      </c>
      <c r="H2380" t="s">
        <v>79</v>
      </c>
      <c r="I2380" s="51" t="str">
        <f>IFERROR(IF(VLOOKUP(E2380,extracto!C:C,1,FALSE)=E2380,"pagado","no pagado"),"no pagado")</f>
        <v>pagado</v>
      </c>
      <c r="J2380" s="52" t="str">
        <f t="shared" si="882"/>
        <v>pagado</v>
      </c>
      <c r="K2380" s="51" t="str">
        <f t="shared" ca="1" si="883"/>
        <v>excluir</v>
      </c>
      <c r="L2380" s="51" t="str">
        <f t="shared" ca="1" si="884"/>
        <v>no semana</v>
      </c>
      <c r="M2380" s="51" t="str">
        <f>IFERROR(VLOOKUP(E2380,'cheques a conf'!A:D,4,FALSE),"no clearing")</f>
        <v>no clearing</v>
      </c>
      <c r="N2380" s="51">
        <f t="shared" si="885"/>
        <v>35</v>
      </c>
      <c r="O2380" s="53">
        <f t="shared" si="886"/>
        <v>8</v>
      </c>
      <c r="P2380" s="53">
        <f t="shared" si="887"/>
        <v>2026</v>
      </c>
    </row>
    <row r="2381" spans="1:16" x14ac:dyDescent="0.25">
      <c r="A2381" s="21">
        <v>3000005244</v>
      </c>
      <c r="B2381" s="22">
        <v>46252</v>
      </c>
      <c r="C2381" s="20">
        <v>11006871.609999999</v>
      </c>
      <c r="D2381" s="21" t="s">
        <v>68</v>
      </c>
      <c r="E2381" s="21">
        <v>91003487</v>
      </c>
      <c r="F2381" s="20">
        <v>11006871.609999999</v>
      </c>
      <c r="G2381" s="22">
        <v>46259</v>
      </c>
      <c r="H2381" t="s">
        <v>79</v>
      </c>
      <c r="I2381" s="51" t="str">
        <f>IFERROR(IF(VLOOKUP(E2381,extracto!C:C,1,FALSE)=E2381,"pagado","no pagado"),"no pagado")</f>
        <v>pagado</v>
      </c>
      <c r="J2381" s="52" t="str">
        <f t="shared" si="882"/>
        <v>pagado</v>
      </c>
      <c r="K2381" s="51" t="str">
        <f t="shared" ca="1" si="883"/>
        <v>excluir</v>
      </c>
      <c r="L2381" s="51" t="str">
        <f t="shared" ca="1" si="884"/>
        <v>no semana</v>
      </c>
      <c r="M2381" s="51" t="str">
        <f>IFERROR(VLOOKUP(E2381,'cheques a conf'!A:D,4,FALSE),"no clearing")</f>
        <v>no clearing</v>
      </c>
      <c r="N2381" s="51">
        <f t="shared" si="885"/>
        <v>35</v>
      </c>
      <c r="O2381" s="53">
        <f t="shared" si="886"/>
        <v>8</v>
      </c>
      <c r="P2381" s="53">
        <f t="shared" si="887"/>
        <v>2026</v>
      </c>
    </row>
    <row r="2382" spans="1:16" x14ac:dyDescent="0.25">
      <c r="A2382" s="21">
        <v>3000005266</v>
      </c>
      <c r="B2382" s="22">
        <v>46253</v>
      </c>
      <c r="C2382" s="20">
        <v>13948499</v>
      </c>
      <c r="D2382" s="21" t="s">
        <v>661</v>
      </c>
      <c r="E2382" s="21">
        <v>91003488</v>
      </c>
      <c r="F2382" s="20">
        <v>13948499</v>
      </c>
      <c r="G2382" s="22">
        <v>46258</v>
      </c>
      <c r="H2382" t="s">
        <v>79</v>
      </c>
      <c r="I2382" s="51" t="str">
        <f>IFERROR(IF(VLOOKUP(E2382,extracto!C:C,1,FALSE)=E2382,"pagado","no pagado"),"no pagado")</f>
        <v>pagado</v>
      </c>
      <c r="J2382" s="52" t="str">
        <f t="shared" si="882"/>
        <v>pagado</v>
      </c>
      <c r="K2382" s="51" t="str">
        <f t="shared" ca="1" si="883"/>
        <v>excluir</v>
      </c>
      <c r="L2382" s="51" t="str">
        <f t="shared" ca="1" si="884"/>
        <v>no semana</v>
      </c>
      <c r="M2382" s="51" t="str">
        <f>IFERROR(VLOOKUP(E2382,'cheques a conf'!A:D,4,FALSE),"no clearing")</f>
        <v>no clearing</v>
      </c>
      <c r="N2382" s="51">
        <f t="shared" si="885"/>
        <v>35</v>
      </c>
      <c r="O2382" s="53">
        <f t="shared" si="886"/>
        <v>8</v>
      </c>
      <c r="P2382" s="53">
        <f t="shared" si="887"/>
        <v>2026</v>
      </c>
    </row>
    <row r="2383" spans="1:16" x14ac:dyDescent="0.25">
      <c r="A2383" s="21">
        <v>3000005267</v>
      </c>
      <c r="B2383" s="22">
        <v>46253</v>
      </c>
      <c r="C2383" s="20">
        <v>2516000</v>
      </c>
      <c r="D2383" s="21" t="s">
        <v>1804</v>
      </c>
      <c r="E2383" s="21">
        <v>91003489</v>
      </c>
      <c r="F2383" s="20">
        <v>2516000</v>
      </c>
      <c r="G2383" s="22">
        <v>46260</v>
      </c>
      <c r="H2383" t="s">
        <v>79</v>
      </c>
      <c r="I2383" s="51" t="str">
        <f>IFERROR(IF(VLOOKUP(E2383,extracto!C:C,1,FALSE)=E2383,"pagado","no pagado"),"no pagado")</f>
        <v>pagado</v>
      </c>
      <c r="J2383" s="52" t="str">
        <f t="shared" si="882"/>
        <v>pagado</v>
      </c>
      <c r="K2383" s="51" t="str">
        <f t="shared" ca="1" si="883"/>
        <v>excluir</v>
      </c>
      <c r="L2383" s="51" t="str">
        <f t="shared" ca="1" si="884"/>
        <v>no semana</v>
      </c>
      <c r="M2383" s="51" t="str">
        <f>IFERROR(VLOOKUP(E2383,'cheques a conf'!A:D,4,FALSE),"no clearing")</f>
        <v>no clearing</v>
      </c>
      <c r="N2383" s="51">
        <f t="shared" si="885"/>
        <v>35</v>
      </c>
      <c r="O2383" s="53">
        <f t="shared" si="886"/>
        <v>8</v>
      </c>
      <c r="P2383" s="53">
        <f t="shared" si="887"/>
        <v>2026</v>
      </c>
    </row>
    <row r="2384" spans="1:16" x14ac:dyDescent="0.25">
      <c r="A2384" s="21">
        <v>3000005268</v>
      </c>
      <c r="B2384" s="22">
        <v>46253</v>
      </c>
      <c r="C2384" s="20">
        <v>3285959.9</v>
      </c>
      <c r="D2384" s="21" t="s">
        <v>586</v>
      </c>
      <c r="E2384" s="21">
        <v>91003490</v>
      </c>
      <c r="F2384" s="20">
        <v>3285959.9</v>
      </c>
      <c r="G2384" s="22">
        <v>46260</v>
      </c>
      <c r="H2384" t="s">
        <v>79</v>
      </c>
      <c r="I2384" s="51" t="str">
        <f>IFERROR(IF(VLOOKUP(E2384,extracto!C:C,1,FALSE)=E2384,"pagado","no pagado"),"no pagado")</f>
        <v>pagado</v>
      </c>
      <c r="J2384" s="52" t="str">
        <f t="shared" si="882"/>
        <v>pagado</v>
      </c>
      <c r="K2384" s="51" t="str">
        <f t="shared" ca="1" si="883"/>
        <v>excluir</v>
      </c>
      <c r="L2384" s="51" t="str">
        <f t="shared" ca="1" si="884"/>
        <v>no semana</v>
      </c>
      <c r="M2384" s="51" t="str">
        <f>IFERROR(VLOOKUP(E2384,'cheques a conf'!A:D,4,FALSE),"no clearing")</f>
        <v>no clearing</v>
      </c>
      <c r="N2384" s="51">
        <f t="shared" si="885"/>
        <v>35</v>
      </c>
      <c r="O2384" s="53">
        <f t="shared" si="886"/>
        <v>8</v>
      </c>
      <c r="P2384" s="53">
        <f t="shared" si="887"/>
        <v>2026</v>
      </c>
    </row>
    <row r="2385" spans="1:16" x14ac:dyDescent="0.25">
      <c r="A2385" s="21">
        <v>3000005269</v>
      </c>
      <c r="B2385" s="22">
        <v>46253</v>
      </c>
      <c r="C2385" s="20">
        <v>3767425.94</v>
      </c>
      <c r="D2385" s="21" t="s">
        <v>1805</v>
      </c>
      <c r="E2385" s="21">
        <v>91003491</v>
      </c>
      <c r="F2385" s="20">
        <v>3767425.94</v>
      </c>
      <c r="G2385" s="22">
        <v>46260</v>
      </c>
      <c r="H2385" t="s">
        <v>79</v>
      </c>
      <c r="I2385" s="51" t="str">
        <f>IFERROR(IF(VLOOKUP(E2385,extracto!C:C,1,FALSE)=E2385,"pagado","no pagado"),"no pagado")</f>
        <v>pagado</v>
      </c>
      <c r="J2385" s="52" t="str">
        <f t="shared" si="882"/>
        <v>pagado</v>
      </c>
      <c r="K2385" s="51" t="str">
        <f t="shared" ca="1" si="883"/>
        <v>excluir</v>
      </c>
      <c r="L2385" s="51" t="str">
        <f t="shared" ca="1" si="884"/>
        <v>no semana</v>
      </c>
      <c r="M2385" s="51" t="str">
        <f>IFERROR(VLOOKUP(E2385,'cheques a conf'!A:D,4,FALSE),"no clearing")</f>
        <v>no clearing</v>
      </c>
      <c r="N2385" s="51">
        <f t="shared" si="885"/>
        <v>35</v>
      </c>
      <c r="O2385" s="53">
        <f t="shared" si="886"/>
        <v>8</v>
      </c>
      <c r="P2385" s="53">
        <f t="shared" si="887"/>
        <v>2026</v>
      </c>
    </row>
    <row r="2386" spans="1:16" x14ac:dyDescent="0.25">
      <c r="A2386" s="21">
        <v>3000005270</v>
      </c>
      <c r="B2386" s="22">
        <v>46253</v>
      </c>
      <c r="C2386" s="20">
        <v>2514200</v>
      </c>
      <c r="D2386" s="21" t="s">
        <v>610</v>
      </c>
      <c r="E2386" s="21">
        <v>91003492</v>
      </c>
      <c r="F2386" s="20">
        <v>2514200</v>
      </c>
      <c r="G2386" s="22">
        <v>46260</v>
      </c>
      <c r="H2386" t="s">
        <v>79</v>
      </c>
      <c r="I2386" s="51" t="str">
        <f>IFERROR(IF(VLOOKUP(E2386,extracto!C:C,1,FALSE)=E2386,"pagado","no pagado"),"no pagado")</f>
        <v>pagado</v>
      </c>
      <c r="J2386" s="52" t="str">
        <f t="shared" si="882"/>
        <v>pagado</v>
      </c>
      <c r="K2386" s="51" t="str">
        <f t="shared" ca="1" si="883"/>
        <v>excluir</v>
      </c>
      <c r="L2386" s="51" t="str">
        <f t="shared" ca="1" si="884"/>
        <v>no semana</v>
      </c>
      <c r="M2386" s="51" t="str">
        <f>IFERROR(VLOOKUP(E2386,'cheques a conf'!A:D,4,FALSE),"no clearing")</f>
        <v>no clearing</v>
      </c>
      <c r="N2386" s="51">
        <f t="shared" si="885"/>
        <v>35</v>
      </c>
      <c r="O2386" s="53">
        <f t="shared" si="886"/>
        <v>8</v>
      </c>
      <c r="P2386" s="53">
        <f t="shared" si="887"/>
        <v>2026</v>
      </c>
    </row>
    <row r="2387" spans="1:16" x14ac:dyDescent="0.25">
      <c r="A2387" s="21">
        <v>3000005271</v>
      </c>
      <c r="B2387" s="22">
        <v>46253</v>
      </c>
      <c r="C2387" s="20">
        <v>4707675.99</v>
      </c>
      <c r="D2387" s="21" t="s">
        <v>76</v>
      </c>
      <c r="E2387" s="21">
        <v>91003493</v>
      </c>
      <c r="F2387" s="20">
        <v>4707675.99</v>
      </c>
      <c r="G2387" s="22">
        <v>46260</v>
      </c>
      <c r="H2387" t="s">
        <v>79</v>
      </c>
      <c r="I2387" s="51" t="str">
        <f>IFERROR(IF(VLOOKUP(E2387,extracto!C:C,1,FALSE)=E2387,"pagado","no pagado"),"no pagado")</f>
        <v>pagado</v>
      </c>
      <c r="J2387" s="52" t="str">
        <f t="shared" si="882"/>
        <v>pagado</v>
      </c>
      <c r="K2387" s="51" t="str">
        <f t="shared" ca="1" si="883"/>
        <v>excluir</v>
      </c>
      <c r="L2387" s="51" t="str">
        <f t="shared" ca="1" si="884"/>
        <v>no semana</v>
      </c>
      <c r="M2387" s="51" t="str">
        <f>IFERROR(VLOOKUP(E2387,'cheques a conf'!A:D,4,FALSE),"no clearing")</f>
        <v>no clearing</v>
      </c>
      <c r="N2387" s="51">
        <f t="shared" si="885"/>
        <v>35</v>
      </c>
      <c r="O2387" s="53">
        <f t="shared" si="886"/>
        <v>8</v>
      </c>
      <c r="P2387" s="53">
        <f t="shared" si="887"/>
        <v>2026</v>
      </c>
    </row>
    <row r="2388" spans="1:16" x14ac:dyDescent="0.25">
      <c r="A2388" s="21">
        <v>3000005272</v>
      </c>
      <c r="B2388" s="22">
        <v>46253</v>
      </c>
      <c r="C2388" s="20">
        <v>3576314.4</v>
      </c>
      <c r="D2388" s="21" t="s">
        <v>1806</v>
      </c>
      <c r="E2388" s="21">
        <v>91003494</v>
      </c>
      <c r="F2388" s="20">
        <v>3576314.4</v>
      </c>
      <c r="G2388" s="22">
        <v>46260</v>
      </c>
      <c r="H2388" t="s">
        <v>79</v>
      </c>
      <c r="I2388" s="51" t="str">
        <f>IFERROR(IF(VLOOKUP(E2388,extracto!C:C,1,FALSE)=E2388,"pagado","no pagado"),"no pagado")</f>
        <v>no pagado</v>
      </c>
      <c r="J2388" s="52" t="str">
        <f t="shared" ca="1" si="882"/>
        <v>en periodo de pago</v>
      </c>
      <c r="K2388" s="51" t="str">
        <f t="shared" ca="1" si="883"/>
        <v>a pagar</v>
      </c>
      <c r="L2388" s="51" t="str">
        <f t="shared" ca="1" si="884"/>
        <v>no semana</v>
      </c>
      <c r="M2388" s="51" t="str">
        <f>IFERROR(VLOOKUP(E2388,'cheques a conf'!A:D,4,FALSE),"no clearing")</f>
        <v>no clearing</v>
      </c>
      <c r="N2388" s="51">
        <f t="shared" si="885"/>
        <v>35</v>
      </c>
      <c r="O2388" s="53">
        <f t="shared" si="886"/>
        <v>8</v>
      </c>
      <c r="P2388" s="53">
        <f t="shared" si="887"/>
        <v>2026</v>
      </c>
    </row>
    <row r="2389" spans="1:16" x14ac:dyDescent="0.25">
      <c r="A2389" s="21">
        <v>3000005273</v>
      </c>
      <c r="B2389" s="22">
        <v>46253</v>
      </c>
      <c r="C2389" s="20">
        <v>2651575.5</v>
      </c>
      <c r="D2389" s="21" t="s">
        <v>182</v>
      </c>
      <c r="E2389" s="21">
        <v>91003495</v>
      </c>
      <c r="F2389" s="20">
        <v>2651575.5</v>
      </c>
      <c r="G2389" s="22">
        <v>46260</v>
      </c>
      <c r="H2389" t="s">
        <v>79</v>
      </c>
      <c r="I2389" s="51" t="str">
        <f>IFERROR(IF(VLOOKUP(E2389,extracto!C:C,1,FALSE)=E2389,"pagado","no pagado"),"no pagado")</f>
        <v>pagado</v>
      </c>
      <c r="J2389" s="52" t="str">
        <f t="shared" si="882"/>
        <v>pagado</v>
      </c>
      <c r="K2389" s="51" t="str">
        <f t="shared" ca="1" si="883"/>
        <v>excluir</v>
      </c>
      <c r="L2389" s="51" t="str">
        <f t="shared" ca="1" si="884"/>
        <v>no semana</v>
      </c>
      <c r="M2389" s="51" t="str">
        <f>IFERROR(VLOOKUP(E2389,'cheques a conf'!A:D,4,FALSE),"no clearing")</f>
        <v>no clearing</v>
      </c>
      <c r="N2389" s="51">
        <f t="shared" si="885"/>
        <v>35</v>
      </c>
      <c r="O2389" s="53">
        <f t="shared" si="886"/>
        <v>8</v>
      </c>
      <c r="P2389" s="53">
        <f t="shared" si="887"/>
        <v>2026</v>
      </c>
    </row>
    <row r="2390" spans="1:16" x14ac:dyDescent="0.25">
      <c r="A2390" s="21">
        <v>3000005274</v>
      </c>
      <c r="B2390" s="22">
        <v>46253</v>
      </c>
      <c r="C2390" s="20">
        <v>4577865</v>
      </c>
      <c r="D2390" s="21" t="s">
        <v>501</v>
      </c>
      <c r="E2390" s="21">
        <v>91003496</v>
      </c>
      <c r="F2390" s="20">
        <v>4577865</v>
      </c>
      <c r="G2390" s="22">
        <v>46260</v>
      </c>
      <c r="H2390" t="s">
        <v>79</v>
      </c>
      <c r="I2390" s="51" t="str">
        <f>IFERROR(IF(VLOOKUP(E2390,extracto!C:C,1,FALSE)=E2390,"pagado","no pagado"),"no pagado")</f>
        <v>pagado</v>
      </c>
      <c r="J2390" s="52" t="str">
        <f t="shared" si="882"/>
        <v>pagado</v>
      </c>
      <c r="K2390" s="51" t="str">
        <f t="shared" ca="1" si="883"/>
        <v>excluir</v>
      </c>
      <c r="L2390" s="51" t="str">
        <f t="shared" ca="1" si="884"/>
        <v>no semana</v>
      </c>
      <c r="M2390" s="51" t="str">
        <f>IFERROR(VLOOKUP(E2390,'cheques a conf'!A:D,4,FALSE),"no clearing")</f>
        <v>no clearing</v>
      </c>
      <c r="N2390" s="51">
        <f t="shared" si="885"/>
        <v>35</v>
      </c>
      <c r="O2390" s="53">
        <f t="shared" si="886"/>
        <v>8</v>
      </c>
      <c r="P2390" s="53">
        <f t="shared" si="887"/>
        <v>2026</v>
      </c>
    </row>
    <row r="2391" spans="1:16" x14ac:dyDescent="0.25">
      <c r="A2391" s="21">
        <v>3000005275</v>
      </c>
      <c r="B2391" s="22">
        <v>46253</v>
      </c>
      <c r="C2391" s="20">
        <v>2084351.67</v>
      </c>
      <c r="D2391" s="21" t="s">
        <v>1807</v>
      </c>
      <c r="E2391" s="21">
        <v>91003497</v>
      </c>
      <c r="F2391" s="20">
        <v>2084351.67</v>
      </c>
      <c r="G2391" s="22">
        <v>46260</v>
      </c>
      <c r="H2391" t="s">
        <v>79</v>
      </c>
      <c r="I2391" s="51" t="str">
        <f>IFERROR(IF(VLOOKUP(E2391,extracto!C:C,1,FALSE)=E2391,"pagado","no pagado"),"no pagado")</f>
        <v>pagado</v>
      </c>
      <c r="J2391" s="52" t="str">
        <f t="shared" si="882"/>
        <v>pagado</v>
      </c>
      <c r="K2391" s="51" t="str">
        <f t="shared" ca="1" si="883"/>
        <v>excluir</v>
      </c>
      <c r="L2391" s="51" t="str">
        <f t="shared" ca="1" si="884"/>
        <v>no semana</v>
      </c>
      <c r="M2391" s="51" t="str">
        <f>IFERROR(VLOOKUP(E2391,'cheques a conf'!A:D,4,FALSE),"no clearing")</f>
        <v>no clearing</v>
      </c>
      <c r="N2391" s="51">
        <f t="shared" si="885"/>
        <v>35</v>
      </c>
      <c r="O2391" s="53">
        <f t="shared" si="886"/>
        <v>8</v>
      </c>
      <c r="P2391" s="53">
        <f t="shared" si="887"/>
        <v>2026</v>
      </c>
    </row>
    <row r="2392" spans="1:16" x14ac:dyDescent="0.25">
      <c r="A2392" s="21">
        <v>3000005276</v>
      </c>
      <c r="B2392" s="22">
        <v>46253</v>
      </c>
      <c r="C2392" s="20">
        <v>3212127</v>
      </c>
      <c r="D2392" s="21" t="s">
        <v>850</v>
      </c>
      <c r="E2392" s="21">
        <v>91003498</v>
      </c>
      <c r="F2392" s="20">
        <v>3212127</v>
      </c>
      <c r="G2392" s="22">
        <v>46260</v>
      </c>
      <c r="H2392" t="s">
        <v>79</v>
      </c>
      <c r="I2392" s="51" t="str">
        <f>IFERROR(IF(VLOOKUP(E2392,extracto!C:C,1,FALSE)=E2392,"pagado","no pagado"),"no pagado")</f>
        <v>pagado</v>
      </c>
      <c r="J2392" s="52" t="str">
        <f t="shared" si="882"/>
        <v>pagado</v>
      </c>
      <c r="K2392" s="51" t="str">
        <f t="shared" ca="1" si="883"/>
        <v>excluir</v>
      </c>
      <c r="L2392" s="51" t="str">
        <f t="shared" ca="1" si="884"/>
        <v>no semana</v>
      </c>
      <c r="M2392" s="51" t="str">
        <f>IFERROR(VLOOKUP(E2392,'cheques a conf'!A:D,4,FALSE),"no clearing")</f>
        <v>no clearing</v>
      </c>
      <c r="N2392" s="51">
        <f t="shared" si="885"/>
        <v>35</v>
      </c>
      <c r="O2392" s="53">
        <f t="shared" si="886"/>
        <v>8</v>
      </c>
      <c r="P2392" s="53">
        <f t="shared" si="887"/>
        <v>2026</v>
      </c>
    </row>
    <row r="2393" spans="1:16" x14ac:dyDescent="0.25">
      <c r="A2393" s="21">
        <v>3000005277</v>
      </c>
      <c r="B2393" s="22">
        <v>46253</v>
      </c>
      <c r="C2393" s="20">
        <v>9420989</v>
      </c>
      <c r="D2393" s="21" t="s">
        <v>732</v>
      </c>
      <c r="E2393" s="21">
        <v>91003499</v>
      </c>
      <c r="F2393" s="20">
        <v>9420989</v>
      </c>
      <c r="G2393" s="22">
        <v>46260</v>
      </c>
      <c r="H2393" t="s">
        <v>79</v>
      </c>
      <c r="I2393" s="51" t="str">
        <f>IFERROR(IF(VLOOKUP(E2393,extracto!C:C,1,FALSE)=E2393,"pagado","no pagado"),"no pagado")</f>
        <v>pagado</v>
      </c>
      <c r="J2393" s="52" t="str">
        <f t="shared" si="882"/>
        <v>pagado</v>
      </c>
      <c r="K2393" s="51" t="str">
        <f t="shared" ca="1" si="883"/>
        <v>excluir</v>
      </c>
      <c r="L2393" s="51" t="str">
        <f t="shared" ca="1" si="884"/>
        <v>no semana</v>
      </c>
      <c r="M2393" s="51" t="str">
        <f>IFERROR(VLOOKUP(E2393,'cheques a conf'!A:D,4,FALSE),"no clearing")</f>
        <v>no clearing</v>
      </c>
      <c r="N2393" s="51">
        <f t="shared" si="885"/>
        <v>35</v>
      </c>
      <c r="O2393" s="53">
        <f t="shared" si="886"/>
        <v>8</v>
      </c>
      <c r="P2393" s="53">
        <f t="shared" si="887"/>
        <v>2026</v>
      </c>
    </row>
    <row r="2394" spans="1:16" x14ac:dyDescent="0.25">
      <c r="A2394" s="21">
        <v>3000005278</v>
      </c>
      <c r="B2394" s="22">
        <v>46253</v>
      </c>
      <c r="C2394" s="20">
        <v>8231032.1699999999</v>
      </c>
      <c r="D2394" s="21" t="s">
        <v>775</v>
      </c>
      <c r="E2394" s="21">
        <v>91003500</v>
      </c>
      <c r="F2394" s="20">
        <v>8231032.1699999999</v>
      </c>
      <c r="G2394" s="22">
        <v>46260</v>
      </c>
      <c r="H2394" t="s">
        <v>79</v>
      </c>
      <c r="I2394" s="51" t="str">
        <f>IFERROR(IF(VLOOKUP(E2394,extracto!C:C,1,FALSE)=E2394,"pagado","no pagado"),"no pagado")</f>
        <v>pagado</v>
      </c>
      <c r="J2394" s="52" t="str">
        <f t="shared" si="882"/>
        <v>pagado</v>
      </c>
      <c r="K2394" s="51" t="str">
        <f t="shared" ca="1" si="883"/>
        <v>excluir</v>
      </c>
      <c r="L2394" s="51" t="str">
        <f t="shared" ca="1" si="884"/>
        <v>no semana</v>
      </c>
      <c r="M2394" s="51" t="str">
        <f>IFERROR(VLOOKUP(E2394,'cheques a conf'!A:D,4,FALSE),"no clearing")</f>
        <v>no clearing</v>
      </c>
      <c r="N2394" s="51">
        <f t="shared" si="885"/>
        <v>35</v>
      </c>
      <c r="O2394" s="53">
        <f t="shared" si="886"/>
        <v>8</v>
      </c>
      <c r="P2394" s="53">
        <f t="shared" si="887"/>
        <v>2026</v>
      </c>
    </row>
    <row r="2395" spans="1:16" x14ac:dyDescent="0.25">
      <c r="A2395" s="21">
        <v>3000005279</v>
      </c>
      <c r="B2395" s="22">
        <v>46253</v>
      </c>
      <c r="C2395" s="20">
        <v>5529090</v>
      </c>
      <c r="D2395" s="21" t="s">
        <v>642</v>
      </c>
      <c r="E2395" s="21">
        <v>91003501</v>
      </c>
      <c r="F2395" s="20">
        <v>5529090</v>
      </c>
      <c r="G2395" s="22">
        <v>46260</v>
      </c>
      <c r="H2395" t="s">
        <v>79</v>
      </c>
      <c r="I2395" s="51" t="str">
        <f>IFERROR(IF(VLOOKUP(E2395,extracto!C:C,1,FALSE)=E2395,"pagado","no pagado"),"no pagado")</f>
        <v>pagado</v>
      </c>
      <c r="J2395" s="52" t="str">
        <f t="shared" si="882"/>
        <v>pagado</v>
      </c>
      <c r="K2395" s="51" t="str">
        <f t="shared" ca="1" si="883"/>
        <v>excluir</v>
      </c>
      <c r="L2395" s="51" t="str">
        <f t="shared" ca="1" si="884"/>
        <v>no semana</v>
      </c>
      <c r="M2395" s="51" t="str">
        <f>IFERROR(VLOOKUP(E2395,'cheques a conf'!A:D,4,FALSE),"no clearing")</f>
        <v>no clearing</v>
      </c>
      <c r="N2395" s="51">
        <f t="shared" si="885"/>
        <v>35</v>
      </c>
      <c r="O2395" s="53">
        <f t="shared" si="886"/>
        <v>8</v>
      </c>
      <c r="P2395" s="53">
        <f t="shared" si="887"/>
        <v>2026</v>
      </c>
    </row>
    <row r="2396" spans="1:16" x14ac:dyDescent="0.25">
      <c r="A2396" s="21">
        <v>3000005280</v>
      </c>
      <c r="B2396" s="22">
        <v>46253</v>
      </c>
      <c r="C2396" s="20">
        <v>13809910</v>
      </c>
      <c r="D2396" s="21" t="s">
        <v>613</v>
      </c>
      <c r="E2396" s="21">
        <v>91003502</v>
      </c>
      <c r="F2396" s="20">
        <v>13809910</v>
      </c>
      <c r="G2396" s="22">
        <v>46260</v>
      </c>
      <c r="H2396" t="s">
        <v>79</v>
      </c>
      <c r="I2396" s="51" t="str">
        <f>IFERROR(IF(VLOOKUP(E2396,extracto!C:C,1,FALSE)=E2396,"pagado","no pagado"),"no pagado")</f>
        <v>pagado</v>
      </c>
      <c r="J2396" s="52" t="str">
        <f t="shared" si="882"/>
        <v>pagado</v>
      </c>
      <c r="K2396" s="51" t="str">
        <f t="shared" ca="1" si="883"/>
        <v>excluir</v>
      </c>
      <c r="L2396" s="51" t="str">
        <f t="shared" ca="1" si="884"/>
        <v>no semana</v>
      </c>
      <c r="M2396" s="51" t="str">
        <f>IFERROR(VLOOKUP(E2396,'cheques a conf'!A:D,4,FALSE),"no clearing")</f>
        <v>no clearing</v>
      </c>
      <c r="N2396" s="51">
        <f t="shared" si="885"/>
        <v>35</v>
      </c>
      <c r="O2396" s="53">
        <f t="shared" si="886"/>
        <v>8</v>
      </c>
      <c r="P2396" s="53">
        <f t="shared" si="887"/>
        <v>2026</v>
      </c>
    </row>
    <row r="2397" spans="1:16" x14ac:dyDescent="0.25">
      <c r="A2397" s="21">
        <v>3000005281</v>
      </c>
      <c r="B2397" s="22">
        <v>46253</v>
      </c>
      <c r="C2397" s="20">
        <v>3910060.28</v>
      </c>
      <c r="D2397" s="21" t="s">
        <v>784</v>
      </c>
      <c r="E2397" s="21">
        <v>91003503</v>
      </c>
      <c r="F2397" s="20">
        <v>3910060.28</v>
      </c>
      <c r="G2397" s="22">
        <v>46260</v>
      </c>
      <c r="H2397" t="s">
        <v>79</v>
      </c>
      <c r="I2397" s="51" t="str">
        <f>IFERROR(IF(VLOOKUP(E2397,extracto!C:C,1,FALSE)=E2397,"pagado","no pagado"),"no pagado")</f>
        <v>no pagado</v>
      </c>
      <c r="J2397" s="52" t="str">
        <f t="shared" ca="1" si="882"/>
        <v>en periodo de pago</v>
      </c>
      <c r="K2397" s="51" t="str">
        <f t="shared" ca="1" si="883"/>
        <v>a pagar</v>
      </c>
      <c r="L2397" s="51" t="str">
        <f t="shared" ca="1" si="884"/>
        <v>no semana</v>
      </c>
      <c r="M2397" s="51" t="str">
        <f>IFERROR(VLOOKUP(E2397,'cheques a conf'!A:D,4,FALSE),"no clearing")</f>
        <v>no clearing</v>
      </c>
      <c r="N2397" s="51">
        <f t="shared" si="885"/>
        <v>35</v>
      </c>
      <c r="O2397" s="53">
        <f t="shared" si="886"/>
        <v>8</v>
      </c>
      <c r="P2397" s="53">
        <f t="shared" si="887"/>
        <v>2026</v>
      </c>
    </row>
    <row r="2398" spans="1:16" x14ac:dyDescent="0.25">
      <c r="A2398" s="21">
        <v>3000005282</v>
      </c>
      <c r="B2398" s="22">
        <v>46253</v>
      </c>
      <c r="C2398" s="20">
        <v>3124350</v>
      </c>
      <c r="D2398" s="21" t="s">
        <v>619</v>
      </c>
      <c r="E2398" s="21">
        <v>91003504</v>
      </c>
      <c r="F2398" s="20">
        <v>3124350</v>
      </c>
      <c r="G2398" s="22">
        <v>46260</v>
      </c>
      <c r="H2398" t="s">
        <v>79</v>
      </c>
      <c r="I2398" s="51" t="str">
        <f>IFERROR(IF(VLOOKUP(E2398,extracto!C:C,1,FALSE)=E2398,"pagado","no pagado"),"no pagado")</f>
        <v>pagado</v>
      </c>
      <c r="J2398" s="52" t="str">
        <f t="shared" si="882"/>
        <v>pagado</v>
      </c>
      <c r="K2398" s="51" t="str">
        <f t="shared" ca="1" si="883"/>
        <v>excluir</v>
      </c>
      <c r="L2398" s="51" t="str">
        <f t="shared" ca="1" si="884"/>
        <v>no semana</v>
      </c>
      <c r="M2398" s="51" t="str">
        <f>IFERROR(VLOOKUP(E2398,'cheques a conf'!A:D,4,FALSE),"no clearing")</f>
        <v>no clearing</v>
      </c>
      <c r="N2398" s="51">
        <f t="shared" si="885"/>
        <v>35</v>
      </c>
      <c r="O2398" s="53">
        <f t="shared" si="886"/>
        <v>8</v>
      </c>
      <c r="P2398" s="53">
        <f t="shared" si="887"/>
        <v>2026</v>
      </c>
    </row>
    <row r="2399" spans="1:16" x14ac:dyDescent="0.25">
      <c r="A2399" s="21">
        <v>3000005283</v>
      </c>
      <c r="B2399" s="22">
        <v>46253</v>
      </c>
      <c r="C2399" s="20">
        <v>4072503.18</v>
      </c>
      <c r="D2399" s="21" t="s">
        <v>1808</v>
      </c>
      <c r="E2399" s="21">
        <v>91003505</v>
      </c>
      <c r="F2399" s="20">
        <v>4072503.18</v>
      </c>
      <c r="G2399" s="22">
        <v>46260</v>
      </c>
      <c r="H2399" t="s">
        <v>79</v>
      </c>
      <c r="I2399" s="51" t="str">
        <f>IFERROR(IF(VLOOKUP(E2399,extracto!C:C,1,FALSE)=E2399,"pagado","no pagado"),"no pagado")</f>
        <v>pagado</v>
      </c>
      <c r="J2399" s="52" t="str">
        <f t="shared" si="882"/>
        <v>pagado</v>
      </c>
      <c r="K2399" s="51" t="str">
        <f t="shared" ca="1" si="883"/>
        <v>excluir</v>
      </c>
      <c r="L2399" s="51" t="str">
        <f t="shared" ca="1" si="884"/>
        <v>no semana</v>
      </c>
      <c r="M2399" s="51" t="str">
        <f>IFERROR(VLOOKUP(E2399,'cheques a conf'!A:D,4,FALSE),"no clearing")</f>
        <v>no clearing</v>
      </c>
      <c r="N2399" s="51">
        <f t="shared" si="885"/>
        <v>35</v>
      </c>
      <c r="O2399" s="53">
        <f t="shared" si="886"/>
        <v>8</v>
      </c>
      <c r="P2399" s="53">
        <f t="shared" si="887"/>
        <v>2026</v>
      </c>
    </row>
    <row r="2400" spans="1:16" x14ac:dyDescent="0.25">
      <c r="A2400" s="21">
        <v>3000005284</v>
      </c>
      <c r="B2400" s="22">
        <v>46253</v>
      </c>
      <c r="C2400" s="20">
        <v>2943381.06</v>
      </c>
      <c r="D2400" s="21" t="s">
        <v>777</v>
      </c>
      <c r="E2400" s="21">
        <v>91003506</v>
      </c>
      <c r="F2400" s="20">
        <v>2943381.06</v>
      </c>
      <c r="G2400" s="22">
        <v>46260</v>
      </c>
      <c r="H2400" t="s">
        <v>79</v>
      </c>
      <c r="I2400" s="51" t="str">
        <f>IFERROR(IF(VLOOKUP(E2400,extracto!C:C,1,FALSE)=E2400,"pagado","no pagado"),"no pagado")</f>
        <v>pagado</v>
      </c>
      <c r="J2400" s="52" t="str">
        <f t="shared" si="882"/>
        <v>pagado</v>
      </c>
      <c r="K2400" s="51" t="str">
        <f t="shared" ca="1" si="883"/>
        <v>excluir</v>
      </c>
      <c r="L2400" s="51" t="str">
        <f t="shared" ca="1" si="884"/>
        <v>no semana</v>
      </c>
      <c r="M2400" s="51" t="str">
        <f>IFERROR(VLOOKUP(E2400,'cheques a conf'!A:D,4,FALSE),"no clearing")</f>
        <v>no clearing</v>
      </c>
      <c r="N2400" s="51">
        <f t="shared" si="885"/>
        <v>35</v>
      </c>
      <c r="O2400" s="53">
        <f t="shared" si="886"/>
        <v>8</v>
      </c>
      <c r="P2400" s="53">
        <f t="shared" si="887"/>
        <v>2026</v>
      </c>
    </row>
    <row r="2401" spans="1:16" x14ac:dyDescent="0.25">
      <c r="A2401" s="21">
        <v>3000005285</v>
      </c>
      <c r="B2401" s="22">
        <v>46253</v>
      </c>
      <c r="C2401" s="20">
        <v>4464734.33</v>
      </c>
      <c r="D2401" s="21" t="s">
        <v>1733</v>
      </c>
      <c r="E2401" s="21">
        <v>91003507</v>
      </c>
      <c r="F2401" s="20">
        <v>4464734.33</v>
      </c>
      <c r="G2401" s="22">
        <v>46260</v>
      </c>
      <c r="H2401" t="s">
        <v>79</v>
      </c>
      <c r="I2401" s="51" t="str">
        <f>IFERROR(IF(VLOOKUP(E2401,extracto!C:C,1,FALSE)=E2401,"pagado","no pagado"),"no pagado")</f>
        <v>no pagado</v>
      </c>
      <c r="J2401" s="52" t="str">
        <f t="shared" ca="1" si="882"/>
        <v>en periodo de pago</v>
      </c>
      <c r="K2401" s="51" t="str">
        <f t="shared" ca="1" si="883"/>
        <v>a pagar</v>
      </c>
      <c r="L2401" s="51" t="str">
        <f t="shared" ca="1" si="884"/>
        <v>no semana</v>
      </c>
      <c r="M2401" s="51" t="str">
        <f>IFERROR(VLOOKUP(E2401,'cheques a conf'!A:D,4,FALSE),"no clearing")</f>
        <v>no clearing</v>
      </c>
      <c r="N2401" s="51">
        <f t="shared" si="885"/>
        <v>35</v>
      </c>
      <c r="O2401" s="53">
        <f t="shared" si="886"/>
        <v>8</v>
      </c>
      <c r="P2401" s="53">
        <f t="shared" si="887"/>
        <v>2026</v>
      </c>
    </row>
    <row r="2402" spans="1:16" x14ac:dyDescent="0.25">
      <c r="A2402" s="21">
        <v>3000005286</v>
      </c>
      <c r="B2402" s="22">
        <v>46253</v>
      </c>
      <c r="C2402" s="20">
        <v>9247413.9900000002</v>
      </c>
      <c r="D2402" s="21" t="s">
        <v>1730</v>
      </c>
      <c r="E2402" s="21">
        <v>91003508</v>
      </c>
      <c r="F2402" s="20">
        <v>9247413.9900000002</v>
      </c>
      <c r="G2402" s="22">
        <v>46260</v>
      </c>
      <c r="H2402" t="s">
        <v>79</v>
      </c>
      <c r="I2402" s="51" t="str">
        <f>IFERROR(IF(VLOOKUP(E2402,extracto!C:C,1,FALSE)=E2402,"pagado","no pagado"),"no pagado")</f>
        <v>pagado</v>
      </c>
      <c r="J2402" s="52" t="str">
        <f t="shared" si="882"/>
        <v>pagado</v>
      </c>
      <c r="K2402" s="51" t="str">
        <f t="shared" ca="1" si="883"/>
        <v>excluir</v>
      </c>
      <c r="L2402" s="51" t="str">
        <f t="shared" ca="1" si="884"/>
        <v>no semana</v>
      </c>
      <c r="M2402" s="51" t="str">
        <f>IFERROR(VLOOKUP(E2402,'cheques a conf'!A:D,4,FALSE),"no clearing")</f>
        <v>no clearing</v>
      </c>
      <c r="N2402" s="51">
        <f t="shared" si="885"/>
        <v>35</v>
      </c>
      <c r="O2402" s="53">
        <f t="shared" si="886"/>
        <v>8</v>
      </c>
      <c r="P2402" s="53">
        <f t="shared" si="887"/>
        <v>2026</v>
      </c>
    </row>
    <row r="2403" spans="1:16" x14ac:dyDescent="0.25">
      <c r="A2403" s="21">
        <v>3000005287</v>
      </c>
      <c r="B2403" s="22">
        <v>46253</v>
      </c>
      <c r="C2403" s="20">
        <v>11870543.4</v>
      </c>
      <c r="D2403" s="21" t="s">
        <v>1784</v>
      </c>
      <c r="E2403" s="21">
        <v>91003509</v>
      </c>
      <c r="F2403" s="20">
        <v>11870543.4</v>
      </c>
      <c r="G2403" s="22">
        <v>46260</v>
      </c>
      <c r="H2403" t="s">
        <v>79</v>
      </c>
      <c r="I2403" s="51" t="str">
        <f>IFERROR(IF(VLOOKUP(E2403,extracto!C:C,1,FALSE)=E2403,"pagado","no pagado"),"no pagado")</f>
        <v>pagado</v>
      </c>
      <c r="J2403" s="52" t="str">
        <f t="shared" si="882"/>
        <v>pagado</v>
      </c>
      <c r="K2403" s="51" t="str">
        <f t="shared" ca="1" si="883"/>
        <v>excluir</v>
      </c>
      <c r="L2403" s="51" t="str">
        <f t="shared" ca="1" si="884"/>
        <v>no semana</v>
      </c>
      <c r="M2403" s="51" t="str">
        <f>IFERROR(VLOOKUP(E2403,'cheques a conf'!A:D,4,FALSE),"no clearing")</f>
        <v>no clearing</v>
      </c>
      <c r="N2403" s="51">
        <f t="shared" si="885"/>
        <v>35</v>
      </c>
      <c r="O2403" s="53">
        <f t="shared" si="886"/>
        <v>8</v>
      </c>
      <c r="P2403" s="53">
        <f t="shared" si="887"/>
        <v>2026</v>
      </c>
    </row>
    <row r="2404" spans="1:16" x14ac:dyDescent="0.25">
      <c r="A2404" s="21">
        <v>3000005288</v>
      </c>
      <c r="B2404" s="22">
        <v>46253</v>
      </c>
      <c r="C2404" s="20">
        <v>29872126.079999998</v>
      </c>
      <c r="D2404" s="21" t="s">
        <v>1738</v>
      </c>
      <c r="E2404" s="21">
        <v>91003510</v>
      </c>
      <c r="F2404" s="20">
        <v>29872126.079999998</v>
      </c>
      <c r="G2404" s="22">
        <v>46260</v>
      </c>
      <c r="H2404" t="s">
        <v>79</v>
      </c>
      <c r="I2404" s="51" t="str">
        <f>IFERROR(IF(VLOOKUP(E2404,extracto!C:C,1,FALSE)=E2404,"pagado","no pagado"),"no pagado")</f>
        <v>pagado</v>
      </c>
      <c r="J2404" s="52" t="str">
        <f t="shared" si="882"/>
        <v>pagado</v>
      </c>
      <c r="K2404" s="51" t="str">
        <f t="shared" ca="1" si="883"/>
        <v>excluir</v>
      </c>
      <c r="L2404" s="51" t="str">
        <f t="shared" ca="1" si="884"/>
        <v>no semana</v>
      </c>
      <c r="M2404" s="51" t="str">
        <f>IFERROR(VLOOKUP(E2404,'cheques a conf'!A:D,4,FALSE),"no clearing")</f>
        <v>no clearing</v>
      </c>
      <c r="N2404" s="51">
        <f t="shared" si="885"/>
        <v>35</v>
      </c>
      <c r="O2404" s="53">
        <f t="shared" si="886"/>
        <v>8</v>
      </c>
      <c r="P2404" s="53">
        <f t="shared" si="887"/>
        <v>2026</v>
      </c>
    </row>
    <row r="2405" spans="1:16" x14ac:dyDescent="0.25">
      <c r="A2405" s="21">
        <v>3000005289</v>
      </c>
      <c r="B2405" s="22">
        <v>46253</v>
      </c>
      <c r="C2405" s="20">
        <v>2825723.4</v>
      </c>
      <c r="D2405" s="21" t="s">
        <v>39</v>
      </c>
      <c r="E2405" s="21">
        <v>91003511</v>
      </c>
      <c r="F2405" s="20">
        <v>2825723.4</v>
      </c>
      <c r="G2405" s="22">
        <v>46260</v>
      </c>
      <c r="H2405" t="s">
        <v>79</v>
      </c>
      <c r="I2405" s="51" t="str">
        <f>IFERROR(IF(VLOOKUP(E2405,extracto!C:C,1,FALSE)=E2405,"pagado","no pagado"),"no pagado")</f>
        <v>pagado</v>
      </c>
      <c r="J2405" s="52" t="str">
        <f t="shared" si="882"/>
        <v>pagado</v>
      </c>
      <c r="K2405" s="51" t="str">
        <f t="shared" ca="1" si="883"/>
        <v>excluir</v>
      </c>
      <c r="L2405" s="51" t="str">
        <f t="shared" ca="1" si="884"/>
        <v>no semana</v>
      </c>
      <c r="M2405" s="51" t="str">
        <f>IFERROR(VLOOKUP(E2405,'cheques a conf'!A:D,4,FALSE),"no clearing")</f>
        <v>no clearing</v>
      </c>
      <c r="N2405" s="51">
        <f t="shared" si="885"/>
        <v>35</v>
      </c>
      <c r="O2405" s="53">
        <f t="shared" si="886"/>
        <v>8</v>
      </c>
      <c r="P2405" s="53">
        <f t="shared" si="887"/>
        <v>2026</v>
      </c>
    </row>
    <row r="2406" spans="1:16" x14ac:dyDescent="0.25">
      <c r="A2406" s="21">
        <v>3000005290</v>
      </c>
      <c r="B2406" s="22">
        <v>46253</v>
      </c>
      <c r="C2406" s="20">
        <v>2165486</v>
      </c>
      <c r="D2406" s="21" t="s">
        <v>1809</v>
      </c>
      <c r="E2406" s="21">
        <v>91003512</v>
      </c>
      <c r="F2406" s="20">
        <v>2165486</v>
      </c>
      <c r="G2406" s="22">
        <v>46260</v>
      </c>
      <c r="H2406" t="s">
        <v>79</v>
      </c>
      <c r="I2406" s="51" t="str">
        <f>IFERROR(IF(VLOOKUP(E2406,extracto!C:C,1,FALSE)=E2406,"pagado","no pagado"),"no pagado")</f>
        <v>no pagado</v>
      </c>
      <c r="J2406" s="52" t="str">
        <f t="shared" ca="1" si="882"/>
        <v>en periodo de pago</v>
      </c>
      <c r="K2406" s="51" t="str">
        <f t="shared" ca="1" si="883"/>
        <v>a pagar</v>
      </c>
      <c r="L2406" s="51" t="str">
        <f t="shared" ca="1" si="884"/>
        <v>no semana</v>
      </c>
      <c r="M2406" s="51" t="str">
        <f>IFERROR(VLOOKUP(E2406,'cheques a conf'!A:D,4,FALSE),"no clearing")</f>
        <v>no clearing</v>
      </c>
      <c r="N2406" s="51">
        <f t="shared" si="885"/>
        <v>35</v>
      </c>
      <c r="O2406" s="53">
        <f t="shared" si="886"/>
        <v>8</v>
      </c>
      <c r="P2406" s="53">
        <f t="shared" si="887"/>
        <v>2026</v>
      </c>
    </row>
    <row r="2407" spans="1:16" x14ac:dyDescent="0.25">
      <c r="A2407" s="21">
        <v>3000005291</v>
      </c>
      <c r="B2407" s="22">
        <v>46253</v>
      </c>
      <c r="C2407" s="20">
        <v>4384701.4000000004</v>
      </c>
      <c r="D2407" s="21" t="s">
        <v>647</v>
      </c>
      <c r="E2407" s="21">
        <v>91003513</v>
      </c>
      <c r="F2407" s="20">
        <v>4384701.4000000004</v>
      </c>
      <c r="G2407" s="22">
        <v>46260</v>
      </c>
      <c r="H2407" t="s">
        <v>79</v>
      </c>
      <c r="I2407" s="51" t="str">
        <f>IFERROR(IF(VLOOKUP(E2407,extracto!C:C,1,FALSE)=E2407,"pagado","no pagado"),"no pagado")</f>
        <v>pagado</v>
      </c>
      <c r="J2407" s="52" t="str">
        <f t="shared" si="882"/>
        <v>pagado</v>
      </c>
      <c r="K2407" s="51" t="str">
        <f t="shared" ca="1" si="883"/>
        <v>excluir</v>
      </c>
      <c r="L2407" s="51" t="str">
        <f t="shared" ca="1" si="884"/>
        <v>no semana</v>
      </c>
      <c r="M2407" s="51" t="str">
        <f>IFERROR(VLOOKUP(E2407,'cheques a conf'!A:D,4,FALSE),"no clearing")</f>
        <v>no clearing</v>
      </c>
      <c r="N2407" s="51">
        <f t="shared" si="885"/>
        <v>35</v>
      </c>
      <c r="O2407" s="53">
        <f t="shared" si="886"/>
        <v>8</v>
      </c>
      <c r="P2407" s="53">
        <f t="shared" si="887"/>
        <v>2026</v>
      </c>
    </row>
    <row r="2408" spans="1:16" x14ac:dyDescent="0.25">
      <c r="A2408" s="21">
        <v>3000005292</v>
      </c>
      <c r="B2408" s="22">
        <v>46253</v>
      </c>
      <c r="C2408" s="20">
        <v>4286064.24</v>
      </c>
      <c r="D2408" s="21" t="s">
        <v>74</v>
      </c>
      <c r="E2408" s="21">
        <v>91003514</v>
      </c>
      <c r="F2408" s="20">
        <v>4286064.24</v>
      </c>
      <c r="G2408" s="22">
        <v>46260</v>
      </c>
      <c r="H2408" t="s">
        <v>79</v>
      </c>
      <c r="I2408" s="51" t="str">
        <f>IFERROR(IF(VLOOKUP(E2408,extracto!C:C,1,FALSE)=E2408,"pagado","no pagado"),"no pagado")</f>
        <v>pagado</v>
      </c>
      <c r="J2408" s="52" t="str">
        <f t="shared" si="882"/>
        <v>pagado</v>
      </c>
      <c r="K2408" s="51" t="str">
        <f t="shared" ca="1" si="883"/>
        <v>excluir</v>
      </c>
      <c r="L2408" s="51" t="str">
        <f t="shared" ca="1" si="884"/>
        <v>no semana</v>
      </c>
      <c r="M2408" s="51" t="str">
        <f>IFERROR(VLOOKUP(E2408,'cheques a conf'!A:D,4,FALSE),"no clearing")</f>
        <v>no clearing</v>
      </c>
      <c r="N2408" s="51">
        <f t="shared" si="885"/>
        <v>35</v>
      </c>
      <c r="O2408" s="53">
        <f t="shared" si="886"/>
        <v>8</v>
      </c>
      <c r="P2408" s="53">
        <f t="shared" si="887"/>
        <v>2026</v>
      </c>
    </row>
    <row r="2409" spans="1:16" x14ac:dyDescent="0.25">
      <c r="A2409" s="21">
        <v>3000005293</v>
      </c>
      <c r="B2409" s="22">
        <v>46253</v>
      </c>
      <c r="C2409" s="20">
        <v>3708400</v>
      </c>
      <c r="D2409" s="21" t="s">
        <v>1810</v>
      </c>
      <c r="E2409" s="21">
        <v>91003515</v>
      </c>
      <c r="F2409" s="20">
        <v>3708400</v>
      </c>
      <c r="G2409" s="22">
        <v>46260</v>
      </c>
      <c r="H2409" t="s">
        <v>79</v>
      </c>
      <c r="I2409" s="51" t="str">
        <f>IFERROR(IF(VLOOKUP(E2409,extracto!C:C,1,FALSE)=E2409,"pagado","no pagado"),"no pagado")</f>
        <v>pagado</v>
      </c>
      <c r="J2409" s="52" t="str">
        <f t="shared" si="882"/>
        <v>pagado</v>
      </c>
      <c r="K2409" s="51" t="str">
        <f t="shared" ca="1" si="883"/>
        <v>excluir</v>
      </c>
      <c r="L2409" s="51" t="str">
        <f t="shared" ca="1" si="884"/>
        <v>no semana</v>
      </c>
      <c r="M2409" s="51" t="str">
        <f>IFERROR(VLOOKUP(E2409,'cheques a conf'!A:D,4,FALSE),"no clearing")</f>
        <v>no clearing</v>
      </c>
      <c r="N2409" s="51">
        <f t="shared" si="885"/>
        <v>35</v>
      </c>
      <c r="O2409" s="53">
        <f t="shared" si="886"/>
        <v>8</v>
      </c>
      <c r="P2409" s="53">
        <f t="shared" si="887"/>
        <v>2026</v>
      </c>
    </row>
    <row r="2410" spans="1:16" x14ac:dyDescent="0.25">
      <c r="A2410" s="21">
        <v>3000005326</v>
      </c>
      <c r="B2410" s="22">
        <v>46254</v>
      </c>
      <c r="C2410" s="20">
        <v>38997160</v>
      </c>
      <c r="D2410" s="21" t="s">
        <v>25</v>
      </c>
      <c r="E2410" s="21">
        <v>95780905</v>
      </c>
      <c r="F2410" s="20">
        <v>38997160</v>
      </c>
      <c r="G2410" s="22">
        <v>46254</v>
      </c>
      <c r="H2410" t="s">
        <v>79</v>
      </c>
      <c r="I2410" s="51" t="str">
        <f>IFERROR(IF(VLOOKUP(E2410,extracto!C:C,1,FALSE)=E2410,"pagado","no pagado"),"no pagado")</f>
        <v>pagado</v>
      </c>
      <c r="J2410" s="52" t="str">
        <f t="shared" si="882"/>
        <v>pagado</v>
      </c>
      <c r="K2410" s="51" t="str">
        <f t="shared" ca="1" si="883"/>
        <v>excluir</v>
      </c>
      <c r="L2410" s="51" t="str">
        <f t="shared" ca="1" si="884"/>
        <v>no semana</v>
      </c>
      <c r="M2410" s="51" t="str">
        <f>IFERROR(VLOOKUP(E2410,'cheques a conf'!A:D,4,FALSE),"no clearing")</f>
        <v>no clearing</v>
      </c>
      <c r="N2410" s="51">
        <f t="shared" si="885"/>
        <v>34</v>
      </c>
      <c r="O2410" s="53">
        <f t="shared" si="886"/>
        <v>8</v>
      </c>
      <c r="P2410" s="53">
        <f t="shared" si="887"/>
        <v>2026</v>
      </c>
    </row>
    <row r="2411" spans="1:16" x14ac:dyDescent="0.25">
      <c r="A2411" s="21">
        <v>3000005386</v>
      </c>
      <c r="B2411" s="22">
        <v>46258</v>
      </c>
      <c r="C2411" s="20">
        <v>8397402.3100000005</v>
      </c>
      <c r="D2411" s="21" t="s">
        <v>659</v>
      </c>
      <c r="E2411" s="21">
        <v>66622027</v>
      </c>
      <c r="F2411" s="20">
        <v>8397402.3100000005</v>
      </c>
      <c r="G2411" s="22">
        <v>46260</v>
      </c>
      <c r="H2411" t="s">
        <v>79</v>
      </c>
      <c r="I2411" s="51" t="str">
        <f>IFERROR(IF(VLOOKUP(E2411,extracto!C:C,1,FALSE)=E2411,"pagado","no pagado"),"no pagado")</f>
        <v>no pagado</v>
      </c>
      <c r="J2411" s="52" t="str">
        <f t="shared" ca="1" si="882"/>
        <v>en periodo de pago</v>
      </c>
      <c r="K2411" s="51" t="str">
        <f t="shared" ca="1" si="883"/>
        <v>a pagar</v>
      </c>
      <c r="L2411" s="51" t="str">
        <f t="shared" ca="1" si="884"/>
        <v>no semana</v>
      </c>
      <c r="M2411" s="51" t="str">
        <f>IFERROR(VLOOKUP(E2411,'cheques a conf'!A:D,4,FALSE),"no clearing")</f>
        <v>no clearing</v>
      </c>
      <c r="N2411" s="51">
        <f t="shared" si="885"/>
        <v>35</v>
      </c>
      <c r="O2411" s="53">
        <f t="shared" si="886"/>
        <v>8</v>
      </c>
      <c r="P2411" s="53">
        <f t="shared" si="887"/>
        <v>2026</v>
      </c>
    </row>
    <row r="2412" spans="1:16" x14ac:dyDescent="0.25">
      <c r="A2412" s="21">
        <v>3000005387</v>
      </c>
      <c r="B2412" s="22">
        <v>46258</v>
      </c>
      <c r="C2412" s="20">
        <v>458463870</v>
      </c>
      <c r="D2412" s="21" t="s">
        <v>25</v>
      </c>
      <c r="E2412" s="21">
        <v>95780906</v>
      </c>
      <c r="F2412" s="20">
        <v>458463870</v>
      </c>
      <c r="G2412" s="22">
        <v>46258</v>
      </c>
      <c r="H2412" t="s">
        <v>79</v>
      </c>
      <c r="I2412" s="51" t="str">
        <f>IFERROR(IF(VLOOKUP(E2412,extracto!C:C,1,FALSE)=E2412,"pagado","no pagado"),"no pagado")</f>
        <v>pagado</v>
      </c>
      <c r="J2412" s="52" t="str">
        <f t="shared" si="882"/>
        <v>pagado</v>
      </c>
      <c r="K2412" s="51" t="str">
        <f t="shared" ca="1" si="883"/>
        <v>excluir</v>
      </c>
      <c r="L2412" s="51" t="str">
        <f t="shared" ca="1" si="884"/>
        <v>no semana</v>
      </c>
      <c r="M2412" s="51" t="str">
        <f>IFERROR(VLOOKUP(E2412,'cheques a conf'!A:D,4,FALSE),"no clearing")</f>
        <v>no clearing</v>
      </c>
      <c r="N2412" s="51">
        <f t="shared" si="885"/>
        <v>35</v>
      </c>
      <c r="O2412" s="53">
        <f t="shared" si="886"/>
        <v>8</v>
      </c>
      <c r="P2412" s="53">
        <f t="shared" si="887"/>
        <v>2026</v>
      </c>
    </row>
    <row r="2413" spans="1:16" x14ac:dyDescent="0.25">
      <c r="A2413" s="21">
        <v>3000005388</v>
      </c>
      <c r="B2413" s="22">
        <v>46258</v>
      </c>
      <c r="C2413" s="20">
        <v>8385787.0700000003</v>
      </c>
      <c r="D2413" s="21" t="s">
        <v>1815</v>
      </c>
      <c r="E2413" s="21">
        <v>91003516</v>
      </c>
      <c r="F2413" s="20">
        <v>8385787.0700000003</v>
      </c>
      <c r="G2413" s="22">
        <v>46262</v>
      </c>
      <c r="H2413" t="s">
        <v>79</v>
      </c>
      <c r="I2413" s="51" t="str">
        <f>IFERROR(IF(VLOOKUP(E2413,extracto!C:C,1,FALSE)=E2413,"pagado","no pagado"),"no pagado")</f>
        <v>pagado</v>
      </c>
      <c r="J2413" s="52" t="str">
        <f t="shared" si="882"/>
        <v>pagado</v>
      </c>
      <c r="K2413" s="51" t="str">
        <f t="shared" ca="1" si="883"/>
        <v>excluir</v>
      </c>
      <c r="L2413" s="51" t="str">
        <f t="shared" ca="1" si="884"/>
        <v>no semana</v>
      </c>
      <c r="M2413" s="51" t="str">
        <f>IFERROR(VLOOKUP(E2413,'cheques a conf'!A:D,4,FALSE),"no clearing")</f>
        <v>no clearing</v>
      </c>
      <c r="N2413" s="51">
        <f t="shared" si="885"/>
        <v>35</v>
      </c>
      <c r="O2413" s="53">
        <f t="shared" si="886"/>
        <v>8</v>
      </c>
      <c r="P2413" s="53">
        <f t="shared" si="887"/>
        <v>2026</v>
      </c>
    </row>
    <row r="2414" spans="1:16" x14ac:dyDescent="0.25">
      <c r="A2414" s="21">
        <v>3000005389</v>
      </c>
      <c r="B2414" s="22">
        <v>46258</v>
      </c>
      <c r="C2414" s="20">
        <v>6303157</v>
      </c>
      <c r="D2414" s="21" t="s">
        <v>851</v>
      </c>
      <c r="E2414" s="21">
        <v>91003517</v>
      </c>
      <c r="F2414" s="20">
        <v>6303157</v>
      </c>
      <c r="G2414" s="22">
        <v>46262</v>
      </c>
      <c r="H2414" t="s">
        <v>79</v>
      </c>
      <c r="I2414" s="51" t="str">
        <f>IFERROR(IF(VLOOKUP(E2414,extracto!C:C,1,FALSE)=E2414,"pagado","no pagado"),"no pagado")</f>
        <v>pagado</v>
      </c>
      <c r="J2414" s="52" t="str">
        <f t="shared" si="882"/>
        <v>pagado</v>
      </c>
      <c r="K2414" s="51" t="str">
        <f t="shared" ca="1" si="883"/>
        <v>excluir</v>
      </c>
      <c r="L2414" s="51" t="str">
        <f t="shared" ca="1" si="884"/>
        <v>no semana</v>
      </c>
      <c r="M2414" s="51" t="str">
        <f>IFERROR(VLOOKUP(E2414,'cheques a conf'!A:D,4,FALSE),"no clearing")</f>
        <v>no clearing</v>
      </c>
      <c r="N2414" s="51">
        <f t="shared" si="885"/>
        <v>35</v>
      </c>
      <c r="O2414" s="53">
        <f t="shared" si="886"/>
        <v>8</v>
      </c>
      <c r="P2414" s="53">
        <f t="shared" si="887"/>
        <v>2026</v>
      </c>
    </row>
    <row r="2415" spans="1:16" x14ac:dyDescent="0.25">
      <c r="A2415" s="21">
        <v>3000005390</v>
      </c>
      <c r="B2415" s="22">
        <v>46258</v>
      </c>
      <c r="C2415" s="20">
        <v>22340293.399999999</v>
      </c>
      <c r="D2415" s="21" t="s">
        <v>714</v>
      </c>
      <c r="E2415" s="21">
        <v>91003518</v>
      </c>
      <c r="F2415" s="20">
        <v>22340293.399999999</v>
      </c>
      <c r="G2415" s="22">
        <v>46262</v>
      </c>
      <c r="H2415" t="s">
        <v>79</v>
      </c>
      <c r="I2415" s="51" t="str">
        <f>IFERROR(IF(VLOOKUP(E2415,extracto!C:C,1,FALSE)=E2415,"pagado","no pagado"),"no pagado")</f>
        <v>pagado</v>
      </c>
      <c r="J2415" s="52" t="str">
        <f t="shared" si="882"/>
        <v>pagado</v>
      </c>
      <c r="K2415" s="51" t="str">
        <f t="shared" ca="1" si="883"/>
        <v>excluir</v>
      </c>
      <c r="L2415" s="51" t="str">
        <f t="shared" ca="1" si="884"/>
        <v>no semana</v>
      </c>
      <c r="M2415" s="51" t="str">
        <f>IFERROR(VLOOKUP(E2415,'cheques a conf'!A:D,4,FALSE),"no clearing")</f>
        <v>no clearing</v>
      </c>
      <c r="N2415" s="51">
        <f t="shared" si="885"/>
        <v>35</v>
      </c>
      <c r="O2415" s="53">
        <f t="shared" si="886"/>
        <v>8</v>
      </c>
      <c r="P2415" s="53">
        <f t="shared" si="887"/>
        <v>2026</v>
      </c>
    </row>
    <row r="2416" spans="1:16" x14ac:dyDescent="0.25">
      <c r="A2416" s="21">
        <v>3000005391</v>
      </c>
      <c r="B2416" s="22">
        <v>46258</v>
      </c>
      <c r="C2416" s="20">
        <v>7688930.2699999996</v>
      </c>
      <c r="D2416" s="21" t="s">
        <v>163</v>
      </c>
      <c r="E2416" s="21">
        <v>91003519</v>
      </c>
      <c r="F2416" s="20">
        <v>7688930.2699999996</v>
      </c>
      <c r="G2416" s="22">
        <v>46262</v>
      </c>
      <c r="H2416" t="s">
        <v>79</v>
      </c>
      <c r="I2416" s="51" t="str">
        <f>IFERROR(IF(VLOOKUP(E2416,extracto!C:C,1,FALSE)=E2416,"pagado","no pagado"),"no pagado")</f>
        <v>pagado</v>
      </c>
      <c r="J2416" s="52" t="str">
        <f t="shared" si="882"/>
        <v>pagado</v>
      </c>
      <c r="K2416" s="51" t="str">
        <f t="shared" ca="1" si="883"/>
        <v>excluir</v>
      </c>
      <c r="L2416" s="51" t="str">
        <f t="shared" ca="1" si="884"/>
        <v>no semana</v>
      </c>
      <c r="M2416" s="51" t="str">
        <f>IFERROR(VLOOKUP(E2416,'cheques a conf'!A:D,4,FALSE),"no clearing")</f>
        <v>no clearing</v>
      </c>
      <c r="N2416" s="51">
        <f t="shared" si="885"/>
        <v>35</v>
      </c>
      <c r="O2416" s="53">
        <f t="shared" si="886"/>
        <v>8</v>
      </c>
      <c r="P2416" s="53">
        <f t="shared" si="887"/>
        <v>2026</v>
      </c>
    </row>
    <row r="2417" spans="1:16" x14ac:dyDescent="0.25">
      <c r="A2417" s="21">
        <v>3000005392</v>
      </c>
      <c r="B2417" s="22">
        <v>46258</v>
      </c>
      <c r="C2417" s="20">
        <v>8510227.1899999995</v>
      </c>
      <c r="D2417" s="21" t="s">
        <v>626</v>
      </c>
      <c r="E2417" s="21">
        <v>91003520</v>
      </c>
      <c r="F2417" s="20">
        <v>8510227.1899999995</v>
      </c>
      <c r="G2417" s="22">
        <v>46262</v>
      </c>
      <c r="H2417" t="s">
        <v>79</v>
      </c>
      <c r="I2417" s="51" t="str">
        <f>IFERROR(IF(VLOOKUP(E2417,extracto!C:C,1,FALSE)=E2417,"pagado","no pagado"),"no pagado")</f>
        <v>pagado</v>
      </c>
      <c r="J2417" s="52" t="str">
        <f t="shared" si="882"/>
        <v>pagado</v>
      </c>
      <c r="K2417" s="51" t="str">
        <f t="shared" ca="1" si="883"/>
        <v>excluir</v>
      </c>
      <c r="L2417" s="51" t="str">
        <f t="shared" ca="1" si="884"/>
        <v>no semana</v>
      </c>
      <c r="M2417" s="51" t="str">
        <f>IFERROR(VLOOKUP(E2417,'cheques a conf'!A:D,4,FALSE),"no clearing")</f>
        <v>no clearing</v>
      </c>
      <c r="N2417" s="51">
        <f t="shared" si="885"/>
        <v>35</v>
      </c>
      <c r="O2417" s="53">
        <f t="shared" si="886"/>
        <v>8</v>
      </c>
      <c r="P2417" s="53">
        <f t="shared" si="887"/>
        <v>2026</v>
      </c>
    </row>
    <row r="2418" spans="1:16" x14ac:dyDescent="0.25">
      <c r="A2418" s="21">
        <v>3000005393</v>
      </c>
      <c r="B2418" s="22">
        <v>46258</v>
      </c>
      <c r="C2418" s="20">
        <v>6029748.1699999999</v>
      </c>
      <c r="D2418" s="21" t="s">
        <v>669</v>
      </c>
      <c r="E2418" s="21">
        <v>91003521</v>
      </c>
      <c r="F2418" s="20">
        <v>6029748.1699999999</v>
      </c>
      <c r="G2418" s="22">
        <v>46262</v>
      </c>
      <c r="H2418" t="s">
        <v>79</v>
      </c>
      <c r="I2418" s="51" t="str">
        <f>IFERROR(IF(VLOOKUP(E2418,extracto!C:C,1,FALSE)=E2418,"pagado","no pagado"),"no pagado")</f>
        <v>pagado</v>
      </c>
      <c r="J2418" s="52" t="str">
        <f t="shared" si="882"/>
        <v>pagado</v>
      </c>
      <c r="K2418" s="51" t="str">
        <f t="shared" ca="1" si="883"/>
        <v>excluir</v>
      </c>
      <c r="L2418" s="51" t="str">
        <f t="shared" ca="1" si="884"/>
        <v>no semana</v>
      </c>
      <c r="M2418" s="51" t="str">
        <f>IFERROR(VLOOKUP(E2418,'cheques a conf'!A:D,4,FALSE),"no clearing")</f>
        <v>no clearing</v>
      </c>
      <c r="N2418" s="51">
        <f t="shared" si="885"/>
        <v>35</v>
      </c>
      <c r="O2418" s="53">
        <f t="shared" si="886"/>
        <v>8</v>
      </c>
      <c r="P2418" s="53">
        <f t="shared" si="887"/>
        <v>2026</v>
      </c>
    </row>
    <row r="2419" spans="1:16" x14ac:dyDescent="0.25">
      <c r="A2419" s="21">
        <v>3000005394</v>
      </c>
      <c r="B2419" s="22">
        <v>46258</v>
      </c>
      <c r="C2419" s="20">
        <v>18603636.140000001</v>
      </c>
      <c r="D2419" s="21" t="s">
        <v>657</v>
      </c>
      <c r="E2419" s="21">
        <v>91003522</v>
      </c>
      <c r="F2419" s="20">
        <v>18603636.140000001</v>
      </c>
      <c r="G2419" s="22">
        <v>46262</v>
      </c>
      <c r="H2419" t="s">
        <v>79</v>
      </c>
      <c r="I2419" s="51" t="str">
        <f>IFERROR(IF(VLOOKUP(E2419,extracto!C:C,1,FALSE)=E2419,"pagado","no pagado"),"no pagado")</f>
        <v>pagado</v>
      </c>
      <c r="J2419" s="52" t="str">
        <f t="shared" si="882"/>
        <v>pagado</v>
      </c>
      <c r="K2419" s="51" t="str">
        <f t="shared" ca="1" si="883"/>
        <v>excluir</v>
      </c>
      <c r="L2419" s="51" t="str">
        <f t="shared" ca="1" si="884"/>
        <v>no semana</v>
      </c>
      <c r="M2419" s="51" t="str">
        <f>IFERROR(VLOOKUP(E2419,'cheques a conf'!A:D,4,FALSE),"no clearing")</f>
        <v>no clearing</v>
      </c>
      <c r="N2419" s="51">
        <f t="shared" si="885"/>
        <v>35</v>
      </c>
      <c r="O2419" s="53">
        <f t="shared" si="886"/>
        <v>8</v>
      </c>
      <c r="P2419" s="53">
        <f t="shared" si="887"/>
        <v>2026</v>
      </c>
    </row>
    <row r="2420" spans="1:16" x14ac:dyDescent="0.25">
      <c r="A2420" s="21">
        <v>3000005395</v>
      </c>
      <c r="B2420" s="22">
        <v>46258</v>
      </c>
      <c r="C2420" s="20">
        <v>21895924.300000001</v>
      </c>
      <c r="D2420" s="21" t="s">
        <v>31</v>
      </c>
      <c r="E2420" s="21">
        <v>91003523</v>
      </c>
      <c r="F2420" s="20">
        <v>21895924.300000001</v>
      </c>
      <c r="G2420" s="22">
        <v>46262</v>
      </c>
      <c r="H2420" t="s">
        <v>79</v>
      </c>
      <c r="I2420" s="51" t="str">
        <f>IFERROR(IF(VLOOKUP(E2420,extracto!C:C,1,FALSE)=E2420,"pagado","no pagado"),"no pagado")</f>
        <v>pagado</v>
      </c>
      <c r="J2420" s="52" t="str">
        <f t="shared" si="882"/>
        <v>pagado</v>
      </c>
      <c r="K2420" s="51" t="str">
        <f t="shared" ca="1" si="883"/>
        <v>excluir</v>
      </c>
      <c r="L2420" s="51" t="str">
        <f t="shared" ca="1" si="884"/>
        <v>no semana</v>
      </c>
      <c r="M2420" s="51" t="str">
        <f>IFERROR(VLOOKUP(E2420,'cheques a conf'!A:D,4,FALSE),"no clearing")</f>
        <v>no clearing</v>
      </c>
      <c r="N2420" s="51">
        <f t="shared" si="885"/>
        <v>35</v>
      </c>
      <c r="O2420" s="53">
        <f t="shared" si="886"/>
        <v>8</v>
      </c>
      <c r="P2420" s="53">
        <f t="shared" si="887"/>
        <v>2026</v>
      </c>
    </row>
    <row r="2421" spans="1:16" x14ac:dyDescent="0.25">
      <c r="A2421" s="21">
        <v>3000005396</v>
      </c>
      <c r="B2421" s="22">
        <v>46258</v>
      </c>
      <c r="C2421" s="20">
        <v>8088204.1100000003</v>
      </c>
      <c r="D2421" s="21" t="s">
        <v>89</v>
      </c>
      <c r="E2421" s="21">
        <v>91003524</v>
      </c>
      <c r="F2421" s="20">
        <v>8088204.1100000003</v>
      </c>
      <c r="G2421" s="22">
        <v>46262</v>
      </c>
      <c r="H2421" t="s">
        <v>79</v>
      </c>
      <c r="I2421" s="51" t="str">
        <f>IFERROR(IF(VLOOKUP(E2421,extracto!C:C,1,FALSE)=E2421,"pagado","no pagado"),"no pagado")</f>
        <v>pagado</v>
      </c>
      <c r="J2421" s="52" t="str">
        <f t="shared" si="882"/>
        <v>pagado</v>
      </c>
      <c r="K2421" s="51" t="str">
        <f t="shared" ca="1" si="883"/>
        <v>excluir</v>
      </c>
      <c r="L2421" s="51" t="str">
        <f t="shared" ca="1" si="884"/>
        <v>no semana</v>
      </c>
      <c r="M2421" s="51" t="str">
        <f>IFERROR(VLOOKUP(E2421,'cheques a conf'!A:D,4,FALSE),"no clearing")</f>
        <v>no clearing</v>
      </c>
      <c r="N2421" s="51">
        <f t="shared" si="885"/>
        <v>35</v>
      </c>
      <c r="O2421" s="53">
        <f t="shared" si="886"/>
        <v>8</v>
      </c>
      <c r="P2421" s="53">
        <f t="shared" si="887"/>
        <v>2026</v>
      </c>
    </row>
    <row r="2422" spans="1:16" x14ac:dyDescent="0.25">
      <c r="A2422" s="21">
        <v>3000005397</v>
      </c>
      <c r="B2422" s="22">
        <v>46258</v>
      </c>
      <c r="C2422" s="20">
        <v>12522622.35</v>
      </c>
      <c r="D2422" s="21" t="s">
        <v>1737</v>
      </c>
      <c r="E2422" s="21">
        <v>91003525</v>
      </c>
      <c r="F2422" s="20">
        <v>12522622.35</v>
      </c>
      <c r="G2422" s="22">
        <v>46262</v>
      </c>
      <c r="H2422" t="s">
        <v>79</v>
      </c>
      <c r="I2422" s="51" t="str">
        <f>IFERROR(IF(VLOOKUP(E2422,extracto!C:C,1,FALSE)=E2422,"pagado","no pagado"),"no pagado")</f>
        <v>pagado</v>
      </c>
      <c r="J2422" s="52" t="str">
        <f t="shared" si="882"/>
        <v>pagado</v>
      </c>
      <c r="K2422" s="51" t="str">
        <f t="shared" ca="1" si="883"/>
        <v>excluir</v>
      </c>
      <c r="L2422" s="51" t="str">
        <f t="shared" ca="1" si="884"/>
        <v>no semana</v>
      </c>
      <c r="M2422" s="51" t="str">
        <f>IFERROR(VLOOKUP(E2422,'cheques a conf'!A:D,4,FALSE),"no clearing")</f>
        <v>no clearing</v>
      </c>
      <c r="N2422" s="51">
        <f t="shared" si="885"/>
        <v>35</v>
      </c>
      <c r="O2422" s="53">
        <f t="shared" si="886"/>
        <v>8</v>
      </c>
      <c r="P2422" s="53">
        <f t="shared" si="887"/>
        <v>2026</v>
      </c>
    </row>
    <row r="2423" spans="1:16" x14ac:dyDescent="0.25">
      <c r="A2423" s="21">
        <v>3000005398</v>
      </c>
      <c r="B2423" s="22">
        <v>46258</v>
      </c>
      <c r="C2423" s="20">
        <v>7289316.6500000004</v>
      </c>
      <c r="D2423" s="21" t="s">
        <v>664</v>
      </c>
      <c r="E2423" s="21">
        <v>91003526</v>
      </c>
      <c r="F2423" s="20">
        <v>7289316.6500000004</v>
      </c>
      <c r="G2423" s="22">
        <v>46262</v>
      </c>
      <c r="H2423" t="s">
        <v>79</v>
      </c>
      <c r="I2423" s="51" t="str">
        <f>IFERROR(IF(VLOOKUP(E2423,extracto!C:C,1,FALSE)=E2423,"pagado","no pagado"),"no pagado")</f>
        <v>pagado</v>
      </c>
      <c r="J2423" s="52" t="str">
        <f t="shared" si="882"/>
        <v>pagado</v>
      </c>
      <c r="K2423" s="51" t="str">
        <f t="shared" ca="1" si="883"/>
        <v>excluir</v>
      </c>
      <c r="L2423" s="51" t="str">
        <f t="shared" ca="1" si="884"/>
        <v>no semana</v>
      </c>
      <c r="M2423" s="51" t="str">
        <f>IFERROR(VLOOKUP(E2423,'cheques a conf'!A:D,4,FALSE),"no clearing")</f>
        <v>no clearing</v>
      </c>
      <c r="N2423" s="51">
        <f t="shared" si="885"/>
        <v>35</v>
      </c>
      <c r="O2423" s="53">
        <f t="shared" si="886"/>
        <v>8</v>
      </c>
      <c r="P2423" s="53">
        <f t="shared" si="887"/>
        <v>2026</v>
      </c>
    </row>
    <row r="2424" spans="1:16" x14ac:dyDescent="0.25">
      <c r="A2424" s="21">
        <v>3000005399</v>
      </c>
      <c r="B2424" s="22">
        <v>46258</v>
      </c>
      <c r="C2424" s="20">
        <v>6310818.3099999996</v>
      </c>
      <c r="D2424" s="21" t="s">
        <v>652</v>
      </c>
      <c r="E2424" s="21">
        <v>91003527</v>
      </c>
      <c r="F2424" s="20">
        <v>6310818.3099999996</v>
      </c>
      <c r="G2424" s="22">
        <v>46262</v>
      </c>
      <c r="H2424" t="s">
        <v>79</v>
      </c>
      <c r="I2424" s="51" t="str">
        <f>IFERROR(IF(VLOOKUP(E2424,extracto!C:C,1,FALSE)=E2424,"pagado","no pagado"),"no pagado")</f>
        <v>pagado</v>
      </c>
      <c r="J2424" s="52" t="str">
        <f t="shared" ref="J2424:J2462" si="888">IF(I2424="pagado","pagado",IF(G2424&lt;$V$1-30,"fuera de fecha","en periodo de pago"))</f>
        <v>pagado</v>
      </c>
      <c r="K2424" s="51" t="str">
        <f t="shared" ref="K2424:K2462" ca="1" si="889">+IF(B2424&gt;$V$1,"excluir",IF(J2424="en periodo de pago",IF($V$1&gt;G2424,"a pagar","proximo a vencer"),"excluir"))</f>
        <v>excluir</v>
      </c>
      <c r="L2424" s="51" t="str">
        <f t="shared" ref="L2424:L2462" ca="1" si="890">+IF(K2424="proximo a vencer",IF($V$1+5&gt;G2424,"para la semana","no semana"),"no semana")</f>
        <v>no semana</v>
      </c>
      <c r="M2424" s="51" t="str">
        <f>IFERROR(VLOOKUP(E2424,'cheques a conf'!A:D,4,FALSE),"no clearing")</f>
        <v>no clearing</v>
      </c>
      <c r="N2424" s="51">
        <f t="shared" ref="N2424:N2462" si="891">+WEEKNUM(G2424,2)</f>
        <v>35</v>
      </c>
      <c r="O2424" s="53">
        <f t="shared" ref="O2424:O2462" si="892">+MONTH(G2424)</f>
        <v>8</v>
      </c>
      <c r="P2424" s="53">
        <f t="shared" ref="P2424:P2462" si="893">+YEAR(G2424)</f>
        <v>2026</v>
      </c>
    </row>
    <row r="2425" spans="1:16" x14ac:dyDescent="0.25">
      <c r="A2425" s="21">
        <v>3000005400</v>
      </c>
      <c r="B2425" s="22">
        <v>46258</v>
      </c>
      <c r="C2425" s="20">
        <v>5866810.9299999997</v>
      </c>
      <c r="D2425" s="21" t="s">
        <v>690</v>
      </c>
      <c r="E2425" s="21">
        <v>91003528</v>
      </c>
      <c r="F2425" s="20">
        <v>5866810.9299999997</v>
      </c>
      <c r="G2425" s="22">
        <v>46262</v>
      </c>
      <c r="H2425" t="s">
        <v>79</v>
      </c>
      <c r="I2425" s="51" t="str">
        <f>IFERROR(IF(VLOOKUP(E2425,extracto!C:C,1,FALSE)=E2425,"pagado","no pagado"),"no pagado")</f>
        <v>pagado</v>
      </c>
      <c r="J2425" s="52" t="str">
        <f t="shared" si="888"/>
        <v>pagado</v>
      </c>
      <c r="K2425" s="51" t="str">
        <f t="shared" ca="1" si="889"/>
        <v>excluir</v>
      </c>
      <c r="L2425" s="51" t="str">
        <f t="shared" ca="1" si="890"/>
        <v>no semana</v>
      </c>
      <c r="M2425" s="51" t="str">
        <f>IFERROR(VLOOKUP(E2425,'cheques a conf'!A:D,4,FALSE),"no clearing")</f>
        <v>no clearing</v>
      </c>
      <c r="N2425" s="51">
        <f t="shared" si="891"/>
        <v>35</v>
      </c>
      <c r="O2425" s="53">
        <f t="shared" si="892"/>
        <v>8</v>
      </c>
      <c r="P2425" s="53">
        <f t="shared" si="893"/>
        <v>2026</v>
      </c>
    </row>
    <row r="2426" spans="1:16" x14ac:dyDescent="0.25">
      <c r="A2426" s="21">
        <v>3000005401</v>
      </c>
      <c r="B2426" s="22">
        <v>46258</v>
      </c>
      <c r="C2426" s="20">
        <v>7749760.04</v>
      </c>
      <c r="D2426" s="21" t="s">
        <v>708</v>
      </c>
      <c r="E2426" s="21">
        <v>91003529</v>
      </c>
      <c r="F2426" s="20">
        <v>7749760.04</v>
      </c>
      <c r="G2426" s="22">
        <v>46262</v>
      </c>
      <c r="H2426" t="s">
        <v>79</v>
      </c>
      <c r="I2426" s="51" t="str">
        <f>IFERROR(IF(VLOOKUP(E2426,extracto!C:C,1,FALSE)=E2426,"pagado","no pagado"),"no pagado")</f>
        <v>pagado</v>
      </c>
      <c r="J2426" s="52" t="str">
        <f t="shared" si="888"/>
        <v>pagado</v>
      </c>
      <c r="K2426" s="51" t="str">
        <f t="shared" ca="1" si="889"/>
        <v>excluir</v>
      </c>
      <c r="L2426" s="51" t="str">
        <f t="shared" ca="1" si="890"/>
        <v>no semana</v>
      </c>
      <c r="M2426" s="51" t="str">
        <f>IFERROR(VLOOKUP(E2426,'cheques a conf'!A:D,4,FALSE),"no clearing")</f>
        <v>no clearing</v>
      </c>
      <c r="N2426" s="51">
        <f t="shared" si="891"/>
        <v>35</v>
      </c>
      <c r="O2426" s="53">
        <f t="shared" si="892"/>
        <v>8</v>
      </c>
      <c r="P2426" s="53">
        <f t="shared" si="893"/>
        <v>2026</v>
      </c>
    </row>
    <row r="2427" spans="1:16" x14ac:dyDescent="0.25">
      <c r="A2427" s="21">
        <v>3000005402</v>
      </c>
      <c r="B2427" s="22">
        <v>46258</v>
      </c>
      <c r="C2427" s="20">
        <v>39270743.020000003</v>
      </c>
      <c r="D2427" s="21" t="s">
        <v>644</v>
      </c>
      <c r="E2427" s="21">
        <v>91003530</v>
      </c>
      <c r="F2427" s="20">
        <v>39270743.020000003</v>
      </c>
      <c r="G2427" s="22">
        <v>46262</v>
      </c>
      <c r="H2427" t="s">
        <v>79</v>
      </c>
      <c r="I2427" s="51" t="str">
        <f>IFERROR(IF(VLOOKUP(E2427,extracto!C:C,1,FALSE)=E2427,"pagado","no pagado"),"no pagado")</f>
        <v>pagado</v>
      </c>
      <c r="J2427" s="52" t="str">
        <f t="shared" si="888"/>
        <v>pagado</v>
      </c>
      <c r="K2427" s="51" t="str">
        <f t="shared" ca="1" si="889"/>
        <v>excluir</v>
      </c>
      <c r="L2427" s="51" t="str">
        <f t="shared" ca="1" si="890"/>
        <v>no semana</v>
      </c>
      <c r="M2427" s="51" t="str">
        <f>IFERROR(VLOOKUP(E2427,'cheques a conf'!A:D,4,FALSE),"no clearing")</f>
        <v>no clearing</v>
      </c>
      <c r="N2427" s="51">
        <f t="shared" si="891"/>
        <v>35</v>
      </c>
      <c r="O2427" s="53">
        <f t="shared" si="892"/>
        <v>8</v>
      </c>
      <c r="P2427" s="53">
        <f t="shared" si="893"/>
        <v>2026</v>
      </c>
    </row>
    <row r="2428" spans="1:16" x14ac:dyDescent="0.25">
      <c r="A2428" s="21">
        <v>3000005403</v>
      </c>
      <c r="B2428" s="22">
        <v>46258</v>
      </c>
      <c r="C2428" s="20">
        <v>42777430.670000002</v>
      </c>
      <c r="D2428" s="21" t="s">
        <v>622</v>
      </c>
      <c r="E2428" s="21">
        <v>91003531</v>
      </c>
      <c r="F2428" s="20">
        <v>42777430.670000002</v>
      </c>
      <c r="G2428" s="22">
        <v>46262</v>
      </c>
      <c r="H2428" t="s">
        <v>79</v>
      </c>
      <c r="I2428" s="51" t="str">
        <f>IFERROR(IF(VLOOKUP(E2428,extracto!C:C,1,FALSE)=E2428,"pagado","no pagado"),"no pagado")</f>
        <v>pagado</v>
      </c>
      <c r="J2428" s="52" t="str">
        <f t="shared" si="888"/>
        <v>pagado</v>
      </c>
      <c r="K2428" s="51" t="str">
        <f t="shared" ca="1" si="889"/>
        <v>excluir</v>
      </c>
      <c r="L2428" s="51" t="str">
        <f t="shared" ca="1" si="890"/>
        <v>no semana</v>
      </c>
      <c r="M2428" s="51" t="str">
        <f>IFERROR(VLOOKUP(E2428,'cheques a conf'!A:D,4,FALSE),"no clearing")</f>
        <v>no clearing</v>
      </c>
      <c r="N2428" s="51">
        <f t="shared" si="891"/>
        <v>35</v>
      </c>
      <c r="O2428" s="53">
        <f t="shared" si="892"/>
        <v>8</v>
      </c>
      <c r="P2428" s="53">
        <f t="shared" si="893"/>
        <v>2026</v>
      </c>
    </row>
    <row r="2429" spans="1:16" x14ac:dyDescent="0.25">
      <c r="A2429" s="21">
        <v>3000005404</v>
      </c>
      <c r="B2429" s="22">
        <v>46258</v>
      </c>
      <c r="C2429" s="20">
        <v>8995080.8599999994</v>
      </c>
      <c r="D2429" s="21" t="s">
        <v>1816</v>
      </c>
      <c r="E2429" s="21">
        <v>91003532</v>
      </c>
      <c r="F2429" s="20">
        <v>8995080.8599999994</v>
      </c>
      <c r="G2429" s="22">
        <v>46262</v>
      </c>
      <c r="H2429" t="s">
        <v>79</v>
      </c>
      <c r="I2429" s="51" t="str">
        <f>IFERROR(IF(VLOOKUP(E2429,extracto!C:C,1,FALSE)=E2429,"pagado","no pagado"),"no pagado")</f>
        <v>pagado</v>
      </c>
      <c r="J2429" s="52" t="str">
        <f t="shared" si="888"/>
        <v>pagado</v>
      </c>
      <c r="K2429" s="51" t="str">
        <f t="shared" ca="1" si="889"/>
        <v>excluir</v>
      </c>
      <c r="L2429" s="51" t="str">
        <f t="shared" ca="1" si="890"/>
        <v>no semana</v>
      </c>
      <c r="M2429" s="51" t="str">
        <f>IFERROR(VLOOKUP(E2429,'cheques a conf'!A:D,4,FALSE),"no clearing")</f>
        <v>no clearing</v>
      </c>
      <c r="N2429" s="51">
        <f t="shared" si="891"/>
        <v>35</v>
      </c>
      <c r="O2429" s="53">
        <f t="shared" si="892"/>
        <v>8</v>
      </c>
      <c r="P2429" s="53">
        <f t="shared" si="893"/>
        <v>2026</v>
      </c>
    </row>
    <row r="2430" spans="1:16" x14ac:dyDescent="0.25">
      <c r="A2430" s="21">
        <v>3000005405</v>
      </c>
      <c r="B2430" s="22">
        <v>46258</v>
      </c>
      <c r="C2430" s="20">
        <v>6654193.9699999997</v>
      </c>
      <c r="D2430" s="21" t="s">
        <v>675</v>
      </c>
      <c r="E2430" s="21">
        <v>91003533</v>
      </c>
      <c r="F2430" s="20">
        <v>6654193.9699999997</v>
      </c>
      <c r="G2430" s="22">
        <v>46262</v>
      </c>
      <c r="H2430" t="s">
        <v>79</v>
      </c>
      <c r="I2430" s="51" t="str">
        <f>IFERROR(IF(VLOOKUP(E2430,extracto!C:C,1,FALSE)=E2430,"pagado","no pagado"),"no pagado")</f>
        <v>pagado</v>
      </c>
      <c r="J2430" s="52" t="str">
        <f t="shared" si="888"/>
        <v>pagado</v>
      </c>
      <c r="K2430" s="51" t="str">
        <f t="shared" ca="1" si="889"/>
        <v>excluir</v>
      </c>
      <c r="L2430" s="51" t="str">
        <f t="shared" ca="1" si="890"/>
        <v>no semana</v>
      </c>
      <c r="M2430" s="51" t="str">
        <f>IFERROR(VLOOKUP(E2430,'cheques a conf'!A:D,4,FALSE),"no clearing")</f>
        <v>no clearing</v>
      </c>
      <c r="N2430" s="51">
        <f t="shared" si="891"/>
        <v>35</v>
      </c>
      <c r="O2430" s="53">
        <f t="shared" si="892"/>
        <v>8</v>
      </c>
      <c r="P2430" s="53">
        <f t="shared" si="893"/>
        <v>2026</v>
      </c>
    </row>
    <row r="2431" spans="1:16" x14ac:dyDescent="0.25">
      <c r="A2431" s="21">
        <v>3000005406</v>
      </c>
      <c r="B2431" s="22">
        <v>46259</v>
      </c>
      <c r="C2431" s="20">
        <v>10000</v>
      </c>
      <c r="D2431" s="21" t="s">
        <v>25</v>
      </c>
      <c r="E2431" s="21">
        <v>95780907</v>
      </c>
      <c r="F2431" s="20">
        <v>10000</v>
      </c>
      <c r="G2431" s="22">
        <v>46259</v>
      </c>
      <c r="H2431" t="s">
        <v>79</v>
      </c>
      <c r="I2431" s="51" t="str">
        <f>IFERROR(IF(VLOOKUP(E2431,extracto!C:C,1,FALSE)=E2431,"pagado","no pagado"),"no pagado")</f>
        <v>pagado</v>
      </c>
      <c r="J2431" s="52" t="str">
        <f t="shared" si="888"/>
        <v>pagado</v>
      </c>
      <c r="K2431" s="51" t="str">
        <f t="shared" ca="1" si="889"/>
        <v>excluir</v>
      </c>
      <c r="L2431" s="51" t="str">
        <f t="shared" ca="1" si="890"/>
        <v>no semana</v>
      </c>
      <c r="M2431" s="51" t="str">
        <f>IFERROR(VLOOKUP(E2431,'cheques a conf'!A:D,4,FALSE),"no clearing")</f>
        <v>no clearing</v>
      </c>
      <c r="N2431" s="51">
        <f t="shared" si="891"/>
        <v>35</v>
      </c>
      <c r="O2431" s="53">
        <f t="shared" si="892"/>
        <v>8</v>
      </c>
      <c r="P2431" s="53">
        <f t="shared" si="893"/>
        <v>2026</v>
      </c>
    </row>
    <row r="2432" spans="1:16" x14ac:dyDescent="0.25">
      <c r="A2432" s="21">
        <v>3000005430</v>
      </c>
      <c r="B2432" s="22">
        <v>46259</v>
      </c>
      <c r="C2432" s="20">
        <v>7012764.0899999999</v>
      </c>
      <c r="D2432" s="21" t="s">
        <v>673</v>
      </c>
      <c r="E2432" s="21">
        <v>91003534</v>
      </c>
      <c r="F2432" s="20">
        <v>7012764.0899999999</v>
      </c>
      <c r="G2432" s="22">
        <v>46266</v>
      </c>
      <c r="H2432" t="s">
        <v>79</v>
      </c>
      <c r="I2432" s="51" t="str">
        <f>IFERROR(IF(VLOOKUP(E2432,extracto!C:C,1,FALSE)=E2432,"pagado","no pagado"),"no pagado")</f>
        <v>pagado</v>
      </c>
      <c r="J2432" s="52" t="str">
        <f t="shared" si="888"/>
        <v>pagado</v>
      </c>
      <c r="K2432" s="51" t="str">
        <f t="shared" ca="1" si="889"/>
        <v>excluir</v>
      </c>
      <c r="L2432" s="51" t="str">
        <f t="shared" ca="1" si="890"/>
        <v>no semana</v>
      </c>
      <c r="M2432" s="51" t="str">
        <f>IFERROR(VLOOKUP(E2432,'cheques a conf'!A:D,4,FALSE),"no clearing")</f>
        <v>no clearing</v>
      </c>
      <c r="N2432" s="51">
        <f t="shared" si="891"/>
        <v>36</v>
      </c>
      <c r="O2432" s="53">
        <f t="shared" si="892"/>
        <v>9</v>
      </c>
      <c r="P2432" s="53">
        <f t="shared" si="893"/>
        <v>2026</v>
      </c>
    </row>
    <row r="2433" spans="1:16" x14ac:dyDescent="0.25">
      <c r="A2433" s="21">
        <v>3000005431</v>
      </c>
      <c r="B2433" s="22">
        <v>46259</v>
      </c>
      <c r="C2433" s="20">
        <v>16012232</v>
      </c>
      <c r="D2433" s="21" t="s">
        <v>644</v>
      </c>
      <c r="E2433" s="21">
        <v>91003535</v>
      </c>
      <c r="F2433" s="20">
        <v>16012232</v>
      </c>
      <c r="G2433" s="22">
        <v>46266</v>
      </c>
      <c r="H2433" t="s">
        <v>79</v>
      </c>
      <c r="I2433" s="51" t="str">
        <f>IFERROR(IF(VLOOKUP(E2433,extracto!C:C,1,FALSE)=E2433,"pagado","no pagado"),"no pagado")</f>
        <v>pagado</v>
      </c>
      <c r="J2433" s="52" t="str">
        <f t="shared" si="888"/>
        <v>pagado</v>
      </c>
      <c r="K2433" s="51" t="str">
        <f t="shared" ca="1" si="889"/>
        <v>excluir</v>
      </c>
      <c r="L2433" s="51" t="str">
        <f t="shared" ca="1" si="890"/>
        <v>no semana</v>
      </c>
      <c r="M2433" s="51" t="str">
        <f>IFERROR(VLOOKUP(E2433,'cheques a conf'!A:D,4,FALSE),"no clearing")</f>
        <v>no clearing</v>
      </c>
      <c r="N2433" s="51">
        <f t="shared" si="891"/>
        <v>36</v>
      </c>
      <c r="O2433" s="53">
        <f t="shared" si="892"/>
        <v>9</v>
      </c>
      <c r="P2433" s="53">
        <f t="shared" si="893"/>
        <v>2026</v>
      </c>
    </row>
    <row r="2434" spans="1:16" x14ac:dyDescent="0.25">
      <c r="A2434" s="21">
        <v>3000005432</v>
      </c>
      <c r="B2434" s="22">
        <v>46259</v>
      </c>
      <c r="C2434" s="20">
        <v>7610257.6900000004</v>
      </c>
      <c r="D2434" s="21" t="s">
        <v>1817</v>
      </c>
      <c r="E2434" s="21">
        <v>91003536</v>
      </c>
      <c r="F2434" s="20">
        <v>7610257.6900000004</v>
      </c>
      <c r="G2434" s="22">
        <v>46266</v>
      </c>
      <c r="H2434" t="s">
        <v>79</v>
      </c>
      <c r="I2434" s="51" t="str">
        <f>IFERROR(IF(VLOOKUP(E2434,extracto!C:C,1,FALSE)=E2434,"pagado","no pagado"),"no pagado")</f>
        <v>no pagado</v>
      </c>
      <c r="J2434" s="52" t="str">
        <f t="shared" ca="1" si="888"/>
        <v>en periodo de pago</v>
      </c>
      <c r="K2434" s="51" t="str">
        <f t="shared" ca="1" si="889"/>
        <v>a pagar</v>
      </c>
      <c r="L2434" s="51" t="str">
        <f t="shared" ca="1" si="890"/>
        <v>no semana</v>
      </c>
      <c r="M2434" s="51" t="str">
        <f>IFERROR(VLOOKUP(E2434,'cheques a conf'!A:D,4,FALSE),"no clearing")</f>
        <v>no clearing</v>
      </c>
      <c r="N2434" s="51">
        <f t="shared" si="891"/>
        <v>36</v>
      </c>
      <c r="O2434" s="53">
        <f t="shared" si="892"/>
        <v>9</v>
      </c>
      <c r="P2434" s="53">
        <f t="shared" si="893"/>
        <v>2026</v>
      </c>
    </row>
    <row r="2435" spans="1:16" x14ac:dyDescent="0.25">
      <c r="A2435" s="21">
        <v>3000005433</v>
      </c>
      <c r="B2435" s="22">
        <v>46259</v>
      </c>
      <c r="C2435" s="20">
        <v>11204469.970000001</v>
      </c>
      <c r="D2435" s="21" t="s">
        <v>702</v>
      </c>
      <c r="E2435" s="21">
        <v>91003537</v>
      </c>
      <c r="F2435" s="20">
        <v>11204469.970000001</v>
      </c>
      <c r="G2435" s="22">
        <v>46266</v>
      </c>
      <c r="H2435" t="s">
        <v>79</v>
      </c>
      <c r="I2435" s="51" t="str">
        <f>IFERROR(IF(VLOOKUP(E2435,extracto!C:C,1,FALSE)=E2435,"pagado","no pagado"),"no pagado")</f>
        <v>pagado</v>
      </c>
      <c r="J2435" s="52" t="str">
        <f t="shared" si="888"/>
        <v>pagado</v>
      </c>
      <c r="K2435" s="51" t="str">
        <f t="shared" ca="1" si="889"/>
        <v>excluir</v>
      </c>
      <c r="L2435" s="51" t="str">
        <f t="shared" ca="1" si="890"/>
        <v>no semana</v>
      </c>
      <c r="M2435" s="51" t="str">
        <f>IFERROR(VLOOKUP(E2435,'cheques a conf'!A:D,4,FALSE),"no clearing")</f>
        <v>no clearing</v>
      </c>
      <c r="N2435" s="51">
        <f t="shared" si="891"/>
        <v>36</v>
      </c>
      <c r="O2435" s="53">
        <f t="shared" si="892"/>
        <v>9</v>
      </c>
      <c r="P2435" s="53">
        <f t="shared" si="893"/>
        <v>2026</v>
      </c>
    </row>
    <row r="2436" spans="1:16" x14ac:dyDescent="0.25">
      <c r="A2436" s="21">
        <v>3000005434</v>
      </c>
      <c r="B2436" s="22">
        <v>46259</v>
      </c>
      <c r="C2436" s="20">
        <v>6689354.1399999997</v>
      </c>
      <c r="D2436" s="21" t="s">
        <v>693</v>
      </c>
      <c r="E2436" s="21">
        <v>91003538</v>
      </c>
      <c r="F2436" s="20">
        <v>6689354.1399999997</v>
      </c>
      <c r="G2436" s="22">
        <v>46266</v>
      </c>
      <c r="H2436" t="s">
        <v>79</v>
      </c>
      <c r="I2436" s="51" t="str">
        <f>IFERROR(IF(VLOOKUP(E2436,extracto!C:C,1,FALSE)=E2436,"pagado","no pagado"),"no pagado")</f>
        <v>pagado</v>
      </c>
      <c r="J2436" s="52" t="str">
        <f t="shared" si="888"/>
        <v>pagado</v>
      </c>
      <c r="K2436" s="51" t="str">
        <f t="shared" ca="1" si="889"/>
        <v>excluir</v>
      </c>
      <c r="L2436" s="51" t="str">
        <f t="shared" ca="1" si="890"/>
        <v>no semana</v>
      </c>
      <c r="M2436" s="51" t="str">
        <f>IFERROR(VLOOKUP(E2436,'cheques a conf'!A:D,4,FALSE),"no clearing")</f>
        <v>no clearing</v>
      </c>
      <c r="N2436" s="51">
        <f t="shared" si="891"/>
        <v>36</v>
      </c>
      <c r="O2436" s="53">
        <f t="shared" si="892"/>
        <v>9</v>
      </c>
      <c r="P2436" s="53">
        <f t="shared" si="893"/>
        <v>2026</v>
      </c>
    </row>
    <row r="2437" spans="1:16" x14ac:dyDescent="0.25">
      <c r="A2437" s="21">
        <v>3000005435</v>
      </c>
      <c r="B2437" s="22">
        <v>46259</v>
      </c>
      <c r="C2437" s="20">
        <v>15721125</v>
      </c>
      <c r="D2437" s="21" t="s">
        <v>618</v>
      </c>
      <c r="E2437" s="21">
        <v>91003539</v>
      </c>
      <c r="F2437" s="20">
        <v>15721125</v>
      </c>
      <c r="G2437" s="22">
        <v>46266</v>
      </c>
      <c r="H2437" t="s">
        <v>79</v>
      </c>
      <c r="I2437" s="51" t="str">
        <f>IFERROR(IF(VLOOKUP(E2437,extracto!C:C,1,FALSE)=E2437,"pagado","no pagado"),"no pagado")</f>
        <v>pagado</v>
      </c>
      <c r="J2437" s="52" t="str">
        <f t="shared" si="888"/>
        <v>pagado</v>
      </c>
      <c r="K2437" s="51" t="str">
        <f t="shared" ca="1" si="889"/>
        <v>excluir</v>
      </c>
      <c r="L2437" s="51" t="str">
        <f t="shared" ca="1" si="890"/>
        <v>no semana</v>
      </c>
      <c r="M2437" s="51" t="str">
        <f>IFERROR(VLOOKUP(E2437,'cheques a conf'!A:D,4,FALSE),"no clearing")</f>
        <v>no clearing</v>
      </c>
      <c r="N2437" s="51">
        <f t="shared" si="891"/>
        <v>36</v>
      </c>
      <c r="O2437" s="53">
        <f t="shared" si="892"/>
        <v>9</v>
      </c>
      <c r="P2437" s="53">
        <f t="shared" si="893"/>
        <v>2026</v>
      </c>
    </row>
    <row r="2438" spans="1:16" x14ac:dyDescent="0.25">
      <c r="A2438" s="21">
        <v>3000005436</v>
      </c>
      <c r="B2438" s="22">
        <v>46259</v>
      </c>
      <c r="C2438" s="20">
        <v>8293635</v>
      </c>
      <c r="D2438" s="21" t="s">
        <v>612</v>
      </c>
      <c r="E2438" s="21">
        <v>91003540</v>
      </c>
      <c r="F2438" s="20">
        <v>8293635</v>
      </c>
      <c r="G2438" s="22">
        <v>46266</v>
      </c>
      <c r="H2438" t="s">
        <v>79</v>
      </c>
      <c r="I2438" s="51" t="str">
        <f>IFERROR(IF(VLOOKUP(E2438,extracto!C:C,1,FALSE)=E2438,"pagado","no pagado"),"no pagado")</f>
        <v>pagado</v>
      </c>
      <c r="J2438" s="52" t="str">
        <f t="shared" si="888"/>
        <v>pagado</v>
      </c>
      <c r="K2438" s="51" t="str">
        <f t="shared" ca="1" si="889"/>
        <v>excluir</v>
      </c>
      <c r="L2438" s="51" t="str">
        <f t="shared" ca="1" si="890"/>
        <v>no semana</v>
      </c>
      <c r="M2438" s="51" t="str">
        <f>IFERROR(VLOOKUP(E2438,'cheques a conf'!A:D,4,FALSE),"no clearing")</f>
        <v>no clearing</v>
      </c>
      <c r="N2438" s="51">
        <f t="shared" si="891"/>
        <v>36</v>
      </c>
      <c r="O2438" s="53">
        <f t="shared" si="892"/>
        <v>9</v>
      </c>
      <c r="P2438" s="53">
        <f t="shared" si="893"/>
        <v>2026</v>
      </c>
    </row>
    <row r="2439" spans="1:16" x14ac:dyDescent="0.25">
      <c r="A2439" s="21">
        <v>3000005437</v>
      </c>
      <c r="B2439" s="22">
        <v>46259</v>
      </c>
      <c r="C2439" s="20">
        <v>17002700</v>
      </c>
      <c r="D2439" s="21" t="s">
        <v>613</v>
      </c>
      <c r="E2439" s="21">
        <v>91003541</v>
      </c>
      <c r="F2439" s="20">
        <v>17002700</v>
      </c>
      <c r="G2439" s="22">
        <v>46266</v>
      </c>
      <c r="H2439" t="s">
        <v>79</v>
      </c>
      <c r="I2439" s="51" t="str">
        <f>IFERROR(IF(VLOOKUP(E2439,extracto!C:C,1,FALSE)=E2439,"pagado","no pagado"),"no pagado")</f>
        <v>pagado</v>
      </c>
      <c r="J2439" s="52" t="str">
        <f t="shared" si="888"/>
        <v>pagado</v>
      </c>
      <c r="K2439" s="51" t="str">
        <f t="shared" ca="1" si="889"/>
        <v>excluir</v>
      </c>
      <c r="L2439" s="51" t="str">
        <f t="shared" ca="1" si="890"/>
        <v>no semana</v>
      </c>
      <c r="M2439" s="51" t="str">
        <f>IFERROR(VLOOKUP(E2439,'cheques a conf'!A:D,4,FALSE),"no clearing")</f>
        <v>no clearing</v>
      </c>
      <c r="N2439" s="51">
        <f t="shared" si="891"/>
        <v>36</v>
      </c>
      <c r="O2439" s="53">
        <f t="shared" si="892"/>
        <v>9</v>
      </c>
      <c r="P2439" s="53">
        <f t="shared" si="893"/>
        <v>2026</v>
      </c>
    </row>
    <row r="2440" spans="1:16" x14ac:dyDescent="0.25">
      <c r="A2440" s="21">
        <v>3000005567</v>
      </c>
      <c r="B2440" s="22">
        <v>46265</v>
      </c>
      <c r="C2440" s="20">
        <v>27505450.899999999</v>
      </c>
      <c r="D2440" s="21" t="s">
        <v>83</v>
      </c>
      <c r="E2440" s="21">
        <v>91003542</v>
      </c>
      <c r="F2440" s="20">
        <v>27505450.899999999</v>
      </c>
      <c r="G2440" s="22">
        <v>46269</v>
      </c>
      <c r="H2440" t="s">
        <v>79</v>
      </c>
      <c r="I2440" s="51" t="str">
        <f>IFERROR(IF(VLOOKUP(E2440,extracto!C:C,1,FALSE)=E2440,"pagado","no pagado"),"no pagado")</f>
        <v>no pagado</v>
      </c>
      <c r="J2440" s="52" t="str">
        <f t="shared" ca="1" si="888"/>
        <v>en periodo de pago</v>
      </c>
      <c r="K2440" s="51" t="str">
        <f t="shared" ca="1" si="889"/>
        <v>a pagar</v>
      </c>
      <c r="L2440" s="51" t="str">
        <f t="shared" ca="1" si="890"/>
        <v>no semana</v>
      </c>
      <c r="M2440" s="51" t="str">
        <f>IFERROR(VLOOKUP(E2440,'cheques a conf'!A:D,4,FALSE),"no clearing")</f>
        <v>clearing</v>
      </c>
      <c r="N2440" s="51">
        <f t="shared" si="891"/>
        <v>36</v>
      </c>
      <c r="O2440" s="53">
        <f t="shared" si="892"/>
        <v>9</v>
      </c>
      <c r="P2440" s="53">
        <f t="shared" si="893"/>
        <v>2026</v>
      </c>
    </row>
    <row r="2441" spans="1:16" x14ac:dyDescent="0.25">
      <c r="A2441" s="21">
        <v>3000005568</v>
      </c>
      <c r="B2441" s="22">
        <v>46265</v>
      </c>
      <c r="C2441" s="20">
        <v>33776131.770000003</v>
      </c>
      <c r="D2441" s="21" t="s">
        <v>712</v>
      </c>
      <c r="E2441" s="21">
        <v>91003543</v>
      </c>
      <c r="F2441" s="20">
        <v>33776131.770000003</v>
      </c>
      <c r="G2441" s="22">
        <v>46267</v>
      </c>
      <c r="H2441" t="s">
        <v>79</v>
      </c>
      <c r="I2441" s="51" t="str">
        <f>IFERROR(IF(VLOOKUP(E2441,extracto!C:C,1,FALSE)=E2441,"pagado","no pagado"),"no pagado")</f>
        <v>pagado</v>
      </c>
      <c r="J2441" s="52" t="str">
        <f t="shared" si="888"/>
        <v>pagado</v>
      </c>
      <c r="K2441" s="51" t="str">
        <f t="shared" ca="1" si="889"/>
        <v>excluir</v>
      </c>
      <c r="L2441" s="51" t="str">
        <f t="shared" ca="1" si="890"/>
        <v>no semana</v>
      </c>
      <c r="M2441" s="51" t="str">
        <f>IFERROR(VLOOKUP(E2441,'cheques a conf'!A:D,4,FALSE),"no clearing")</f>
        <v>no clearing</v>
      </c>
      <c r="N2441" s="51">
        <f t="shared" si="891"/>
        <v>36</v>
      </c>
      <c r="O2441" s="53">
        <f t="shared" si="892"/>
        <v>9</v>
      </c>
      <c r="P2441" s="53">
        <f t="shared" si="893"/>
        <v>2026</v>
      </c>
    </row>
    <row r="2442" spans="1:16" x14ac:dyDescent="0.25">
      <c r="A2442" s="21">
        <v>3000005569</v>
      </c>
      <c r="B2442" s="22">
        <v>46265</v>
      </c>
      <c r="C2442" s="20">
        <v>42236088.270000003</v>
      </c>
      <c r="D2442" s="21" t="s">
        <v>705</v>
      </c>
      <c r="E2442" s="21">
        <v>91003544</v>
      </c>
      <c r="F2442" s="20">
        <v>42236088.270000003</v>
      </c>
      <c r="G2442" s="22">
        <v>46267</v>
      </c>
      <c r="H2442" t="s">
        <v>79</v>
      </c>
      <c r="I2442" s="51" t="str">
        <f>IFERROR(IF(VLOOKUP(E2442,extracto!C:C,1,FALSE)=E2442,"pagado","no pagado"),"no pagado")</f>
        <v>no pagado</v>
      </c>
      <c r="J2442" s="52" t="str">
        <f t="shared" ca="1" si="888"/>
        <v>en periodo de pago</v>
      </c>
      <c r="K2442" s="51" t="str">
        <f t="shared" ca="1" si="889"/>
        <v>a pagar</v>
      </c>
      <c r="L2442" s="51" t="str">
        <f t="shared" ca="1" si="890"/>
        <v>no semana</v>
      </c>
      <c r="M2442" s="51" t="str">
        <f>IFERROR(VLOOKUP(E2442,'cheques a conf'!A:D,4,FALSE),"no clearing")</f>
        <v>no clearing</v>
      </c>
      <c r="N2442" s="51">
        <f t="shared" si="891"/>
        <v>36</v>
      </c>
      <c r="O2442" s="53">
        <f t="shared" si="892"/>
        <v>9</v>
      </c>
      <c r="P2442" s="53">
        <f t="shared" si="893"/>
        <v>2026</v>
      </c>
    </row>
    <row r="2443" spans="1:16" x14ac:dyDescent="0.25">
      <c r="A2443" s="21">
        <v>3000005570</v>
      </c>
      <c r="B2443" s="22">
        <v>46265</v>
      </c>
      <c r="C2443" s="20">
        <v>10473653.380000001</v>
      </c>
      <c r="D2443" s="21" t="s">
        <v>72</v>
      </c>
      <c r="E2443" s="21">
        <v>91003545</v>
      </c>
      <c r="F2443" s="20">
        <v>10473653.380000001</v>
      </c>
      <c r="G2443" s="22">
        <v>46268</v>
      </c>
      <c r="H2443" t="s">
        <v>79</v>
      </c>
      <c r="I2443" s="51" t="str">
        <f>IFERROR(IF(VLOOKUP(E2443,extracto!C:C,1,FALSE)=E2443,"pagado","no pagado"),"no pagado")</f>
        <v>no pagado</v>
      </c>
      <c r="J2443" s="52" t="str">
        <f t="shared" ca="1" si="888"/>
        <v>en periodo de pago</v>
      </c>
      <c r="K2443" s="51" t="str">
        <f t="shared" ca="1" si="889"/>
        <v>a pagar</v>
      </c>
      <c r="L2443" s="51" t="str">
        <f t="shared" ca="1" si="890"/>
        <v>no semana</v>
      </c>
      <c r="M2443" s="51" t="str">
        <f>IFERROR(VLOOKUP(E2443,'cheques a conf'!A:D,4,FALSE),"no clearing")</f>
        <v>clearing</v>
      </c>
      <c r="N2443" s="51">
        <f t="shared" si="891"/>
        <v>36</v>
      </c>
      <c r="O2443" s="53">
        <f t="shared" si="892"/>
        <v>9</v>
      </c>
      <c r="P2443" s="53">
        <f t="shared" si="893"/>
        <v>2026</v>
      </c>
    </row>
    <row r="2444" spans="1:16" x14ac:dyDescent="0.25">
      <c r="A2444" s="21">
        <v>3000005571</v>
      </c>
      <c r="B2444" s="22">
        <v>46265</v>
      </c>
      <c r="C2444" s="20">
        <v>5357588.45</v>
      </c>
      <c r="D2444" s="21" t="s">
        <v>69</v>
      </c>
      <c r="E2444" s="21">
        <v>91003546</v>
      </c>
      <c r="F2444" s="20">
        <v>5357588.45</v>
      </c>
      <c r="G2444" s="22">
        <v>46269</v>
      </c>
      <c r="H2444" t="s">
        <v>79</v>
      </c>
      <c r="I2444" s="51" t="str">
        <f>IFERROR(IF(VLOOKUP(E2444,extracto!C:C,1,FALSE)=E2444,"pagado","no pagado"),"no pagado")</f>
        <v>no pagado</v>
      </c>
      <c r="J2444" s="52" t="str">
        <f t="shared" ca="1" si="888"/>
        <v>en periodo de pago</v>
      </c>
      <c r="K2444" s="51" t="str">
        <f t="shared" ca="1" si="889"/>
        <v>a pagar</v>
      </c>
      <c r="L2444" s="51" t="str">
        <f t="shared" ca="1" si="890"/>
        <v>no semana</v>
      </c>
      <c r="M2444" s="51" t="str">
        <f>IFERROR(VLOOKUP(E2444,'cheques a conf'!A:D,4,FALSE),"no clearing")</f>
        <v>no clearing</v>
      </c>
      <c r="N2444" s="51">
        <f t="shared" si="891"/>
        <v>36</v>
      </c>
      <c r="O2444" s="53">
        <f t="shared" si="892"/>
        <v>9</v>
      </c>
      <c r="P2444" s="53">
        <f t="shared" si="893"/>
        <v>2026</v>
      </c>
    </row>
    <row r="2445" spans="1:16" x14ac:dyDescent="0.25">
      <c r="A2445" s="21">
        <v>3000005573</v>
      </c>
      <c r="B2445" s="22">
        <v>46265</v>
      </c>
      <c r="C2445" s="20">
        <v>9474131.5199999996</v>
      </c>
      <c r="D2445" s="21" t="s">
        <v>743</v>
      </c>
      <c r="E2445" s="21">
        <v>91003547</v>
      </c>
      <c r="F2445" s="20">
        <v>9474131.5199999996</v>
      </c>
      <c r="G2445" s="22">
        <v>46269</v>
      </c>
      <c r="H2445" t="s">
        <v>79</v>
      </c>
      <c r="I2445" s="51" t="str">
        <f>IFERROR(IF(VLOOKUP(E2445,extracto!C:C,1,FALSE)=E2445,"pagado","no pagado"),"no pagado")</f>
        <v>no pagado</v>
      </c>
      <c r="J2445" s="52" t="str">
        <f t="shared" ca="1" si="888"/>
        <v>en periodo de pago</v>
      </c>
      <c r="K2445" s="51" t="str">
        <f t="shared" ca="1" si="889"/>
        <v>a pagar</v>
      </c>
      <c r="L2445" s="51" t="str">
        <f t="shared" ca="1" si="890"/>
        <v>no semana</v>
      </c>
      <c r="M2445" s="51" t="str">
        <f>IFERROR(VLOOKUP(E2445,'cheques a conf'!A:D,4,FALSE),"no clearing")</f>
        <v>clearing</v>
      </c>
      <c r="N2445" s="51">
        <f t="shared" si="891"/>
        <v>36</v>
      </c>
      <c r="O2445" s="53">
        <f t="shared" si="892"/>
        <v>9</v>
      </c>
      <c r="P2445" s="53">
        <f t="shared" si="893"/>
        <v>2026</v>
      </c>
    </row>
    <row r="2446" spans="1:16" x14ac:dyDescent="0.25">
      <c r="A2446" s="21">
        <v>3000005574</v>
      </c>
      <c r="B2446" s="22">
        <v>46265</v>
      </c>
      <c r="C2446" s="20">
        <v>2764712.92</v>
      </c>
      <c r="D2446" s="21" t="s">
        <v>1768</v>
      </c>
      <c r="E2446" s="21">
        <v>91003548</v>
      </c>
      <c r="F2446" s="20">
        <v>2764712.92</v>
      </c>
      <c r="G2446" s="22">
        <v>46269</v>
      </c>
      <c r="H2446" t="s">
        <v>79</v>
      </c>
      <c r="I2446" s="51" t="str">
        <f>IFERROR(IF(VLOOKUP(E2446,extracto!C:C,1,FALSE)=E2446,"pagado","no pagado"),"no pagado")</f>
        <v>no pagado</v>
      </c>
      <c r="J2446" s="52" t="str">
        <f t="shared" ca="1" si="888"/>
        <v>en periodo de pago</v>
      </c>
      <c r="K2446" s="51" t="str">
        <f t="shared" ca="1" si="889"/>
        <v>a pagar</v>
      </c>
      <c r="L2446" s="51" t="str">
        <f t="shared" ca="1" si="890"/>
        <v>no semana</v>
      </c>
      <c r="M2446" s="51" t="str">
        <f>IFERROR(VLOOKUP(E2446,'cheques a conf'!A:D,4,FALSE),"no clearing")</f>
        <v>no clearing</v>
      </c>
      <c r="N2446" s="51">
        <f t="shared" si="891"/>
        <v>36</v>
      </c>
      <c r="O2446" s="53">
        <f t="shared" si="892"/>
        <v>9</v>
      </c>
      <c r="P2446" s="53">
        <f t="shared" si="893"/>
        <v>2026</v>
      </c>
    </row>
    <row r="2447" spans="1:16" x14ac:dyDescent="0.25">
      <c r="A2447" s="21">
        <v>3000005577</v>
      </c>
      <c r="B2447" s="22">
        <v>46265</v>
      </c>
      <c r="C2447" s="20">
        <v>11817540</v>
      </c>
      <c r="D2447" s="21" t="s">
        <v>642</v>
      </c>
      <c r="E2447" s="21">
        <v>91003549</v>
      </c>
      <c r="F2447" s="20">
        <v>11817540</v>
      </c>
      <c r="G2447" s="22">
        <v>46269</v>
      </c>
      <c r="H2447" t="s">
        <v>79</v>
      </c>
      <c r="I2447" s="51" t="str">
        <f>IFERROR(IF(VLOOKUP(E2447,extracto!C:C,1,FALSE)=E2447,"pagado","no pagado"),"no pagado")</f>
        <v>no pagado</v>
      </c>
      <c r="J2447" s="52" t="str">
        <f t="shared" ca="1" si="888"/>
        <v>en periodo de pago</v>
      </c>
      <c r="K2447" s="51" t="str">
        <f t="shared" ca="1" si="889"/>
        <v>a pagar</v>
      </c>
      <c r="L2447" s="51" t="str">
        <f t="shared" ca="1" si="890"/>
        <v>no semana</v>
      </c>
      <c r="M2447" s="51" t="str">
        <f>IFERROR(VLOOKUP(E2447,'cheques a conf'!A:D,4,FALSE),"no clearing")</f>
        <v>clearing</v>
      </c>
      <c r="N2447" s="51">
        <f t="shared" si="891"/>
        <v>36</v>
      </c>
      <c r="O2447" s="53">
        <f t="shared" si="892"/>
        <v>9</v>
      </c>
      <c r="P2447" s="53">
        <f t="shared" si="893"/>
        <v>2026</v>
      </c>
    </row>
    <row r="2448" spans="1:16" x14ac:dyDescent="0.25">
      <c r="A2448" s="21">
        <v>3000005579</v>
      </c>
      <c r="B2448" s="22">
        <v>46265</v>
      </c>
      <c r="C2448" s="20">
        <v>15450713.76</v>
      </c>
      <c r="D2448" s="21" t="s">
        <v>613</v>
      </c>
      <c r="E2448" s="21">
        <v>91003550</v>
      </c>
      <c r="F2448" s="20">
        <v>15450713.76</v>
      </c>
      <c r="G2448" s="22">
        <v>46269</v>
      </c>
      <c r="H2448" t="s">
        <v>79</v>
      </c>
      <c r="I2448" s="51" t="str">
        <f>IFERROR(IF(VLOOKUP(E2448,extracto!C:C,1,FALSE)=E2448,"pagado","no pagado"),"no pagado")</f>
        <v>no pagado</v>
      </c>
      <c r="J2448" s="52" t="str">
        <f t="shared" ca="1" si="888"/>
        <v>en periodo de pago</v>
      </c>
      <c r="K2448" s="51" t="str">
        <f t="shared" ca="1" si="889"/>
        <v>a pagar</v>
      </c>
      <c r="L2448" s="51" t="str">
        <f t="shared" ca="1" si="890"/>
        <v>no semana</v>
      </c>
      <c r="M2448" s="51" t="str">
        <f>IFERROR(VLOOKUP(E2448,'cheques a conf'!A:D,4,FALSE),"no clearing")</f>
        <v>clearing</v>
      </c>
      <c r="N2448" s="51">
        <f t="shared" si="891"/>
        <v>36</v>
      </c>
      <c r="O2448" s="53">
        <f t="shared" si="892"/>
        <v>9</v>
      </c>
      <c r="P2448" s="53">
        <f t="shared" si="893"/>
        <v>2026</v>
      </c>
    </row>
    <row r="2449" spans="1:16" x14ac:dyDescent="0.25">
      <c r="A2449" s="21">
        <v>3000005581</v>
      </c>
      <c r="B2449" s="22">
        <v>46265</v>
      </c>
      <c r="C2449" s="20">
        <v>11365560</v>
      </c>
      <c r="D2449" s="21" t="s">
        <v>619</v>
      </c>
      <c r="E2449" s="21">
        <v>91003551</v>
      </c>
      <c r="F2449" s="20">
        <v>11365560</v>
      </c>
      <c r="G2449" s="22">
        <v>46269</v>
      </c>
      <c r="H2449" t="s">
        <v>79</v>
      </c>
      <c r="I2449" s="51" t="str">
        <f>IFERROR(IF(VLOOKUP(E2449,extracto!C:C,1,FALSE)=E2449,"pagado","no pagado"),"no pagado")</f>
        <v>no pagado</v>
      </c>
      <c r="J2449" s="52" t="str">
        <f t="shared" ca="1" si="888"/>
        <v>en periodo de pago</v>
      </c>
      <c r="K2449" s="51" t="str">
        <f t="shared" ca="1" si="889"/>
        <v>a pagar</v>
      </c>
      <c r="L2449" s="51" t="str">
        <f t="shared" ca="1" si="890"/>
        <v>no semana</v>
      </c>
      <c r="M2449" s="51" t="str">
        <f>IFERROR(VLOOKUP(E2449,'cheques a conf'!A:D,4,FALSE),"no clearing")</f>
        <v>clearing</v>
      </c>
      <c r="N2449" s="51">
        <f t="shared" si="891"/>
        <v>36</v>
      </c>
      <c r="O2449" s="53">
        <f t="shared" si="892"/>
        <v>9</v>
      </c>
      <c r="P2449" s="53">
        <f t="shared" si="893"/>
        <v>2026</v>
      </c>
    </row>
    <row r="2450" spans="1:16" x14ac:dyDescent="0.25">
      <c r="A2450" s="21">
        <v>3000005583</v>
      </c>
      <c r="B2450" s="22">
        <v>46265</v>
      </c>
      <c r="C2450" s="20">
        <v>39228520.280000001</v>
      </c>
      <c r="D2450" s="21" t="s">
        <v>715</v>
      </c>
      <c r="E2450" s="21">
        <v>91003552</v>
      </c>
      <c r="F2450" s="20">
        <v>39228520.280000001</v>
      </c>
      <c r="G2450" s="22">
        <v>46267</v>
      </c>
      <c r="H2450" t="s">
        <v>79</v>
      </c>
      <c r="I2450" s="51" t="str">
        <f>IFERROR(IF(VLOOKUP(E2450,extracto!C:C,1,FALSE)=E2450,"pagado","no pagado"),"no pagado")</f>
        <v>pagado</v>
      </c>
      <c r="J2450" s="52" t="str">
        <f t="shared" si="888"/>
        <v>pagado</v>
      </c>
      <c r="K2450" s="51" t="str">
        <f t="shared" ca="1" si="889"/>
        <v>excluir</v>
      </c>
      <c r="L2450" s="51" t="str">
        <f t="shared" ca="1" si="890"/>
        <v>no semana</v>
      </c>
      <c r="M2450" s="51" t="str">
        <f>IFERROR(VLOOKUP(E2450,'cheques a conf'!A:D,4,FALSE),"no clearing")</f>
        <v>no clearing</v>
      </c>
      <c r="N2450" s="51">
        <f t="shared" si="891"/>
        <v>36</v>
      </c>
      <c r="O2450" s="53">
        <f t="shared" si="892"/>
        <v>9</v>
      </c>
      <c r="P2450" s="53">
        <f t="shared" si="893"/>
        <v>2026</v>
      </c>
    </row>
    <row r="2451" spans="1:16" x14ac:dyDescent="0.25">
      <c r="A2451" s="21">
        <v>3000005584</v>
      </c>
      <c r="B2451" s="22">
        <v>46265</v>
      </c>
      <c r="C2451" s="20">
        <v>7359300</v>
      </c>
      <c r="D2451" s="21" t="s">
        <v>39</v>
      </c>
      <c r="E2451" s="21">
        <v>91003553</v>
      </c>
      <c r="F2451" s="20">
        <v>7359300</v>
      </c>
      <c r="G2451" s="22">
        <v>46269</v>
      </c>
      <c r="H2451" t="s">
        <v>79</v>
      </c>
      <c r="I2451" s="51" t="str">
        <f>IFERROR(IF(VLOOKUP(E2451,extracto!C:C,1,FALSE)=E2451,"pagado","no pagado"),"no pagado")</f>
        <v>no pagado</v>
      </c>
      <c r="J2451" s="52" t="str">
        <f t="shared" ca="1" si="888"/>
        <v>en periodo de pago</v>
      </c>
      <c r="K2451" s="51" t="str">
        <f t="shared" ca="1" si="889"/>
        <v>a pagar</v>
      </c>
      <c r="L2451" s="51" t="str">
        <f t="shared" ca="1" si="890"/>
        <v>no semana</v>
      </c>
      <c r="M2451" s="51" t="str">
        <f>IFERROR(VLOOKUP(E2451,'cheques a conf'!A:D,4,FALSE),"no clearing")</f>
        <v>no clearing</v>
      </c>
      <c r="N2451" s="51">
        <f t="shared" si="891"/>
        <v>36</v>
      </c>
      <c r="O2451" s="53">
        <f t="shared" si="892"/>
        <v>9</v>
      </c>
      <c r="P2451" s="53">
        <f t="shared" si="893"/>
        <v>2026</v>
      </c>
    </row>
    <row r="2452" spans="1:16" x14ac:dyDescent="0.25">
      <c r="A2452" s="21">
        <v>3000005585</v>
      </c>
      <c r="B2452" s="22">
        <v>46265</v>
      </c>
      <c r="C2452" s="20">
        <v>12576900.01</v>
      </c>
      <c r="D2452" s="21" t="s">
        <v>618</v>
      </c>
      <c r="E2452" s="21">
        <v>91003554</v>
      </c>
      <c r="F2452" s="20">
        <v>12576900.01</v>
      </c>
      <c r="G2452" s="22">
        <v>46269</v>
      </c>
      <c r="H2452" t="s">
        <v>79</v>
      </c>
      <c r="I2452" s="51" t="str">
        <f>IFERROR(IF(VLOOKUP(E2452,extracto!C:C,1,FALSE)=E2452,"pagado","no pagado"),"no pagado")</f>
        <v>no pagado</v>
      </c>
      <c r="J2452" s="52" t="str">
        <f t="shared" ca="1" si="888"/>
        <v>en periodo de pago</v>
      </c>
      <c r="K2452" s="51" t="str">
        <f t="shared" ca="1" si="889"/>
        <v>a pagar</v>
      </c>
      <c r="L2452" s="51" t="str">
        <f t="shared" ca="1" si="890"/>
        <v>no semana</v>
      </c>
      <c r="M2452" s="51" t="str">
        <f>IFERROR(VLOOKUP(E2452,'cheques a conf'!A:D,4,FALSE),"no clearing")</f>
        <v>clearing</v>
      </c>
      <c r="N2452" s="51">
        <f t="shared" si="891"/>
        <v>36</v>
      </c>
      <c r="O2452" s="53">
        <f t="shared" si="892"/>
        <v>9</v>
      </c>
      <c r="P2452" s="53">
        <f t="shared" si="893"/>
        <v>2026</v>
      </c>
    </row>
    <row r="2453" spans="1:16" x14ac:dyDescent="0.25">
      <c r="A2453" s="21">
        <v>3000005572</v>
      </c>
      <c r="B2453" s="22">
        <v>46266</v>
      </c>
      <c r="C2453" s="20">
        <v>6801576.04</v>
      </c>
      <c r="D2453" s="21" t="s">
        <v>819</v>
      </c>
      <c r="E2453" s="21">
        <v>91003555</v>
      </c>
      <c r="F2453" s="20">
        <v>6801576.04</v>
      </c>
      <c r="G2453" s="22">
        <v>46269</v>
      </c>
      <c r="H2453" t="s">
        <v>79</v>
      </c>
      <c r="I2453" s="51" t="str">
        <f>IFERROR(IF(VLOOKUP(E2453,extracto!C:C,1,FALSE)=E2453,"pagado","no pagado"),"no pagado")</f>
        <v>no pagado</v>
      </c>
      <c r="J2453" s="52" t="str">
        <f t="shared" ca="1" si="888"/>
        <v>en periodo de pago</v>
      </c>
      <c r="K2453" s="51" t="str">
        <f t="shared" ca="1" si="889"/>
        <v>a pagar</v>
      </c>
      <c r="L2453" s="51" t="str">
        <f t="shared" ca="1" si="890"/>
        <v>no semana</v>
      </c>
      <c r="M2453" s="51" t="str">
        <f>IFERROR(VLOOKUP(E2453,'cheques a conf'!A:D,4,FALSE),"no clearing")</f>
        <v>no clearing</v>
      </c>
      <c r="N2453" s="51">
        <f t="shared" si="891"/>
        <v>36</v>
      </c>
      <c r="O2453" s="53">
        <f t="shared" si="892"/>
        <v>9</v>
      </c>
      <c r="P2453" s="53">
        <f t="shared" si="893"/>
        <v>2026</v>
      </c>
    </row>
    <row r="2454" spans="1:16" x14ac:dyDescent="0.25">
      <c r="A2454" s="21">
        <v>3000005637</v>
      </c>
      <c r="B2454" s="22">
        <v>46267</v>
      </c>
      <c r="C2454" s="20">
        <v>1713032.21</v>
      </c>
      <c r="D2454" s="21" t="s">
        <v>611</v>
      </c>
      <c r="E2454" s="21">
        <v>66622028</v>
      </c>
      <c r="F2454" s="20">
        <v>1713032.21</v>
      </c>
      <c r="G2454" s="22">
        <v>46268</v>
      </c>
      <c r="H2454" t="s">
        <v>79</v>
      </c>
      <c r="I2454" s="51" t="str">
        <f>IFERROR(IF(VLOOKUP(E2454,extracto!C:C,1,FALSE)=E2454,"pagado","no pagado"),"no pagado")</f>
        <v>pagado</v>
      </c>
      <c r="J2454" s="52" t="str">
        <f t="shared" si="888"/>
        <v>pagado</v>
      </c>
      <c r="K2454" s="51" t="str">
        <f t="shared" ca="1" si="889"/>
        <v>excluir</v>
      </c>
      <c r="L2454" s="51" t="str">
        <f t="shared" ca="1" si="890"/>
        <v>no semana</v>
      </c>
      <c r="M2454" s="51" t="str">
        <f>IFERROR(VLOOKUP(E2454,'cheques a conf'!A:D,4,FALSE),"no clearing")</f>
        <v>no clearing</v>
      </c>
      <c r="N2454" s="51">
        <f t="shared" si="891"/>
        <v>36</v>
      </c>
      <c r="O2454" s="53">
        <f t="shared" si="892"/>
        <v>9</v>
      </c>
      <c r="P2454" s="53">
        <f t="shared" si="893"/>
        <v>2026</v>
      </c>
    </row>
    <row r="2455" spans="1:16" x14ac:dyDescent="0.25">
      <c r="A2455" s="21">
        <v>3000005638</v>
      </c>
      <c r="B2455" s="22">
        <v>46267</v>
      </c>
      <c r="C2455" s="20">
        <v>38917367.920000002</v>
      </c>
      <c r="D2455" s="21" t="s">
        <v>761</v>
      </c>
      <c r="E2455" s="21">
        <v>91003556</v>
      </c>
      <c r="F2455" s="20">
        <v>38917367.920000002</v>
      </c>
      <c r="G2455" s="22">
        <v>46272</v>
      </c>
      <c r="H2455" t="s">
        <v>79</v>
      </c>
      <c r="I2455" s="51" t="str">
        <f>IFERROR(IF(VLOOKUP(E2455,extracto!C:C,1,FALSE)=E2455,"pagado","no pagado"),"no pagado")</f>
        <v>no pagado</v>
      </c>
      <c r="J2455" s="52" t="str">
        <f t="shared" ca="1" si="888"/>
        <v>en periodo de pago</v>
      </c>
      <c r="K2455" s="51" t="str">
        <f t="shared" ca="1" si="889"/>
        <v>proximo a vencer</v>
      </c>
      <c r="L2455" s="51" t="str">
        <f t="shared" ca="1" si="890"/>
        <v>para la semana</v>
      </c>
      <c r="M2455" s="51" t="str">
        <f>IFERROR(VLOOKUP(E2455,'cheques a conf'!A:D,4,FALSE),"no clearing")</f>
        <v>no clearing</v>
      </c>
      <c r="N2455" s="51">
        <f t="shared" si="891"/>
        <v>37</v>
      </c>
      <c r="O2455" s="53">
        <f t="shared" si="892"/>
        <v>9</v>
      </c>
      <c r="P2455" s="53">
        <f t="shared" si="893"/>
        <v>2026</v>
      </c>
    </row>
    <row r="2456" spans="1:16" x14ac:dyDescent="0.25">
      <c r="A2456" s="21">
        <v>3000005639</v>
      </c>
      <c r="B2456" s="22">
        <v>46267</v>
      </c>
      <c r="C2456" s="20">
        <v>5935943.4000000004</v>
      </c>
      <c r="D2456" s="21" t="s">
        <v>1784</v>
      </c>
      <c r="E2456" s="21">
        <v>91003557</v>
      </c>
      <c r="F2456" s="20">
        <v>5935943.4000000004</v>
      </c>
      <c r="G2456" s="22">
        <v>46272</v>
      </c>
      <c r="H2456" t="s">
        <v>79</v>
      </c>
      <c r="I2456" s="51" t="str">
        <f>IFERROR(IF(VLOOKUP(E2456,extracto!C:C,1,FALSE)=E2456,"pagado","no pagado"),"no pagado")</f>
        <v>no pagado</v>
      </c>
      <c r="J2456" s="52" t="str">
        <f t="shared" ca="1" si="888"/>
        <v>en periodo de pago</v>
      </c>
      <c r="K2456" s="51" t="str">
        <f t="shared" ca="1" si="889"/>
        <v>proximo a vencer</v>
      </c>
      <c r="L2456" s="51" t="str">
        <f t="shared" ca="1" si="890"/>
        <v>para la semana</v>
      </c>
      <c r="M2456" s="51" t="str">
        <f>IFERROR(VLOOKUP(E2456,'cheques a conf'!A:D,4,FALSE),"no clearing")</f>
        <v>no clearing</v>
      </c>
      <c r="N2456" s="51">
        <f t="shared" si="891"/>
        <v>37</v>
      </c>
      <c r="O2456" s="53">
        <f t="shared" si="892"/>
        <v>9</v>
      </c>
      <c r="P2456" s="53">
        <f t="shared" si="893"/>
        <v>2026</v>
      </c>
    </row>
    <row r="2457" spans="1:16" x14ac:dyDescent="0.25">
      <c r="A2457" s="21">
        <v>3000005640</v>
      </c>
      <c r="B2457" s="22">
        <v>46267</v>
      </c>
      <c r="C2457" s="20">
        <v>5305667.92</v>
      </c>
      <c r="D2457" s="21" t="s">
        <v>17</v>
      </c>
      <c r="E2457" s="21">
        <v>91003558</v>
      </c>
      <c r="F2457" s="20">
        <v>5305667.92</v>
      </c>
      <c r="G2457" s="22">
        <v>46272</v>
      </c>
      <c r="H2457" t="s">
        <v>79</v>
      </c>
      <c r="I2457" s="51" t="str">
        <f>IFERROR(IF(VLOOKUP(E2457,extracto!C:C,1,FALSE)=E2457,"pagado","no pagado"),"no pagado")</f>
        <v>no pagado</v>
      </c>
      <c r="J2457" s="52" t="str">
        <f t="shared" ca="1" si="888"/>
        <v>en periodo de pago</v>
      </c>
      <c r="K2457" s="51" t="str">
        <f t="shared" ca="1" si="889"/>
        <v>proximo a vencer</v>
      </c>
      <c r="L2457" s="51" t="str">
        <f t="shared" ca="1" si="890"/>
        <v>para la semana</v>
      </c>
      <c r="M2457" s="51" t="str">
        <f>IFERROR(VLOOKUP(E2457,'cheques a conf'!A:D,4,FALSE),"no clearing")</f>
        <v>no clearing</v>
      </c>
      <c r="N2457" s="51">
        <f t="shared" si="891"/>
        <v>37</v>
      </c>
      <c r="O2457" s="53">
        <f t="shared" si="892"/>
        <v>9</v>
      </c>
      <c r="P2457" s="53">
        <f t="shared" si="893"/>
        <v>2026</v>
      </c>
    </row>
    <row r="2458" spans="1:16" x14ac:dyDescent="0.25">
      <c r="A2458" s="21">
        <v>3000005641</v>
      </c>
      <c r="B2458" s="22">
        <v>46267</v>
      </c>
      <c r="C2458" s="20">
        <v>11555762.869999999</v>
      </c>
      <c r="D2458" s="21" t="s">
        <v>613</v>
      </c>
      <c r="E2458" s="21">
        <v>91003559</v>
      </c>
      <c r="F2458" s="20">
        <v>11555762.869999999</v>
      </c>
      <c r="G2458" s="22">
        <v>46272</v>
      </c>
      <c r="H2458" t="s">
        <v>79</v>
      </c>
      <c r="I2458" s="51" t="str">
        <f>IFERROR(IF(VLOOKUP(E2458,extracto!C:C,1,FALSE)=E2458,"pagado","no pagado"),"no pagado")</f>
        <v>no pagado</v>
      </c>
      <c r="J2458" s="52" t="str">
        <f t="shared" ca="1" si="888"/>
        <v>en periodo de pago</v>
      </c>
      <c r="K2458" s="51" t="str">
        <f t="shared" ca="1" si="889"/>
        <v>proximo a vencer</v>
      </c>
      <c r="L2458" s="51" t="str">
        <f t="shared" ca="1" si="890"/>
        <v>para la semana</v>
      </c>
      <c r="M2458" s="51" t="str">
        <f>IFERROR(VLOOKUP(E2458,'cheques a conf'!A:D,4,FALSE),"no clearing")</f>
        <v>no clearing</v>
      </c>
      <c r="N2458" s="51">
        <f t="shared" si="891"/>
        <v>37</v>
      </c>
      <c r="O2458" s="53">
        <f t="shared" si="892"/>
        <v>9</v>
      </c>
      <c r="P2458" s="53">
        <f t="shared" si="893"/>
        <v>2026</v>
      </c>
    </row>
    <row r="2459" spans="1:16" x14ac:dyDescent="0.25">
      <c r="A2459" s="21">
        <v>3000005642</v>
      </c>
      <c r="B2459" s="22">
        <v>46267</v>
      </c>
      <c r="C2459" s="20">
        <v>16859867.920000002</v>
      </c>
      <c r="D2459" s="21" t="s">
        <v>619</v>
      </c>
      <c r="E2459" s="21">
        <v>91003560</v>
      </c>
      <c r="F2459" s="20">
        <v>16859867.920000002</v>
      </c>
      <c r="G2459" s="22">
        <v>46272</v>
      </c>
      <c r="H2459" t="s">
        <v>79</v>
      </c>
      <c r="I2459" s="51" t="str">
        <f>IFERROR(IF(VLOOKUP(E2459,extracto!C:C,1,FALSE)=E2459,"pagado","no pagado"),"no pagado")</f>
        <v>no pagado</v>
      </c>
      <c r="J2459" s="52" t="str">
        <f t="shared" ca="1" si="888"/>
        <v>en periodo de pago</v>
      </c>
      <c r="K2459" s="51" t="str">
        <f t="shared" ca="1" si="889"/>
        <v>proximo a vencer</v>
      </c>
      <c r="L2459" s="51" t="str">
        <f t="shared" ca="1" si="890"/>
        <v>para la semana</v>
      </c>
      <c r="M2459" s="51" t="str">
        <f>IFERROR(VLOOKUP(E2459,'cheques a conf'!A:D,4,FALSE),"no clearing")</f>
        <v>no clearing</v>
      </c>
      <c r="N2459" s="51">
        <f t="shared" si="891"/>
        <v>37</v>
      </c>
      <c r="O2459" s="53">
        <f t="shared" si="892"/>
        <v>9</v>
      </c>
      <c r="P2459" s="53">
        <f t="shared" si="893"/>
        <v>2026</v>
      </c>
    </row>
    <row r="2460" spans="1:16" x14ac:dyDescent="0.25">
      <c r="A2460" s="21">
        <v>3000005643</v>
      </c>
      <c r="B2460" s="22">
        <v>46267</v>
      </c>
      <c r="C2460" s="20">
        <v>17393857.059999999</v>
      </c>
      <c r="D2460" s="21" t="s">
        <v>616</v>
      </c>
      <c r="E2460" s="21">
        <v>91003561</v>
      </c>
      <c r="F2460" s="20">
        <v>17393857.059999999</v>
      </c>
      <c r="G2460" s="22">
        <v>46272</v>
      </c>
      <c r="H2460" t="s">
        <v>79</v>
      </c>
      <c r="I2460" s="51" t="str">
        <f>IFERROR(IF(VLOOKUP(E2460,extracto!C:C,1,FALSE)=E2460,"pagado","no pagado"),"no pagado")</f>
        <v>no pagado</v>
      </c>
      <c r="J2460" s="52" t="str">
        <f t="shared" ca="1" si="888"/>
        <v>en periodo de pago</v>
      </c>
      <c r="K2460" s="51" t="str">
        <f t="shared" ca="1" si="889"/>
        <v>proximo a vencer</v>
      </c>
      <c r="L2460" s="51" t="str">
        <f t="shared" ca="1" si="890"/>
        <v>para la semana</v>
      </c>
      <c r="M2460" s="51" t="str">
        <f>IFERROR(VLOOKUP(E2460,'cheques a conf'!A:D,4,FALSE),"no clearing")</f>
        <v>no clearing</v>
      </c>
      <c r="N2460" s="51">
        <f t="shared" si="891"/>
        <v>37</v>
      </c>
      <c r="O2460" s="53">
        <f t="shared" si="892"/>
        <v>9</v>
      </c>
      <c r="P2460" s="53">
        <f t="shared" si="893"/>
        <v>2026</v>
      </c>
    </row>
    <row r="2461" spans="1:16" x14ac:dyDescent="0.25">
      <c r="H2461" t="s">
        <v>79</v>
      </c>
      <c r="I2461" s="51" t="str">
        <f>IFERROR(IF(VLOOKUP(E2461,extracto!C:C,1,FALSE)=E2461,"pagado","no pagado"),"no pagado")</f>
        <v>no pagado</v>
      </c>
      <c r="J2461" s="52" t="str">
        <f t="shared" ca="1" si="888"/>
        <v>fuera de fecha</v>
      </c>
      <c r="K2461" s="51" t="str">
        <f t="shared" ca="1" si="889"/>
        <v>excluir</v>
      </c>
      <c r="L2461" s="51" t="str">
        <f t="shared" ca="1" si="890"/>
        <v>no semana</v>
      </c>
      <c r="M2461" s="51" t="str">
        <f>IFERROR(VLOOKUP(E2461,'cheques a conf'!A:D,4,FALSE),"no clearing")</f>
        <v>no clearing</v>
      </c>
      <c r="N2461" s="51">
        <f t="shared" si="891"/>
        <v>1</v>
      </c>
      <c r="O2461" s="53">
        <f t="shared" si="892"/>
        <v>1</v>
      </c>
      <c r="P2461" s="53">
        <f t="shared" si="893"/>
        <v>1900</v>
      </c>
    </row>
    <row r="2462" spans="1:16" x14ac:dyDescent="0.25">
      <c r="I2462" s="51" t="str">
        <f>IFERROR(IF(VLOOKUP(E2462,extracto!C:C,1,FALSE)=E2462,"pagado","no pagado"),"no pagado")</f>
        <v>no pagado</v>
      </c>
      <c r="J2462" s="52" t="str">
        <f t="shared" ca="1" si="888"/>
        <v>fuera de fecha</v>
      </c>
      <c r="K2462" s="51" t="str">
        <f t="shared" ca="1" si="889"/>
        <v>excluir</v>
      </c>
      <c r="L2462" s="51" t="str">
        <f t="shared" ca="1" si="890"/>
        <v>no semana</v>
      </c>
      <c r="M2462" s="51" t="str">
        <f>IFERROR(VLOOKUP(E2462,'cheques a conf'!A:D,4,FALSE),"no clearing")</f>
        <v>no clearing</v>
      </c>
      <c r="N2462" s="51">
        <f t="shared" si="891"/>
        <v>1</v>
      </c>
      <c r="O2462" s="53">
        <f t="shared" si="892"/>
        <v>1</v>
      </c>
      <c r="P2462" s="53">
        <f t="shared" si="893"/>
        <v>1900</v>
      </c>
    </row>
  </sheetData>
  <dataValidations disablePrompts="1" count="1">
    <dataValidation type="list" allowBlank="1" showInputMessage="1" showErrorMessage="1" sqref="U1" xr:uid="{00000000-0002-0000-0200-000000000000}">
      <formula1>"HOY,CIERRE"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373"/>
  <sheetViews>
    <sheetView topLeftCell="A2356" workbookViewId="0">
      <selection activeCell="F2374" sqref="F2374"/>
    </sheetView>
  </sheetViews>
  <sheetFormatPr baseColWidth="10" defaultRowHeight="15" x14ac:dyDescent="0.25"/>
  <cols>
    <col min="1" max="1" width="13.28515625" style="18" customWidth="1"/>
    <col min="2" max="2" width="11.42578125" style="23"/>
    <col min="5" max="5" width="15.7109375" style="4" bestFit="1" customWidth="1"/>
    <col min="6" max="6" width="30.140625" bestFit="1" customWidth="1"/>
    <col min="7" max="7" width="12.85546875" style="18" customWidth="1"/>
    <col min="12" max="12" width="15.7109375" bestFit="1" customWidth="1"/>
    <col min="13" max="18" width="16.140625" bestFit="1" customWidth="1"/>
    <col min="19" max="20" width="17.7109375" bestFit="1" customWidth="1"/>
    <col min="21" max="21" width="16.140625" bestFit="1" customWidth="1"/>
    <col min="22" max="24" width="11.7109375" bestFit="1" customWidth="1"/>
  </cols>
  <sheetData>
    <row r="1" spans="1:24" x14ac:dyDescent="0.25">
      <c r="A1" s="1" t="s">
        <v>15</v>
      </c>
      <c r="B1" s="23" t="s">
        <v>7</v>
      </c>
      <c r="C1" s="1" t="s">
        <v>8</v>
      </c>
      <c r="D1" s="1" t="s">
        <v>9</v>
      </c>
      <c r="E1" s="2" t="s">
        <v>10</v>
      </c>
      <c r="F1" s="1" t="s">
        <v>11</v>
      </c>
      <c r="G1" s="1" t="s">
        <v>16</v>
      </c>
      <c r="H1" s="32"/>
      <c r="I1" s="33" t="s">
        <v>64</v>
      </c>
      <c r="J1" s="33" t="s">
        <v>22</v>
      </c>
      <c r="K1" s="1"/>
      <c r="L1" s="1"/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</row>
    <row r="2" spans="1:24" x14ac:dyDescent="0.25">
      <c r="A2" t="s">
        <v>21</v>
      </c>
      <c r="B2" t="s">
        <v>91</v>
      </c>
      <c r="C2">
        <v>2927339</v>
      </c>
      <c r="D2">
        <v>52</v>
      </c>
      <c r="E2" s="4">
        <v>-30000000</v>
      </c>
      <c r="F2" t="s">
        <v>20</v>
      </c>
      <c r="G2">
        <v>2</v>
      </c>
      <c r="H2" s="32" t="str">
        <f ca="1">+IF(B2&gt;'sap nuevo'!$V$1,"cargar",IF(C2="","cargar","pagado"))</f>
        <v>cargar</v>
      </c>
      <c r="I2" s="32">
        <f t="shared" ref="I2:I5" si="0">+YEAR(B2)</f>
        <v>2025</v>
      </c>
      <c r="J2" s="32">
        <f t="shared" ref="J2:J5" si="1">+MONTH(B2)</f>
        <v>1</v>
      </c>
    </row>
    <row r="3" spans="1:24" x14ac:dyDescent="0.25">
      <c r="A3" t="s">
        <v>21</v>
      </c>
      <c r="B3" t="s">
        <v>91</v>
      </c>
      <c r="C3">
        <v>94326773</v>
      </c>
      <c r="D3">
        <v>52</v>
      </c>
      <c r="E3" s="4">
        <v>-21000000</v>
      </c>
      <c r="F3" t="s">
        <v>20</v>
      </c>
      <c r="G3">
        <v>2</v>
      </c>
      <c r="H3" s="32" t="str">
        <f ca="1">+IF(B3&gt;'sap nuevo'!$V$1,"cargar",IF(C3="","cargar","pagado"))</f>
        <v>cargar</v>
      </c>
      <c r="I3" s="32">
        <f t="shared" si="0"/>
        <v>2025</v>
      </c>
      <c r="J3" s="32">
        <f t="shared" si="1"/>
        <v>1</v>
      </c>
    </row>
    <row r="4" spans="1:24" x14ac:dyDescent="0.25">
      <c r="A4" t="s">
        <v>21</v>
      </c>
      <c r="B4" t="s">
        <v>859</v>
      </c>
      <c r="C4">
        <v>91002225</v>
      </c>
      <c r="D4">
        <v>140</v>
      </c>
      <c r="E4" s="4">
        <v>-20000000</v>
      </c>
      <c r="F4" t="s">
        <v>80</v>
      </c>
      <c r="G4">
        <v>0</v>
      </c>
      <c r="H4" s="32" t="str">
        <f ca="1">+IF(B4&gt;'sap nuevo'!$V$1,"cargar",IF(C4="","cargar","pagado"))</f>
        <v>cargar</v>
      </c>
      <c r="I4" s="32">
        <f t="shared" si="0"/>
        <v>2024</v>
      </c>
      <c r="J4" s="32">
        <f t="shared" si="1"/>
        <v>12</v>
      </c>
    </row>
    <row r="5" spans="1:24" x14ac:dyDescent="0.25">
      <c r="A5" t="s">
        <v>21</v>
      </c>
      <c r="B5" t="s">
        <v>859</v>
      </c>
      <c r="C5">
        <v>91002223</v>
      </c>
      <c r="D5">
        <v>140</v>
      </c>
      <c r="E5" s="4">
        <v>-13728007.9</v>
      </c>
      <c r="F5" t="s">
        <v>80</v>
      </c>
      <c r="G5">
        <v>0</v>
      </c>
      <c r="H5" s="32" t="str">
        <f ca="1">+IF(B5&gt;'sap nuevo'!$V$1,"cargar",IF(C5="","cargar","pagado"))</f>
        <v>cargar</v>
      </c>
      <c r="I5" s="32">
        <f t="shared" si="0"/>
        <v>2024</v>
      </c>
      <c r="J5" s="32">
        <f t="shared" si="1"/>
        <v>12</v>
      </c>
    </row>
    <row r="6" spans="1:24" x14ac:dyDescent="0.25">
      <c r="A6" t="s">
        <v>21</v>
      </c>
      <c r="B6" t="s">
        <v>859</v>
      </c>
      <c r="C6">
        <v>91002224</v>
      </c>
      <c r="D6">
        <v>140</v>
      </c>
      <c r="E6" s="4">
        <v>-10094700</v>
      </c>
      <c r="F6" t="s">
        <v>80</v>
      </c>
      <c r="G6">
        <v>0</v>
      </c>
      <c r="H6" s="32" t="str">
        <f ca="1">+IF(B6&gt;'sap nuevo'!$V$1,"cargar",IF(C6="","cargar","pagado"))</f>
        <v>cargar</v>
      </c>
      <c r="I6" s="32">
        <f t="shared" ref="I6:I15" si="2">+YEAR(B6)</f>
        <v>2024</v>
      </c>
      <c r="J6" s="32">
        <f t="shared" ref="J6:J15" si="3">+MONTH(B6)</f>
        <v>12</v>
      </c>
    </row>
    <row r="7" spans="1:24" x14ac:dyDescent="0.25">
      <c r="A7" t="s">
        <v>21</v>
      </c>
      <c r="B7" t="s">
        <v>859</v>
      </c>
      <c r="C7">
        <v>91002227</v>
      </c>
      <c r="D7">
        <v>140</v>
      </c>
      <c r="E7" s="4">
        <v>-8957715.9399999995</v>
      </c>
      <c r="F7" t="s">
        <v>80</v>
      </c>
      <c r="G7">
        <v>0</v>
      </c>
      <c r="H7" s="32" t="str">
        <f ca="1">+IF(B7&gt;'sap nuevo'!$V$1,"cargar",IF(C7="","cargar","pagado"))</f>
        <v>cargar</v>
      </c>
      <c r="I7" s="32">
        <f t="shared" si="2"/>
        <v>2024</v>
      </c>
      <c r="J7" s="32">
        <f t="shared" si="3"/>
        <v>12</v>
      </c>
    </row>
    <row r="8" spans="1:24" x14ac:dyDescent="0.25">
      <c r="A8" t="s">
        <v>12</v>
      </c>
      <c r="B8" t="s">
        <v>859</v>
      </c>
      <c r="C8">
        <v>91002221</v>
      </c>
      <c r="D8">
        <v>140</v>
      </c>
      <c r="E8" s="4">
        <v>-8617859.3200000003</v>
      </c>
      <c r="F8" t="s">
        <v>82</v>
      </c>
      <c r="G8">
        <v>0</v>
      </c>
      <c r="H8" s="32" t="str">
        <f ca="1">+IF(B8&gt;'sap nuevo'!$V$1,"cargar",IF(C8="","cargar","pagado"))</f>
        <v>cargar</v>
      </c>
      <c r="I8" s="32">
        <f t="shared" si="2"/>
        <v>2024</v>
      </c>
      <c r="J8" s="32">
        <f t="shared" si="3"/>
        <v>12</v>
      </c>
    </row>
    <row r="9" spans="1:24" x14ac:dyDescent="0.25">
      <c r="A9" t="s">
        <v>21</v>
      </c>
      <c r="B9" t="s">
        <v>859</v>
      </c>
      <c r="C9">
        <v>91002222</v>
      </c>
      <c r="D9">
        <v>140</v>
      </c>
      <c r="E9" s="4">
        <v>-6807063.8300000001</v>
      </c>
      <c r="F9" t="s">
        <v>80</v>
      </c>
      <c r="G9">
        <v>0</v>
      </c>
      <c r="H9" s="32" t="str">
        <f ca="1">+IF(B9&gt;'sap nuevo'!$V$1,"cargar",IF(C9="","cargar","pagado"))</f>
        <v>cargar</v>
      </c>
      <c r="I9" s="32">
        <f t="shared" si="2"/>
        <v>2024</v>
      </c>
      <c r="J9" s="32">
        <f t="shared" si="3"/>
        <v>12</v>
      </c>
    </row>
    <row r="10" spans="1:24" x14ac:dyDescent="0.25">
      <c r="A10" t="s">
        <v>21</v>
      </c>
      <c r="B10" t="s">
        <v>859</v>
      </c>
      <c r="C10">
        <v>91002219</v>
      </c>
      <c r="D10">
        <v>140</v>
      </c>
      <c r="E10" s="4">
        <v>-5744691.25</v>
      </c>
      <c r="F10" t="s">
        <v>80</v>
      </c>
      <c r="G10">
        <v>0</v>
      </c>
      <c r="H10" s="32" t="str">
        <f ca="1">+IF(B10&gt;'sap nuevo'!$V$1,"cargar",IF(C10="","cargar","pagado"))</f>
        <v>cargar</v>
      </c>
      <c r="I10" s="32">
        <f t="shared" si="2"/>
        <v>2024</v>
      </c>
      <c r="J10" s="32">
        <f t="shared" si="3"/>
        <v>12</v>
      </c>
    </row>
    <row r="11" spans="1:24" x14ac:dyDescent="0.25">
      <c r="A11" t="s">
        <v>21</v>
      </c>
      <c r="B11" t="s">
        <v>859</v>
      </c>
      <c r="C11">
        <v>91002220</v>
      </c>
      <c r="D11">
        <v>140</v>
      </c>
      <c r="E11" s="4">
        <v>-5137431.2</v>
      </c>
      <c r="F11" t="s">
        <v>80</v>
      </c>
      <c r="G11">
        <v>0</v>
      </c>
      <c r="H11" s="32" t="str">
        <f ca="1">+IF(B11&gt;'sap nuevo'!$V$1,"cargar",IF(C11="","cargar","pagado"))</f>
        <v>cargar</v>
      </c>
      <c r="I11" s="32">
        <f t="shared" si="2"/>
        <v>2024</v>
      </c>
      <c r="J11" s="32">
        <f t="shared" si="3"/>
        <v>12</v>
      </c>
    </row>
    <row r="12" spans="1:24" x14ac:dyDescent="0.25">
      <c r="A12" t="s">
        <v>21</v>
      </c>
      <c r="B12" t="s">
        <v>92</v>
      </c>
      <c r="C12">
        <v>2927340</v>
      </c>
      <c r="D12">
        <v>52</v>
      </c>
      <c r="E12" s="4">
        <v>-28938605.300000001</v>
      </c>
      <c r="F12" t="s">
        <v>20</v>
      </c>
      <c r="G12">
        <v>2</v>
      </c>
      <c r="H12" s="32" t="str">
        <f ca="1">+IF(B12&gt;'sap nuevo'!$V$1,"cargar",IF(C12="","cargar","pagado"))</f>
        <v>cargar</v>
      </c>
      <c r="I12" s="32">
        <f t="shared" si="2"/>
        <v>2025</v>
      </c>
      <c r="J12" s="32">
        <f t="shared" si="3"/>
        <v>1</v>
      </c>
    </row>
    <row r="13" spans="1:24" x14ac:dyDescent="0.25">
      <c r="A13" t="s">
        <v>21</v>
      </c>
      <c r="B13" t="s">
        <v>92</v>
      </c>
      <c r="C13">
        <v>94326775</v>
      </c>
      <c r="D13">
        <v>52</v>
      </c>
      <c r="E13" s="4">
        <v>-2430186.17</v>
      </c>
      <c r="F13" t="s">
        <v>20</v>
      </c>
      <c r="G13">
        <v>2</v>
      </c>
      <c r="H13" s="32" t="str">
        <f ca="1">+IF(B13&gt;'sap nuevo'!$V$1,"cargar",IF(C13="","cargar","pagado"))</f>
        <v>cargar</v>
      </c>
      <c r="I13" s="32">
        <f t="shared" si="2"/>
        <v>2025</v>
      </c>
      <c r="J13" s="32">
        <f t="shared" si="3"/>
        <v>1</v>
      </c>
    </row>
    <row r="14" spans="1:24" x14ac:dyDescent="0.25">
      <c r="A14" t="s">
        <v>21</v>
      </c>
      <c r="B14" t="s">
        <v>92</v>
      </c>
      <c r="C14">
        <v>91002226</v>
      </c>
      <c r="D14">
        <v>140</v>
      </c>
      <c r="E14" s="4">
        <v>-19458366.920000002</v>
      </c>
      <c r="F14" t="s">
        <v>80</v>
      </c>
      <c r="G14">
        <v>0</v>
      </c>
      <c r="H14" s="32" t="str">
        <f ca="1">+IF(B14&gt;'sap nuevo'!$V$1,"cargar",IF(C14="","cargar","pagado"))</f>
        <v>cargar</v>
      </c>
      <c r="I14" s="32">
        <f t="shared" si="2"/>
        <v>2025</v>
      </c>
      <c r="J14" s="32">
        <f t="shared" si="3"/>
        <v>1</v>
      </c>
    </row>
    <row r="15" spans="1:24" x14ac:dyDescent="0.25">
      <c r="A15" t="s">
        <v>21</v>
      </c>
      <c r="B15" t="s">
        <v>92</v>
      </c>
      <c r="C15">
        <v>91002218</v>
      </c>
      <c r="D15">
        <v>140</v>
      </c>
      <c r="E15" s="4">
        <v>-9654959.4000000004</v>
      </c>
      <c r="F15" t="s">
        <v>80</v>
      </c>
      <c r="G15">
        <v>0</v>
      </c>
      <c r="H15" s="32" t="str">
        <f ca="1">+IF(B15&gt;'sap nuevo'!$V$1,"cargar",IF(C15="","cargar","pagado"))</f>
        <v>cargar</v>
      </c>
      <c r="I15" s="32">
        <f t="shared" si="2"/>
        <v>2025</v>
      </c>
      <c r="J15" s="32">
        <f t="shared" si="3"/>
        <v>1</v>
      </c>
    </row>
    <row r="16" spans="1:24" x14ac:dyDescent="0.25">
      <c r="A16" t="s">
        <v>21</v>
      </c>
      <c r="B16" t="s">
        <v>93</v>
      </c>
      <c r="C16">
        <v>2927338</v>
      </c>
      <c r="D16">
        <v>52</v>
      </c>
      <c r="E16" s="4">
        <v>-6622795.2599999998</v>
      </c>
      <c r="F16" t="s">
        <v>20</v>
      </c>
      <c r="G16">
        <v>2</v>
      </c>
      <c r="H16" s="32" t="str">
        <f ca="1">+IF(B16&gt;'sap nuevo'!$V$1,"cargar",IF(C16="","cargar","pagado"))</f>
        <v>cargar</v>
      </c>
      <c r="I16" s="32">
        <f t="shared" ref="I16:I28" si="4">+YEAR(B16)</f>
        <v>2025</v>
      </c>
      <c r="J16" s="32">
        <f t="shared" ref="J16:J28" si="5">+MONTH(B16)</f>
        <v>1</v>
      </c>
    </row>
    <row r="17" spans="1:10" x14ac:dyDescent="0.25">
      <c r="A17" t="s">
        <v>21</v>
      </c>
      <c r="B17" t="s">
        <v>94</v>
      </c>
      <c r="C17">
        <v>2927289</v>
      </c>
      <c r="D17">
        <v>52</v>
      </c>
      <c r="E17" s="4">
        <v>-270000000</v>
      </c>
      <c r="F17" t="s">
        <v>20</v>
      </c>
      <c r="G17">
        <v>2</v>
      </c>
      <c r="H17" s="32" t="str">
        <f ca="1">+IF(B17&gt;'sap nuevo'!$V$1,"cargar",IF(C17="","cargar","pagado"))</f>
        <v>cargar</v>
      </c>
      <c r="I17" s="32">
        <f t="shared" si="4"/>
        <v>2025</v>
      </c>
      <c r="J17" s="32">
        <f t="shared" si="5"/>
        <v>1</v>
      </c>
    </row>
    <row r="18" spans="1:10" x14ac:dyDescent="0.25">
      <c r="A18" t="s">
        <v>21</v>
      </c>
      <c r="B18" t="s">
        <v>94</v>
      </c>
      <c r="C18">
        <v>91002229</v>
      </c>
      <c r="D18">
        <v>140</v>
      </c>
      <c r="E18" s="4">
        <v>-4656543.4000000004</v>
      </c>
      <c r="F18" t="s">
        <v>80</v>
      </c>
      <c r="G18">
        <v>0</v>
      </c>
      <c r="H18" s="32" t="str">
        <f ca="1">+IF(B18&gt;'sap nuevo'!$V$1,"cargar",IF(C18="","cargar","pagado"))</f>
        <v>cargar</v>
      </c>
      <c r="I18" s="32">
        <f t="shared" si="4"/>
        <v>2025</v>
      </c>
      <c r="J18" s="32">
        <f t="shared" si="5"/>
        <v>1</v>
      </c>
    </row>
    <row r="19" spans="1:10" x14ac:dyDescent="0.25">
      <c r="A19" t="s">
        <v>21</v>
      </c>
      <c r="B19" t="s">
        <v>95</v>
      </c>
      <c r="C19">
        <v>2927332</v>
      </c>
      <c r="D19">
        <v>52</v>
      </c>
      <c r="E19" s="4">
        <v>-10000000</v>
      </c>
      <c r="F19" t="s">
        <v>20</v>
      </c>
      <c r="G19">
        <v>2</v>
      </c>
      <c r="H19" s="32" t="str">
        <f ca="1">+IF(B19&gt;'sap nuevo'!$V$1,"cargar",IF(C19="","cargar","pagado"))</f>
        <v>cargar</v>
      </c>
      <c r="I19" s="32">
        <f t="shared" si="4"/>
        <v>2025</v>
      </c>
      <c r="J19" s="32">
        <f t="shared" si="5"/>
        <v>1</v>
      </c>
    </row>
    <row r="20" spans="1:10" x14ac:dyDescent="0.25">
      <c r="A20" t="s">
        <v>21</v>
      </c>
      <c r="B20" t="s">
        <v>860</v>
      </c>
      <c r="C20">
        <v>2927346</v>
      </c>
      <c r="D20">
        <v>52</v>
      </c>
      <c r="E20" s="4">
        <v>-18230418.23</v>
      </c>
      <c r="F20" t="s">
        <v>20</v>
      </c>
      <c r="G20">
        <v>2</v>
      </c>
      <c r="H20" s="32" t="str">
        <f ca="1">+IF(B20&gt;'sap nuevo'!$V$1,"cargar",IF(C20="","cargar","pagado"))</f>
        <v>cargar</v>
      </c>
      <c r="I20" s="32">
        <f t="shared" si="4"/>
        <v>2025</v>
      </c>
      <c r="J20" s="32">
        <f t="shared" si="5"/>
        <v>1</v>
      </c>
    </row>
    <row r="21" spans="1:10" x14ac:dyDescent="0.25">
      <c r="A21" t="s">
        <v>23</v>
      </c>
      <c r="B21" t="s">
        <v>860</v>
      </c>
      <c r="C21">
        <v>94326781</v>
      </c>
      <c r="D21">
        <v>52</v>
      </c>
      <c r="E21" s="4">
        <v>-2000000</v>
      </c>
      <c r="F21" t="s">
        <v>24</v>
      </c>
      <c r="G21">
        <v>5</v>
      </c>
      <c r="H21" s="32" t="str">
        <f ca="1">+IF(B21&gt;'sap nuevo'!$V$1,"cargar",IF(C21="","cargar","pagado"))</f>
        <v>cargar</v>
      </c>
      <c r="I21" s="32">
        <f t="shared" si="4"/>
        <v>2025</v>
      </c>
      <c r="J21" s="32">
        <f t="shared" si="5"/>
        <v>1</v>
      </c>
    </row>
    <row r="22" spans="1:10" x14ac:dyDescent="0.25">
      <c r="A22" t="s">
        <v>23</v>
      </c>
      <c r="B22" t="s">
        <v>860</v>
      </c>
      <c r="C22">
        <v>94326780</v>
      </c>
      <c r="D22">
        <v>52</v>
      </c>
      <c r="E22" s="4">
        <v>-448287.35</v>
      </c>
      <c r="F22" t="s">
        <v>24</v>
      </c>
      <c r="G22">
        <v>5</v>
      </c>
      <c r="H22" s="32" t="str">
        <f ca="1">+IF(B22&gt;'sap nuevo'!$V$1,"cargar",IF(C22="","cargar","pagado"))</f>
        <v>cargar</v>
      </c>
      <c r="I22" s="32">
        <f t="shared" si="4"/>
        <v>2025</v>
      </c>
      <c r="J22" s="32">
        <f t="shared" si="5"/>
        <v>1</v>
      </c>
    </row>
    <row r="23" spans="1:10" x14ac:dyDescent="0.25">
      <c r="A23" t="s">
        <v>21</v>
      </c>
      <c r="B23" t="s">
        <v>95</v>
      </c>
      <c r="C23">
        <v>91002231</v>
      </c>
      <c r="D23">
        <v>140</v>
      </c>
      <c r="E23" s="4">
        <v>-9873403.4000000004</v>
      </c>
      <c r="F23" t="s">
        <v>80</v>
      </c>
      <c r="G23">
        <v>0</v>
      </c>
      <c r="H23" s="32" t="str">
        <f ca="1">+IF(B23&gt;'sap nuevo'!$V$1,"cargar",IF(C23="","cargar","pagado"))</f>
        <v>cargar</v>
      </c>
      <c r="I23" s="32">
        <f t="shared" si="4"/>
        <v>2025</v>
      </c>
      <c r="J23" s="32">
        <f t="shared" si="5"/>
        <v>1</v>
      </c>
    </row>
    <row r="24" spans="1:10" x14ac:dyDescent="0.25">
      <c r="A24" t="s">
        <v>21</v>
      </c>
      <c r="B24" t="s">
        <v>95</v>
      </c>
      <c r="C24">
        <v>91002232</v>
      </c>
      <c r="D24">
        <v>140</v>
      </c>
      <c r="E24" s="4">
        <v>-6665838.2699999996</v>
      </c>
      <c r="F24" t="s">
        <v>80</v>
      </c>
      <c r="G24">
        <v>0</v>
      </c>
      <c r="H24" s="32" t="str">
        <f ca="1">+IF(B24&gt;'sap nuevo'!$V$1,"cargar",IF(C24="","cargar","pagado"))</f>
        <v>cargar</v>
      </c>
      <c r="I24" s="32">
        <f t="shared" si="4"/>
        <v>2025</v>
      </c>
      <c r="J24" s="32">
        <f t="shared" si="5"/>
        <v>1</v>
      </c>
    </row>
    <row r="25" spans="1:10" x14ac:dyDescent="0.25">
      <c r="A25" t="s">
        <v>21</v>
      </c>
      <c r="B25" t="s">
        <v>95</v>
      </c>
      <c r="C25">
        <v>91002230</v>
      </c>
      <c r="D25">
        <v>140</v>
      </c>
      <c r="E25" s="4">
        <v>-4183758.4</v>
      </c>
      <c r="F25" t="s">
        <v>80</v>
      </c>
      <c r="G25">
        <v>0</v>
      </c>
      <c r="H25" s="32" t="str">
        <f ca="1">+IF(B25&gt;'sap nuevo'!$V$1,"cargar",IF(C25="","cargar","pagado"))</f>
        <v>cargar</v>
      </c>
      <c r="I25" s="32">
        <f t="shared" si="4"/>
        <v>2025</v>
      </c>
      <c r="J25" s="32">
        <f t="shared" si="5"/>
        <v>1</v>
      </c>
    </row>
    <row r="26" spans="1:10" x14ac:dyDescent="0.25">
      <c r="A26" t="s">
        <v>21</v>
      </c>
      <c r="B26" t="s">
        <v>861</v>
      </c>
      <c r="C26">
        <v>2927344</v>
      </c>
      <c r="D26">
        <v>52</v>
      </c>
      <c r="E26" s="4">
        <v>-6715811.7999999998</v>
      </c>
      <c r="F26" t="s">
        <v>20</v>
      </c>
      <c r="G26">
        <v>2</v>
      </c>
      <c r="H26" s="32" t="str">
        <f ca="1">+IF(B26&gt;'sap nuevo'!$V$1,"cargar",IF(C26="","cargar","pagado"))</f>
        <v>cargar</v>
      </c>
      <c r="I26" s="32">
        <f t="shared" si="4"/>
        <v>2025</v>
      </c>
      <c r="J26" s="32">
        <f t="shared" si="5"/>
        <v>1</v>
      </c>
    </row>
    <row r="27" spans="1:10" x14ac:dyDescent="0.25">
      <c r="A27" t="s">
        <v>21</v>
      </c>
      <c r="B27" t="s">
        <v>862</v>
      </c>
      <c r="C27">
        <v>2927337</v>
      </c>
      <c r="D27">
        <v>52</v>
      </c>
      <c r="E27" s="4">
        <v>-3424725</v>
      </c>
      <c r="F27" t="s">
        <v>20</v>
      </c>
      <c r="G27">
        <v>2</v>
      </c>
      <c r="H27" s="32" t="str">
        <f ca="1">+IF(B27&gt;'sap nuevo'!$V$1,"cargar",IF(C27="","cargar","pagado"))</f>
        <v>cargar</v>
      </c>
      <c r="I27" s="32">
        <f t="shared" si="4"/>
        <v>2025</v>
      </c>
      <c r="J27" s="32">
        <f t="shared" si="5"/>
        <v>1</v>
      </c>
    </row>
    <row r="28" spans="1:10" x14ac:dyDescent="0.25">
      <c r="A28" t="s">
        <v>21</v>
      </c>
      <c r="B28" t="s">
        <v>96</v>
      </c>
      <c r="C28">
        <v>91002234</v>
      </c>
      <c r="D28">
        <v>140</v>
      </c>
      <c r="E28" s="4">
        <v>-20000000</v>
      </c>
      <c r="F28" t="s">
        <v>80</v>
      </c>
      <c r="G28">
        <v>0</v>
      </c>
      <c r="H28" s="32" t="str">
        <f ca="1">+IF(B28&gt;'sap nuevo'!$V$1,"cargar",IF(C28="","cargar","pagado"))</f>
        <v>cargar</v>
      </c>
      <c r="I28" s="32">
        <f t="shared" si="4"/>
        <v>2025</v>
      </c>
      <c r="J28" s="32">
        <f t="shared" si="5"/>
        <v>1</v>
      </c>
    </row>
    <row r="29" spans="1:10" x14ac:dyDescent="0.25">
      <c r="A29" t="s">
        <v>21</v>
      </c>
      <c r="B29" t="s">
        <v>97</v>
      </c>
      <c r="C29">
        <v>94326782</v>
      </c>
      <c r="D29">
        <v>52</v>
      </c>
      <c r="E29" s="4">
        <v>-120000000</v>
      </c>
      <c r="F29" t="s">
        <v>20</v>
      </c>
      <c r="G29">
        <v>2</v>
      </c>
      <c r="H29" s="32" t="str">
        <f ca="1">+IF(B29&gt;'sap nuevo'!$V$1,"cargar",IF(C29="","cargar","pagado"))</f>
        <v>cargar</v>
      </c>
      <c r="I29" s="32">
        <f t="shared" ref="I29:I35" si="6">+YEAR(B29)</f>
        <v>2025</v>
      </c>
      <c r="J29" s="32">
        <f t="shared" ref="J29:J35" si="7">+MONTH(B29)</f>
        <v>1</v>
      </c>
    </row>
    <row r="30" spans="1:10" x14ac:dyDescent="0.25">
      <c r="A30" t="s">
        <v>21</v>
      </c>
      <c r="B30" t="s">
        <v>97</v>
      </c>
      <c r="C30">
        <v>2927351</v>
      </c>
      <c r="D30">
        <v>52</v>
      </c>
      <c r="E30" s="4">
        <v>-23000000</v>
      </c>
      <c r="F30" t="s">
        <v>20</v>
      </c>
      <c r="G30">
        <v>2</v>
      </c>
      <c r="H30" s="32" t="str">
        <f ca="1">+IF(B30&gt;'sap nuevo'!$V$1,"cargar",IF(C30="","cargar","pagado"))</f>
        <v>cargar</v>
      </c>
      <c r="I30" s="32">
        <f t="shared" si="6"/>
        <v>2025</v>
      </c>
      <c r="J30" s="32">
        <f t="shared" si="7"/>
        <v>1</v>
      </c>
    </row>
    <row r="31" spans="1:10" x14ac:dyDescent="0.25">
      <c r="A31" t="s">
        <v>21</v>
      </c>
      <c r="B31" t="s">
        <v>97</v>
      </c>
      <c r="C31">
        <v>94326783</v>
      </c>
      <c r="D31">
        <v>52</v>
      </c>
      <c r="E31" s="4">
        <v>-22000000</v>
      </c>
      <c r="F31" t="s">
        <v>20</v>
      </c>
      <c r="G31">
        <v>2</v>
      </c>
      <c r="H31" s="32" t="str">
        <f ca="1">+IF(B31&gt;'sap nuevo'!$V$1,"cargar",IF(C31="","cargar","pagado"))</f>
        <v>cargar</v>
      </c>
      <c r="I31" s="32">
        <f t="shared" si="6"/>
        <v>2025</v>
      </c>
      <c r="J31" s="32">
        <f t="shared" si="7"/>
        <v>1</v>
      </c>
    </row>
    <row r="32" spans="1:10" x14ac:dyDescent="0.25">
      <c r="A32" t="s">
        <v>21</v>
      </c>
      <c r="B32" t="s">
        <v>97</v>
      </c>
      <c r="C32">
        <v>2927347</v>
      </c>
      <c r="D32">
        <v>52</v>
      </c>
      <c r="E32" s="4">
        <v>-21000000</v>
      </c>
      <c r="F32" t="s">
        <v>20</v>
      </c>
      <c r="G32">
        <v>2</v>
      </c>
      <c r="H32" s="32" t="str">
        <f ca="1">+IF(B32&gt;'sap nuevo'!$V$1,"cargar",IF(C32="","cargar","pagado"))</f>
        <v>cargar</v>
      </c>
      <c r="I32" s="32">
        <f t="shared" si="6"/>
        <v>2025</v>
      </c>
      <c r="J32" s="32">
        <f t="shared" si="7"/>
        <v>1</v>
      </c>
    </row>
    <row r="33" spans="1:10" x14ac:dyDescent="0.25">
      <c r="A33" t="s">
        <v>21</v>
      </c>
      <c r="B33" t="s">
        <v>97</v>
      </c>
      <c r="C33">
        <v>2927350</v>
      </c>
      <c r="D33">
        <v>52</v>
      </c>
      <c r="E33" s="4">
        <v>-9367605.0899999999</v>
      </c>
      <c r="F33" t="s">
        <v>20</v>
      </c>
      <c r="G33">
        <v>2</v>
      </c>
      <c r="H33" s="32" t="str">
        <f ca="1">+IF(B33&gt;'sap nuevo'!$V$1,"cargar",IF(C33="","cargar","pagado"))</f>
        <v>cargar</v>
      </c>
      <c r="I33" s="32">
        <f t="shared" si="6"/>
        <v>2025</v>
      </c>
      <c r="J33" s="32">
        <f t="shared" si="7"/>
        <v>1</v>
      </c>
    </row>
    <row r="34" spans="1:10" x14ac:dyDescent="0.25">
      <c r="A34" t="s">
        <v>21</v>
      </c>
      <c r="B34" t="s">
        <v>97</v>
      </c>
      <c r="C34">
        <v>94326784</v>
      </c>
      <c r="D34">
        <v>52</v>
      </c>
      <c r="E34" s="4">
        <v>-6127000</v>
      </c>
      <c r="F34" t="s">
        <v>20</v>
      </c>
      <c r="G34">
        <v>2</v>
      </c>
      <c r="H34" s="32" t="str">
        <f ca="1">+IF(B34&gt;'sap nuevo'!$V$1,"cargar",IF(C34="","cargar","pagado"))</f>
        <v>cargar</v>
      </c>
      <c r="I34" s="32">
        <f t="shared" si="6"/>
        <v>2025</v>
      </c>
      <c r="J34" s="32">
        <f t="shared" si="7"/>
        <v>1</v>
      </c>
    </row>
    <row r="35" spans="1:10" x14ac:dyDescent="0.25">
      <c r="A35" t="s">
        <v>21</v>
      </c>
      <c r="B35" t="s">
        <v>97</v>
      </c>
      <c r="C35">
        <v>2927349</v>
      </c>
      <c r="D35">
        <v>52</v>
      </c>
      <c r="E35" s="4">
        <v>-5222989.75</v>
      </c>
      <c r="F35" t="s">
        <v>20</v>
      </c>
      <c r="G35">
        <v>2</v>
      </c>
      <c r="H35" s="32" t="str">
        <f ca="1">+IF(B35&gt;'sap nuevo'!$V$1,"cargar",IF(C35="","cargar","pagado"))</f>
        <v>cargar</v>
      </c>
      <c r="I35" s="32">
        <f t="shared" si="6"/>
        <v>2025</v>
      </c>
      <c r="J35" s="32">
        <f t="shared" si="7"/>
        <v>1</v>
      </c>
    </row>
    <row r="36" spans="1:10" x14ac:dyDescent="0.25">
      <c r="A36" t="s">
        <v>21</v>
      </c>
      <c r="B36" t="s">
        <v>98</v>
      </c>
      <c r="C36">
        <v>91002233</v>
      </c>
      <c r="D36">
        <v>140</v>
      </c>
      <c r="E36" s="4">
        <v>-22860153.16</v>
      </c>
      <c r="F36" t="s">
        <v>80</v>
      </c>
      <c r="G36">
        <v>0</v>
      </c>
      <c r="H36" s="32" t="str">
        <f ca="1">+IF(B36&gt;'sap nuevo'!$V$1,"cargar",IF(C36="","cargar","pagado"))</f>
        <v>cargar</v>
      </c>
      <c r="I36" s="32">
        <f t="shared" ref="I36:I37" si="8">+YEAR(B36)</f>
        <v>2025</v>
      </c>
      <c r="J36" s="32">
        <f t="shared" ref="J36:J37" si="9">+MONTH(B36)</f>
        <v>1</v>
      </c>
    </row>
    <row r="37" spans="1:10" x14ac:dyDescent="0.25">
      <c r="A37" t="s">
        <v>21</v>
      </c>
      <c r="B37" t="s">
        <v>98</v>
      </c>
      <c r="C37">
        <v>91002235</v>
      </c>
      <c r="D37">
        <v>140</v>
      </c>
      <c r="E37" s="4">
        <v>-19850367.920000002</v>
      </c>
      <c r="F37" t="s">
        <v>80</v>
      </c>
      <c r="G37">
        <v>0</v>
      </c>
      <c r="H37" s="32" t="str">
        <f ca="1">+IF(B37&gt;'sap nuevo'!$V$1,"cargar",IF(C37="","cargar","pagado"))</f>
        <v>cargar</v>
      </c>
      <c r="I37" s="32">
        <f t="shared" si="8"/>
        <v>2025</v>
      </c>
      <c r="J37" s="32">
        <f t="shared" si="9"/>
        <v>1</v>
      </c>
    </row>
    <row r="38" spans="1:10" x14ac:dyDescent="0.25">
      <c r="A38" t="s">
        <v>21</v>
      </c>
      <c r="B38" t="s">
        <v>99</v>
      </c>
      <c r="C38">
        <v>2927352</v>
      </c>
      <c r="D38">
        <v>52</v>
      </c>
      <c r="E38" s="4">
        <v>-22928224.420000002</v>
      </c>
      <c r="F38" t="s">
        <v>20</v>
      </c>
      <c r="G38">
        <v>2</v>
      </c>
      <c r="H38" s="32" t="str">
        <f ca="1">+IF(B38&gt;'sap nuevo'!$V$1,"cargar",IF(C38="","cargar","pagado"))</f>
        <v>cargar</v>
      </c>
      <c r="I38" s="32">
        <f t="shared" ref="I38:I52" si="10">+YEAR(B38)</f>
        <v>2025</v>
      </c>
      <c r="J38" s="32">
        <f t="shared" ref="J38:J52" si="11">+MONTH(B38)</f>
        <v>1</v>
      </c>
    </row>
    <row r="39" spans="1:10" x14ac:dyDescent="0.25">
      <c r="A39" t="s">
        <v>21</v>
      </c>
      <c r="B39" t="s">
        <v>99</v>
      </c>
      <c r="C39">
        <v>2927348</v>
      </c>
      <c r="D39">
        <v>52</v>
      </c>
      <c r="E39" s="4">
        <v>-20261104.68</v>
      </c>
      <c r="F39" t="s">
        <v>20</v>
      </c>
      <c r="G39">
        <v>2</v>
      </c>
      <c r="H39" s="32" t="str">
        <f ca="1">+IF(B39&gt;'sap nuevo'!$V$1,"cargar",IF(C39="","cargar","pagado"))</f>
        <v>cargar</v>
      </c>
      <c r="I39" s="32">
        <f t="shared" si="10"/>
        <v>2025</v>
      </c>
      <c r="J39" s="32">
        <f t="shared" si="11"/>
        <v>1</v>
      </c>
    </row>
    <row r="40" spans="1:10" x14ac:dyDescent="0.25">
      <c r="A40" t="s">
        <v>21</v>
      </c>
      <c r="B40" t="s">
        <v>99</v>
      </c>
      <c r="C40">
        <v>94326785</v>
      </c>
      <c r="D40">
        <v>52</v>
      </c>
      <c r="E40" s="4">
        <v>-2387500</v>
      </c>
      <c r="F40" t="s">
        <v>20</v>
      </c>
      <c r="G40">
        <v>2</v>
      </c>
      <c r="H40" s="32" t="str">
        <f ca="1">+IF(B40&gt;'sap nuevo'!$V$1,"cargar",IF(C40="","cargar","pagado"))</f>
        <v>cargar</v>
      </c>
      <c r="I40" s="32">
        <f t="shared" si="10"/>
        <v>2025</v>
      </c>
      <c r="J40" s="32">
        <f t="shared" si="11"/>
        <v>1</v>
      </c>
    </row>
    <row r="41" spans="1:10" x14ac:dyDescent="0.25">
      <c r="A41" t="s">
        <v>21</v>
      </c>
      <c r="B41" t="s">
        <v>101</v>
      </c>
      <c r="C41">
        <v>94326787</v>
      </c>
      <c r="D41">
        <v>52</v>
      </c>
      <c r="E41" s="4">
        <v>-12398389.27</v>
      </c>
      <c r="F41" t="s">
        <v>20</v>
      </c>
      <c r="G41">
        <v>2</v>
      </c>
      <c r="H41" s="32" t="str">
        <f ca="1">+IF(B41&gt;'sap nuevo'!$V$1,"cargar",IF(C41="","cargar","pagado"))</f>
        <v>cargar</v>
      </c>
      <c r="I41" s="32">
        <f t="shared" si="10"/>
        <v>2025</v>
      </c>
      <c r="J41" s="32">
        <f t="shared" si="11"/>
        <v>1</v>
      </c>
    </row>
    <row r="42" spans="1:10" x14ac:dyDescent="0.25">
      <c r="A42" t="s">
        <v>21</v>
      </c>
      <c r="B42" t="s">
        <v>101</v>
      </c>
      <c r="C42">
        <v>2927354</v>
      </c>
      <c r="D42">
        <v>52</v>
      </c>
      <c r="E42" s="4">
        <v>-8636029.0899999999</v>
      </c>
      <c r="F42" t="s">
        <v>20</v>
      </c>
      <c r="G42">
        <v>2</v>
      </c>
      <c r="H42" s="32" t="str">
        <f ca="1">+IF(B42&gt;'sap nuevo'!$V$1,"cargar",IF(C42="","cargar","pagado"))</f>
        <v>cargar</v>
      </c>
      <c r="I42" s="32">
        <f t="shared" si="10"/>
        <v>2025</v>
      </c>
      <c r="J42" s="32">
        <f t="shared" si="11"/>
        <v>1</v>
      </c>
    </row>
    <row r="43" spans="1:10" x14ac:dyDescent="0.25">
      <c r="A43" t="s">
        <v>21</v>
      </c>
      <c r="B43" t="s">
        <v>101</v>
      </c>
      <c r="C43">
        <v>2927353</v>
      </c>
      <c r="D43">
        <v>52</v>
      </c>
      <c r="E43" s="4">
        <v>-6205901.4900000002</v>
      </c>
      <c r="F43" t="s">
        <v>20</v>
      </c>
      <c r="G43">
        <v>2</v>
      </c>
      <c r="H43" s="32" t="str">
        <f ca="1">+IF(B43&gt;'sap nuevo'!$V$1,"cargar",IF(C43="","cargar","pagado"))</f>
        <v>cargar</v>
      </c>
      <c r="I43" s="32">
        <f t="shared" si="10"/>
        <v>2025</v>
      </c>
      <c r="J43" s="32">
        <f t="shared" si="11"/>
        <v>1</v>
      </c>
    </row>
    <row r="44" spans="1:10" x14ac:dyDescent="0.25">
      <c r="A44" t="s">
        <v>21</v>
      </c>
      <c r="B44" t="s">
        <v>101</v>
      </c>
      <c r="C44">
        <v>94326789</v>
      </c>
      <c r="D44">
        <v>52</v>
      </c>
      <c r="E44" s="4">
        <v>-1282000</v>
      </c>
      <c r="F44" t="s">
        <v>20</v>
      </c>
      <c r="G44">
        <v>2</v>
      </c>
      <c r="H44" s="32" t="str">
        <f ca="1">+IF(B44&gt;'sap nuevo'!$V$1,"cargar",IF(C44="","cargar","pagado"))</f>
        <v>cargar</v>
      </c>
      <c r="I44" s="32">
        <f t="shared" si="10"/>
        <v>2025</v>
      </c>
      <c r="J44" s="32">
        <f t="shared" si="11"/>
        <v>1</v>
      </c>
    </row>
    <row r="45" spans="1:10" x14ac:dyDescent="0.25">
      <c r="A45" t="s">
        <v>23</v>
      </c>
      <c r="B45" t="s">
        <v>102</v>
      </c>
      <c r="C45">
        <v>2927345</v>
      </c>
      <c r="D45">
        <v>52</v>
      </c>
      <c r="E45" s="4">
        <v>-37609623.539999999</v>
      </c>
      <c r="F45" t="s">
        <v>24</v>
      </c>
      <c r="G45">
        <v>5</v>
      </c>
      <c r="H45" s="32" t="str">
        <f ca="1">+IF(B45&gt;'sap nuevo'!$V$1,"cargar",IF(C45="","cargar","pagado"))</f>
        <v>cargar</v>
      </c>
      <c r="I45" s="32">
        <f t="shared" si="10"/>
        <v>2025</v>
      </c>
      <c r="J45" s="32">
        <f t="shared" si="11"/>
        <v>1</v>
      </c>
    </row>
    <row r="46" spans="1:10" x14ac:dyDescent="0.25">
      <c r="A46" t="s">
        <v>21</v>
      </c>
      <c r="B46" t="s">
        <v>102</v>
      </c>
      <c r="C46">
        <v>94326790</v>
      </c>
      <c r="D46">
        <v>52</v>
      </c>
      <c r="E46" s="4">
        <v>-28812441.129999999</v>
      </c>
      <c r="F46" t="s">
        <v>20</v>
      </c>
      <c r="G46">
        <v>2</v>
      </c>
      <c r="H46" s="32" t="str">
        <f ca="1">+IF(B46&gt;'sap nuevo'!$V$1,"cargar",IF(C46="","cargar","pagado"))</f>
        <v>cargar</v>
      </c>
      <c r="I46" s="32">
        <f t="shared" si="10"/>
        <v>2025</v>
      </c>
      <c r="J46" s="32">
        <f t="shared" si="11"/>
        <v>1</v>
      </c>
    </row>
    <row r="47" spans="1:10" x14ac:dyDescent="0.25">
      <c r="A47" t="s">
        <v>21</v>
      </c>
      <c r="B47" t="s">
        <v>103</v>
      </c>
      <c r="C47">
        <v>94326794</v>
      </c>
      <c r="D47">
        <v>52</v>
      </c>
      <c r="E47" s="4">
        <v>-220008590</v>
      </c>
      <c r="F47" t="s">
        <v>20</v>
      </c>
      <c r="G47">
        <v>2</v>
      </c>
      <c r="H47" s="32" t="str">
        <f ca="1">+IF(B47&gt;'sap nuevo'!$V$1,"cargar",IF(C47="","cargar","pagado"))</f>
        <v>cargar</v>
      </c>
      <c r="I47" s="32">
        <f t="shared" si="10"/>
        <v>2025</v>
      </c>
      <c r="J47" s="32">
        <f t="shared" si="11"/>
        <v>1</v>
      </c>
    </row>
    <row r="48" spans="1:10" x14ac:dyDescent="0.25">
      <c r="A48" t="s">
        <v>21</v>
      </c>
      <c r="B48" t="s">
        <v>104</v>
      </c>
      <c r="C48">
        <v>2927358</v>
      </c>
      <c r="D48">
        <v>52</v>
      </c>
      <c r="E48" s="4">
        <v>-20000000</v>
      </c>
      <c r="F48" t="s">
        <v>20</v>
      </c>
      <c r="G48">
        <v>2</v>
      </c>
      <c r="H48" s="32" t="str">
        <f ca="1">+IF(B48&gt;'sap nuevo'!$V$1,"cargar",IF(C48="","cargar","pagado"))</f>
        <v>cargar</v>
      </c>
      <c r="I48" s="32">
        <f t="shared" si="10"/>
        <v>2025</v>
      </c>
      <c r="J48" s="32">
        <f t="shared" si="11"/>
        <v>1</v>
      </c>
    </row>
    <row r="49" spans="1:10" x14ac:dyDescent="0.25">
      <c r="A49" t="s">
        <v>23</v>
      </c>
      <c r="B49" t="s">
        <v>104</v>
      </c>
      <c r="C49">
        <v>2927364</v>
      </c>
      <c r="D49">
        <v>52</v>
      </c>
      <c r="E49" s="4">
        <v>-12894135.83</v>
      </c>
      <c r="F49" t="s">
        <v>24</v>
      </c>
      <c r="G49">
        <v>5</v>
      </c>
      <c r="H49" s="32" t="str">
        <f ca="1">+IF(B49&gt;'sap nuevo'!$V$1,"cargar",IF(C49="","cargar","pagado"))</f>
        <v>cargar</v>
      </c>
      <c r="I49" s="32">
        <f t="shared" si="10"/>
        <v>2025</v>
      </c>
      <c r="J49" s="32">
        <f t="shared" si="11"/>
        <v>1</v>
      </c>
    </row>
    <row r="50" spans="1:10" x14ac:dyDescent="0.25">
      <c r="A50" t="s">
        <v>21</v>
      </c>
      <c r="B50" t="s">
        <v>104</v>
      </c>
      <c r="C50">
        <v>2927357</v>
      </c>
      <c r="D50">
        <v>52</v>
      </c>
      <c r="E50" s="4">
        <v>-11692197.359999999</v>
      </c>
      <c r="F50" t="s">
        <v>20</v>
      </c>
      <c r="G50">
        <v>2</v>
      </c>
      <c r="H50" s="32" t="str">
        <f ca="1">+IF(B50&gt;'sap nuevo'!$V$1,"cargar",IF(C50="","cargar","pagado"))</f>
        <v>cargar</v>
      </c>
      <c r="I50" s="32">
        <f t="shared" si="10"/>
        <v>2025</v>
      </c>
      <c r="J50" s="32">
        <f t="shared" si="11"/>
        <v>1</v>
      </c>
    </row>
    <row r="51" spans="1:10" x14ac:dyDescent="0.25">
      <c r="A51" t="s">
        <v>21</v>
      </c>
      <c r="B51" t="s">
        <v>104</v>
      </c>
      <c r="C51">
        <v>2927362</v>
      </c>
      <c r="D51">
        <v>52</v>
      </c>
      <c r="E51" s="4">
        <v>-6807063.8300000001</v>
      </c>
      <c r="F51" t="s">
        <v>20</v>
      </c>
      <c r="G51">
        <v>2</v>
      </c>
      <c r="H51" s="32" t="str">
        <f ca="1">+IF(B51&gt;'sap nuevo'!$V$1,"cargar",IF(C51="","cargar","pagado"))</f>
        <v>cargar</v>
      </c>
      <c r="I51" s="32">
        <f t="shared" si="10"/>
        <v>2025</v>
      </c>
      <c r="J51" s="32">
        <f t="shared" si="11"/>
        <v>1</v>
      </c>
    </row>
    <row r="52" spans="1:10" x14ac:dyDescent="0.25">
      <c r="A52" t="s">
        <v>21</v>
      </c>
      <c r="B52" t="s">
        <v>104</v>
      </c>
      <c r="C52">
        <v>2927355</v>
      </c>
      <c r="D52">
        <v>52</v>
      </c>
      <c r="E52" s="4">
        <v>-6651581.3499999996</v>
      </c>
      <c r="F52" t="s">
        <v>20</v>
      </c>
      <c r="G52">
        <v>2</v>
      </c>
      <c r="H52" s="32" t="str">
        <f ca="1">+IF(B52&gt;'sap nuevo'!$V$1,"cargar",IF(C52="","cargar","pagado"))</f>
        <v>cargar</v>
      </c>
      <c r="I52" s="32">
        <f t="shared" si="10"/>
        <v>2025</v>
      </c>
      <c r="J52" s="32">
        <f t="shared" si="11"/>
        <v>1</v>
      </c>
    </row>
    <row r="53" spans="1:10" x14ac:dyDescent="0.25">
      <c r="A53" t="s">
        <v>21</v>
      </c>
      <c r="B53" t="s">
        <v>104</v>
      </c>
      <c r="C53">
        <v>2927360</v>
      </c>
      <c r="D53">
        <v>52</v>
      </c>
      <c r="E53" s="4">
        <v>-5458642</v>
      </c>
      <c r="F53" t="s">
        <v>20</v>
      </c>
      <c r="G53">
        <v>2</v>
      </c>
      <c r="H53" s="32" t="str">
        <f ca="1">+IF(B53&gt;'sap nuevo'!$V$1,"cargar",IF(C53="","cargar","pagado"))</f>
        <v>cargar</v>
      </c>
      <c r="I53" s="32">
        <f t="shared" ref="I53:I54" si="12">+YEAR(B53)</f>
        <v>2025</v>
      </c>
      <c r="J53" s="32">
        <f t="shared" ref="J53:J54" si="13">+MONTH(B53)</f>
        <v>1</v>
      </c>
    </row>
    <row r="54" spans="1:10" x14ac:dyDescent="0.25">
      <c r="A54" t="s">
        <v>21</v>
      </c>
      <c r="B54" t="s">
        <v>104</v>
      </c>
      <c r="C54">
        <v>2927356</v>
      </c>
      <c r="D54">
        <v>52</v>
      </c>
      <c r="E54" s="4">
        <v>-5200982.25</v>
      </c>
      <c r="F54" t="s">
        <v>20</v>
      </c>
      <c r="G54">
        <v>2</v>
      </c>
      <c r="H54" s="32" t="str">
        <f ca="1">+IF(B54&gt;'sap nuevo'!$V$1,"cargar",IF(C54="","cargar","pagado"))</f>
        <v>cargar</v>
      </c>
      <c r="I54" s="32">
        <f t="shared" si="12"/>
        <v>2025</v>
      </c>
      <c r="J54" s="32">
        <f t="shared" si="13"/>
        <v>1</v>
      </c>
    </row>
    <row r="55" spans="1:10" x14ac:dyDescent="0.25">
      <c r="A55" t="s">
        <v>21</v>
      </c>
      <c r="B55" t="s">
        <v>106</v>
      </c>
      <c r="C55">
        <v>2927359</v>
      </c>
      <c r="D55">
        <v>52</v>
      </c>
      <c r="E55" s="4">
        <v>-17169371.920000002</v>
      </c>
      <c r="F55" t="s">
        <v>20</v>
      </c>
      <c r="G55">
        <v>2</v>
      </c>
      <c r="H55" s="32" t="str">
        <f ca="1">+IF(B55&gt;'sap nuevo'!$V$1,"cargar",IF(C55="","cargar","pagado"))</f>
        <v>cargar</v>
      </c>
      <c r="I55" s="32">
        <f t="shared" ref="I55:I72" si="14">+YEAR(B55)</f>
        <v>2025</v>
      </c>
      <c r="J55" s="32">
        <f t="shared" ref="J55:J72" si="15">+MONTH(B55)</f>
        <v>1</v>
      </c>
    </row>
    <row r="56" spans="1:10" x14ac:dyDescent="0.25">
      <c r="A56" t="s">
        <v>21</v>
      </c>
      <c r="B56" t="s">
        <v>106</v>
      </c>
      <c r="C56">
        <v>2927363</v>
      </c>
      <c r="D56">
        <v>52</v>
      </c>
      <c r="E56" s="4">
        <v>-11461757.92</v>
      </c>
      <c r="F56" t="s">
        <v>20</v>
      </c>
      <c r="G56">
        <v>2</v>
      </c>
      <c r="H56" s="32" t="str">
        <f ca="1">+IF(B56&gt;'sap nuevo'!$V$1,"cargar",IF(C56="","cargar","pagado"))</f>
        <v>cargar</v>
      </c>
      <c r="I56" s="32">
        <f t="shared" si="14"/>
        <v>2025</v>
      </c>
      <c r="J56" s="32">
        <f t="shared" si="15"/>
        <v>1</v>
      </c>
    </row>
    <row r="57" spans="1:10" x14ac:dyDescent="0.25">
      <c r="A57" t="s">
        <v>21</v>
      </c>
      <c r="B57" t="s">
        <v>106</v>
      </c>
      <c r="C57">
        <v>94326793</v>
      </c>
      <c r="D57">
        <v>52</v>
      </c>
      <c r="E57" s="4">
        <v>-5966545.0499999998</v>
      </c>
      <c r="F57" t="s">
        <v>20</v>
      </c>
      <c r="G57">
        <v>2</v>
      </c>
      <c r="H57" s="32" t="str">
        <f ca="1">+IF(B57&gt;'sap nuevo'!$V$1,"cargar",IF(C57="","cargar","pagado"))</f>
        <v>cargar</v>
      </c>
      <c r="I57" s="32">
        <f t="shared" si="14"/>
        <v>2025</v>
      </c>
      <c r="J57" s="32">
        <f t="shared" si="15"/>
        <v>1</v>
      </c>
    </row>
    <row r="58" spans="1:10" x14ac:dyDescent="0.25">
      <c r="A58" t="s">
        <v>21</v>
      </c>
      <c r="B58" t="s">
        <v>106</v>
      </c>
      <c r="C58">
        <v>94326788</v>
      </c>
      <c r="D58">
        <v>52</v>
      </c>
      <c r="E58" s="4">
        <v>-2024279</v>
      </c>
      <c r="F58" t="s">
        <v>20</v>
      </c>
      <c r="G58">
        <v>2</v>
      </c>
      <c r="H58" s="32" t="str">
        <f ca="1">+IF(B58&gt;'sap nuevo'!$V$1,"cargar",IF(C58="","cargar","pagado"))</f>
        <v>cargar</v>
      </c>
      <c r="I58" s="32">
        <f t="shared" si="14"/>
        <v>2025</v>
      </c>
      <c r="J58" s="32">
        <f t="shared" si="15"/>
        <v>1</v>
      </c>
    </row>
    <row r="59" spans="1:10" x14ac:dyDescent="0.25">
      <c r="A59" t="s">
        <v>21</v>
      </c>
      <c r="B59" t="s">
        <v>863</v>
      </c>
      <c r="C59">
        <v>94326791</v>
      </c>
      <c r="D59">
        <v>52</v>
      </c>
      <c r="E59" s="4">
        <v>-10000000</v>
      </c>
      <c r="F59" t="s">
        <v>20</v>
      </c>
      <c r="G59">
        <v>2</v>
      </c>
      <c r="H59" s="32" t="str">
        <f ca="1">+IF(B59&gt;'sap nuevo'!$V$1,"cargar",IF(C59="","cargar","pagado"))</f>
        <v>cargar</v>
      </c>
      <c r="I59" s="32">
        <f t="shared" si="14"/>
        <v>2025</v>
      </c>
      <c r="J59" s="32">
        <f t="shared" si="15"/>
        <v>1</v>
      </c>
    </row>
    <row r="60" spans="1:10" x14ac:dyDescent="0.25">
      <c r="A60" t="s">
        <v>21</v>
      </c>
      <c r="B60" t="s">
        <v>863</v>
      </c>
      <c r="C60">
        <v>94326792</v>
      </c>
      <c r="D60">
        <v>52</v>
      </c>
      <c r="E60" s="4">
        <v>-5000000</v>
      </c>
      <c r="F60" t="s">
        <v>20</v>
      </c>
      <c r="G60">
        <v>2</v>
      </c>
      <c r="H60" s="32" t="str">
        <f ca="1">+IF(B60&gt;'sap nuevo'!$V$1,"cargar",IF(C60="","cargar","pagado"))</f>
        <v>cargar</v>
      </c>
      <c r="I60" s="32">
        <f t="shared" si="14"/>
        <v>2025</v>
      </c>
      <c r="J60" s="32">
        <f t="shared" si="15"/>
        <v>1</v>
      </c>
    </row>
    <row r="61" spans="1:10" x14ac:dyDescent="0.25">
      <c r="A61" t="s">
        <v>12</v>
      </c>
      <c r="B61" t="s">
        <v>107</v>
      </c>
      <c r="C61">
        <v>91002238</v>
      </c>
      <c r="D61">
        <v>140</v>
      </c>
      <c r="E61" s="4">
        <v>-19595351.219999999</v>
      </c>
      <c r="F61" t="s">
        <v>82</v>
      </c>
      <c r="G61">
        <v>0</v>
      </c>
      <c r="H61" s="32" t="str">
        <f ca="1">+IF(B61&gt;'sap nuevo'!$V$1,"cargar",IF(C61="","cargar","pagado"))</f>
        <v>cargar</v>
      </c>
      <c r="I61" s="32">
        <f t="shared" si="14"/>
        <v>2025</v>
      </c>
      <c r="J61" s="32">
        <f t="shared" si="15"/>
        <v>1</v>
      </c>
    </row>
    <row r="62" spans="1:10" x14ac:dyDescent="0.25">
      <c r="A62" t="s">
        <v>21</v>
      </c>
      <c r="B62" t="s">
        <v>108</v>
      </c>
      <c r="C62">
        <v>2927365</v>
      </c>
      <c r="D62">
        <v>52</v>
      </c>
      <c r="E62" s="4">
        <v>-20000000</v>
      </c>
      <c r="F62" t="s">
        <v>20</v>
      </c>
      <c r="G62">
        <v>2</v>
      </c>
      <c r="H62" s="32" t="str">
        <f ca="1">+IF(B62&gt;'sap nuevo'!$V$1,"cargar",IF(C62="","cargar","pagado"))</f>
        <v>cargar</v>
      </c>
      <c r="I62" s="32">
        <f t="shared" si="14"/>
        <v>2025</v>
      </c>
      <c r="J62" s="32">
        <f t="shared" si="15"/>
        <v>1</v>
      </c>
    </row>
    <row r="63" spans="1:10" x14ac:dyDescent="0.25">
      <c r="A63" t="s">
        <v>21</v>
      </c>
      <c r="B63" t="s">
        <v>108</v>
      </c>
      <c r="C63">
        <v>2927366</v>
      </c>
      <c r="D63">
        <v>52</v>
      </c>
      <c r="E63" s="4">
        <v>-19797475.120000001</v>
      </c>
      <c r="F63" t="s">
        <v>20</v>
      </c>
      <c r="G63">
        <v>2</v>
      </c>
      <c r="H63" s="32" t="str">
        <f ca="1">+IF(B63&gt;'sap nuevo'!$V$1,"cargar",IF(C63="","cargar","pagado"))</f>
        <v>cargar</v>
      </c>
      <c r="I63" s="32">
        <f t="shared" si="14"/>
        <v>2025</v>
      </c>
      <c r="J63" s="32">
        <f t="shared" si="15"/>
        <v>1</v>
      </c>
    </row>
    <row r="64" spans="1:10" x14ac:dyDescent="0.25">
      <c r="A64" t="s">
        <v>12</v>
      </c>
      <c r="B64" t="s">
        <v>108</v>
      </c>
      <c r="C64">
        <v>91002239</v>
      </c>
      <c r="D64">
        <v>140</v>
      </c>
      <c r="E64" s="4">
        <v>-17633539.030000001</v>
      </c>
      <c r="F64" t="s">
        <v>82</v>
      </c>
      <c r="G64">
        <v>0</v>
      </c>
      <c r="H64" s="32" t="str">
        <f ca="1">+IF(B64&gt;'sap nuevo'!$V$1,"cargar",IF(C64="","cargar","pagado"))</f>
        <v>cargar</v>
      </c>
      <c r="I64" s="32">
        <f t="shared" si="14"/>
        <v>2025</v>
      </c>
      <c r="J64" s="32">
        <f t="shared" si="15"/>
        <v>1</v>
      </c>
    </row>
    <row r="65" spans="1:10" x14ac:dyDescent="0.25">
      <c r="A65" t="s">
        <v>21</v>
      </c>
      <c r="B65" t="s">
        <v>108</v>
      </c>
      <c r="C65">
        <v>91002241</v>
      </c>
      <c r="D65">
        <v>140</v>
      </c>
      <c r="E65" s="4">
        <v>-12454897.109999999</v>
      </c>
      <c r="F65" t="s">
        <v>80</v>
      </c>
      <c r="G65">
        <v>0</v>
      </c>
      <c r="H65" s="32" t="str">
        <f ca="1">+IF(B65&gt;'sap nuevo'!$V$1,"cargar",IF(C65="","cargar","pagado"))</f>
        <v>cargar</v>
      </c>
      <c r="I65" s="32">
        <f t="shared" si="14"/>
        <v>2025</v>
      </c>
      <c r="J65" s="32">
        <f t="shared" si="15"/>
        <v>1</v>
      </c>
    </row>
    <row r="66" spans="1:10" x14ac:dyDescent="0.25">
      <c r="A66" t="s">
        <v>21</v>
      </c>
      <c r="B66" t="s">
        <v>108</v>
      </c>
      <c r="C66">
        <v>91002237</v>
      </c>
      <c r="D66">
        <v>140</v>
      </c>
      <c r="E66" s="4">
        <v>-7837597.1399999997</v>
      </c>
      <c r="F66" t="s">
        <v>80</v>
      </c>
      <c r="G66">
        <v>0</v>
      </c>
      <c r="H66" s="32" t="str">
        <f ca="1">+IF(B66&gt;'sap nuevo'!$V$1,"cargar",IF(C66="","cargar","pagado"))</f>
        <v>cargar</v>
      </c>
      <c r="I66" s="32">
        <f t="shared" si="14"/>
        <v>2025</v>
      </c>
      <c r="J66" s="32">
        <f t="shared" si="15"/>
        <v>1</v>
      </c>
    </row>
    <row r="67" spans="1:10" x14ac:dyDescent="0.25">
      <c r="A67" t="s">
        <v>21</v>
      </c>
      <c r="B67" t="s">
        <v>109</v>
      </c>
      <c r="C67">
        <v>94326796</v>
      </c>
      <c r="D67">
        <v>52</v>
      </c>
      <c r="E67" s="4">
        <v>-30362004.93</v>
      </c>
      <c r="F67" t="s">
        <v>20</v>
      </c>
      <c r="G67">
        <v>2</v>
      </c>
      <c r="H67" s="32" t="str">
        <f ca="1">+IF(B67&gt;'sap nuevo'!$V$1,"cargar",IF(C67="","cargar","pagado"))</f>
        <v>cargar</v>
      </c>
      <c r="I67" s="32">
        <f t="shared" si="14"/>
        <v>2025</v>
      </c>
      <c r="J67" s="32">
        <f t="shared" si="15"/>
        <v>2</v>
      </c>
    </row>
    <row r="68" spans="1:10" x14ac:dyDescent="0.25">
      <c r="A68" t="s">
        <v>21</v>
      </c>
      <c r="B68" t="s">
        <v>109</v>
      </c>
      <c r="C68">
        <v>94326795</v>
      </c>
      <c r="D68">
        <v>52</v>
      </c>
      <c r="E68" s="4">
        <v>-12000000</v>
      </c>
      <c r="F68" t="s">
        <v>20</v>
      </c>
      <c r="G68">
        <v>2</v>
      </c>
      <c r="H68" s="32" t="str">
        <f ca="1">+IF(B68&gt;'sap nuevo'!$V$1,"cargar",IF(C68="","cargar","pagado"))</f>
        <v>cargar</v>
      </c>
      <c r="I68" s="32">
        <f t="shared" si="14"/>
        <v>2025</v>
      </c>
      <c r="J68" s="32">
        <f t="shared" si="15"/>
        <v>2</v>
      </c>
    </row>
    <row r="69" spans="1:10" x14ac:dyDescent="0.25">
      <c r="A69" t="s">
        <v>23</v>
      </c>
      <c r="B69" t="s">
        <v>109</v>
      </c>
      <c r="C69">
        <v>94326798</v>
      </c>
      <c r="D69">
        <v>52</v>
      </c>
      <c r="E69" s="4">
        <v>-1000000</v>
      </c>
      <c r="F69" t="s">
        <v>24</v>
      </c>
      <c r="G69">
        <v>5</v>
      </c>
      <c r="H69" s="32" t="str">
        <f ca="1">+IF(B69&gt;'sap nuevo'!$V$1,"cargar",IF(C69="","cargar","pagado"))</f>
        <v>cargar</v>
      </c>
      <c r="I69" s="32">
        <f t="shared" si="14"/>
        <v>2025</v>
      </c>
      <c r="J69" s="32">
        <f t="shared" si="15"/>
        <v>2</v>
      </c>
    </row>
    <row r="70" spans="1:10" x14ac:dyDescent="0.25">
      <c r="A70" t="s">
        <v>21</v>
      </c>
      <c r="B70" t="s">
        <v>110</v>
      </c>
      <c r="C70">
        <v>94326797</v>
      </c>
      <c r="D70">
        <v>52</v>
      </c>
      <c r="E70" s="4">
        <v>-530102.19999999995</v>
      </c>
      <c r="F70" t="s">
        <v>20</v>
      </c>
      <c r="G70">
        <v>2</v>
      </c>
      <c r="H70" s="32" t="str">
        <f ca="1">+IF(B70&gt;'sap nuevo'!$V$1,"cargar",IF(C70="","cargar","pagado"))</f>
        <v>cargar</v>
      </c>
      <c r="I70" s="32">
        <f t="shared" si="14"/>
        <v>2025</v>
      </c>
      <c r="J70" s="32">
        <f t="shared" si="15"/>
        <v>2</v>
      </c>
    </row>
    <row r="71" spans="1:10" x14ac:dyDescent="0.25">
      <c r="A71" t="s">
        <v>12</v>
      </c>
      <c r="B71" t="s">
        <v>109</v>
      </c>
      <c r="C71">
        <v>91002240</v>
      </c>
      <c r="D71">
        <v>140</v>
      </c>
      <c r="E71" s="4">
        <v>-12650244.390000001</v>
      </c>
      <c r="F71" t="s">
        <v>82</v>
      </c>
      <c r="G71">
        <v>0</v>
      </c>
      <c r="H71" s="32" t="str">
        <f ca="1">+IF(B71&gt;'sap nuevo'!$V$1,"cargar",IF(C71="","cargar","pagado"))</f>
        <v>cargar</v>
      </c>
      <c r="I71" s="32">
        <f t="shared" si="14"/>
        <v>2025</v>
      </c>
      <c r="J71" s="32">
        <f t="shared" si="15"/>
        <v>2</v>
      </c>
    </row>
    <row r="72" spans="1:10" x14ac:dyDescent="0.25">
      <c r="A72" t="s">
        <v>21</v>
      </c>
      <c r="B72" t="s">
        <v>109</v>
      </c>
      <c r="C72">
        <v>91002242</v>
      </c>
      <c r="D72">
        <v>140</v>
      </c>
      <c r="E72" s="4">
        <v>-10049305</v>
      </c>
      <c r="F72" t="s">
        <v>80</v>
      </c>
      <c r="G72">
        <v>0</v>
      </c>
      <c r="H72" s="32" t="str">
        <f ca="1">+IF(B72&gt;'sap nuevo'!$V$1,"cargar",IF(C72="","cargar","pagado"))</f>
        <v>cargar</v>
      </c>
      <c r="I72" s="32">
        <f t="shared" si="14"/>
        <v>2025</v>
      </c>
      <c r="J72" s="32">
        <f t="shared" si="15"/>
        <v>2</v>
      </c>
    </row>
    <row r="73" spans="1:10" x14ac:dyDescent="0.25">
      <c r="A73" t="s">
        <v>21</v>
      </c>
      <c r="B73" t="s">
        <v>109</v>
      </c>
      <c r="C73">
        <v>91002243</v>
      </c>
      <c r="D73">
        <v>140</v>
      </c>
      <c r="E73" s="4">
        <v>-8177346.46</v>
      </c>
      <c r="F73" t="s">
        <v>80</v>
      </c>
      <c r="G73">
        <v>0</v>
      </c>
      <c r="H73" s="32" t="str">
        <f ca="1">+IF(B73&gt;'sap nuevo'!$V$1,"cargar",IF(C73="","cargar","pagado"))</f>
        <v>cargar</v>
      </c>
      <c r="I73" s="32">
        <f t="shared" ref="I73:I81" si="16">+YEAR(B73)</f>
        <v>2025</v>
      </c>
      <c r="J73" s="32">
        <f t="shared" ref="J73:J81" si="17">+MONTH(B73)</f>
        <v>2</v>
      </c>
    </row>
    <row r="74" spans="1:10" x14ac:dyDescent="0.25">
      <c r="A74" t="s">
        <v>21</v>
      </c>
      <c r="B74" t="s">
        <v>864</v>
      </c>
      <c r="C74">
        <v>2927290</v>
      </c>
      <c r="D74">
        <v>52</v>
      </c>
      <c r="E74" s="4">
        <v>-270000000</v>
      </c>
      <c r="F74" t="s">
        <v>20</v>
      </c>
      <c r="G74">
        <v>2</v>
      </c>
      <c r="H74" s="32" t="str">
        <f ca="1">+IF(B74&gt;'sap nuevo'!$V$1,"cargar",IF(C74="","cargar","pagado"))</f>
        <v>cargar</v>
      </c>
      <c r="I74" s="32">
        <f t="shared" si="16"/>
        <v>2025</v>
      </c>
      <c r="J74" s="32">
        <f t="shared" si="17"/>
        <v>2</v>
      </c>
    </row>
    <row r="75" spans="1:10" x14ac:dyDescent="0.25">
      <c r="A75" t="s">
        <v>21</v>
      </c>
      <c r="B75" t="s">
        <v>864</v>
      </c>
      <c r="C75">
        <v>2927367</v>
      </c>
      <c r="D75">
        <v>52</v>
      </c>
      <c r="E75" s="4">
        <v>-24523200</v>
      </c>
      <c r="F75" t="s">
        <v>20</v>
      </c>
      <c r="G75">
        <v>2</v>
      </c>
      <c r="H75" s="32" t="str">
        <f ca="1">+IF(B75&gt;'sap nuevo'!$V$1,"cargar",IF(C75="","cargar","pagado"))</f>
        <v>cargar</v>
      </c>
      <c r="I75" s="32">
        <f t="shared" si="16"/>
        <v>2025</v>
      </c>
      <c r="J75" s="32">
        <f t="shared" si="17"/>
        <v>2</v>
      </c>
    </row>
    <row r="76" spans="1:10" x14ac:dyDescent="0.25">
      <c r="A76" t="s">
        <v>12</v>
      </c>
      <c r="B76" t="s">
        <v>864</v>
      </c>
      <c r="C76">
        <v>91002236</v>
      </c>
      <c r="D76">
        <v>140</v>
      </c>
      <c r="E76" s="4">
        <v>-8019745.9000000004</v>
      </c>
      <c r="F76" t="s">
        <v>82</v>
      </c>
      <c r="G76">
        <v>0</v>
      </c>
      <c r="H76" s="32" t="str">
        <f ca="1">+IF(B76&gt;'sap nuevo'!$V$1,"cargar",IF(C76="","cargar","pagado"))</f>
        <v>cargar</v>
      </c>
      <c r="I76" s="32">
        <f t="shared" si="16"/>
        <v>2025</v>
      </c>
      <c r="J76" s="32">
        <f t="shared" si="17"/>
        <v>2</v>
      </c>
    </row>
    <row r="77" spans="1:10" x14ac:dyDescent="0.25">
      <c r="A77" t="s">
        <v>21</v>
      </c>
      <c r="B77" t="s">
        <v>864</v>
      </c>
      <c r="C77">
        <v>91002244</v>
      </c>
      <c r="D77">
        <v>140</v>
      </c>
      <c r="E77" s="4">
        <v>-6668436</v>
      </c>
      <c r="F77" t="s">
        <v>80</v>
      </c>
      <c r="G77">
        <v>0</v>
      </c>
      <c r="H77" s="32" t="str">
        <f ca="1">+IF(B77&gt;'sap nuevo'!$V$1,"cargar",IF(C77="","cargar","pagado"))</f>
        <v>cargar</v>
      </c>
      <c r="I77" s="32">
        <f t="shared" si="16"/>
        <v>2025</v>
      </c>
      <c r="J77" s="32">
        <f t="shared" si="17"/>
        <v>2</v>
      </c>
    </row>
    <row r="78" spans="1:10" x14ac:dyDescent="0.25">
      <c r="A78" t="s">
        <v>21</v>
      </c>
      <c r="B78" t="s">
        <v>111</v>
      </c>
      <c r="C78">
        <v>91002247</v>
      </c>
      <c r="D78">
        <v>140</v>
      </c>
      <c r="E78" s="4">
        <v>-15000000</v>
      </c>
      <c r="F78" t="s">
        <v>80</v>
      </c>
      <c r="G78">
        <v>0</v>
      </c>
      <c r="H78" s="32" t="str">
        <f ca="1">+IF(B78&gt;'sap nuevo'!$V$1,"cargar",IF(C78="","cargar","pagado"))</f>
        <v>cargar</v>
      </c>
      <c r="I78" s="32">
        <f t="shared" si="16"/>
        <v>2025</v>
      </c>
      <c r="J78" s="32">
        <f t="shared" si="17"/>
        <v>2</v>
      </c>
    </row>
    <row r="79" spans="1:10" x14ac:dyDescent="0.25">
      <c r="A79" t="s">
        <v>21</v>
      </c>
      <c r="B79" t="s">
        <v>111</v>
      </c>
      <c r="C79">
        <v>91002254</v>
      </c>
      <c r="D79">
        <v>140</v>
      </c>
      <c r="E79" s="4">
        <v>-14000000</v>
      </c>
      <c r="F79" t="s">
        <v>80</v>
      </c>
      <c r="G79">
        <v>0</v>
      </c>
      <c r="H79" s="32" t="str">
        <f ca="1">+IF(B79&gt;'sap nuevo'!$V$1,"cargar",IF(C79="","cargar","pagado"))</f>
        <v>cargar</v>
      </c>
      <c r="I79" s="32">
        <f t="shared" si="16"/>
        <v>2025</v>
      </c>
      <c r="J79" s="32">
        <f t="shared" si="17"/>
        <v>2</v>
      </c>
    </row>
    <row r="80" spans="1:10" x14ac:dyDescent="0.25">
      <c r="A80" t="s">
        <v>21</v>
      </c>
      <c r="B80" t="s">
        <v>111</v>
      </c>
      <c r="C80">
        <v>91002250</v>
      </c>
      <c r="D80">
        <v>140</v>
      </c>
      <c r="E80" s="4">
        <v>-12000000</v>
      </c>
      <c r="F80" t="s">
        <v>80</v>
      </c>
      <c r="G80">
        <v>0</v>
      </c>
      <c r="H80" s="32" t="str">
        <f ca="1">+IF(B80&gt;'sap nuevo'!$V$1,"cargar",IF(C80="","cargar","pagado"))</f>
        <v>cargar</v>
      </c>
      <c r="I80" s="32">
        <f t="shared" si="16"/>
        <v>2025</v>
      </c>
      <c r="J80" s="32">
        <f t="shared" si="17"/>
        <v>2</v>
      </c>
    </row>
    <row r="81" spans="1:10" x14ac:dyDescent="0.25">
      <c r="A81" t="s">
        <v>21</v>
      </c>
      <c r="B81" t="s">
        <v>111</v>
      </c>
      <c r="C81">
        <v>91002245</v>
      </c>
      <c r="D81">
        <v>140</v>
      </c>
      <c r="E81" s="4">
        <v>-8113013.9000000004</v>
      </c>
      <c r="F81" t="s">
        <v>80</v>
      </c>
      <c r="G81">
        <v>0</v>
      </c>
      <c r="H81" s="32" t="str">
        <f ca="1">+IF(B81&gt;'sap nuevo'!$V$1,"cargar",IF(C81="","cargar","pagado"))</f>
        <v>cargar</v>
      </c>
      <c r="I81" s="32">
        <f t="shared" si="16"/>
        <v>2025</v>
      </c>
      <c r="J81" s="32">
        <f t="shared" si="17"/>
        <v>2</v>
      </c>
    </row>
    <row r="82" spans="1:10" x14ac:dyDescent="0.25">
      <c r="A82" t="s">
        <v>12</v>
      </c>
      <c r="B82" t="s">
        <v>111</v>
      </c>
      <c r="C82">
        <v>91002252</v>
      </c>
      <c r="D82">
        <v>140</v>
      </c>
      <c r="E82" s="4">
        <v>-7131259.7800000003</v>
      </c>
      <c r="F82" t="s">
        <v>82</v>
      </c>
      <c r="G82">
        <v>0</v>
      </c>
      <c r="H82" s="32" t="str">
        <f ca="1">+IF(B82&gt;'sap nuevo'!$V$1,"cargar",IF(C82="","cargar","pagado"))</f>
        <v>cargar</v>
      </c>
      <c r="I82" s="32">
        <f t="shared" ref="I82" si="18">+YEAR(B82)</f>
        <v>2025</v>
      </c>
      <c r="J82" s="32">
        <f t="shared" ref="J82" si="19">+MONTH(B82)</f>
        <v>2</v>
      </c>
    </row>
    <row r="83" spans="1:10" x14ac:dyDescent="0.25">
      <c r="A83" t="s">
        <v>23</v>
      </c>
      <c r="B83" t="s">
        <v>112</v>
      </c>
      <c r="C83">
        <v>2927369</v>
      </c>
      <c r="D83">
        <v>52</v>
      </c>
      <c r="E83" s="4">
        <v>-15015420.970000001</v>
      </c>
      <c r="F83" t="s">
        <v>24</v>
      </c>
      <c r="G83">
        <v>5</v>
      </c>
      <c r="H83" s="32" t="str">
        <f ca="1">+IF(B83&gt;'sap nuevo'!$V$1,"cargar",IF(C83="","cargar","pagado"))</f>
        <v>cargar</v>
      </c>
      <c r="I83" s="32">
        <f t="shared" ref="I83:I94" si="20">+YEAR(B83)</f>
        <v>2025</v>
      </c>
      <c r="J83" s="32">
        <f t="shared" ref="J83:J94" si="21">+MONTH(B83)</f>
        <v>2</v>
      </c>
    </row>
    <row r="84" spans="1:10" x14ac:dyDescent="0.25">
      <c r="A84" t="s">
        <v>23</v>
      </c>
      <c r="B84" t="s">
        <v>112</v>
      </c>
      <c r="C84">
        <v>2927371</v>
      </c>
      <c r="D84">
        <v>52</v>
      </c>
      <c r="E84" s="4">
        <v>-5057267.5599999996</v>
      </c>
      <c r="F84" t="s">
        <v>24</v>
      </c>
      <c r="G84">
        <v>5</v>
      </c>
      <c r="H84" s="32" t="str">
        <f ca="1">+IF(B84&gt;'sap nuevo'!$V$1,"cargar",IF(C84="","cargar","pagado"))</f>
        <v>cargar</v>
      </c>
      <c r="I84" s="32">
        <f t="shared" si="20"/>
        <v>2025</v>
      </c>
      <c r="J84" s="32">
        <f t="shared" si="21"/>
        <v>2</v>
      </c>
    </row>
    <row r="85" spans="1:10" x14ac:dyDescent="0.25">
      <c r="A85" t="s">
        <v>21</v>
      </c>
      <c r="B85" t="s">
        <v>112</v>
      </c>
      <c r="C85">
        <v>91002246</v>
      </c>
      <c r="D85">
        <v>140</v>
      </c>
      <c r="E85" s="4">
        <v>-16648171.25</v>
      </c>
      <c r="F85" t="s">
        <v>80</v>
      </c>
      <c r="G85">
        <v>0</v>
      </c>
      <c r="H85" s="32" t="str">
        <f ca="1">+IF(B85&gt;'sap nuevo'!$V$1,"cargar",IF(C85="","cargar","pagado"))</f>
        <v>cargar</v>
      </c>
      <c r="I85" s="32">
        <f t="shared" si="20"/>
        <v>2025</v>
      </c>
      <c r="J85" s="32">
        <f t="shared" si="21"/>
        <v>2</v>
      </c>
    </row>
    <row r="86" spans="1:10" x14ac:dyDescent="0.25">
      <c r="A86" t="s">
        <v>21</v>
      </c>
      <c r="B86" t="s">
        <v>112</v>
      </c>
      <c r="C86">
        <v>91002255</v>
      </c>
      <c r="D86">
        <v>140</v>
      </c>
      <c r="E86" s="4">
        <v>-13628138.09</v>
      </c>
      <c r="F86" t="s">
        <v>80</v>
      </c>
      <c r="G86">
        <v>0</v>
      </c>
      <c r="H86" s="32" t="str">
        <f ca="1">+IF(B86&gt;'sap nuevo'!$V$1,"cargar",IF(C86="","cargar","pagado"))</f>
        <v>cargar</v>
      </c>
      <c r="I86" s="32">
        <f t="shared" si="20"/>
        <v>2025</v>
      </c>
      <c r="J86" s="32">
        <f t="shared" si="21"/>
        <v>2</v>
      </c>
    </row>
    <row r="87" spans="1:10" x14ac:dyDescent="0.25">
      <c r="A87" t="s">
        <v>21</v>
      </c>
      <c r="B87" t="s">
        <v>112</v>
      </c>
      <c r="C87">
        <v>91002248</v>
      </c>
      <c r="D87">
        <v>140</v>
      </c>
      <c r="E87" s="4">
        <v>-13269222.24</v>
      </c>
      <c r="F87" t="s">
        <v>80</v>
      </c>
      <c r="G87">
        <v>0</v>
      </c>
      <c r="H87" s="32" t="str">
        <f ca="1">+IF(B87&gt;'sap nuevo'!$V$1,"cargar",IF(C87="","cargar","pagado"))</f>
        <v>cargar</v>
      </c>
      <c r="I87" s="32">
        <f t="shared" si="20"/>
        <v>2025</v>
      </c>
      <c r="J87" s="32">
        <f t="shared" si="21"/>
        <v>2</v>
      </c>
    </row>
    <row r="88" spans="1:10" x14ac:dyDescent="0.25">
      <c r="A88" t="s">
        <v>21</v>
      </c>
      <c r="B88" t="s">
        <v>112</v>
      </c>
      <c r="C88">
        <v>91002251</v>
      </c>
      <c r="D88">
        <v>140</v>
      </c>
      <c r="E88" s="4">
        <v>-11631009.74</v>
      </c>
      <c r="F88" t="s">
        <v>80</v>
      </c>
      <c r="G88">
        <v>0</v>
      </c>
      <c r="H88" s="32" t="str">
        <f ca="1">+IF(B88&gt;'sap nuevo'!$V$1,"cargar",IF(C88="","cargar","pagado"))</f>
        <v>cargar</v>
      </c>
      <c r="I88" s="32">
        <f t="shared" si="20"/>
        <v>2025</v>
      </c>
      <c r="J88" s="32">
        <f t="shared" si="21"/>
        <v>2</v>
      </c>
    </row>
    <row r="89" spans="1:10" x14ac:dyDescent="0.25">
      <c r="A89" t="s">
        <v>21</v>
      </c>
      <c r="B89" t="s">
        <v>112</v>
      </c>
      <c r="C89">
        <v>91002256</v>
      </c>
      <c r="D89">
        <v>140</v>
      </c>
      <c r="E89" s="4">
        <v>-7408404.0599999996</v>
      </c>
      <c r="F89" t="s">
        <v>80</v>
      </c>
      <c r="G89">
        <v>0</v>
      </c>
      <c r="H89" s="32" t="str">
        <f ca="1">+IF(B89&gt;'sap nuevo'!$V$1,"cargar",IF(C89="","cargar","pagado"))</f>
        <v>cargar</v>
      </c>
      <c r="I89" s="32">
        <f t="shared" si="20"/>
        <v>2025</v>
      </c>
      <c r="J89" s="32">
        <f t="shared" si="21"/>
        <v>2</v>
      </c>
    </row>
    <row r="90" spans="1:10" x14ac:dyDescent="0.25">
      <c r="A90" t="s">
        <v>21</v>
      </c>
      <c r="B90" t="s">
        <v>113</v>
      </c>
      <c r="C90">
        <v>2927370</v>
      </c>
      <c r="D90">
        <v>52</v>
      </c>
      <c r="E90" s="4">
        <v>-7834634.8799999999</v>
      </c>
      <c r="F90" t="s">
        <v>20</v>
      </c>
      <c r="G90">
        <v>2</v>
      </c>
      <c r="H90" s="32" t="str">
        <f ca="1">+IF(B90&gt;'sap nuevo'!$V$1,"cargar",IF(C90="","cargar","pagado"))</f>
        <v>cargar</v>
      </c>
      <c r="I90" s="32">
        <f t="shared" si="20"/>
        <v>2025</v>
      </c>
      <c r="J90" s="32">
        <f t="shared" si="21"/>
        <v>2</v>
      </c>
    </row>
    <row r="91" spans="1:10" x14ac:dyDescent="0.25">
      <c r="A91" t="s">
        <v>21</v>
      </c>
      <c r="B91" t="s">
        <v>113</v>
      </c>
      <c r="C91">
        <v>2927368</v>
      </c>
      <c r="D91">
        <v>52</v>
      </c>
      <c r="E91" s="4">
        <v>-7468372.0499999998</v>
      </c>
      <c r="F91" t="s">
        <v>20</v>
      </c>
      <c r="G91">
        <v>2</v>
      </c>
      <c r="H91" s="32" t="str">
        <f ca="1">+IF(B91&gt;'sap nuevo'!$V$1,"cargar",IF(C91="","cargar","pagado"))</f>
        <v>cargar</v>
      </c>
      <c r="I91" s="32">
        <f t="shared" si="20"/>
        <v>2025</v>
      </c>
      <c r="J91" s="32">
        <f t="shared" si="21"/>
        <v>2</v>
      </c>
    </row>
    <row r="92" spans="1:10" x14ac:dyDescent="0.25">
      <c r="A92" t="s">
        <v>21</v>
      </c>
      <c r="B92" t="s">
        <v>113</v>
      </c>
      <c r="C92">
        <v>94326786</v>
      </c>
      <c r="D92">
        <v>52</v>
      </c>
      <c r="E92" s="4">
        <v>-2633358</v>
      </c>
      <c r="F92" t="s">
        <v>20</v>
      </c>
      <c r="G92">
        <v>2</v>
      </c>
      <c r="H92" s="32" t="str">
        <f ca="1">+IF(B92&gt;'sap nuevo'!$V$1,"cargar",IF(C92="","cargar","pagado"))</f>
        <v>cargar</v>
      </c>
      <c r="I92" s="32">
        <f t="shared" si="20"/>
        <v>2025</v>
      </c>
      <c r="J92" s="32">
        <f t="shared" si="21"/>
        <v>2</v>
      </c>
    </row>
    <row r="93" spans="1:10" x14ac:dyDescent="0.25">
      <c r="A93" t="s">
        <v>21</v>
      </c>
      <c r="B93" t="s">
        <v>113</v>
      </c>
      <c r="C93">
        <v>91002253</v>
      </c>
      <c r="D93">
        <v>140</v>
      </c>
      <c r="E93" s="4">
        <v>-8354845.9800000004</v>
      </c>
      <c r="F93" t="s">
        <v>80</v>
      </c>
      <c r="G93">
        <v>0</v>
      </c>
      <c r="H93" s="32" t="str">
        <f ca="1">+IF(B93&gt;'sap nuevo'!$V$1,"cargar",IF(C93="","cargar","pagado"))</f>
        <v>cargar</v>
      </c>
      <c r="I93" s="32">
        <f t="shared" si="20"/>
        <v>2025</v>
      </c>
      <c r="J93" s="32">
        <f t="shared" si="21"/>
        <v>2</v>
      </c>
    </row>
    <row r="94" spans="1:10" x14ac:dyDescent="0.25">
      <c r="A94" t="s">
        <v>21</v>
      </c>
      <c r="B94" t="s">
        <v>114</v>
      </c>
      <c r="C94">
        <v>2927372</v>
      </c>
      <c r="D94">
        <v>52</v>
      </c>
      <c r="E94" s="4">
        <v>-8777470.7200000007</v>
      </c>
      <c r="F94" t="s">
        <v>20</v>
      </c>
      <c r="G94">
        <v>2</v>
      </c>
      <c r="H94" s="32" t="str">
        <f ca="1">+IF(B94&gt;'sap nuevo'!$V$1,"cargar",IF(C94="","cargar","pagado"))</f>
        <v>cargar</v>
      </c>
      <c r="I94" s="32">
        <f t="shared" si="20"/>
        <v>2025</v>
      </c>
      <c r="J94" s="32">
        <f t="shared" si="21"/>
        <v>2</v>
      </c>
    </row>
    <row r="95" spans="1:10" x14ac:dyDescent="0.25">
      <c r="A95" t="s">
        <v>21</v>
      </c>
      <c r="B95" t="s">
        <v>114</v>
      </c>
      <c r="C95">
        <v>2927373</v>
      </c>
      <c r="D95">
        <v>52</v>
      </c>
      <c r="E95" s="4">
        <v>-3887380.76</v>
      </c>
      <c r="F95" t="s">
        <v>20</v>
      </c>
      <c r="G95">
        <v>2</v>
      </c>
      <c r="H95" s="32" t="str">
        <f ca="1">+IF(B95&gt;'sap nuevo'!$V$1,"cargar",IF(C95="","cargar","pagado"))</f>
        <v>cargar</v>
      </c>
      <c r="I95" s="32">
        <f t="shared" ref="I95:I102" si="22">+YEAR(B95)</f>
        <v>2025</v>
      </c>
      <c r="J95" s="32">
        <f t="shared" ref="J95:J102" si="23">+MONTH(B95)</f>
        <v>2</v>
      </c>
    </row>
    <row r="96" spans="1:10" x14ac:dyDescent="0.25">
      <c r="A96" t="s">
        <v>21</v>
      </c>
      <c r="B96" t="s">
        <v>114</v>
      </c>
      <c r="C96">
        <v>91002249</v>
      </c>
      <c r="D96">
        <v>140</v>
      </c>
      <c r="E96" s="4">
        <v>-7130759.9199999999</v>
      </c>
      <c r="F96" t="s">
        <v>80</v>
      </c>
      <c r="G96">
        <v>0</v>
      </c>
      <c r="H96" s="32" t="str">
        <f ca="1">+IF(B96&gt;'sap nuevo'!$V$1,"cargar",IF(C96="","cargar","pagado"))</f>
        <v>cargar</v>
      </c>
      <c r="I96" s="32">
        <f t="shared" si="22"/>
        <v>2025</v>
      </c>
      <c r="J96" s="32">
        <f t="shared" si="23"/>
        <v>2</v>
      </c>
    </row>
    <row r="97" spans="1:10" x14ac:dyDescent="0.25">
      <c r="A97" t="s">
        <v>21</v>
      </c>
      <c r="B97" t="s">
        <v>115</v>
      </c>
      <c r="C97">
        <v>94326801</v>
      </c>
      <c r="D97">
        <v>52</v>
      </c>
      <c r="E97" s="4">
        <v>-30000000</v>
      </c>
      <c r="F97" t="s">
        <v>20</v>
      </c>
      <c r="G97">
        <v>2</v>
      </c>
      <c r="H97" s="32" t="str">
        <f ca="1">+IF(B97&gt;'sap nuevo'!$V$1,"cargar",IF(C97="","cargar","pagado"))</f>
        <v>cargar</v>
      </c>
      <c r="I97" s="32">
        <f t="shared" si="22"/>
        <v>2025</v>
      </c>
      <c r="J97" s="32">
        <f t="shared" si="23"/>
        <v>2</v>
      </c>
    </row>
    <row r="98" spans="1:10" x14ac:dyDescent="0.25">
      <c r="A98" t="s">
        <v>21</v>
      </c>
      <c r="B98" t="s">
        <v>115</v>
      </c>
      <c r="C98">
        <v>94326802</v>
      </c>
      <c r="D98">
        <v>52</v>
      </c>
      <c r="E98" s="4">
        <v>-29000000</v>
      </c>
      <c r="F98" t="s">
        <v>20</v>
      </c>
      <c r="G98">
        <v>2</v>
      </c>
      <c r="H98" s="32" t="str">
        <f ca="1">+IF(B98&gt;'sap nuevo'!$V$1,"cargar",IF(C98="","cargar","pagado"))</f>
        <v>cargar</v>
      </c>
      <c r="I98" s="32">
        <f t="shared" si="22"/>
        <v>2025</v>
      </c>
      <c r="J98" s="32">
        <f t="shared" si="23"/>
        <v>2</v>
      </c>
    </row>
    <row r="99" spans="1:10" x14ac:dyDescent="0.25">
      <c r="A99" t="s">
        <v>21</v>
      </c>
      <c r="B99" t="s">
        <v>115</v>
      </c>
      <c r="C99">
        <v>2927375</v>
      </c>
      <c r="D99">
        <v>52</v>
      </c>
      <c r="E99" s="4">
        <v>-20199491.75</v>
      </c>
      <c r="F99" t="s">
        <v>20</v>
      </c>
      <c r="G99">
        <v>2</v>
      </c>
      <c r="H99" s="32" t="str">
        <f ca="1">+IF(B99&gt;'sap nuevo'!$V$1,"cargar",IF(C99="","cargar","pagado"))</f>
        <v>cargar</v>
      </c>
      <c r="I99" s="32">
        <f t="shared" si="22"/>
        <v>2025</v>
      </c>
      <c r="J99" s="32">
        <f t="shared" si="23"/>
        <v>2</v>
      </c>
    </row>
    <row r="100" spans="1:10" x14ac:dyDescent="0.25">
      <c r="A100" t="s">
        <v>21</v>
      </c>
      <c r="B100" t="s">
        <v>115</v>
      </c>
      <c r="C100">
        <v>2927380</v>
      </c>
      <c r="D100">
        <v>52</v>
      </c>
      <c r="E100" s="4">
        <v>-15000000</v>
      </c>
      <c r="F100" t="s">
        <v>20</v>
      </c>
      <c r="G100">
        <v>2</v>
      </c>
      <c r="H100" s="32" t="str">
        <f ca="1">+IF(B100&gt;'sap nuevo'!$V$1,"cargar",IF(C100="","cargar","pagado"))</f>
        <v>cargar</v>
      </c>
      <c r="I100" s="32">
        <f t="shared" si="22"/>
        <v>2025</v>
      </c>
      <c r="J100" s="32">
        <f t="shared" si="23"/>
        <v>2</v>
      </c>
    </row>
    <row r="101" spans="1:10" x14ac:dyDescent="0.25">
      <c r="A101" t="s">
        <v>21</v>
      </c>
      <c r="B101" t="s">
        <v>115</v>
      </c>
      <c r="C101">
        <v>2927376</v>
      </c>
      <c r="D101">
        <v>52</v>
      </c>
      <c r="E101" s="4">
        <v>-13575156.43</v>
      </c>
      <c r="F101" t="s">
        <v>20</v>
      </c>
      <c r="G101">
        <v>2</v>
      </c>
      <c r="H101" s="32" t="str">
        <f ca="1">+IF(B101&gt;'sap nuevo'!$V$1,"cargar",IF(C101="","cargar","pagado"))</f>
        <v>cargar</v>
      </c>
      <c r="I101" s="32">
        <f t="shared" si="22"/>
        <v>2025</v>
      </c>
      <c r="J101" s="32">
        <f t="shared" si="23"/>
        <v>2</v>
      </c>
    </row>
    <row r="102" spans="1:10" x14ac:dyDescent="0.25">
      <c r="A102" t="s">
        <v>23</v>
      </c>
      <c r="B102" t="s">
        <v>115</v>
      </c>
      <c r="C102">
        <v>2927382</v>
      </c>
      <c r="D102">
        <v>52</v>
      </c>
      <c r="E102" s="4">
        <v>-10631532.810000001</v>
      </c>
      <c r="F102" t="s">
        <v>24</v>
      </c>
      <c r="G102">
        <v>5</v>
      </c>
      <c r="H102" s="32" t="str">
        <f ca="1">+IF(B102&gt;'sap nuevo'!$V$1,"cargar",IF(C102="","cargar","pagado"))</f>
        <v>cargar</v>
      </c>
      <c r="I102" s="32">
        <f t="shared" si="22"/>
        <v>2025</v>
      </c>
      <c r="J102" s="32">
        <f t="shared" si="23"/>
        <v>2</v>
      </c>
    </row>
    <row r="103" spans="1:10" x14ac:dyDescent="0.25">
      <c r="A103" t="s">
        <v>21</v>
      </c>
      <c r="B103" t="s">
        <v>115</v>
      </c>
      <c r="C103">
        <v>2927374</v>
      </c>
      <c r="D103">
        <v>52</v>
      </c>
      <c r="E103" s="4">
        <v>-8309167.1399999997</v>
      </c>
      <c r="F103" t="s">
        <v>20</v>
      </c>
      <c r="G103">
        <v>2</v>
      </c>
      <c r="H103" s="32" t="str">
        <f ca="1">+IF(B103&gt;'sap nuevo'!$V$1,"cargar",IF(C103="","cargar","pagado"))</f>
        <v>cargar</v>
      </c>
      <c r="I103" s="32">
        <f t="shared" ref="I103" si="24">+YEAR(B103)</f>
        <v>2025</v>
      </c>
      <c r="J103" s="32">
        <f t="shared" ref="J103" si="25">+MONTH(B103)</f>
        <v>2</v>
      </c>
    </row>
    <row r="104" spans="1:10" x14ac:dyDescent="0.25">
      <c r="A104" t="s">
        <v>21</v>
      </c>
      <c r="B104" t="s">
        <v>116</v>
      </c>
      <c r="C104">
        <v>94326808</v>
      </c>
      <c r="D104">
        <v>52</v>
      </c>
      <c r="E104" s="4">
        <v>-141557350.72</v>
      </c>
      <c r="F104" t="s">
        <v>20</v>
      </c>
      <c r="G104">
        <v>2</v>
      </c>
      <c r="H104" s="32" t="str">
        <f ca="1">+IF(B104&gt;'sap nuevo'!$V$1,"cargar",IF(C104="","cargar","pagado"))</f>
        <v>cargar</v>
      </c>
      <c r="I104" s="32">
        <f t="shared" ref="I104:I114" si="26">+YEAR(B104)</f>
        <v>2025</v>
      </c>
      <c r="J104" s="32">
        <f t="shared" ref="J104:J114" si="27">+MONTH(B104)</f>
        <v>2</v>
      </c>
    </row>
    <row r="105" spans="1:10" x14ac:dyDescent="0.25">
      <c r="A105" t="s">
        <v>21</v>
      </c>
      <c r="B105" t="s">
        <v>116</v>
      </c>
      <c r="C105">
        <v>2927381</v>
      </c>
      <c r="D105">
        <v>52</v>
      </c>
      <c r="E105" s="4">
        <v>-12241454.27</v>
      </c>
      <c r="F105" t="s">
        <v>20</v>
      </c>
      <c r="G105">
        <v>2</v>
      </c>
      <c r="H105" s="32" t="str">
        <f ca="1">+IF(B105&gt;'sap nuevo'!$V$1,"cargar",IF(C105="","cargar","pagado"))</f>
        <v>cargar</v>
      </c>
      <c r="I105" s="32">
        <f t="shared" si="26"/>
        <v>2025</v>
      </c>
      <c r="J105" s="32">
        <f t="shared" si="27"/>
        <v>2</v>
      </c>
    </row>
    <row r="106" spans="1:10" x14ac:dyDescent="0.25">
      <c r="A106" t="s">
        <v>21</v>
      </c>
      <c r="B106" t="s">
        <v>116</v>
      </c>
      <c r="C106">
        <v>2927383</v>
      </c>
      <c r="D106">
        <v>52</v>
      </c>
      <c r="E106" s="4">
        <v>-7356467.9199999999</v>
      </c>
      <c r="F106" t="s">
        <v>20</v>
      </c>
      <c r="G106">
        <v>2</v>
      </c>
      <c r="H106" s="32" t="str">
        <f ca="1">+IF(B106&gt;'sap nuevo'!$V$1,"cargar",IF(C106="","cargar","pagado"))</f>
        <v>cargar</v>
      </c>
      <c r="I106" s="32">
        <f t="shared" si="26"/>
        <v>2025</v>
      </c>
      <c r="J106" s="32">
        <f t="shared" si="27"/>
        <v>2</v>
      </c>
    </row>
    <row r="107" spans="1:10" x14ac:dyDescent="0.25">
      <c r="A107" t="s">
        <v>21</v>
      </c>
      <c r="B107" t="s">
        <v>116</v>
      </c>
      <c r="C107">
        <v>94326807</v>
      </c>
      <c r="D107">
        <v>52</v>
      </c>
      <c r="E107" s="4">
        <v>-3063000</v>
      </c>
      <c r="F107" t="s">
        <v>20</v>
      </c>
      <c r="G107">
        <v>2</v>
      </c>
      <c r="H107" s="32" t="str">
        <f ca="1">+IF(B107&gt;'sap nuevo'!$V$1,"cargar",IF(C107="","cargar","pagado"))</f>
        <v>cargar</v>
      </c>
      <c r="I107" s="32">
        <f t="shared" si="26"/>
        <v>2025</v>
      </c>
      <c r="J107" s="32">
        <f t="shared" si="27"/>
        <v>2</v>
      </c>
    </row>
    <row r="108" spans="1:10" x14ac:dyDescent="0.25">
      <c r="A108" t="s">
        <v>21</v>
      </c>
      <c r="B108" t="s">
        <v>116</v>
      </c>
      <c r="C108">
        <v>94326806</v>
      </c>
      <c r="D108">
        <v>52</v>
      </c>
      <c r="E108" s="4">
        <v>-2400000</v>
      </c>
      <c r="F108" t="s">
        <v>20</v>
      </c>
      <c r="G108">
        <v>2</v>
      </c>
      <c r="H108" s="32" t="str">
        <f ca="1">+IF(B108&gt;'sap nuevo'!$V$1,"cargar",IF(C108="","cargar","pagado"))</f>
        <v>cargar</v>
      </c>
      <c r="I108" s="32">
        <f t="shared" si="26"/>
        <v>2025</v>
      </c>
      <c r="J108" s="32">
        <f t="shared" si="27"/>
        <v>2</v>
      </c>
    </row>
    <row r="109" spans="1:10" x14ac:dyDescent="0.25">
      <c r="A109" t="s">
        <v>23</v>
      </c>
      <c r="B109" t="s">
        <v>116</v>
      </c>
      <c r="C109">
        <v>94326799</v>
      </c>
      <c r="D109">
        <v>52</v>
      </c>
      <c r="E109" s="4">
        <v>-938229.47</v>
      </c>
      <c r="F109" t="s">
        <v>24</v>
      </c>
      <c r="G109">
        <v>5</v>
      </c>
      <c r="H109" s="32" t="str">
        <f ca="1">+IF(B109&gt;'sap nuevo'!$V$1,"cargar",IF(C109="","cargar","pagado"))</f>
        <v>cargar</v>
      </c>
      <c r="I109" s="32">
        <f t="shared" si="26"/>
        <v>2025</v>
      </c>
      <c r="J109" s="32">
        <f t="shared" si="27"/>
        <v>2</v>
      </c>
    </row>
    <row r="110" spans="1:10" x14ac:dyDescent="0.25">
      <c r="A110" t="s">
        <v>21</v>
      </c>
      <c r="B110" t="s">
        <v>117</v>
      </c>
      <c r="C110">
        <v>2927384</v>
      </c>
      <c r="D110">
        <v>52</v>
      </c>
      <c r="E110" s="4">
        <v>-5393304</v>
      </c>
      <c r="F110" t="s">
        <v>20</v>
      </c>
      <c r="G110">
        <v>2</v>
      </c>
      <c r="H110" s="32" t="str">
        <f ca="1">+IF(B110&gt;'sap nuevo'!$V$1,"cargar",IF(C110="","cargar","pagado"))</f>
        <v>cargar</v>
      </c>
      <c r="I110" s="32">
        <f t="shared" si="26"/>
        <v>2025</v>
      </c>
      <c r="J110" s="32">
        <f t="shared" si="27"/>
        <v>2</v>
      </c>
    </row>
    <row r="111" spans="1:10" x14ac:dyDescent="0.25">
      <c r="A111" t="s">
        <v>21</v>
      </c>
      <c r="B111" t="s">
        <v>118</v>
      </c>
      <c r="C111">
        <v>2927361</v>
      </c>
      <c r="D111">
        <v>52</v>
      </c>
      <c r="E111" s="4">
        <v>-7519903.3200000003</v>
      </c>
      <c r="F111" t="s">
        <v>20</v>
      </c>
      <c r="G111">
        <v>2</v>
      </c>
      <c r="H111" s="32" t="str">
        <f ca="1">+IF(B111&gt;'sap nuevo'!$V$1,"cargar",IF(C111="","cargar","pagado"))</f>
        <v>cargar</v>
      </c>
      <c r="I111" s="32">
        <f t="shared" si="26"/>
        <v>2025</v>
      </c>
      <c r="J111" s="32">
        <f t="shared" si="27"/>
        <v>2</v>
      </c>
    </row>
    <row r="112" spans="1:10" x14ac:dyDescent="0.25">
      <c r="A112" t="s">
        <v>21</v>
      </c>
      <c r="B112" t="s">
        <v>118</v>
      </c>
      <c r="C112">
        <v>94326805</v>
      </c>
      <c r="D112">
        <v>52</v>
      </c>
      <c r="E112" s="4">
        <v>-2900000</v>
      </c>
      <c r="F112" t="s">
        <v>20</v>
      </c>
      <c r="G112">
        <v>2</v>
      </c>
      <c r="H112" s="32" t="str">
        <f ca="1">+IF(B112&gt;'sap nuevo'!$V$1,"cargar",IF(C112="","cargar","pagado"))</f>
        <v>cargar</v>
      </c>
      <c r="I112" s="32">
        <f t="shared" si="26"/>
        <v>2025</v>
      </c>
      <c r="J112" s="32">
        <f t="shared" si="27"/>
        <v>2</v>
      </c>
    </row>
    <row r="113" spans="1:10" x14ac:dyDescent="0.25">
      <c r="A113" t="s">
        <v>21</v>
      </c>
      <c r="B113" t="s">
        <v>119</v>
      </c>
      <c r="C113">
        <v>2927388</v>
      </c>
      <c r="D113">
        <v>52</v>
      </c>
      <c r="E113" s="4">
        <v>-10000000</v>
      </c>
      <c r="F113" t="s">
        <v>20</v>
      </c>
      <c r="G113">
        <v>2</v>
      </c>
      <c r="H113" s="32" t="str">
        <f ca="1">+IF(B113&gt;'sap nuevo'!$V$1,"cargar",IF(C113="","cargar","pagado"))</f>
        <v>cargar</v>
      </c>
      <c r="I113" s="32">
        <f t="shared" si="26"/>
        <v>2025</v>
      </c>
      <c r="J113" s="32">
        <f t="shared" si="27"/>
        <v>2</v>
      </c>
    </row>
    <row r="114" spans="1:10" x14ac:dyDescent="0.25">
      <c r="A114" t="s">
        <v>21</v>
      </c>
      <c r="B114" t="s">
        <v>119</v>
      </c>
      <c r="C114">
        <v>2927386</v>
      </c>
      <c r="D114">
        <v>52</v>
      </c>
      <c r="E114" s="4">
        <v>-6357816.6699999999</v>
      </c>
      <c r="F114" t="s">
        <v>20</v>
      </c>
      <c r="G114">
        <v>2</v>
      </c>
      <c r="H114" s="32" t="str">
        <f ca="1">+IF(B114&gt;'sap nuevo'!$V$1,"cargar",IF(C114="","cargar","pagado"))</f>
        <v>cargar</v>
      </c>
      <c r="I114" s="32">
        <f t="shared" si="26"/>
        <v>2025</v>
      </c>
      <c r="J114" s="32">
        <f t="shared" si="27"/>
        <v>2</v>
      </c>
    </row>
    <row r="115" spans="1:10" x14ac:dyDescent="0.25">
      <c r="A115" t="s">
        <v>21</v>
      </c>
      <c r="B115" t="s">
        <v>120</v>
      </c>
      <c r="C115">
        <v>2927389</v>
      </c>
      <c r="D115">
        <v>52</v>
      </c>
      <c r="E115" s="4">
        <v>-10198148.34</v>
      </c>
      <c r="F115" t="s">
        <v>20</v>
      </c>
      <c r="G115">
        <v>2</v>
      </c>
      <c r="H115" s="32" t="str">
        <f ca="1">+IF(B115&gt;'sap nuevo'!$V$1,"cargar",IF(C115="","cargar","pagado"))</f>
        <v>cargar</v>
      </c>
      <c r="I115" s="32">
        <f t="shared" ref="I115:I119" si="28">+YEAR(B115)</f>
        <v>2025</v>
      </c>
      <c r="J115" s="32">
        <f t="shared" ref="J115:J119" si="29">+MONTH(B115)</f>
        <v>2</v>
      </c>
    </row>
    <row r="116" spans="1:10" x14ac:dyDescent="0.25">
      <c r="A116" t="s">
        <v>21</v>
      </c>
      <c r="B116" t="s">
        <v>120</v>
      </c>
      <c r="C116">
        <v>2927385</v>
      </c>
      <c r="D116">
        <v>52</v>
      </c>
      <c r="E116" s="4">
        <v>-5820317.9900000002</v>
      </c>
      <c r="F116" t="s">
        <v>20</v>
      </c>
      <c r="G116">
        <v>2</v>
      </c>
      <c r="H116" s="32" t="str">
        <f ca="1">+IF(B116&gt;'sap nuevo'!$V$1,"cargar",IF(C116="","cargar","pagado"))</f>
        <v>cargar</v>
      </c>
      <c r="I116" s="32">
        <f t="shared" si="28"/>
        <v>2025</v>
      </c>
      <c r="J116" s="32">
        <f t="shared" si="29"/>
        <v>2</v>
      </c>
    </row>
    <row r="117" spans="1:10" x14ac:dyDescent="0.25">
      <c r="A117" t="s">
        <v>21</v>
      </c>
      <c r="B117" t="s">
        <v>120</v>
      </c>
      <c r="C117">
        <v>94326800</v>
      </c>
      <c r="D117">
        <v>52</v>
      </c>
      <c r="E117" s="4">
        <v>-2626701.19</v>
      </c>
      <c r="F117" t="s">
        <v>20</v>
      </c>
      <c r="G117">
        <v>2</v>
      </c>
      <c r="H117" s="32" t="str">
        <f ca="1">+IF(B117&gt;'sap nuevo'!$V$1,"cargar",IF(C117="","cargar","pagado"))</f>
        <v>cargar</v>
      </c>
      <c r="I117" s="32">
        <f t="shared" si="28"/>
        <v>2025</v>
      </c>
      <c r="J117" s="32">
        <f t="shared" si="29"/>
        <v>2</v>
      </c>
    </row>
    <row r="118" spans="1:10" x14ac:dyDescent="0.25">
      <c r="A118" t="s">
        <v>21</v>
      </c>
      <c r="B118" t="s">
        <v>120</v>
      </c>
      <c r="C118">
        <v>2927394</v>
      </c>
      <c r="D118">
        <v>52</v>
      </c>
      <c r="E118" s="4">
        <v>-2186117</v>
      </c>
      <c r="F118" t="s">
        <v>20</v>
      </c>
      <c r="G118">
        <v>2</v>
      </c>
      <c r="H118" s="32" t="str">
        <f ca="1">+IF(B118&gt;'sap nuevo'!$V$1,"cargar",IF(C118="","cargar","pagado"))</f>
        <v>cargar</v>
      </c>
      <c r="I118" s="32">
        <f t="shared" si="28"/>
        <v>2025</v>
      </c>
      <c r="J118" s="32">
        <f t="shared" si="29"/>
        <v>2</v>
      </c>
    </row>
    <row r="119" spans="1:10" x14ac:dyDescent="0.25">
      <c r="A119" t="s">
        <v>21</v>
      </c>
      <c r="B119" t="s">
        <v>120</v>
      </c>
      <c r="C119">
        <v>2927391</v>
      </c>
      <c r="D119">
        <v>52</v>
      </c>
      <c r="E119" s="4">
        <v>-1900000</v>
      </c>
      <c r="F119" t="s">
        <v>20</v>
      </c>
      <c r="G119">
        <v>2</v>
      </c>
      <c r="H119" s="32" t="str">
        <f ca="1">+IF(B119&gt;'sap nuevo'!$V$1,"cargar",IF(C119="","cargar","pagado"))</f>
        <v>cargar</v>
      </c>
      <c r="I119" s="32">
        <f t="shared" si="28"/>
        <v>2025</v>
      </c>
      <c r="J119" s="32">
        <f t="shared" si="29"/>
        <v>2</v>
      </c>
    </row>
    <row r="120" spans="1:10" x14ac:dyDescent="0.25">
      <c r="A120" t="s">
        <v>21</v>
      </c>
      <c r="B120" t="s">
        <v>121</v>
      </c>
      <c r="C120">
        <v>94326809</v>
      </c>
      <c r="D120">
        <v>52</v>
      </c>
      <c r="E120" s="4">
        <v>-123654020</v>
      </c>
      <c r="F120" t="s">
        <v>20</v>
      </c>
      <c r="G120">
        <v>2</v>
      </c>
      <c r="H120" s="32" t="str">
        <f ca="1">+IF(B120&gt;'sap nuevo'!$V$1,"cargar",IF(C120="","cargar","pagado"))</f>
        <v>cargar</v>
      </c>
      <c r="I120" s="32">
        <f t="shared" ref="I120:I128" si="30">+YEAR(B120)</f>
        <v>2025</v>
      </c>
      <c r="J120" s="32">
        <f t="shared" ref="J120:J128" si="31">+MONTH(B120)</f>
        <v>2</v>
      </c>
    </row>
    <row r="121" spans="1:10" x14ac:dyDescent="0.25">
      <c r="A121" t="s">
        <v>21</v>
      </c>
      <c r="B121" t="s">
        <v>121</v>
      </c>
      <c r="C121">
        <v>2927392</v>
      </c>
      <c r="D121">
        <v>52</v>
      </c>
      <c r="E121" s="4">
        <v>-1447701</v>
      </c>
      <c r="F121" t="s">
        <v>20</v>
      </c>
      <c r="G121">
        <v>2</v>
      </c>
      <c r="H121" s="32" t="str">
        <f ca="1">+IF(B121&gt;'sap nuevo'!$V$1,"cargar",IF(C121="","cargar","pagado"))</f>
        <v>cargar</v>
      </c>
      <c r="I121" s="32">
        <f t="shared" si="30"/>
        <v>2025</v>
      </c>
      <c r="J121" s="32">
        <f t="shared" si="31"/>
        <v>2</v>
      </c>
    </row>
    <row r="122" spans="1:10" x14ac:dyDescent="0.25">
      <c r="A122" t="s">
        <v>21</v>
      </c>
      <c r="B122" t="s">
        <v>122</v>
      </c>
      <c r="C122">
        <v>2927387</v>
      </c>
      <c r="D122">
        <v>52</v>
      </c>
      <c r="E122" s="4">
        <v>-10186003.189999999</v>
      </c>
      <c r="F122" t="s">
        <v>20</v>
      </c>
      <c r="G122">
        <v>2</v>
      </c>
      <c r="H122" s="32" t="str">
        <f ca="1">+IF(B122&gt;'sap nuevo'!$V$1,"cargar",IF(C122="","cargar","pagado"))</f>
        <v>cargar</v>
      </c>
      <c r="I122" s="32">
        <f t="shared" si="30"/>
        <v>2025</v>
      </c>
      <c r="J122" s="32">
        <f t="shared" si="31"/>
        <v>2</v>
      </c>
    </row>
    <row r="123" spans="1:10" x14ac:dyDescent="0.25">
      <c r="A123" t="s">
        <v>21</v>
      </c>
      <c r="B123" t="s">
        <v>122</v>
      </c>
      <c r="C123">
        <v>2927377</v>
      </c>
      <c r="D123">
        <v>52</v>
      </c>
      <c r="E123" s="4">
        <v>-10000000</v>
      </c>
      <c r="F123" t="s">
        <v>20</v>
      </c>
      <c r="G123">
        <v>2</v>
      </c>
      <c r="H123" s="32" t="str">
        <f ca="1">+IF(B123&gt;'sap nuevo'!$V$1,"cargar",IF(C123="","cargar","pagado"))</f>
        <v>cargar</v>
      </c>
      <c r="I123" s="32">
        <f t="shared" si="30"/>
        <v>2025</v>
      </c>
      <c r="J123" s="32">
        <f t="shared" si="31"/>
        <v>2</v>
      </c>
    </row>
    <row r="124" spans="1:10" x14ac:dyDescent="0.25">
      <c r="A124" t="s">
        <v>21</v>
      </c>
      <c r="B124" t="s">
        <v>122</v>
      </c>
      <c r="C124">
        <v>2927379</v>
      </c>
      <c r="D124">
        <v>52</v>
      </c>
      <c r="E124" s="4">
        <v>-9976027.2699999996</v>
      </c>
      <c r="F124" t="s">
        <v>20</v>
      </c>
      <c r="G124">
        <v>2</v>
      </c>
      <c r="H124" s="32" t="str">
        <f ca="1">+IF(B124&gt;'sap nuevo'!$V$1,"cargar",IF(C124="","cargar","pagado"))</f>
        <v>cargar</v>
      </c>
      <c r="I124" s="32">
        <f t="shared" si="30"/>
        <v>2025</v>
      </c>
      <c r="J124" s="32">
        <f t="shared" si="31"/>
        <v>2</v>
      </c>
    </row>
    <row r="125" spans="1:10" x14ac:dyDescent="0.25">
      <c r="A125" t="s">
        <v>21</v>
      </c>
      <c r="B125" t="s">
        <v>122</v>
      </c>
      <c r="C125">
        <v>94326803</v>
      </c>
      <c r="D125">
        <v>52</v>
      </c>
      <c r="E125" s="4">
        <v>-6201000</v>
      </c>
      <c r="F125" t="s">
        <v>20</v>
      </c>
      <c r="G125">
        <v>2</v>
      </c>
      <c r="H125" s="32" t="str">
        <f ca="1">+IF(B125&gt;'sap nuevo'!$V$1,"cargar",IF(C125="","cargar","pagado"))</f>
        <v>cargar</v>
      </c>
      <c r="I125" s="32">
        <f t="shared" si="30"/>
        <v>2025</v>
      </c>
      <c r="J125" s="32">
        <f t="shared" si="31"/>
        <v>2</v>
      </c>
    </row>
    <row r="126" spans="1:10" x14ac:dyDescent="0.25">
      <c r="A126" t="s">
        <v>21</v>
      </c>
      <c r="B126" t="s">
        <v>122</v>
      </c>
      <c r="C126">
        <v>94326804</v>
      </c>
      <c r="D126">
        <v>52</v>
      </c>
      <c r="E126" s="4">
        <v>-2968655</v>
      </c>
      <c r="F126" t="s">
        <v>20</v>
      </c>
      <c r="G126">
        <v>2</v>
      </c>
      <c r="H126" s="32" t="str">
        <f ca="1">+IF(B126&gt;'sap nuevo'!$V$1,"cargar",IF(C126="","cargar","pagado"))</f>
        <v>cargar</v>
      </c>
      <c r="I126" s="32">
        <f t="shared" si="30"/>
        <v>2025</v>
      </c>
      <c r="J126" s="32">
        <f t="shared" si="31"/>
        <v>2</v>
      </c>
    </row>
    <row r="127" spans="1:10" x14ac:dyDescent="0.25">
      <c r="A127" t="s">
        <v>21</v>
      </c>
      <c r="B127" t="s">
        <v>123</v>
      </c>
      <c r="C127">
        <v>2927378</v>
      </c>
      <c r="D127">
        <v>52</v>
      </c>
      <c r="E127" s="4">
        <v>-10000000</v>
      </c>
      <c r="F127" t="s">
        <v>20</v>
      </c>
      <c r="G127">
        <v>2</v>
      </c>
      <c r="H127" s="32" t="str">
        <f ca="1">+IF(B127&gt;'sap nuevo'!$V$1,"cargar",IF(C127="","cargar","pagado"))</f>
        <v>cargar</v>
      </c>
      <c r="I127" s="32">
        <f t="shared" si="30"/>
        <v>2025</v>
      </c>
      <c r="J127" s="32">
        <f t="shared" si="31"/>
        <v>2</v>
      </c>
    </row>
    <row r="128" spans="1:10" x14ac:dyDescent="0.25">
      <c r="A128" t="s">
        <v>21</v>
      </c>
      <c r="B128" t="s">
        <v>865</v>
      </c>
      <c r="C128">
        <v>94326810</v>
      </c>
      <c r="D128">
        <v>52</v>
      </c>
      <c r="E128" s="4">
        <v>-83201230</v>
      </c>
      <c r="F128" t="s">
        <v>20</v>
      </c>
      <c r="G128">
        <v>2</v>
      </c>
      <c r="H128" s="32" t="str">
        <f ca="1">+IF(B128&gt;'sap nuevo'!$V$1,"cargar",IF(C128="","cargar","pagado"))</f>
        <v>cargar</v>
      </c>
      <c r="I128" s="32">
        <f t="shared" si="30"/>
        <v>2025</v>
      </c>
      <c r="J128" s="32">
        <f t="shared" si="31"/>
        <v>2</v>
      </c>
    </row>
    <row r="129" spans="1:10" x14ac:dyDescent="0.25">
      <c r="A129" t="s">
        <v>21</v>
      </c>
      <c r="B129" t="s">
        <v>124</v>
      </c>
      <c r="C129">
        <v>2927291</v>
      </c>
      <c r="D129">
        <v>52</v>
      </c>
      <c r="E129" s="4">
        <v>-274710457.88</v>
      </c>
      <c r="F129" t="s">
        <v>20</v>
      </c>
      <c r="G129">
        <v>2</v>
      </c>
      <c r="H129" s="32" t="str">
        <f ca="1">+IF(B129&gt;'sap nuevo'!$V$1,"cargar",IF(C129="","cargar","pagado"))</f>
        <v>cargar</v>
      </c>
      <c r="I129" s="32">
        <f t="shared" ref="I129:I146" si="32">+YEAR(B129)</f>
        <v>2025</v>
      </c>
      <c r="J129" s="32">
        <f t="shared" ref="J129:J146" si="33">+MONTH(B129)</f>
        <v>3</v>
      </c>
    </row>
    <row r="130" spans="1:10" x14ac:dyDescent="0.25">
      <c r="A130" t="s">
        <v>21</v>
      </c>
      <c r="B130" t="s">
        <v>124</v>
      </c>
      <c r="C130">
        <v>2927400</v>
      </c>
      <c r="D130">
        <v>52</v>
      </c>
      <c r="E130" s="4">
        <v>-12000000</v>
      </c>
      <c r="F130" t="s">
        <v>20</v>
      </c>
      <c r="G130">
        <v>2</v>
      </c>
      <c r="H130" s="32" t="str">
        <f ca="1">+IF(B130&gt;'sap nuevo'!$V$1,"cargar",IF(C130="","cargar","pagado"))</f>
        <v>cargar</v>
      </c>
      <c r="I130" s="32">
        <f t="shared" si="32"/>
        <v>2025</v>
      </c>
      <c r="J130" s="32">
        <f t="shared" si="33"/>
        <v>3</v>
      </c>
    </row>
    <row r="131" spans="1:10" x14ac:dyDescent="0.25">
      <c r="A131" t="s">
        <v>21</v>
      </c>
      <c r="B131" t="s">
        <v>124</v>
      </c>
      <c r="C131">
        <v>2927398</v>
      </c>
      <c r="D131">
        <v>52</v>
      </c>
      <c r="E131" s="4">
        <v>-10764682.609999999</v>
      </c>
      <c r="F131" t="s">
        <v>20</v>
      </c>
      <c r="G131">
        <v>2</v>
      </c>
      <c r="H131" s="32" t="str">
        <f ca="1">+IF(B131&gt;'sap nuevo'!$V$1,"cargar",IF(C131="","cargar","pagado"))</f>
        <v>cargar</v>
      </c>
      <c r="I131" s="32">
        <f t="shared" si="32"/>
        <v>2025</v>
      </c>
      <c r="J131" s="32">
        <f t="shared" si="33"/>
        <v>3</v>
      </c>
    </row>
    <row r="132" spans="1:10" x14ac:dyDescent="0.25">
      <c r="A132" t="s">
        <v>21</v>
      </c>
      <c r="B132" t="s">
        <v>124</v>
      </c>
      <c r="C132">
        <v>2927399</v>
      </c>
      <c r="D132">
        <v>52</v>
      </c>
      <c r="E132" s="4">
        <v>-9190143.6500000004</v>
      </c>
      <c r="F132" t="s">
        <v>20</v>
      </c>
      <c r="G132">
        <v>2</v>
      </c>
      <c r="H132" s="32" t="str">
        <f ca="1">+IF(B132&gt;'sap nuevo'!$V$1,"cargar",IF(C132="","cargar","pagado"))</f>
        <v>cargar</v>
      </c>
      <c r="I132" s="32">
        <f t="shared" si="32"/>
        <v>2025</v>
      </c>
      <c r="J132" s="32">
        <f t="shared" si="33"/>
        <v>3</v>
      </c>
    </row>
    <row r="133" spans="1:10" x14ac:dyDescent="0.25">
      <c r="A133" t="s">
        <v>21</v>
      </c>
      <c r="B133" t="s">
        <v>124</v>
      </c>
      <c r="C133">
        <v>2927396</v>
      </c>
      <c r="D133">
        <v>52</v>
      </c>
      <c r="E133" s="4">
        <v>-5361552</v>
      </c>
      <c r="F133" t="s">
        <v>20</v>
      </c>
      <c r="G133">
        <v>2</v>
      </c>
      <c r="H133" s="32" t="str">
        <f ca="1">+IF(B133&gt;'sap nuevo'!$V$1,"cargar",IF(C133="","cargar","pagado"))</f>
        <v>cargar</v>
      </c>
      <c r="I133" s="32">
        <f t="shared" si="32"/>
        <v>2025</v>
      </c>
      <c r="J133" s="32">
        <f t="shared" si="33"/>
        <v>3</v>
      </c>
    </row>
    <row r="134" spans="1:10" x14ac:dyDescent="0.25">
      <c r="A134" t="s">
        <v>21</v>
      </c>
      <c r="B134" t="s">
        <v>125</v>
      </c>
      <c r="C134">
        <v>2927401</v>
      </c>
      <c r="D134">
        <v>52</v>
      </c>
      <c r="E134" s="4">
        <v>-12523367.92</v>
      </c>
      <c r="F134" t="s">
        <v>20</v>
      </c>
      <c r="G134">
        <v>2</v>
      </c>
      <c r="H134" s="32" t="str">
        <f ca="1">+IF(B134&gt;'sap nuevo'!$V$1,"cargar",IF(C134="","cargar","pagado"))</f>
        <v>cargar</v>
      </c>
      <c r="I134" s="32">
        <f t="shared" si="32"/>
        <v>2025</v>
      </c>
      <c r="J134" s="32">
        <f t="shared" si="33"/>
        <v>3</v>
      </c>
    </row>
    <row r="135" spans="1:10" x14ac:dyDescent="0.25">
      <c r="A135" t="s">
        <v>21</v>
      </c>
      <c r="B135" t="s">
        <v>125</v>
      </c>
      <c r="C135">
        <v>2927397</v>
      </c>
      <c r="D135">
        <v>52</v>
      </c>
      <c r="E135" s="4">
        <v>-9020299.0899999999</v>
      </c>
      <c r="F135" t="s">
        <v>20</v>
      </c>
      <c r="G135">
        <v>2</v>
      </c>
      <c r="H135" s="32" t="str">
        <f ca="1">+IF(B135&gt;'sap nuevo'!$V$1,"cargar",IF(C135="","cargar","pagado"))</f>
        <v>cargar</v>
      </c>
      <c r="I135" s="32">
        <f t="shared" si="32"/>
        <v>2025</v>
      </c>
      <c r="J135" s="32">
        <f t="shared" si="33"/>
        <v>3</v>
      </c>
    </row>
    <row r="136" spans="1:10" x14ac:dyDescent="0.25">
      <c r="A136" t="s">
        <v>21</v>
      </c>
      <c r="B136" t="s">
        <v>125</v>
      </c>
      <c r="C136">
        <v>2927393</v>
      </c>
      <c r="D136">
        <v>52</v>
      </c>
      <c r="E136" s="4">
        <v>-2400000</v>
      </c>
      <c r="F136" t="s">
        <v>20</v>
      </c>
      <c r="G136">
        <v>2</v>
      </c>
      <c r="H136" s="32" t="str">
        <f ca="1">+IF(B136&gt;'sap nuevo'!$V$1,"cargar",IF(C136="","cargar","pagado"))</f>
        <v>cargar</v>
      </c>
      <c r="I136" s="32">
        <f t="shared" si="32"/>
        <v>2025</v>
      </c>
      <c r="J136" s="32">
        <f t="shared" si="33"/>
        <v>3</v>
      </c>
    </row>
    <row r="137" spans="1:10" x14ac:dyDescent="0.25">
      <c r="A137" t="s">
        <v>21</v>
      </c>
      <c r="B137" t="s">
        <v>126</v>
      </c>
      <c r="C137">
        <v>2927395</v>
      </c>
      <c r="D137">
        <v>52</v>
      </c>
      <c r="E137" s="4">
        <v>-5347944</v>
      </c>
      <c r="F137" t="s">
        <v>20</v>
      </c>
      <c r="G137">
        <v>2</v>
      </c>
      <c r="H137" s="32" t="str">
        <f ca="1">+IF(B137&gt;'sap nuevo'!$V$1,"cargar",IF(C137="","cargar","pagado"))</f>
        <v>cargar</v>
      </c>
      <c r="I137" s="32">
        <f t="shared" si="32"/>
        <v>2025</v>
      </c>
      <c r="J137" s="32">
        <f t="shared" si="33"/>
        <v>3</v>
      </c>
    </row>
    <row r="138" spans="1:10" x14ac:dyDescent="0.25">
      <c r="A138" t="s">
        <v>21</v>
      </c>
      <c r="B138" t="s">
        <v>127</v>
      </c>
      <c r="C138">
        <v>2927403</v>
      </c>
      <c r="D138">
        <v>52</v>
      </c>
      <c r="E138" s="4">
        <v>-15000000</v>
      </c>
      <c r="F138" t="s">
        <v>20</v>
      </c>
      <c r="G138">
        <v>2</v>
      </c>
      <c r="H138" s="32" t="str">
        <f ca="1">+IF(B138&gt;'sap nuevo'!$V$1,"cargar",IF(C138="","cargar","pagado"))</f>
        <v>cargar</v>
      </c>
      <c r="I138" s="32">
        <f t="shared" si="32"/>
        <v>2025</v>
      </c>
      <c r="J138" s="32">
        <f t="shared" si="33"/>
        <v>3</v>
      </c>
    </row>
    <row r="139" spans="1:10" x14ac:dyDescent="0.25">
      <c r="A139" t="s">
        <v>21</v>
      </c>
      <c r="B139" t="s">
        <v>127</v>
      </c>
      <c r="C139">
        <v>2927402</v>
      </c>
      <c r="D139">
        <v>52</v>
      </c>
      <c r="E139" s="4">
        <v>-7563406.8799999999</v>
      </c>
      <c r="F139" t="s">
        <v>20</v>
      </c>
      <c r="G139">
        <v>2</v>
      </c>
      <c r="H139" s="32" t="str">
        <f ca="1">+IF(B139&gt;'sap nuevo'!$V$1,"cargar",IF(C139="","cargar","pagado"))</f>
        <v>cargar</v>
      </c>
      <c r="I139" s="32">
        <f t="shared" si="32"/>
        <v>2025</v>
      </c>
      <c r="J139" s="32">
        <f t="shared" si="33"/>
        <v>3</v>
      </c>
    </row>
    <row r="140" spans="1:10" x14ac:dyDescent="0.25">
      <c r="A140" t="s">
        <v>12</v>
      </c>
      <c r="B140" t="s">
        <v>866</v>
      </c>
      <c r="C140">
        <v>91002258</v>
      </c>
      <c r="D140">
        <v>140</v>
      </c>
      <c r="E140" s="4">
        <v>-13440767.92</v>
      </c>
      <c r="F140" t="s">
        <v>82</v>
      </c>
      <c r="G140">
        <v>0</v>
      </c>
      <c r="H140" s="32" t="str">
        <f ca="1">+IF(B140&gt;'sap nuevo'!$V$1,"cargar",IF(C140="","cargar","pagado"))</f>
        <v>cargar</v>
      </c>
      <c r="I140" s="32">
        <f t="shared" si="32"/>
        <v>2025</v>
      </c>
      <c r="J140" s="32">
        <f t="shared" si="33"/>
        <v>3</v>
      </c>
    </row>
    <row r="141" spans="1:10" x14ac:dyDescent="0.25">
      <c r="A141" t="s">
        <v>21</v>
      </c>
      <c r="B141" t="s">
        <v>866</v>
      </c>
      <c r="C141">
        <v>91002265</v>
      </c>
      <c r="D141">
        <v>140</v>
      </c>
      <c r="E141" s="4">
        <v>-9623461.2400000002</v>
      </c>
      <c r="F141" t="s">
        <v>80</v>
      </c>
      <c r="G141">
        <v>0</v>
      </c>
      <c r="H141" s="32" t="str">
        <f ca="1">+IF(B141&gt;'sap nuevo'!$V$1,"cargar",IF(C141="","cargar","pagado"))</f>
        <v>cargar</v>
      </c>
      <c r="I141" s="32">
        <f t="shared" si="32"/>
        <v>2025</v>
      </c>
      <c r="J141" s="32">
        <f t="shared" si="33"/>
        <v>3</v>
      </c>
    </row>
    <row r="142" spans="1:10" x14ac:dyDescent="0.25">
      <c r="A142" t="s">
        <v>12</v>
      </c>
      <c r="B142" t="s">
        <v>866</v>
      </c>
      <c r="C142">
        <v>91002267</v>
      </c>
      <c r="D142">
        <v>140</v>
      </c>
      <c r="E142" s="4">
        <v>-8083476.8899999997</v>
      </c>
      <c r="F142" t="s">
        <v>82</v>
      </c>
      <c r="G142">
        <v>0</v>
      </c>
      <c r="H142" s="32" t="str">
        <f ca="1">+IF(B142&gt;'sap nuevo'!$V$1,"cargar",IF(C142="","cargar","pagado"))</f>
        <v>cargar</v>
      </c>
      <c r="I142" s="32">
        <f t="shared" si="32"/>
        <v>2025</v>
      </c>
      <c r="J142" s="32">
        <f t="shared" si="33"/>
        <v>3</v>
      </c>
    </row>
    <row r="143" spans="1:10" x14ac:dyDescent="0.25">
      <c r="A143" t="s">
        <v>21</v>
      </c>
      <c r="B143" t="s">
        <v>866</v>
      </c>
      <c r="C143">
        <v>91002259</v>
      </c>
      <c r="D143">
        <v>140</v>
      </c>
      <c r="E143" s="4">
        <v>-7392417.5300000003</v>
      </c>
      <c r="F143" t="s">
        <v>80</v>
      </c>
      <c r="G143">
        <v>0</v>
      </c>
      <c r="H143" s="32" t="str">
        <f ca="1">+IF(B143&gt;'sap nuevo'!$V$1,"cargar",IF(C143="","cargar","pagado"))</f>
        <v>cargar</v>
      </c>
      <c r="I143" s="32">
        <f t="shared" si="32"/>
        <v>2025</v>
      </c>
      <c r="J143" s="32">
        <f t="shared" si="33"/>
        <v>3</v>
      </c>
    </row>
    <row r="144" spans="1:10" x14ac:dyDescent="0.25">
      <c r="A144" t="s">
        <v>21</v>
      </c>
      <c r="B144" t="s">
        <v>866</v>
      </c>
      <c r="C144">
        <v>91002264</v>
      </c>
      <c r="D144">
        <v>140</v>
      </c>
      <c r="E144" s="4">
        <v>-5771942.46</v>
      </c>
      <c r="F144" t="s">
        <v>80</v>
      </c>
      <c r="G144">
        <v>0</v>
      </c>
      <c r="H144" s="32" t="str">
        <f ca="1">+IF(B144&gt;'sap nuevo'!$V$1,"cargar",IF(C144="","cargar","pagado"))</f>
        <v>cargar</v>
      </c>
      <c r="I144" s="32">
        <f t="shared" si="32"/>
        <v>2025</v>
      </c>
      <c r="J144" s="32">
        <f t="shared" si="33"/>
        <v>3</v>
      </c>
    </row>
    <row r="145" spans="1:10" x14ac:dyDescent="0.25">
      <c r="A145" t="s">
        <v>21</v>
      </c>
      <c r="B145" t="s">
        <v>866</v>
      </c>
      <c r="C145">
        <v>91002270</v>
      </c>
      <c r="D145">
        <v>140</v>
      </c>
      <c r="E145" s="4">
        <v>-4287715.08</v>
      </c>
      <c r="F145" t="s">
        <v>80</v>
      </c>
      <c r="G145">
        <v>0</v>
      </c>
      <c r="H145" s="32" t="str">
        <f ca="1">+IF(B145&gt;'sap nuevo'!$V$1,"cargar",IF(C145="","cargar","pagado"))</f>
        <v>cargar</v>
      </c>
      <c r="I145" s="32">
        <f t="shared" si="32"/>
        <v>2025</v>
      </c>
      <c r="J145" s="32">
        <f t="shared" si="33"/>
        <v>3</v>
      </c>
    </row>
    <row r="146" spans="1:10" x14ac:dyDescent="0.25">
      <c r="A146" t="s">
        <v>21</v>
      </c>
      <c r="B146" t="s">
        <v>866</v>
      </c>
      <c r="C146">
        <v>91002257</v>
      </c>
      <c r="D146">
        <v>140</v>
      </c>
      <c r="E146" s="4">
        <v>-3663483.75</v>
      </c>
      <c r="F146" t="s">
        <v>80</v>
      </c>
      <c r="G146">
        <v>0</v>
      </c>
      <c r="H146" s="32" t="str">
        <f ca="1">+IF(B146&gt;'sap nuevo'!$V$1,"cargar",IF(C146="","cargar","pagado"))</f>
        <v>cargar</v>
      </c>
      <c r="I146" s="32">
        <f t="shared" si="32"/>
        <v>2025</v>
      </c>
      <c r="J146" s="32">
        <f t="shared" si="33"/>
        <v>3</v>
      </c>
    </row>
    <row r="147" spans="1:10" x14ac:dyDescent="0.25">
      <c r="A147" t="s">
        <v>21</v>
      </c>
      <c r="B147" t="s">
        <v>866</v>
      </c>
      <c r="C147">
        <v>91002266</v>
      </c>
      <c r="D147">
        <v>140</v>
      </c>
      <c r="E147" s="4">
        <v>-3167373.04</v>
      </c>
      <c r="F147" t="s">
        <v>80</v>
      </c>
      <c r="G147">
        <v>0</v>
      </c>
      <c r="H147" s="32" t="str">
        <f ca="1">+IF(B147&gt;'sap nuevo'!$V$1,"cargar",IF(C147="","cargar","pagado"))</f>
        <v>cargar</v>
      </c>
      <c r="I147" s="32">
        <f t="shared" ref="I147:I158" si="34">+YEAR(B147)</f>
        <v>2025</v>
      </c>
      <c r="J147" s="32">
        <f t="shared" ref="J147:J158" si="35">+MONTH(B147)</f>
        <v>3</v>
      </c>
    </row>
    <row r="148" spans="1:10" x14ac:dyDescent="0.25">
      <c r="A148" t="s">
        <v>21</v>
      </c>
      <c r="B148" t="s">
        <v>128</v>
      </c>
      <c r="C148">
        <v>91002268</v>
      </c>
      <c r="D148">
        <v>140</v>
      </c>
      <c r="E148" s="4">
        <v>-14589841.32</v>
      </c>
      <c r="F148" t="s">
        <v>80</v>
      </c>
      <c r="G148">
        <v>0</v>
      </c>
      <c r="H148" s="32" t="str">
        <f ca="1">+IF(B148&gt;'sap nuevo'!$V$1,"cargar",IF(C148="","cargar","pagado"))</f>
        <v>cargar</v>
      </c>
      <c r="I148" s="32">
        <f t="shared" si="34"/>
        <v>2025</v>
      </c>
      <c r="J148" s="32">
        <f t="shared" si="35"/>
        <v>3</v>
      </c>
    </row>
    <row r="149" spans="1:10" x14ac:dyDescent="0.25">
      <c r="A149" t="s">
        <v>21</v>
      </c>
      <c r="B149" t="s">
        <v>128</v>
      </c>
      <c r="C149">
        <v>91002261</v>
      </c>
      <c r="D149">
        <v>140</v>
      </c>
      <c r="E149" s="4">
        <v>-11722771.939999999</v>
      </c>
      <c r="F149" t="s">
        <v>80</v>
      </c>
      <c r="G149">
        <v>0</v>
      </c>
      <c r="H149" s="32" t="str">
        <f ca="1">+IF(B149&gt;'sap nuevo'!$V$1,"cargar",IF(C149="","cargar","pagado"))</f>
        <v>cargar</v>
      </c>
      <c r="I149" s="32">
        <f t="shared" si="34"/>
        <v>2025</v>
      </c>
      <c r="J149" s="32">
        <f t="shared" si="35"/>
        <v>3</v>
      </c>
    </row>
    <row r="150" spans="1:10" x14ac:dyDescent="0.25">
      <c r="A150" t="s">
        <v>21</v>
      </c>
      <c r="B150" t="s">
        <v>128</v>
      </c>
      <c r="C150">
        <v>91002269</v>
      </c>
      <c r="D150">
        <v>140</v>
      </c>
      <c r="E150" s="4">
        <v>-4798943.4000000004</v>
      </c>
      <c r="F150" t="s">
        <v>80</v>
      </c>
      <c r="G150">
        <v>0</v>
      </c>
      <c r="H150" s="32" t="str">
        <f ca="1">+IF(B150&gt;'sap nuevo'!$V$1,"cargar",IF(C150="","cargar","pagado"))</f>
        <v>cargar</v>
      </c>
      <c r="I150" s="32">
        <f t="shared" si="34"/>
        <v>2025</v>
      </c>
      <c r="J150" s="32">
        <f t="shared" si="35"/>
        <v>3</v>
      </c>
    </row>
    <row r="151" spans="1:10" x14ac:dyDescent="0.25">
      <c r="A151" t="s">
        <v>21</v>
      </c>
      <c r="B151" t="s">
        <v>127</v>
      </c>
      <c r="C151">
        <v>91002260</v>
      </c>
      <c r="D151">
        <v>140</v>
      </c>
      <c r="E151" s="4">
        <v>-5382509.2300000004</v>
      </c>
      <c r="F151" t="s">
        <v>80</v>
      </c>
      <c r="G151">
        <v>0</v>
      </c>
      <c r="H151" s="32" t="str">
        <f ca="1">+IF(B151&gt;'sap nuevo'!$V$1,"cargar",IF(C151="","cargar","pagado"))</f>
        <v>cargar</v>
      </c>
      <c r="I151" s="32">
        <f t="shared" si="34"/>
        <v>2025</v>
      </c>
      <c r="J151" s="32">
        <f t="shared" si="35"/>
        <v>3</v>
      </c>
    </row>
    <row r="152" spans="1:10" x14ac:dyDescent="0.25">
      <c r="A152" t="s">
        <v>21</v>
      </c>
      <c r="B152" t="s">
        <v>129</v>
      </c>
      <c r="C152">
        <v>2927404</v>
      </c>
      <c r="D152">
        <v>52</v>
      </c>
      <c r="E152" s="4">
        <v>-14900843.4</v>
      </c>
      <c r="F152" t="s">
        <v>20</v>
      </c>
      <c r="G152">
        <v>2</v>
      </c>
      <c r="H152" s="32" t="str">
        <f ca="1">+IF(B152&gt;'sap nuevo'!$V$1,"cargar",IF(C152="","cargar","pagado"))</f>
        <v>cargar</v>
      </c>
      <c r="I152" s="32">
        <f t="shared" si="34"/>
        <v>2025</v>
      </c>
      <c r="J152" s="32">
        <f t="shared" si="35"/>
        <v>3</v>
      </c>
    </row>
    <row r="153" spans="1:10" x14ac:dyDescent="0.25">
      <c r="A153" t="s">
        <v>12</v>
      </c>
      <c r="B153" t="s">
        <v>129</v>
      </c>
      <c r="C153">
        <v>91002262</v>
      </c>
      <c r="D153">
        <v>140</v>
      </c>
      <c r="E153" s="4">
        <v>-10000000</v>
      </c>
      <c r="F153" t="s">
        <v>82</v>
      </c>
      <c r="G153">
        <v>0</v>
      </c>
      <c r="H153" s="32" t="str">
        <f ca="1">+IF(B153&gt;'sap nuevo'!$V$1,"cargar",IF(C153="","cargar","pagado"))</f>
        <v>cargar</v>
      </c>
      <c r="I153" s="32">
        <f t="shared" si="34"/>
        <v>2025</v>
      </c>
      <c r="J153" s="32">
        <f t="shared" si="35"/>
        <v>3</v>
      </c>
    </row>
    <row r="154" spans="1:10" x14ac:dyDescent="0.25">
      <c r="A154" t="s">
        <v>21</v>
      </c>
      <c r="B154" t="s">
        <v>129</v>
      </c>
      <c r="C154">
        <v>91002263</v>
      </c>
      <c r="D154">
        <v>140</v>
      </c>
      <c r="E154" s="4">
        <v>-8039516.3700000001</v>
      </c>
      <c r="F154" t="s">
        <v>80</v>
      </c>
      <c r="G154">
        <v>0</v>
      </c>
      <c r="H154" s="32" t="str">
        <f ca="1">+IF(B154&gt;'sap nuevo'!$V$1,"cargar",IF(C154="","cargar","pagado"))</f>
        <v>cargar</v>
      </c>
      <c r="I154" s="32">
        <f t="shared" si="34"/>
        <v>2025</v>
      </c>
      <c r="J154" s="32">
        <f t="shared" si="35"/>
        <v>3</v>
      </c>
    </row>
    <row r="155" spans="1:10" x14ac:dyDescent="0.25">
      <c r="A155" t="s">
        <v>12</v>
      </c>
      <c r="B155" t="s">
        <v>130</v>
      </c>
      <c r="C155">
        <v>91002274</v>
      </c>
      <c r="D155">
        <v>140</v>
      </c>
      <c r="E155" s="4">
        <v>-47000000</v>
      </c>
      <c r="F155" t="s">
        <v>82</v>
      </c>
      <c r="G155">
        <v>0</v>
      </c>
      <c r="H155" s="32" t="str">
        <f ca="1">+IF(B155&gt;'sap nuevo'!$V$1,"cargar",IF(C155="","cargar","pagado"))</f>
        <v>cargar</v>
      </c>
      <c r="I155" s="32">
        <f t="shared" si="34"/>
        <v>2025</v>
      </c>
      <c r="J155" s="32">
        <f t="shared" si="35"/>
        <v>3</v>
      </c>
    </row>
    <row r="156" spans="1:10" x14ac:dyDescent="0.25">
      <c r="A156" t="s">
        <v>21</v>
      </c>
      <c r="B156" t="s">
        <v>130</v>
      </c>
      <c r="C156">
        <v>91002272</v>
      </c>
      <c r="D156">
        <v>140</v>
      </c>
      <c r="E156" s="4">
        <v>-12403793.92</v>
      </c>
      <c r="F156" t="s">
        <v>80</v>
      </c>
      <c r="G156">
        <v>0</v>
      </c>
      <c r="H156" s="32" t="str">
        <f ca="1">+IF(B156&gt;'sap nuevo'!$V$1,"cargar",IF(C156="","cargar","pagado"))</f>
        <v>cargar</v>
      </c>
      <c r="I156" s="32">
        <f t="shared" si="34"/>
        <v>2025</v>
      </c>
      <c r="J156" s="32">
        <f t="shared" si="35"/>
        <v>3</v>
      </c>
    </row>
    <row r="157" spans="1:10" x14ac:dyDescent="0.25">
      <c r="A157" t="s">
        <v>21</v>
      </c>
      <c r="B157" t="s">
        <v>130</v>
      </c>
      <c r="C157">
        <v>91002273</v>
      </c>
      <c r="D157">
        <v>140</v>
      </c>
      <c r="E157" s="4">
        <v>-5500449.4199999999</v>
      </c>
      <c r="F157" t="s">
        <v>80</v>
      </c>
      <c r="G157">
        <v>0</v>
      </c>
      <c r="H157" s="32" t="str">
        <f ca="1">+IF(B157&gt;'sap nuevo'!$V$1,"cargar",IF(C157="","cargar","pagado"))</f>
        <v>cargar</v>
      </c>
      <c r="I157" s="32">
        <f t="shared" si="34"/>
        <v>2025</v>
      </c>
      <c r="J157" s="32">
        <f t="shared" si="35"/>
        <v>3</v>
      </c>
    </row>
    <row r="158" spans="1:10" x14ac:dyDescent="0.25">
      <c r="A158" t="s">
        <v>21</v>
      </c>
      <c r="B158" t="s">
        <v>130</v>
      </c>
      <c r="C158">
        <v>94326811</v>
      </c>
      <c r="D158">
        <v>52</v>
      </c>
      <c r="E158" s="4">
        <v>-116986990</v>
      </c>
      <c r="F158" t="s">
        <v>20</v>
      </c>
      <c r="G158">
        <v>2</v>
      </c>
      <c r="H158" s="32" t="str">
        <f ca="1">+IF(B158&gt;'sap nuevo'!$V$1,"cargar",IF(C158="","cargar","pagado"))</f>
        <v>cargar</v>
      </c>
      <c r="I158" s="32">
        <f t="shared" si="34"/>
        <v>2025</v>
      </c>
      <c r="J158" s="32">
        <f t="shared" si="35"/>
        <v>3</v>
      </c>
    </row>
    <row r="159" spans="1:10" x14ac:dyDescent="0.25">
      <c r="A159" t="s">
        <v>21</v>
      </c>
      <c r="B159" t="s">
        <v>130</v>
      </c>
      <c r="C159">
        <v>2927390</v>
      </c>
      <c r="D159">
        <v>52</v>
      </c>
      <c r="E159" s="4">
        <v>-2592346.17</v>
      </c>
      <c r="F159" t="s">
        <v>20</v>
      </c>
      <c r="G159">
        <v>2</v>
      </c>
      <c r="H159" s="32" t="str">
        <f ca="1">+IF(B159&gt;'sap nuevo'!$V$1,"cargar",IF(C159="","cargar","pagado"))</f>
        <v>cargar</v>
      </c>
      <c r="I159" s="32">
        <f t="shared" ref="I159:I180" si="36">+YEAR(B159)</f>
        <v>2025</v>
      </c>
      <c r="J159" s="32">
        <f t="shared" ref="J159:J180" si="37">+MONTH(B159)</f>
        <v>3</v>
      </c>
    </row>
    <row r="160" spans="1:10" x14ac:dyDescent="0.25">
      <c r="A160" t="s">
        <v>21</v>
      </c>
      <c r="B160" t="s">
        <v>867</v>
      </c>
      <c r="C160">
        <v>91002276</v>
      </c>
      <c r="D160">
        <v>140</v>
      </c>
      <c r="E160" s="4">
        <v>-24000000</v>
      </c>
      <c r="F160" t="s">
        <v>80</v>
      </c>
      <c r="G160">
        <v>0</v>
      </c>
      <c r="H160" s="32" t="str">
        <f ca="1">+IF(B160&gt;'sap nuevo'!$V$1,"cargar",IF(C160="","cargar","pagado"))</f>
        <v>cargar</v>
      </c>
      <c r="I160" s="32">
        <f t="shared" si="36"/>
        <v>2025</v>
      </c>
      <c r="J160" s="32">
        <f t="shared" si="37"/>
        <v>3</v>
      </c>
    </row>
    <row r="161" spans="1:10" x14ac:dyDescent="0.25">
      <c r="A161" t="s">
        <v>21</v>
      </c>
      <c r="B161" t="s">
        <v>867</v>
      </c>
      <c r="C161">
        <v>91002277</v>
      </c>
      <c r="D161">
        <v>140</v>
      </c>
      <c r="E161" s="4">
        <v>-6790472</v>
      </c>
      <c r="F161" t="s">
        <v>80</v>
      </c>
      <c r="G161">
        <v>0</v>
      </c>
      <c r="H161" s="32" t="str">
        <f ca="1">+IF(B161&gt;'sap nuevo'!$V$1,"cargar",IF(C161="","cargar","pagado"))</f>
        <v>cargar</v>
      </c>
      <c r="I161" s="32">
        <f t="shared" si="36"/>
        <v>2025</v>
      </c>
      <c r="J161" s="32">
        <f t="shared" si="37"/>
        <v>3</v>
      </c>
    </row>
    <row r="162" spans="1:10" x14ac:dyDescent="0.25">
      <c r="A162" t="s">
        <v>21</v>
      </c>
      <c r="B162" t="s">
        <v>867</v>
      </c>
      <c r="C162">
        <v>91002278</v>
      </c>
      <c r="D162">
        <v>140</v>
      </c>
      <c r="E162" s="4">
        <v>-4304616</v>
      </c>
      <c r="F162" t="s">
        <v>80</v>
      </c>
      <c r="G162">
        <v>0</v>
      </c>
      <c r="H162" s="32" t="str">
        <f ca="1">+IF(B162&gt;'sap nuevo'!$V$1,"cargar",IF(C162="","cargar","pagado"))</f>
        <v>cargar</v>
      </c>
      <c r="I162" s="32">
        <f t="shared" si="36"/>
        <v>2025</v>
      </c>
      <c r="J162" s="32">
        <f t="shared" si="37"/>
        <v>3</v>
      </c>
    </row>
    <row r="163" spans="1:10" x14ac:dyDescent="0.25">
      <c r="A163" t="s">
        <v>21</v>
      </c>
      <c r="B163" t="s">
        <v>867</v>
      </c>
      <c r="C163">
        <v>91002271</v>
      </c>
      <c r="D163">
        <v>140</v>
      </c>
      <c r="E163" s="4">
        <v>-4287667.2699999996</v>
      </c>
      <c r="F163" t="s">
        <v>80</v>
      </c>
      <c r="G163">
        <v>0</v>
      </c>
      <c r="H163" s="32" t="str">
        <f ca="1">+IF(B163&gt;'sap nuevo'!$V$1,"cargar",IF(C163="","cargar","pagado"))</f>
        <v>cargar</v>
      </c>
      <c r="I163" s="32">
        <f t="shared" si="36"/>
        <v>2025</v>
      </c>
      <c r="J163" s="32">
        <f t="shared" si="37"/>
        <v>3</v>
      </c>
    </row>
    <row r="164" spans="1:10" x14ac:dyDescent="0.25">
      <c r="A164" t="s">
        <v>12</v>
      </c>
      <c r="B164" t="s">
        <v>867</v>
      </c>
      <c r="C164">
        <v>91002280</v>
      </c>
      <c r="D164">
        <v>140</v>
      </c>
      <c r="E164" s="4">
        <v>-2710453</v>
      </c>
      <c r="F164" t="s">
        <v>82</v>
      </c>
      <c r="G164">
        <v>0</v>
      </c>
      <c r="H164" s="32" t="str">
        <f ca="1">+IF(B164&gt;'sap nuevo'!$V$1,"cargar",IF(C164="","cargar","pagado"))</f>
        <v>cargar</v>
      </c>
      <c r="I164" s="32">
        <f t="shared" si="36"/>
        <v>2025</v>
      </c>
      <c r="J164" s="32">
        <f t="shared" si="37"/>
        <v>3</v>
      </c>
    </row>
    <row r="165" spans="1:10" x14ac:dyDescent="0.25">
      <c r="A165" t="s">
        <v>21</v>
      </c>
      <c r="B165" t="s">
        <v>867</v>
      </c>
      <c r="C165">
        <v>91002282</v>
      </c>
      <c r="D165">
        <v>140</v>
      </c>
      <c r="E165" s="4">
        <v>-2151780</v>
      </c>
      <c r="F165" t="s">
        <v>80</v>
      </c>
      <c r="G165">
        <v>0</v>
      </c>
      <c r="H165" s="32" t="str">
        <f ca="1">+IF(B165&gt;'sap nuevo'!$V$1,"cargar",IF(C165="","cargar","pagado"))</f>
        <v>cargar</v>
      </c>
      <c r="I165" s="32">
        <f t="shared" si="36"/>
        <v>2025</v>
      </c>
      <c r="J165" s="32">
        <f t="shared" si="37"/>
        <v>3</v>
      </c>
    </row>
    <row r="166" spans="1:10" x14ac:dyDescent="0.25">
      <c r="A166" t="s">
        <v>21</v>
      </c>
      <c r="B166" t="s">
        <v>867</v>
      </c>
      <c r="C166">
        <v>91002283</v>
      </c>
      <c r="D166">
        <v>140</v>
      </c>
      <c r="E166" s="4">
        <v>-1500402</v>
      </c>
      <c r="F166" t="s">
        <v>80</v>
      </c>
      <c r="G166">
        <v>0</v>
      </c>
      <c r="H166" s="32" t="str">
        <f ca="1">+IF(B166&gt;'sap nuevo'!$V$1,"cargar",IF(C166="","cargar","pagado"))</f>
        <v>cargar</v>
      </c>
      <c r="I166" s="32">
        <f t="shared" si="36"/>
        <v>2025</v>
      </c>
      <c r="J166" s="32">
        <f t="shared" si="37"/>
        <v>3</v>
      </c>
    </row>
    <row r="167" spans="1:10" x14ac:dyDescent="0.25">
      <c r="A167" t="s">
        <v>12</v>
      </c>
      <c r="B167" t="s">
        <v>867</v>
      </c>
      <c r="C167">
        <v>91002284</v>
      </c>
      <c r="D167">
        <v>140</v>
      </c>
      <c r="E167" s="4">
        <v>-1370043</v>
      </c>
      <c r="F167" t="s">
        <v>82</v>
      </c>
      <c r="G167">
        <v>0</v>
      </c>
      <c r="H167" s="32" t="str">
        <f ca="1">+IF(B167&gt;'sap nuevo'!$V$1,"cargar",IF(C167="","cargar","pagado"))</f>
        <v>cargar</v>
      </c>
      <c r="I167" s="32">
        <f t="shared" si="36"/>
        <v>2025</v>
      </c>
      <c r="J167" s="32">
        <f t="shared" si="37"/>
        <v>3</v>
      </c>
    </row>
    <row r="168" spans="1:10" x14ac:dyDescent="0.25">
      <c r="A168" t="s">
        <v>21</v>
      </c>
      <c r="B168" t="s">
        <v>132</v>
      </c>
      <c r="C168">
        <v>94326812</v>
      </c>
      <c r="D168">
        <v>52</v>
      </c>
      <c r="E168" s="4">
        <v>-5411260</v>
      </c>
      <c r="F168" t="s">
        <v>20</v>
      </c>
      <c r="G168">
        <v>2</v>
      </c>
      <c r="H168" s="32" t="str">
        <f ca="1">+IF(B168&gt;'sap nuevo'!$V$1,"cargar",IF(C168="","cargar","pagado"))</f>
        <v>cargar</v>
      </c>
      <c r="I168" s="32">
        <f t="shared" si="36"/>
        <v>2025</v>
      </c>
      <c r="J168" s="32">
        <f t="shared" si="37"/>
        <v>3</v>
      </c>
    </row>
    <row r="169" spans="1:10" x14ac:dyDescent="0.25">
      <c r="A169" t="s">
        <v>12</v>
      </c>
      <c r="B169" t="s">
        <v>132</v>
      </c>
      <c r="C169">
        <v>91002291</v>
      </c>
      <c r="D169">
        <v>140</v>
      </c>
      <c r="E169" s="4">
        <v>-56110224.469999999</v>
      </c>
      <c r="F169" t="s">
        <v>82</v>
      </c>
      <c r="G169">
        <v>0</v>
      </c>
      <c r="H169" s="32" t="str">
        <f ca="1">+IF(B169&gt;'sap nuevo'!$V$1,"cargar",IF(C169="","cargar","pagado"))</f>
        <v>cargar</v>
      </c>
      <c r="I169" s="32">
        <f t="shared" si="36"/>
        <v>2025</v>
      </c>
      <c r="J169" s="32">
        <f t="shared" si="37"/>
        <v>3</v>
      </c>
    </row>
    <row r="170" spans="1:10" x14ac:dyDescent="0.25">
      <c r="A170" t="s">
        <v>21</v>
      </c>
      <c r="B170" t="s">
        <v>132</v>
      </c>
      <c r="C170">
        <v>91002290</v>
      </c>
      <c r="D170">
        <v>140</v>
      </c>
      <c r="E170" s="4">
        <v>-39000675.039999999</v>
      </c>
      <c r="F170" t="s">
        <v>80</v>
      </c>
      <c r="G170">
        <v>0</v>
      </c>
      <c r="H170" s="32" t="str">
        <f ca="1">+IF(B170&gt;'sap nuevo'!$V$1,"cargar",IF(C170="","cargar","pagado"))</f>
        <v>cargar</v>
      </c>
      <c r="I170" s="32">
        <f t="shared" si="36"/>
        <v>2025</v>
      </c>
      <c r="J170" s="32">
        <f t="shared" si="37"/>
        <v>3</v>
      </c>
    </row>
    <row r="171" spans="1:10" x14ac:dyDescent="0.25">
      <c r="A171" t="s">
        <v>12</v>
      </c>
      <c r="B171" t="s">
        <v>132</v>
      </c>
      <c r="C171">
        <v>91002275</v>
      </c>
      <c r="D171">
        <v>140</v>
      </c>
      <c r="E171" s="4">
        <v>-34077795.270000003</v>
      </c>
      <c r="F171" t="s">
        <v>82</v>
      </c>
      <c r="G171">
        <v>0</v>
      </c>
      <c r="H171" s="32" t="str">
        <f ca="1">+IF(B171&gt;'sap nuevo'!$V$1,"cargar",IF(C171="","cargar","pagado"))</f>
        <v>cargar</v>
      </c>
      <c r="I171" s="32">
        <f t="shared" si="36"/>
        <v>2025</v>
      </c>
      <c r="J171" s="32">
        <f t="shared" si="37"/>
        <v>3</v>
      </c>
    </row>
    <row r="172" spans="1:10" x14ac:dyDescent="0.25">
      <c r="A172" t="s">
        <v>12</v>
      </c>
      <c r="B172" t="s">
        <v>132</v>
      </c>
      <c r="C172">
        <v>91002292</v>
      </c>
      <c r="D172">
        <v>140</v>
      </c>
      <c r="E172" s="4">
        <v>-21569443.960000001</v>
      </c>
      <c r="F172" t="s">
        <v>82</v>
      </c>
      <c r="G172">
        <v>0</v>
      </c>
      <c r="H172" s="32" t="str">
        <f ca="1">+IF(B172&gt;'sap nuevo'!$V$1,"cargar",IF(C172="","cargar","pagado"))</f>
        <v>cargar</v>
      </c>
      <c r="I172" s="32">
        <f t="shared" si="36"/>
        <v>2025</v>
      </c>
      <c r="J172" s="32">
        <f t="shared" si="37"/>
        <v>3</v>
      </c>
    </row>
    <row r="173" spans="1:10" x14ac:dyDescent="0.25">
      <c r="A173" t="s">
        <v>21</v>
      </c>
      <c r="B173" t="s">
        <v>132</v>
      </c>
      <c r="C173">
        <v>91002286</v>
      </c>
      <c r="D173">
        <v>140</v>
      </c>
      <c r="E173" s="4">
        <v>-10000000</v>
      </c>
      <c r="F173" t="s">
        <v>80</v>
      </c>
      <c r="G173">
        <v>0</v>
      </c>
      <c r="H173" s="32" t="str">
        <f ca="1">+IF(B173&gt;'sap nuevo'!$V$1,"cargar",IF(C173="","cargar","pagado"))</f>
        <v>cargar</v>
      </c>
      <c r="I173" s="32">
        <f t="shared" si="36"/>
        <v>2025</v>
      </c>
      <c r="J173" s="32">
        <f t="shared" si="37"/>
        <v>3</v>
      </c>
    </row>
    <row r="174" spans="1:10" x14ac:dyDescent="0.25">
      <c r="A174" t="s">
        <v>21</v>
      </c>
      <c r="B174" t="s">
        <v>132</v>
      </c>
      <c r="C174">
        <v>91002287</v>
      </c>
      <c r="D174">
        <v>140</v>
      </c>
      <c r="E174" s="4">
        <v>-10000000</v>
      </c>
      <c r="F174" t="s">
        <v>80</v>
      </c>
      <c r="G174">
        <v>0</v>
      </c>
      <c r="H174" s="32" t="str">
        <f ca="1">+IF(B174&gt;'sap nuevo'!$V$1,"cargar",IF(C174="","cargar","pagado"))</f>
        <v>cargar</v>
      </c>
      <c r="I174" s="32">
        <f t="shared" si="36"/>
        <v>2025</v>
      </c>
      <c r="J174" s="32">
        <f t="shared" si="37"/>
        <v>3</v>
      </c>
    </row>
    <row r="175" spans="1:10" x14ac:dyDescent="0.25">
      <c r="A175" t="s">
        <v>21</v>
      </c>
      <c r="B175" t="s">
        <v>132</v>
      </c>
      <c r="C175">
        <v>91002288</v>
      </c>
      <c r="D175">
        <v>140</v>
      </c>
      <c r="E175" s="4">
        <v>-10000000</v>
      </c>
      <c r="F175" t="s">
        <v>80</v>
      </c>
      <c r="G175">
        <v>0</v>
      </c>
      <c r="H175" s="32" t="str">
        <f ca="1">+IF(B175&gt;'sap nuevo'!$V$1,"cargar",IF(C175="","cargar","pagado"))</f>
        <v>cargar</v>
      </c>
      <c r="I175" s="32">
        <f t="shared" si="36"/>
        <v>2025</v>
      </c>
      <c r="J175" s="32">
        <f t="shared" si="37"/>
        <v>3</v>
      </c>
    </row>
    <row r="176" spans="1:10" x14ac:dyDescent="0.25">
      <c r="A176" t="s">
        <v>21</v>
      </c>
      <c r="B176" t="s">
        <v>132</v>
      </c>
      <c r="C176">
        <v>91002289</v>
      </c>
      <c r="D176">
        <v>140</v>
      </c>
      <c r="E176" s="4">
        <v>-7280559.9900000002</v>
      </c>
      <c r="F176" t="s">
        <v>80</v>
      </c>
      <c r="G176">
        <v>0</v>
      </c>
      <c r="H176" s="32" t="str">
        <f ca="1">+IF(B176&gt;'sap nuevo'!$V$1,"cargar",IF(C176="","cargar","pagado"))</f>
        <v>cargar</v>
      </c>
      <c r="I176" s="32">
        <f t="shared" si="36"/>
        <v>2025</v>
      </c>
      <c r="J176" s="32">
        <f t="shared" si="37"/>
        <v>3</v>
      </c>
    </row>
    <row r="177" spans="1:10" x14ac:dyDescent="0.25">
      <c r="A177" t="s">
        <v>12</v>
      </c>
      <c r="B177" t="s">
        <v>133</v>
      </c>
      <c r="C177">
        <v>91002285</v>
      </c>
      <c r="D177">
        <v>140</v>
      </c>
      <c r="E177" s="4">
        <v>-34218093.759999998</v>
      </c>
      <c r="F177" t="s">
        <v>82</v>
      </c>
      <c r="G177">
        <v>0</v>
      </c>
      <c r="H177" s="32" t="str">
        <f ca="1">+IF(B177&gt;'sap nuevo'!$V$1,"cargar",IF(C177="","cargar","pagado"))</f>
        <v>cargar</v>
      </c>
      <c r="I177" s="32">
        <f t="shared" si="36"/>
        <v>2025</v>
      </c>
      <c r="J177" s="32">
        <f t="shared" si="37"/>
        <v>3</v>
      </c>
    </row>
    <row r="178" spans="1:10" x14ac:dyDescent="0.25">
      <c r="A178" t="s">
        <v>21</v>
      </c>
      <c r="B178" t="s">
        <v>134</v>
      </c>
      <c r="C178">
        <v>94326813</v>
      </c>
      <c r="D178">
        <v>52</v>
      </c>
      <c r="E178" s="4">
        <v>-94737770</v>
      </c>
      <c r="F178" t="s">
        <v>20</v>
      </c>
      <c r="G178">
        <v>2</v>
      </c>
      <c r="H178" s="32" t="str">
        <f ca="1">+IF(B178&gt;'sap nuevo'!$V$1,"cargar",IF(C178="","cargar","pagado"))</f>
        <v>cargar</v>
      </c>
      <c r="I178" s="32">
        <f t="shared" si="36"/>
        <v>2025</v>
      </c>
      <c r="J178" s="32">
        <f t="shared" si="37"/>
        <v>3</v>
      </c>
    </row>
    <row r="179" spans="1:10" x14ac:dyDescent="0.25">
      <c r="A179" t="s">
        <v>21</v>
      </c>
      <c r="B179" t="s">
        <v>134</v>
      </c>
      <c r="C179">
        <v>91002298</v>
      </c>
      <c r="D179">
        <v>140</v>
      </c>
      <c r="E179" s="4">
        <v>-23000000</v>
      </c>
      <c r="F179" t="s">
        <v>80</v>
      </c>
      <c r="G179">
        <v>0</v>
      </c>
      <c r="H179" s="32" t="str">
        <f ca="1">+IF(B179&gt;'sap nuevo'!$V$1,"cargar",IF(C179="","cargar","pagado"))</f>
        <v>cargar</v>
      </c>
      <c r="I179" s="32">
        <f t="shared" si="36"/>
        <v>2025</v>
      </c>
      <c r="J179" s="32">
        <f t="shared" si="37"/>
        <v>3</v>
      </c>
    </row>
    <row r="180" spans="1:10" x14ac:dyDescent="0.25">
      <c r="A180" t="s">
        <v>21</v>
      </c>
      <c r="B180" t="s">
        <v>134</v>
      </c>
      <c r="C180">
        <v>91002312</v>
      </c>
      <c r="D180">
        <v>140</v>
      </c>
      <c r="E180" s="4">
        <v>-15528177.1</v>
      </c>
      <c r="F180" t="s">
        <v>80</v>
      </c>
      <c r="G180">
        <v>0</v>
      </c>
      <c r="H180" s="32" t="str">
        <f ca="1">+IF(B180&gt;'sap nuevo'!$V$1,"cargar",IF(C180="","cargar","pagado"))</f>
        <v>cargar</v>
      </c>
      <c r="I180" s="32">
        <f t="shared" si="36"/>
        <v>2025</v>
      </c>
      <c r="J180" s="32">
        <f t="shared" si="37"/>
        <v>3</v>
      </c>
    </row>
    <row r="181" spans="1:10" x14ac:dyDescent="0.25">
      <c r="A181" t="s">
        <v>12</v>
      </c>
      <c r="B181" t="s">
        <v>134</v>
      </c>
      <c r="C181">
        <v>91002294</v>
      </c>
      <c r="D181">
        <v>140</v>
      </c>
      <c r="E181" s="4">
        <v>-15000000</v>
      </c>
      <c r="F181" t="s">
        <v>82</v>
      </c>
      <c r="G181">
        <v>0</v>
      </c>
      <c r="H181" s="32" t="str">
        <f ca="1">+IF(B181&gt;'sap nuevo'!$V$1,"cargar",IF(C181="","cargar","pagado"))</f>
        <v>cargar</v>
      </c>
      <c r="I181" s="32">
        <f t="shared" ref="I181:I192" si="38">+YEAR(B181)</f>
        <v>2025</v>
      </c>
      <c r="J181" s="32">
        <f t="shared" ref="J181:J192" si="39">+MONTH(B181)</f>
        <v>3</v>
      </c>
    </row>
    <row r="182" spans="1:10" x14ac:dyDescent="0.25">
      <c r="A182" t="s">
        <v>21</v>
      </c>
      <c r="B182" t="s">
        <v>134</v>
      </c>
      <c r="C182">
        <v>91002296</v>
      </c>
      <c r="D182">
        <v>140</v>
      </c>
      <c r="E182" s="4">
        <v>-15000000</v>
      </c>
      <c r="F182" t="s">
        <v>80</v>
      </c>
      <c r="G182">
        <v>0</v>
      </c>
      <c r="H182" s="32" t="str">
        <f ca="1">+IF(B182&gt;'sap nuevo'!$V$1,"cargar",IF(C182="","cargar","pagado"))</f>
        <v>cargar</v>
      </c>
      <c r="I182" s="32">
        <f t="shared" si="38"/>
        <v>2025</v>
      </c>
      <c r="J182" s="32">
        <f t="shared" si="39"/>
        <v>3</v>
      </c>
    </row>
    <row r="183" spans="1:10" x14ac:dyDescent="0.25">
      <c r="A183" t="s">
        <v>12</v>
      </c>
      <c r="B183" t="s">
        <v>134</v>
      </c>
      <c r="C183">
        <v>91002293</v>
      </c>
      <c r="D183">
        <v>140</v>
      </c>
      <c r="E183" s="4">
        <v>-14944109.720000001</v>
      </c>
      <c r="F183" t="s">
        <v>82</v>
      </c>
      <c r="G183">
        <v>0</v>
      </c>
      <c r="H183" s="32" t="str">
        <f ca="1">+IF(B183&gt;'sap nuevo'!$V$1,"cargar",IF(C183="","cargar","pagado"))</f>
        <v>cargar</v>
      </c>
      <c r="I183" s="32">
        <f t="shared" si="38"/>
        <v>2025</v>
      </c>
      <c r="J183" s="32">
        <f t="shared" si="39"/>
        <v>3</v>
      </c>
    </row>
    <row r="184" spans="1:10" x14ac:dyDescent="0.25">
      <c r="A184" t="s">
        <v>21</v>
      </c>
      <c r="B184" t="s">
        <v>134</v>
      </c>
      <c r="C184">
        <v>91002308</v>
      </c>
      <c r="D184">
        <v>140</v>
      </c>
      <c r="E184" s="4">
        <v>-10000000</v>
      </c>
      <c r="F184" t="s">
        <v>80</v>
      </c>
      <c r="G184">
        <v>0</v>
      </c>
      <c r="H184" s="32" t="str">
        <f ca="1">+IF(B184&gt;'sap nuevo'!$V$1,"cargar",IF(C184="","cargar","pagado"))</f>
        <v>cargar</v>
      </c>
      <c r="I184" s="32">
        <f t="shared" si="38"/>
        <v>2025</v>
      </c>
      <c r="J184" s="32">
        <f t="shared" si="39"/>
        <v>3</v>
      </c>
    </row>
    <row r="185" spans="1:10" x14ac:dyDescent="0.25">
      <c r="A185" t="s">
        <v>21</v>
      </c>
      <c r="B185" t="s">
        <v>134</v>
      </c>
      <c r="C185">
        <v>91002310</v>
      </c>
      <c r="D185">
        <v>140</v>
      </c>
      <c r="E185" s="4">
        <v>-9183173.0800000001</v>
      </c>
      <c r="F185" t="s">
        <v>80</v>
      </c>
      <c r="G185">
        <v>0</v>
      </c>
      <c r="H185" s="32" t="str">
        <f ca="1">+IF(B185&gt;'sap nuevo'!$V$1,"cargar",IF(C185="","cargar","pagado"))</f>
        <v>cargar</v>
      </c>
      <c r="I185" s="32">
        <f t="shared" si="38"/>
        <v>2025</v>
      </c>
      <c r="J185" s="32">
        <f t="shared" si="39"/>
        <v>3</v>
      </c>
    </row>
    <row r="186" spans="1:10" x14ac:dyDescent="0.25">
      <c r="A186" t="s">
        <v>21</v>
      </c>
      <c r="B186" t="s">
        <v>134</v>
      </c>
      <c r="C186">
        <v>91002302</v>
      </c>
      <c r="D186">
        <v>140</v>
      </c>
      <c r="E186" s="4">
        <v>-6752691.5999999996</v>
      </c>
      <c r="F186" t="s">
        <v>80</v>
      </c>
      <c r="G186">
        <v>0</v>
      </c>
      <c r="H186" s="32" t="str">
        <f ca="1">+IF(B186&gt;'sap nuevo'!$V$1,"cargar",IF(C186="","cargar","pagado"))</f>
        <v>cargar</v>
      </c>
      <c r="I186" s="32">
        <f t="shared" si="38"/>
        <v>2025</v>
      </c>
      <c r="J186" s="32">
        <f t="shared" si="39"/>
        <v>3</v>
      </c>
    </row>
    <row r="187" spans="1:10" x14ac:dyDescent="0.25">
      <c r="A187" t="s">
        <v>21</v>
      </c>
      <c r="B187" t="s">
        <v>134</v>
      </c>
      <c r="C187">
        <v>91002306</v>
      </c>
      <c r="D187">
        <v>140</v>
      </c>
      <c r="E187" s="4">
        <v>-5901818.9199999999</v>
      </c>
      <c r="F187" t="s">
        <v>80</v>
      </c>
      <c r="G187">
        <v>0</v>
      </c>
      <c r="H187" s="32" t="str">
        <f ca="1">+IF(B187&gt;'sap nuevo'!$V$1,"cargar",IF(C187="","cargar","pagado"))</f>
        <v>cargar</v>
      </c>
      <c r="I187" s="32">
        <f t="shared" si="38"/>
        <v>2025</v>
      </c>
      <c r="J187" s="32">
        <f t="shared" si="39"/>
        <v>3</v>
      </c>
    </row>
    <row r="188" spans="1:10" x14ac:dyDescent="0.25">
      <c r="A188" t="s">
        <v>12</v>
      </c>
      <c r="B188" t="s">
        <v>134</v>
      </c>
      <c r="C188">
        <v>91002300</v>
      </c>
      <c r="D188">
        <v>140</v>
      </c>
      <c r="E188" s="4">
        <v>-5568020.6299999999</v>
      </c>
      <c r="F188" t="s">
        <v>82</v>
      </c>
      <c r="G188">
        <v>0</v>
      </c>
      <c r="H188" s="32" t="str">
        <f ca="1">+IF(B188&gt;'sap nuevo'!$V$1,"cargar",IF(C188="","cargar","pagado"))</f>
        <v>cargar</v>
      </c>
      <c r="I188" s="32">
        <f t="shared" si="38"/>
        <v>2025</v>
      </c>
      <c r="J188" s="32">
        <f t="shared" si="39"/>
        <v>3</v>
      </c>
    </row>
    <row r="189" spans="1:10" x14ac:dyDescent="0.25">
      <c r="A189" t="s">
        <v>21</v>
      </c>
      <c r="B189" t="s">
        <v>134</v>
      </c>
      <c r="C189">
        <v>91002303</v>
      </c>
      <c r="D189">
        <v>140</v>
      </c>
      <c r="E189" s="4">
        <v>-5423997.9699999997</v>
      </c>
      <c r="F189" t="s">
        <v>80</v>
      </c>
      <c r="G189">
        <v>0</v>
      </c>
      <c r="H189" s="32" t="str">
        <f ca="1">+IF(B189&gt;'sap nuevo'!$V$1,"cargar",IF(C189="","cargar","pagado"))</f>
        <v>cargar</v>
      </c>
      <c r="I189" s="32">
        <f t="shared" si="38"/>
        <v>2025</v>
      </c>
      <c r="J189" s="32">
        <f t="shared" si="39"/>
        <v>3</v>
      </c>
    </row>
    <row r="190" spans="1:10" x14ac:dyDescent="0.25">
      <c r="A190" t="s">
        <v>21</v>
      </c>
      <c r="B190" t="s">
        <v>134</v>
      </c>
      <c r="C190">
        <v>91002311</v>
      </c>
      <c r="D190">
        <v>140</v>
      </c>
      <c r="E190" s="4">
        <v>-5393304</v>
      </c>
      <c r="F190" t="s">
        <v>80</v>
      </c>
      <c r="G190">
        <v>0</v>
      </c>
      <c r="H190" s="32" t="str">
        <f ca="1">+IF(B190&gt;'sap nuevo'!$V$1,"cargar",IF(C190="","cargar","pagado"))</f>
        <v>cargar</v>
      </c>
      <c r="I190" s="32">
        <f t="shared" si="38"/>
        <v>2025</v>
      </c>
      <c r="J190" s="32">
        <f t="shared" si="39"/>
        <v>3</v>
      </c>
    </row>
    <row r="191" spans="1:10" x14ac:dyDescent="0.25">
      <c r="A191" t="s">
        <v>21</v>
      </c>
      <c r="B191" t="s">
        <v>134</v>
      </c>
      <c r="C191">
        <v>91002305</v>
      </c>
      <c r="D191">
        <v>140</v>
      </c>
      <c r="E191" s="4">
        <v>-3615552.18</v>
      </c>
      <c r="F191" t="s">
        <v>80</v>
      </c>
      <c r="G191">
        <v>0</v>
      </c>
      <c r="H191" s="32" t="str">
        <f ca="1">+IF(B191&gt;'sap nuevo'!$V$1,"cargar",IF(C191="","cargar","pagado"))</f>
        <v>cargar</v>
      </c>
      <c r="I191" s="32">
        <f t="shared" si="38"/>
        <v>2025</v>
      </c>
      <c r="J191" s="32">
        <f t="shared" si="39"/>
        <v>3</v>
      </c>
    </row>
    <row r="192" spans="1:10" x14ac:dyDescent="0.25">
      <c r="A192" t="s">
        <v>21</v>
      </c>
      <c r="B192" t="s">
        <v>134</v>
      </c>
      <c r="C192">
        <v>91002313</v>
      </c>
      <c r="D192">
        <v>140</v>
      </c>
      <c r="E192" s="4">
        <v>-3588227.54</v>
      </c>
      <c r="F192" t="s">
        <v>80</v>
      </c>
      <c r="G192">
        <v>0</v>
      </c>
      <c r="H192" s="32" t="str">
        <f ca="1">+IF(B192&gt;'sap nuevo'!$V$1,"cargar",IF(C192="","cargar","pagado"))</f>
        <v>cargar</v>
      </c>
      <c r="I192" s="32">
        <f t="shared" si="38"/>
        <v>2025</v>
      </c>
      <c r="J192" s="32">
        <f t="shared" si="39"/>
        <v>3</v>
      </c>
    </row>
    <row r="193" spans="1:10" x14ac:dyDescent="0.25">
      <c r="A193" t="s">
        <v>23</v>
      </c>
      <c r="B193" t="s">
        <v>135</v>
      </c>
      <c r="C193">
        <v>94326814</v>
      </c>
      <c r="D193">
        <v>52</v>
      </c>
      <c r="E193" s="4">
        <v>-484544.99</v>
      </c>
      <c r="F193" t="s">
        <v>24</v>
      </c>
      <c r="G193">
        <v>5</v>
      </c>
      <c r="H193" s="32" t="str">
        <f ca="1">+IF(B193&gt;'sap nuevo'!$V$1,"cargar",IF(C193="","cargar","pagado"))</f>
        <v>cargar</v>
      </c>
      <c r="I193" s="32">
        <f t="shared" ref="I193:I205" si="40">+YEAR(B193)</f>
        <v>2025</v>
      </c>
      <c r="J193" s="32">
        <f t="shared" ref="J193:J205" si="41">+MONTH(B193)</f>
        <v>4</v>
      </c>
    </row>
    <row r="194" spans="1:10" x14ac:dyDescent="0.25">
      <c r="A194" t="s">
        <v>21</v>
      </c>
      <c r="B194" t="s">
        <v>136</v>
      </c>
      <c r="C194">
        <v>91002299</v>
      </c>
      <c r="D194">
        <v>140</v>
      </c>
      <c r="E194" s="4">
        <v>-22005290.809999999</v>
      </c>
      <c r="F194" t="s">
        <v>80</v>
      </c>
      <c r="G194">
        <v>0</v>
      </c>
      <c r="H194" s="32" t="str">
        <f ca="1">+IF(B194&gt;'sap nuevo'!$V$1,"cargar",IF(C194="","cargar","pagado"))</f>
        <v>cargar</v>
      </c>
      <c r="I194" s="32">
        <f t="shared" si="40"/>
        <v>2025</v>
      </c>
      <c r="J194" s="32">
        <f t="shared" si="41"/>
        <v>3</v>
      </c>
    </row>
    <row r="195" spans="1:10" x14ac:dyDescent="0.25">
      <c r="A195" t="s">
        <v>12</v>
      </c>
      <c r="B195" t="s">
        <v>136</v>
      </c>
      <c r="C195">
        <v>91002295</v>
      </c>
      <c r="D195">
        <v>140</v>
      </c>
      <c r="E195" s="4">
        <v>-17400526.27</v>
      </c>
      <c r="F195" t="s">
        <v>82</v>
      </c>
      <c r="G195">
        <v>0</v>
      </c>
      <c r="H195" s="32" t="str">
        <f ca="1">+IF(B195&gt;'sap nuevo'!$V$1,"cargar",IF(C195="","cargar","pagado"))</f>
        <v>cargar</v>
      </c>
      <c r="I195" s="32">
        <f t="shared" si="40"/>
        <v>2025</v>
      </c>
      <c r="J195" s="32">
        <f t="shared" si="41"/>
        <v>3</v>
      </c>
    </row>
    <row r="196" spans="1:10" x14ac:dyDescent="0.25">
      <c r="A196" t="s">
        <v>21</v>
      </c>
      <c r="B196" t="s">
        <v>136</v>
      </c>
      <c r="C196">
        <v>91002297</v>
      </c>
      <c r="D196">
        <v>140</v>
      </c>
      <c r="E196" s="4">
        <v>-16657718.85</v>
      </c>
      <c r="F196" t="s">
        <v>80</v>
      </c>
      <c r="G196">
        <v>0</v>
      </c>
      <c r="H196" s="32" t="str">
        <f ca="1">+IF(B196&gt;'sap nuevo'!$V$1,"cargar",IF(C196="","cargar","pagado"))</f>
        <v>cargar</v>
      </c>
      <c r="I196" s="32">
        <f t="shared" si="40"/>
        <v>2025</v>
      </c>
      <c r="J196" s="32">
        <f t="shared" si="41"/>
        <v>3</v>
      </c>
    </row>
    <row r="197" spans="1:10" x14ac:dyDescent="0.25">
      <c r="A197" t="s">
        <v>21</v>
      </c>
      <c r="B197" t="s">
        <v>136</v>
      </c>
      <c r="C197">
        <v>91002309</v>
      </c>
      <c r="D197">
        <v>140</v>
      </c>
      <c r="E197" s="4">
        <v>-11222167.92</v>
      </c>
      <c r="F197" t="s">
        <v>80</v>
      </c>
      <c r="G197">
        <v>0</v>
      </c>
      <c r="H197" s="32" t="str">
        <f ca="1">+IF(B197&gt;'sap nuevo'!$V$1,"cargar",IF(C197="","cargar","pagado"))</f>
        <v>cargar</v>
      </c>
      <c r="I197" s="32">
        <f t="shared" si="40"/>
        <v>2025</v>
      </c>
      <c r="J197" s="32">
        <f t="shared" si="41"/>
        <v>3</v>
      </c>
    </row>
    <row r="198" spans="1:10" x14ac:dyDescent="0.25">
      <c r="A198" t="s">
        <v>21</v>
      </c>
      <c r="B198" t="s">
        <v>136</v>
      </c>
      <c r="C198">
        <v>91002304</v>
      </c>
      <c r="D198">
        <v>140</v>
      </c>
      <c r="E198" s="4">
        <v>-9994718.9800000004</v>
      </c>
      <c r="F198" t="s">
        <v>80</v>
      </c>
      <c r="G198">
        <v>0</v>
      </c>
      <c r="H198" s="32" t="str">
        <f ca="1">+IF(B198&gt;'sap nuevo'!$V$1,"cargar",IF(C198="","cargar","pagado"))</f>
        <v>cargar</v>
      </c>
      <c r="I198" s="32">
        <f t="shared" si="40"/>
        <v>2025</v>
      </c>
      <c r="J198" s="32">
        <f t="shared" si="41"/>
        <v>3</v>
      </c>
    </row>
    <row r="199" spans="1:10" x14ac:dyDescent="0.25">
      <c r="A199" t="s">
        <v>21</v>
      </c>
      <c r="B199" t="s">
        <v>136</v>
      </c>
      <c r="C199">
        <v>91002281</v>
      </c>
      <c r="D199">
        <v>140</v>
      </c>
      <c r="E199" s="4">
        <v>-2688000</v>
      </c>
      <c r="F199" t="s">
        <v>80</v>
      </c>
      <c r="G199">
        <v>0</v>
      </c>
      <c r="H199" s="32" t="str">
        <f ca="1">+IF(B199&gt;'sap nuevo'!$V$1,"cargar",IF(C199="","cargar","pagado"))</f>
        <v>cargar</v>
      </c>
      <c r="I199" s="32">
        <f t="shared" si="40"/>
        <v>2025</v>
      </c>
      <c r="J199" s="32">
        <f t="shared" si="41"/>
        <v>3</v>
      </c>
    </row>
    <row r="200" spans="1:10" x14ac:dyDescent="0.25">
      <c r="A200" t="s">
        <v>23</v>
      </c>
      <c r="B200" t="s">
        <v>137</v>
      </c>
      <c r="C200">
        <v>94326815</v>
      </c>
      <c r="D200">
        <v>52</v>
      </c>
      <c r="E200" s="4">
        <v>-2000000</v>
      </c>
      <c r="F200" t="s">
        <v>24</v>
      </c>
      <c r="G200">
        <v>5</v>
      </c>
      <c r="H200" s="32" t="str">
        <f ca="1">+IF(B200&gt;'sap nuevo'!$V$1,"cargar",IF(C200="","cargar","pagado"))</f>
        <v>cargar</v>
      </c>
      <c r="I200" s="32">
        <f t="shared" si="40"/>
        <v>2025</v>
      </c>
      <c r="J200" s="32">
        <f t="shared" si="41"/>
        <v>4</v>
      </c>
    </row>
    <row r="201" spans="1:10" x14ac:dyDescent="0.25">
      <c r="A201" t="s">
        <v>21</v>
      </c>
      <c r="B201" t="s">
        <v>137</v>
      </c>
      <c r="C201">
        <v>91002307</v>
      </c>
      <c r="D201">
        <v>140</v>
      </c>
      <c r="E201" s="4">
        <v>-3565296</v>
      </c>
      <c r="F201" t="s">
        <v>80</v>
      </c>
      <c r="G201">
        <v>0</v>
      </c>
      <c r="H201" s="32" t="str">
        <f ca="1">+IF(B201&gt;'sap nuevo'!$V$1,"cargar",IF(C201="","cargar","pagado"))</f>
        <v>cargar</v>
      </c>
      <c r="I201" s="32">
        <f t="shared" si="40"/>
        <v>2025</v>
      </c>
      <c r="J201" s="32">
        <f t="shared" si="41"/>
        <v>4</v>
      </c>
    </row>
    <row r="202" spans="1:10" x14ac:dyDescent="0.25">
      <c r="A202" t="s">
        <v>12</v>
      </c>
      <c r="B202" t="s">
        <v>868</v>
      </c>
      <c r="C202">
        <v>91002315</v>
      </c>
      <c r="D202">
        <v>140</v>
      </c>
      <c r="E202" s="4">
        <v>-4482479.4000000004</v>
      </c>
      <c r="F202" t="s">
        <v>82</v>
      </c>
      <c r="G202">
        <v>0</v>
      </c>
      <c r="H202" s="32" t="str">
        <f ca="1">+IF(B202&gt;'sap nuevo'!$V$1,"cargar",IF(C202="","cargar","pagado"))</f>
        <v>cargar</v>
      </c>
      <c r="I202" s="32">
        <f t="shared" si="40"/>
        <v>2025</v>
      </c>
      <c r="J202" s="32">
        <f t="shared" si="41"/>
        <v>4</v>
      </c>
    </row>
    <row r="203" spans="1:10" x14ac:dyDescent="0.25">
      <c r="A203" t="s">
        <v>12</v>
      </c>
      <c r="B203" t="s">
        <v>868</v>
      </c>
      <c r="C203">
        <v>91002316</v>
      </c>
      <c r="D203">
        <v>140</v>
      </c>
      <c r="E203" s="4">
        <v>-3514213.5</v>
      </c>
      <c r="F203" t="s">
        <v>82</v>
      </c>
      <c r="G203">
        <v>0</v>
      </c>
      <c r="H203" s="32" t="str">
        <f ca="1">+IF(B203&gt;'sap nuevo'!$V$1,"cargar",IF(C203="","cargar","pagado"))</f>
        <v>cargar</v>
      </c>
      <c r="I203" s="32">
        <f t="shared" si="40"/>
        <v>2025</v>
      </c>
      <c r="J203" s="32">
        <f t="shared" si="41"/>
        <v>4</v>
      </c>
    </row>
    <row r="204" spans="1:10" x14ac:dyDescent="0.25">
      <c r="A204" t="s">
        <v>21</v>
      </c>
      <c r="B204" t="s">
        <v>868</v>
      </c>
      <c r="C204">
        <v>91002279</v>
      </c>
      <c r="D204">
        <v>140</v>
      </c>
      <c r="E204" s="4">
        <v>-2942799</v>
      </c>
      <c r="F204" t="s">
        <v>80</v>
      </c>
      <c r="G204">
        <v>0</v>
      </c>
      <c r="H204" s="32" t="str">
        <f ca="1">+IF(B204&gt;'sap nuevo'!$V$1,"cargar",IF(C204="","cargar","pagado"))</f>
        <v>cargar</v>
      </c>
      <c r="I204" s="32">
        <f t="shared" si="40"/>
        <v>2025</v>
      </c>
      <c r="J204" s="32">
        <f t="shared" si="41"/>
        <v>4</v>
      </c>
    </row>
    <row r="205" spans="1:10" x14ac:dyDescent="0.25">
      <c r="A205" t="s">
        <v>21</v>
      </c>
      <c r="B205" t="s">
        <v>868</v>
      </c>
      <c r="C205">
        <v>91002317</v>
      </c>
      <c r="D205">
        <v>140</v>
      </c>
      <c r="E205" s="4">
        <v>-2614409.79</v>
      </c>
      <c r="F205" t="s">
        <v>80</v>
      </c>
      <c r="G205">
        <v>0</v>
      </c>
      <c r="H205" s="32" t="str">
        <f ca="1">+IF(B205&gt;'sap nuevo'!$V$1,"cargar",IF(C205="","cargar","pagado"))</f>
        <v>cargar</v>
      </c>
      <c r="I205" s="32">
        <f t="shared" si="40"/>
        <v>2025</v>
      </c>
      <c r="J205" s="32">
        <f t="shared" si="41"/>
        <v>4</v>
      </c>
    </row>
    <row r="206" spans="1:10" x14ac:dyDescent="0.25">
      <c r="A206" t="s">
        <v>21</v>
      </c>
      <c r="B206" t="s">
        <v>138</v>
      </c>
      <c r="C206">
        <v>91002318</v>
      </c>
      <c r="D206">
        <v>140</v>
      </c>
      <c r="E206" s="4">
        <v>-7567193.4000000004</v>
      </c>
      <c r="F206" t="s">
        <v>80</v>
      </c>
      <c r="G206">
        <v>0</v>
      </c>
      <c r="H206" s="32" t="str">
        <f ca="1">+IF(B206&gt;'sap nuevo'!$V$1,"cargar",IF(C206="","cargar","pagado"))</f>
        <v>cargar</v>
      </c>
      <c r="I206" s="32">
        <f t="shared" ref="I206:I216" si="42">+YEAR(B206)</f>
        <v>2025</v>
      </c>
      <c r="J206" s="32">
        <f t="shared" ref="J206:J216" si="43">+MONTH(B206)</f>
        <v>4</v>
      </c>
    </row>
    <row r="207" spans="1:10" x14ac:dyDescent="0.25">
      <c r="A207" t="s">
        <v>21</v>
      </c>
      <c r="B207" t="s">
        <v>138</v>
      </c>
      <c r="C207">
        <v>91002320</v>
      </c>
      <c r="D207">
        <v>140</v>
      </c>
      <c r="E207" s="4">
        <v>-6788075</v>
      </c>
      <c r="F207" t="s">
        <v>80</v>
      </c>
      <c r="G207">
        <v>0</v>
      </c>
      <c r="H207" s="32" t="str">
        <f ca="1">+IF(B207&gt;'sap nuevo'!$V$1,"cargar",IF(C207="","cargar","pagado"))</f>
        <v>cargar</v>
      </c>
      <c r="I207" s="32">
        <f t="shared" si="42"/>
        <v>2025</v>
      </c>
      <c r="J207" s="32">
        <f t="shared" si="43"/>
        <v>4</v>
      </c>
    </row>
    <row r="208" spans="1:10" x14ac:dyDescent="0.25">
      <c r="A208" t="s">
        <v>21</v>
      </c>
      <c r="B208" t="s">
        <v>138</v>
      </c>
      <c r="C208">
        <v>91002319</v>
      </c>
      <c r="D208">
        <v>140</v>
      </c>
      <c r="E208" s="4">
        <v>-6615069.0300000003</v>
      </c>
      <c r="F208" t="s">
        <v>80</v>
      </c>
      <c r="G208">
        <v>0</v>
      </c>
      <c r="H208" s="32" t="str">
        <f ca="1">+IF(B208&gt;'sap nuevo'!$V$1,"cargar",IF(C208="","cargar","pagado"))</f>
        <v>cargar</v>
      </c>
      <c r="I208" s="32">
        <f t="shared" si="42"/>
        <v>2025</v>
      </c>
      <c r="J208" s="32">
        <f t="shared" si="43"/>
        <v>4</v>
      </c>
    </row>
    <row r="209" spans="1:10" x14ac:dyDescent="0.25">
      <c r="A209" t="s">
        <v>21</v>
      </c>
      <c r="B209" t="s">
        <v>869</v>
      </c>
      <c r="C209">
        <v>91002323</v>
      </c>
      <c r="D209">
        <v>140</v>
      </c>
      <c r="E209" s="4">
        <v>-12056607.32</v>
      </c>
      <c r="F209" t="s">
        <v>80</v>
      </c>
      <c r="G209">
        <v>0</v>
      </c>
      <c r="H209" s="32" t="str">
        <f ca="1">+IF(B209&gt;'sap nuevo'!$V$1,"cargar",IF(C209="","cargar","pagado"))</f>
        <v>cargar</v>
      </c>
      <c r="I209" s="32">
        <f t="shared" si="42"/>
        <v>2025</v>
      </c>
      <c r="J209" s="32">
        <f t="shared" si="43"/>
        <v>4</v>
      </c>
    </row>
    <row r="210" spans="1:10" x14ac:dyDescent="0.25">
      <c r="A210" t="s">
        <v>21</v>
      </c>
      <c r="B210" t="s">
        <v>869</v>
      </c>
      <c r="C210">
        <v>91002321</v>
      </c>
      <c r="D210">
        <v>140</v>
      </c>
      <c r="E210" s="4">
        <v>-8007068.4000000004</v>
      </c>
      <c r="F210" t="s">
        <v>80</v>
      </c>
      <c r="G210">
        <v>0</v>
      </c>
      <c r="H210" s="32" t="str">
        <f ca="1">+IF(B210&gt;'sap nuevo'!$V$1,"cargar",IF(C210="","cargar","pagado"))</f>
        <v>cargar</v>
      </c>
      <c r="I210" s="32">
        <f t="shared" si="42"/>
        <v>2025</v>
      </c>
      <c r="J210" s="32">
        <f t="shared" si="43"/>
        <v>4</v>
      </c>
    </row>
    <row r="211" spans="1:10" x14ac:dyDescent="0.25">
      <c r="A211" t="s">
        <v>21</v>
      </c>
      <c r="B211" t="s">
        <v>869</v>
      </c>
      <c r="C211">
        <v>91002324</v>
      </c>
      <c r="D211">
        <v>140</v>
      </c>
      <c r="E211" s="4">
        <v>-5064966.97</v>
      </c>
      <c r="F211" t="s">
        <v>80</v>
      </c>
      <c r="G211">
        <v>0</v>
      </c>
      <c r="H211" s="32" t="str">
        <f ca="1">+IF(B211&gt;'sap nuevo'!$V$1,"cargar",IF(C211="","cargar","pagado"))</f>
        <v>cargar</v>
      </c>
      <c r="I211" s="32">
        <f t="shared" si="42"/>
        <v>2025</v>
      </c>
      <c r="J211" s="32">
        <f t="shared" si="43"/>
        <v>4</v>
      </c>
    </row>
    <row r="212" spans="1:10" x14ac:dyDescent="0.25">
      <c r="A212" t="s">
        <v>21</v>
      </c>
      <c r="B212" t="s">
        <v>869</v>
      </c>
      <c r="C212">
        <v>91002322</v>
      </c>
      <c r="D212">
        <v>140</v>
      </c>
      <c r="E212" s="4">
        <v>-1335665.95</v>
      </c>
      <c r="F212" t="s">
        <v>80</v>
      </c>
      <c r="G212">
        <v>0</v>
      </c>
      <c r="H212" s="32" t="str">
        <f ca="1">+IF(B212&gt;'sap nuevo'!$V$1,"cargar",IF(C212="","cargar","pagado"))</f>
        <v>cargar</v>
      </c>
      <c r="I212" s="32">
        <f t="shared" si="42"/>
        <v>2025</v>
      </c>
      <c r="J212" s="32">
        <f t="shared" si="43"/>
        <v>4</v>
      </c>
    </row>
    <row r="213" spans="1:10" x14ac:dyDescent="0.25">
      <c r="A213" t="s">
        <v>21</v>
      </c>
      <c r="B213" t="s">
        <v>139</v>
      </c>
      <c r="C213">
        <v>91002314</v>
      </c>
      <c r="D213">
        <v>140</v>
      </c>
      <c r="E213" s="4">
        <v>-3000860.08</v>
      </c>
      <c r="F213" t="s">
        <v>80</v>
      </c>
      <c r="G213">
        <v>0</v>
      </c>
      <c r="H213" s="32" t="str">
        <f ca="1">+IF(B213&gt;'sap nuevo'!$V$1,"cargar",IF(C213="","cargar","pagado"))</f>
        <v>cargar</v>
      </c>
      <c r="I213" s="32">
        <f t="shared" si="42"/>
        <v>2025</v>
      </c>
      <c r="J213" s="32">
        <f t="shared" si="43"/>
        <v>4</v>
      </c>
    </row>
    <row r="214" spans="1:10" x14ac:dyDescent="0.25">
      <c r="A214" t="s">
        <v>21</v>
      </c>
      <c r="B214" t="s">
        <v>870</v>
      </c>
      <c r="C214">
        <v>91002301</v>
      </c>
      <c r="D214">
        <v>140</v>
      </c>
      <c r="E214" s="4">
        <v>-2263591.1</v>
      </c>
      <c r="F214" t="s">
        <v>80</v>
      </c>
      <c r="G214">
        <v>0</v>
      </c>
      <c r="H214" s="32" t="str">
        <f ca="1">+IF(B214&gt;'sap nuevo'!$V$1,"cargar",IF(C214="","cargar","pagado"))</f>
        <v>cargar</v>
      </c>
      <c r="I214" s="32">
        <f t="shared" si="42"/>
        <v>2025</v>
      </c>
      <c r="J214" s="32">
        <f t="shared" si="43"/>
        <v>4</v>
      </c>
    </row>
    <row r="215" spans="1:10" x14ac:dyDescent="0.25">
      <c r="A215" t="s">
        <v>23</v>
      </c>
      <c r="B215" t="s">
        <v>140</v>
      </c>
      <c r="C215">
        <v>94326824</v>
      </c>
      <c r="D215">
        <v>52</v>
      </c>
      <c r="E215" s="4">
        <v>-2947408.93</v>
      </c>
      <c r="F215" t="s">
        <v>24</v>
      </c>
      <c r="G215">
        <v>5</v>
      </c>
      <c r="H215" s="32" t="str">
        <f ca="1">+IF(B215&gt;'sap nuevo'!$V$1,"cargar",IF(C215="","cargar","pagado"))</f>
        <v>cargar</v>
      </c>
      <c r="I215" s="32">
        <f t="shared" si="42"/>
        <v>2025</v>
      </c>
      <c r="J215" s="32">
        <f t="shared" si="43"/>
        <v>4</v>
      </c>
    </row>
    <row r="216" spans="1:10" x14ac:dyDescent="0.25">
      <c r="A216" t="s">
        <v>21</v>
      </c>
      <c r="B216" t="s">
        <v>140</v>
      </c>
      <c r="C216">
        <v>91002334</v>
      </c>
      <c r="D216">
        <v>140</v>
      </c>
      <c r="E216" s="4">
        <v>-20000000</v>
      </c>
      <c r="F216" t="s">
        <v>80</v>
      </c>
      <c r="G216">
        <v>0</v>
      </c>
      <c r="H216" s="32" t="str">
        <f ca="1">+IF(B216&gt;'sap nuevo'!$V$1,"cargar",IF(C216="","cargar","pagado"))</f>
        <v>cargar</v>
      </c>
      <c r="I216" s="32">
        <f t="shared" si="42"/>
        <v>2025</v>
      </c>
      <c r="J216" s="32">
        <f t="shared" si="43"/>
        <v>4</v>
      </c>
    </row>
    <row r="217" spans="1:10" x14ac:dyDescent="0.25">
      <c r="A217" t="s">
        <v>21</v>
      </c>
      <c r="B217" t="s">
        <v>140</v>
      </c>
      <c r="C217">
        <v>91002327</v>
      </c>
      <c r="D217">
        <v>140</v>
      </c>
      <c r="E217" s="4">
        <v>-13000000</v>
      </c>
      <c r="F217" t="s">
        <v>80</v>
      </c>
      <c r="G217">
        <v>0</v>
      </c>
      <c r="H217" s="32" t="str">
        <f ca="1">+IF(B217&gt;'sap nuevo'!$V$1,"cargar",IF(C217="","cargar","pagado"))</f>
        <v>cargar</v>
      </c>
      <c r="I217" s="32">
        <f t="shared" ref="I217:I231" si="44">+YEAR(B217)</f>
        <v>2025</v>
      </c>
      <c r="J217" s="32">
        <f t="shared" ref="J217:J231" si="45">+MONTH(B217)</f>
        <v>4</v>
      </c>
    </row>
    <row r="218" spans="1:10" x14ac:dyDescent="0.25">
      <c r="A218" t="s">
        <v>21</v>
      </c>
      <c r="B218" t="s">
        <v>140</v>
      </c>
      <c r="C218">
        <v>91002328</v>
      </c>
      <c r="D218">
        <v>140</v>
      </c>
      <c r="E218" s="4">
        <v>-13000000</v>
      </c>
      <c r="F218" t="s">
        <v>80</v>
      </c>
      <c r="G218">
        <v>0</v>
      </c>
      <c r="H218" s="32" t="str">
        <f ca="1">+IF(B218&gt;'sap nuevo'!$V$1,"cargar",IF(C218="","cargar","pagado"))</f>
        <v>cargar</v>
      </c>
      <c r="I218" s="32">
        <f t="shared" si="44"/>
        <v>2025</v>
      </c>
      <c r="J218" s="32">
        <f t="shared" si="45"/>
        <v>4</v>
      </c>
    </row>
    <row r="219" spans="1:10" x14ac:dyDescent="0.25">
      <c r="A219" t="s">
        <v>21</v>
      </c>
      <c r="B219" t="s">
        <v>140</v>
      </c>
      <c r="C219">
        <v>91002329</v>
      </c>
      <c r="D219">
        <v>140</v>
      </c>
      <c r="E219" s="4">
        <v>-13000000</v>
      </c>
      <c r="F219" t="s">
        <v>80</v>
      </c>
      <c r="G219">
        <v>0</v>
      </c>
      <c r="H219" s="32" t="str">
        <f ca="1">+IF(B219&gt;'sap nuevo'!$V$1,"cargar",IF(C219="","cargar","pagado"))</f>
        <v>cargar</v>
      </c>
      <c r="I219" s="32">
        <f t="shared" si="44"/>
        <v>2025</v>
      </c>
      <c r="J219" s="32">
        <f t="shared" si="45"/>
        <v>4</v>
      </c>
    </row>
    <row r="220" spans="1:10" x14ac:dyDescent="0.25">
      <c r="A220" t="s">
        <v>21</v>
      </c>
      <c r="B220" t="s">
        <v>140</v>
      </c>
      <c r="C220">
        <v>91002332</v>
      </c>
      <c r="D220">
        <v>140</v>
      </c>
      <c r="E220" s="4">
        <v>-11000000</v>
      </c>
      <c r="F220" t="s">
        <v>80</v>
      </c>
      <c r="G220">
        <v>0</v>
      </c>
      <c r="H220" s="32" t="str">
        <f ca="1">+IF(B220&gt;'sap nuevo'!$V$1,"cargar",IF(C220="","cargar","pagado"))</f>
        <v>cargar</v>
      </c>
      <c r="I220" s="32">
        <f t="shared" si="44"/>
        <v>2025</v>
      </c>
      <c r="J220" s="32">
        <f t="shared" si="45"/>
        <v>4</v>
      </c>
    </row>
    <row r="221" spans="1:10" x14ac:dyDescent="0.25">
      <c r="A221" t="s">
        <v>12</v>
      </c>
      <c r="B221" t="s">
        <v>140</v>
      </c>
      <c r="C221">
        <v>91002339</v>
      </c>
      <c r="D221">
        <v>140</v>
      </c>
      <c r="E221" s="4">
        <v>-10000000</v>
      </c>
      <c r="F221" t="s">
        <v>82</v>
      </c>
      <c r="G221">
        <v>0</v>
      </c>
      <c r="H221" s="32" t="str">
        <f ca="1">+IF(B221&gt;'sap nuevo'!$V$1,"cargar",IF(C221="","cargar","pagado"))</f>
        <v>cargar</v>
      </c>
      <c r="I221" s="32">
        <f t="shared" si="44"/>
        <v>2025</v>
      </c>
      <c r="J221" s="32">
        <f t="shared" si="45"/>
        <v>4</v>
      </c>
    </row>
    <row r="222" spans="1:10" x14ac:dyDescent="0.25">
      <c r="A222" t="s">
        <v>21</v>
      </c>
      <c r="B222" t="s">
        <v>140</v>
      </c>
      <c r="C222">
        <v>91002325</v>
      </c>
      <c r="D222">
        <v>140</v>
      </c>
      <c r="E222" s="4">
        <v>-5779626.3899999997</v>
      </c>
      <c r="F222" t="s">
        <v>80</v>
      </c>
      <c r="G222">
        <v>0</v>
      </c>
      <c r="H222" s="32" t="str">
        <f ca="1">+IF(B222&gt;'sap nuevo'!$V$1,"cargar",IF(C222="","cargar","pagado"))</f>
        <v>cargar</v>
      </c>
      <c r="I222" s="32">
        <f t="shared" si="44"/>
        <v>2025</v>
      </c>
      <c r="J222" s="32">
        <f t="shared" si="45"/>
        <v>4</v>
      </c>
    </row>
    <row r="223" spans="1:10" x14ac:dyDescent="0.25">
      <c r="A223" t="s">
        <v>21</v>
      </c>
      <c r="B223" t="s">
        <v>140</v>
      </c>
      <c r="C223">
        <v>91002338</v>
      </c>
      <c r="D223">
        <v>140</v>
      </c>
      <c r="E223" s="4">
        <v>-5222771.3</v>
      </c>
      <c r="F223" t="s">
        <v>80</v>
      </c>
      <c r="G223">
        <v>0</v>
      </c>
      <c r="H223" s="32" t="str">
        <f ca="1">+IF(B223&gt;'sap nuevo'!$V$1,"cargar",IF(C223="","cargar","pagado"))</f>
        <v>cargar</v>
      </c>
      <c r="I223" s="32">
        <f t="shared" si="44"/>
        <v>2025</v>
      </c>
      <c r="J223" s="32">
        <f t="shared" si="45"/>
        <v>4</v>
      </c>
    </row>
    <row r="224" spans="1:10" x14ac:dyDescent="0.25">
      <c r="A224" t="s">
        <v>21</v>
      </c>
      <c r="B224" t="s">
        <v>140</v>
      </c>
      <c r="C224">
        <v>91002337</v>
      </c>
      <c r="D224">
        <v>140</v>
      </c>
      <c r="E224" s="4">
        <v>-4375526.1900000004</v>
      </c>
      <c r="F224" t="s">
        <v>80</v>
      </c>
      <c r="G224">
        <v>0</v>
      </c>
      <c r="H224" s="32" t="str">
        <f ca="1">+IF(B224&gt;'sap nuevo'!$V$1,"cargar",IF(C224="","cargar","pagado"))</f>
        <v>cargar</v>
      </c>
      <c r="I224" s="32">
        <f t="shared" si="44"/>
        <v>2025</v>
      </c>
      <c r="J224" s="32">
        <f t="shared" si="45"/>
        <v>4</v>
      </c>
    </row>
    <row r="225" spans="1:10" x14ac:dyDescent="0.25">
      <c r="A225" t="s">
        <v>21</v>
      </c>
      <c r="B225" t="s">
        <v>140</v>
      </c>
      <c r="C225">
        <v>91002336</v>
      </c>
      <c r="D225">
        <v>140</v>
      </c>
      <c r="E225" s="4">
        <v>-3022076.78</v>
      </c>
      <c r="F225" t="s">
        <v>80</v>
      </c>
      <c r="G225">
        <v>0</v>
      </c>
      <c r="H225" s="32" t="str">
        <f ca="1">+IF(B225&gt;'sap nuevo'!$V$1,"cargar",IF(C225="","cargar","pagado"))</f>
        <v>cargar</v>
      </c>
      <c r="I225" s="32">
        <f t="shared" si="44"/>
        <v>2025</v>
      </c>
      <c r="J225" s="32">
        <f t="shared" si="45"/>
        <v>4</v>
      </c>
    </row>
    <row r="226" spans="1:10" x14ac:dyDescent="0.25">
      <c r="A226" t="s">
        <v>21</v>
      </c>
      <c r="B226" t="s">
        <v>141</v>
      </c>
      <c r="C226">
        <v>94326823</v>
      </c>
      <c r="D226">
        <v>52</v>
      </c>
      <c r="E226" s="4">
        <v>-116103690.52</v>
      </c>
      <c r="F226" t="s">
        <v>20</v>
      </c>
      <c r="G226">
        <v>2</v>
      </c>
      <c r="H226" s="32" t="str">
        <f ca="1">+IF(B226&gt;'sap nuevo'!$V$1,"cargar",IF(C226="","cargar","pagado"))</f>
        <v>cargar</v>
      </c>
      <c r="I226" s="32">
        <f t="shared" si="44"/>
        <v>2025</v>
      </c>
      <c r="J226" s="32">
        <f t="shared" si="45"/>
        <v>4</v>
      </c>
    </row>
    <row r="227" spans="1:10" x14ac:dyDescent="0.25">
      <c r="A227" t="s">
        <v>21</v>
      </c>
      <c r="B227" t="s">
        <v>141</v>
      </c>
      <c r="C227">
        <v>94326816</v>
      </c>
      <c r="D227">
        <v>52</v>
      </c>
      <c r="E227" s="4">
        <v>-3888830</v>
      </c>
      <c r="F227" t="s">
        <v>20</v>
      </c>
      <c r="G227">
        <v>2</v>
      </c>
      <c r="H227" s="32" t="str">
        <f ca="1">+IF(B227&gt;'sap nuevo'!$V$1,"cargar",IF(C227="","cargar","pagado"))</f>
        <v>cargar</v>
      </c>
      <c r="I227" s="32">
        <f t="shared" si="44"/>
        <v>2025</v>
      </c>
      <c r="J227" s="32">
        <f t="shared" si="45"/>
        <v>4</v>
      </c>
    </row>
    <row r="228" spans="1:10" x14ac:dyDescent="0.25">
      <c r="A228" t="s">
        <v>21</v>
      </c>
      <c r="B228" t="s">
        <v>141</v>
      </c>
      <c r="C228">
        <v>94326818</v>
      </c>
      <c r="D228">
        <v>52</v>
      </c>
      <c r="E228" s="4">
        <v>-1243130</v>
      </c>
      <c r="F228" t="s">
        <v>20</v>
      </c>
      <c r="G228">
        <v>2</v>
      </c>
      <c r="H228" s="32" t="str">
        <f ca="1">+IF(B228&gt;'sap nuevo'!$V$1,"cargar",IF(C228="","cargar","pagado"))</f>
        <v>cargar</v>
      </c>
      <c r="I228" s="32">
        <f t="shared" si="44"/>
        <v>2025</v>
      </c>
      <c r="J228" s="32">
        <f t="shared" si="45"/>
        <v>4</v>
      </c>
    </row>
    <row r="229" spans="1:10" x14ac:dyDescent="0.25">
      <c r="A229" t="s">
        <v>21</v>
      </c>
      <c r="B229" t="s">
        <v>142</v>
      </c>
      <c r="C229">
        <v>94326819</v>
      </c>
      <c r="D229">
        <v>52</v>
      </c>
      <c r="E229" s="4">
        <v>-5150000</v>
      </c>
      <c r="F229" t="s">
        <v>20</v>
      </c>
      <c r="G229">
        <v>2</v>
      </c>
      <c r="H229" s="32" t="str">
        <f ca="1">+IF(B229&gt;'sap nuevo'!$V$1,"cargar",IF(C229="","cargar","pagado"))</f>
        <v>cargar</v>
      </c>
      <c r="I229" s="32">
        <f t="shared" si="44"/>
        <v>2025</v>
      </c>
      <c r="J229" s="32">
        <f t="shared" si="45"/>
        <v>4</v>
      </c>
    </row>
    <row r="230" spans="1:10" x14ac:dyDescent="0.25">
      <c r="A230" t="s">
        <v>21</v>
      </c>
      <c r="B230" t="s">
        <v>142</v>
      </c>
      <c r="C230">
        <v>94326817</v>
      </c>
      <c r="D230">
        <v>52</v>
      </c>
      <c r="E230" s="4">
        <v>-3096372</v>
      </c>
      <c r="F230" t="s">
        <v>20</v>
      </c>
      <c r="G230">
        <v>2</v>
      </c>
      <c r="H230" s="32" t="str">
        <f ca="1">+IF(B230&gt;'sap nuevo'!$V$1,"cargar",IF(C230="","cargar","pagado"))</f>
        <v>cargar</v>
      </c>
      <c r="I230" s="32">
        <f t="shared" si="44"/>
        <v>2025</v>
      </c>
      <c r="J230" s="32">
        <f t="shared" si="45"/>
        <v>4</v>
      </c>
    </row>
    <row r="231" spans="1:10" x14ac:dyDescent="0.25">
      <c r="A231" t="s">
        <v>21</v>
      </c>
      <c r="B231" t="s">
        <v>142</v>
      </c>
      <c r="C231">
        <v>94326821</v>
      </c>
      <c r="D231">
        <v>52</v>
      </c>
      <c r="E231" s="4">
        <v>-3000000</v>
      </c>
      <c r="F231" t="s">
        <v>20</v>
      </c>
      <c r="G231">
        <v>2</v>
      </c>
      <c r="H231" s="32" t="str">
        <f ca="1">+IF(B231&gt;'sap nuevo'!$V$1,"cargar",IF(C231="","cargar","pagado"))</f>
        <v>cargar</v>
      </c>
      <c r="I231" s="32">
        <f t="shared" si="44"/>
        <v>2025</v>
      </c>
      <c r="J231" s="32">
        <f t="shared" si="45"/>
        <v>4</v>
      </c>
    </row>
    <row r="232" spans="1:10" x14ac:dyDescent="0.25">
      <c r="A232" t="s">
        <v>21</v>
      </c>
      <c r="B232" t="s">
        <v>141</v>
      </c>
      <c r="C232">
        <v>91002326</v>
      </c>
      <c r="D232">
        <v>140</v>
      </c>
      <c r="E232" s="4">
        <v>-27631343.399999999</v>
      </c>
      <c r="F232" t="s">
        <v>80</v>
      </c>
      <c r="G232">
        <v>0</v>
      </c>
      <c r="H232" s="32" t="str">
        <f ca="1">+IF(B232&gt;'sap nuevo'!$V$1,"cargar",IF(C232="","cargar","pagado"))</f>
        <v>cargar</v>
      </c>
      <c r="I232" s="32">
        <f t="shared" ref="I232:I240" si="46">+YEAR(B232)</f>
        <v>2025</v>
      </c>
      <c r="J232" s="32">
        <f t="shared" ref="J232:J240" si="47">+MONTH(B232)</f>
        <v>4</v>
      </c>
    </row>
    <row r="233" spans="1:10" x14ac:dyDescent="0.25">
      <c r="A233" t="s">
        <v>21</v>
      </c>
      <c r="B233" t="s">
        <v>141</v>
      </c>
      <c r="C233">
        <v>91002345</v>
      </c>
      <c r="D233">
        <v>140</v>
      </c>
      <c r="E233" s="4">
        <v>-21000000</v>
      </c>
      <c r="F233" t="s">
        <v>80</v>
      </c>
      <c r="G233">
        <v>0</v>
      </c>
      <c r="H233" s="32" t="str">
        <f ca="1">+IF(B233&gt;'sap nuevo'!$V$1,"cargar",IF(C233="","cargar","pagado"))</f>
        <v>cargar</v>
      </c>
      <c r="I233" s="32">
        <f t="shared" si="46"/>
        <v>2025</v>
      </c>
      <c r="J233" s="32">
        <f t="shared" si="47"/>
        <v>4</v>
      </c>
    </row>
    <row r="234" spans="1:10" x14ac:dyDescent="0.25">
      <c r="A234" t="s">
        <v>21</v>
      </c>
      <c r="B234" t="s">
        <v>141</v>
      </c>
      <c r="C234">
        <v>91002335</v>
      </c>
      <c r="D234">
        <v>140</v>
      </c>
      <c r="E234" s="4">
        <v>-19337004.699999999</v>
      </c>
      <c r="F234" t="s">
        <v>80</v>
      </c>
      <c r="G234">
        <v>0</v>
      </c>
      <c r="H234" s="32" t="str">
        <f ca="1">+IF(B234&gt;'sap nuevo'!$V$1,"cargar",IF(C234="","cargar","pagado"))</f>
        <v>cargar</v>
      </c>
      <c r="I234" s="32">
        <f t="shared" si="46"/>
        <v>2025</v>
      </c>
      <c r="J234" s="32">
        <f t="shared" si="47"/>
        <v>4</v>
      </c>
    </row>
    <row r="235" spans="1:10" x14ac:dyDescent="0.25">
      <c r="A235" t="s">
        <v>21</v>
      </c>
      <c r="B235" t="s">
        <v>141</v>
      </c>
      <c r="C235">
        <v>91002343</v>
      </c>
      <c r="D235">
        <v>140</v>
      </c>
      <c r="E235" s="4">
        <v>-18227468.949999999</v>
      </c>
      <c r="F235" t="s">
        <v>80</v>
      </c>
      <c r="G235">
        <v>0</v>
      </c>
      <c r="H235" s="32" t="str">
        <f ca="1">+IF(B235&gt;'sap nuevo'!$V$1,"cargar",IF(C235="","cargar","pagado"))</f>
        <v>cargar</v>
      </c>
      <c r="I235" s="32">
        <f t="shared" si="46"/>
        <v>2025</v>
      </c>
      <c r="J235" s="32">
        <f t="shared" si="47"/>
        <v>4</v>
      </c>
    </row>
    <row r="236" spans="1:10" x14ac:dyDescent="0.25">
      <c r="A236" t="s">
        <v>21</v>
      </c>
      <c r="B236" t="s">
        <v>141</v>
      </c>
      <c r="C236">
        <v>91002333</v>
      </c>
      <c r="D236">
        <v>140</v>
      </c>
      <c r="E236" s="4">
        <v>-11099306.92</v>
      </c>
      <c r="F236" t="s">
        <v>80</v>
      </c>
      <c r="G236">
        <v>0</v>
      </c>
      <c r="H236" s="32" t="str">
        <f ca="1">+IF(B236&gt;'sap nuevo'!$V$1,"cargar",IF(C236="","cargar","pagado"))</f>
        <v>cargar</v>
      </c>
      <c r="I236" s="32">
        <f t="shared" si="46"/>
        <v>2025</v>
      </c>
      <c r="J236" s="32">
        <f t="shared" si="47"/>
        <v>4</v>
      </c>
    </row>
    <row r="237" spans="1:10" x14ac:dyDescent="0.25">
      <c r="A237" t="s">
        <v>21</v>
      </c>
      <c r="B237" t="s">
        <v>141</v>
      </c>
      <c r="C237">
        <v>91002347</v>
      </c>
      <c r="D237">
        <v>140</v>
      </c>
      <c r="E237" s="4">
        <v>-11000000</v>
      </c>
      <c r="F237" t="s">
        <v>80</v>
      </c>
      <c r="G237">
        <v>0</v>
      </c>
      <c r="H237" s="32" t="str">
        <f ca="1">+IF(B237&gt;'sap nuevo'!$V$1,"cargar",IF(C237="","cargar","pagado"))</f>
        <v>cargar</v>
      </c>
      <c r="I237" s="32">
        <f t="shared" si="46"/>
        <v>2025</v>
      </c>
      <c r="J237" s="32">
        <f t="shared" si="47"/>
        <v>4</v>
      </c>
    </row>
    <row r="238" spans="1:10" x14ac:dyDescent="0.25">
      <c r="A238" t="s">
        <v>12</v>
      </c>
      <c r="B238" t="s">
        <v>141</v>
      </c>
      <c r="C238">
        <v>91002340</v>
      </c>
      <c r="D238">
        <v>140</v>
      </c>
      <c r="E238" s="4">
        <v>-10252296.890000001</v>
      </c>
      <c r="F238" t="s">
        <v>82</v>
      </c>
      <c r="G238">
        <v>0</v>
      </c>
      <c r="H238" s="32" t="str">
        <f ca="1">+IF(B238&gt;'sap nuevo'!$V$1,"cargar",IF(C238="","cargar","pagado"))</f>
        <v>cargar</v>
      </c>
      <c r="I238" s="32">
        <f t="shared" si="46"/>
        <v>2025</v>
      </c>
      <c r="J238" s="32">
        <f t="shared" si="47"/>
        <v>4</v>
      </c>
    </row>
    <row r="239" spans="1:10" x14ac:dyDescent="0.25">
      <c r="A239" t="s">
        <v>21</v>
      </c>
      <c r="B239" t="s">
        <v>141</v>
      </c>
      <c r="C239">
        <v>91002349</v>
      </c>
      <c r="D239">
        <v>140</v>
      </c>
      <c r="E239" s="4">
        <v>-8567264.0299999993</v>
      </c>
      <c r="F239" t="s">
        <v>80</v>
      </c>
      <c r="G239">
        <v>0</v>
      </c>
      <c r="H239" s="32" t="str">
        <f ca="1">+IF(B239&gt;'sap nuevo'!$V$1,"cargar",IF(C239="","cargar","pagado"))</f>
        <v>cargar</v>
      </c>
      <c r="I239" s="32">
        <f t="shared" si="46"/>
        <v>2025</v>
      </c>
      <c r="J239" s="32">
        <f t="shared" si="47"/>
        <v>4</v>
      </c>
    </row>
    <row r="240" spans="1:10" x14ac:dyDescent="0.25">
      <c r="A240" t="s">
        <v>21</v>
      </c>
      <c r="B240" t="s">
        <v>141</v>
      </c>
      <c r="C240">
        <v>91002330</v>
      </c>
      <c r="D240">
        <v>140</v>
      </c>
      <c r="E240" s="4">
        <v>-7582335.4199999999</v>
      </c>
      <c r="F240" t="s">
        <v>80</v>
      </c>
      <c r="G240">
        <v>0</v>
      </c>
      <c r="H240" s="32" t="str">
        <f ca="1">+IF(B240&gt;'sap nuevo'!$V$1,"cargar",IF(C240="","cargar","pagado"))</f>
        <v>cargar</v>
      </c>
      <c r="I240" s="32">
        <f t="shared" si="46"/>
        <v>2025</v>
      </c>
      <c r="J240" s="32">
        <f t="shared" si="47"/>
        <v>4</v>
      </c>
    </row>
    <row r="241" spans="1:10" x14ac:dyDescent="0.25">
      <c r="A241" t="s">
        <v>21</v>
      </c>
      <c r="B241" t="s">
        <v>141</v>
      </c>
      <c r="C241">
        <v>91002344</v>
      </c>
      <c r="D241">
        <v>140</v>
      </c>
      <c r="E241" s="4">
        <v>-7235922.6500000004</v>
      </c>
      <c r="F241" t="s">
        <v>80</v>
      </c>
      <c r="G241">
        <v>0</v>
      </c>
      <c r="H241" s="32" t="str">
        <f ca="1">+IF(B241&gt;'sap nuevo'!$V$1,"cargar",IF(C241="","cargar","pagado"))</f>
        <v>cargar</v>
      </c>
      <c r="I241" s="32">
        <f t="shared" ref="I241:I245" si="48">+YEAR(B241)</f>
        <v>2025</v>
      </c>
      <c r="J241" s="32">
        <f t="shared" ref="J241:J245" si="49">+MONTH(B241)</f>
        <v>4</v>
      </c>
    </row>
    <row r="242" spans="1:10" x14ac:dyDescent="0.25">
      <c r="A242" t="s">
        <v>21</v>
      </c>
      <c r="B242" t="s">
        <v>141</v>
      </c>
      <c r="C242">
        <v>91002342</v>
      </c>
      <c r="D242">
        <v>140</v>
      </c>
      <c r="E242" s="4">
        <v>-3700335.92</v>
      </c>
      <c r="F242" t="s">
        <v>80</v>
      </c>
      <c r="G242">
        <v>0</v>
      </c>
      <c r="H242" s="32" t="str">
        <f ca="1">+IF(B242&gt;'sap nuevo'!$V$1,"cargar",IF(C242="","cargar","pagado"))</f>
        <v>cargar</v>
      </c>
      <c r="I242" s="32">
        <f t="shared" si="48"/>
        <v>2025</v>
      </c>
      <c r="J242" s="32">
        <f t="shared" si="49"/>
        <v>4</v>
      </c>
    </row>
    <row r="243" spans="1:10" x14ac:dyDescent="0.25">
      <c r="A243" t="s">
        <v>21</v>
      </c>
      <c r="B243" t="s">
        <v>141</v>
      </c>
      <c r="C243">
        <v>91002331</v>
      </c>
      <c r="D243">
        <v>140</v>
      </c>
      <c r="E243" s="4">
        <v>-3689625.6000000001</v>
      </c>
      <c r="F243" t="s">
        <v>80</v>
      </c>
      <c r="G243">
        <v>0</v>
      </c>
      <c r="H243" s="32" t="str">
        <f ca="1">+IF(B243&gt;'sap nuevo'!$V$1,"cargar",IF(C243="","cargar","pagado"))</f>
        <v>cargar</v>
      </c>
      <c r="I243" s="32">
        <f t="shared" si="48"/>
        <v>2025</v>
      </c>
      <c r="J243" s="32">
        <f t="shared" si="49"/>
        <v>4</v>
      </c>
    </row>
    <row r="244" spans="1:10" x14ac:dyDescent="0.25">
      <c r="A244" t="s">
        <v>21</v>
      </c>
      <c r="B244" t="s">
        <v>142</v>
      </c>
      <c r="C244">
        <v>91002346</v>
      </c>
      <c r="D244">
        <v>140</v>
      </c>
      <c r="E244" s="4">
        <v>-21089967.289999999</v>
      </c>
      <c r="F244" t="s">
        <v>80</v>
      </c>
      <c r="G244">
        <v>0</v>
      </c>
      <c r="H244" s="32" t="str">
        <f ca="1">+IF(B244&gt;'sap nuevo'!$V$1,"cargar",IF(C244="","cargar","pagado"))</f>
        <v>cargar</v>
      </c>
      <c r="I244" s="32">
        <f t="shared" si="48"/>
        <v>2025</v>
      </c>
      <c r="J244" s="32">
        <f t="shared" si="49"/>
        <v>4</v>
      </c>
    </row>
    <row r="245" spans="1:10" x14ac:dyDescent="0.25">
      <c r="A245" t="s">
        <v>21</v>
      </c>
      <c r="B245" t="s">
        <v>142</v>
      </c>
      <c r="C245">
        <v>91002348</v>
      </c>
      <c r="D245">
        <v>140</v>
      </c>
      <c r="E245" s="4">
        <v>-11031415.73</v>
      </c>
      <c r="F245" t="s">
        <v>80</v>
      </c>
      <c r="G245">
        <v>0</v>
      </c>
      <c r="H245" s="32" t="str">
        <f ca="1">+IF(B245&gt;'sap nuevo'!$V$1,"cargar",IF(C245="","cargar","pagado"))</f>
        <v>cargar</v>
      </c>
      <c r="I245" s="32">
        <f t="shared" si="48"/>
        <v>2025</v>
      </c>
      <c r="J245" s="32">
        <f t="shared" si="49"/>
        <v>4</v>
      </c>
    </row>
    <row r="246" spans="1:10" x14ac:dyDescent="0.25">
      <c r="A246" t="s">
        <v>21</v>
      </c>
      <c r="B246" t="s">
        <v>143</v>
      </c>
      <c r="C246">
        <v>94326825</v>
      </c>
      <c r="D246">
        <v>52</v>
      </c>
      <c r="E246" s="4">
        <v>-92007690</v>
      </c>
      <c r="F246" t="s">
        <v>20</v>
      </c>
      <c r="G246">
        <v>2</v>
      </c>
      <c r="H246" s="32" t="str">
        <f ca="1">+IF(B246&gt;'sap nuevo'!$V$1,"cargar",IF(C246="","cargar","pagado"))</f>
        <v>cargar</v>
      </c>
      <c r="I246" s="32">
        <f t="shared" ref="I246:I249" si="50">+YEAR(B246)</f>
        <v>2025</v>
      </c>
      <c r="J246" s="32">
        <f t="shared" ref="J246:J249" si="51">+MONTH(B246)</f>
        <v>4</v>
      </c>
    </row>
    <row r="247" spans="1:10" x14ac:dyDescent="0.25">
      <c r="A247" t="s">
        <v>21</v>
      </c>
      <c r="B247" t="s">
        <v>143</v>
      </c>
      <c r="C247">
        <v>94326822</v>
      </c>
      <c r="D247">
        <v>52</v>
      </c>
      <c r="E247" s="4">
        <v>-684493</v>
      </c>
      <c r="F247" t="s">
        <v>20</v>
      </c>
      <c r="G247">
        <v>2</v>
      </c>
      <c r="H247" s="32" t="str">
        <f ca="1">+IF(B247&gt;'sap nuevo'!$V$1,"cargar",IF(C247="","cargar","pagado"))</f>
        <v>cargar</v>
      </c>
      <c r="I247" s="32">
        <f t="shared" si="50"/>
        <v>2025</v>
      </c>
      <c r="J247" s="32">
        <f t="shared" si="51"/>
        <v>4</v>
      </c>
    </row>
    <row r="248" spans="1:10" x14ac:dyDescent="0.25">
      <c r="A248" t="s">
        <v>21</v>
      </c>
      <c r="B248" t="s">
        <v>144</v>
      </c>
      <c r="C248">
        <v>91002350</v>
      </c>
      <c r="D248">
        <v>140</v>
      </c>
      <c r="E248" s="4">
        <v>-25000000</v>
      </c>
      <c r="F248" t="s">
        <v>80</v>
      </c>
      <c r="G248">
        <v>0</v>
      </c>
      <c r="H248" s="32" t="str">
        <f ca="1">+IF(B248&gt;'sap nuevo'!$V$1,"cargar",IF(C248="","cargar","pagado"))</f>
        <v>cargar</v>
      </c>
      <c r="I248" s="32">
        <f t="shared" si="50"/>
        <v>2025</v>
      </c>
      <c r="J248" s="32">
        <f t="shared" si="51"/>
        <v>4</v>
      </c>
    </row>
    <row r="249" spans="1:10" x14ac:dyDescent="0.25">
      <c r="A249" t="s">
        <v>21</v>
      </c>
      <c r="B249" t="s">
        <v>144</v>
      </c>
      <c r="C249">
        <v>91002368</v>
      </c>
      <c r="D249">
        <v>140</v>
      </c>
      <c r="E249" s="4">
        <v>-20000000</v>
      </c>
      <c r="F249" t="s">
        <v>80</v>
      </c>
      <c r="G249">
        <v>0</v>
      </c>
      <c r="H249" s="32" t="str">
        <f ca="1">+IF(B249&gt;'sap nuevo'!$V$1,"cargar",IF(C249="","cargar","pagado"))</f>
        <v>cargar</v>
      </c>
      <c r="I249" s="32">
        <f t="shared" si="50"/>
        <v>2025</v>
      </c>
      <c r="J249" s="32">
        <f t="shared" si="51"/>
        <v>4</v>
      </c>
    </row>
    <row r="250" spans="1:10" x14ac:dyDescent="0.25">
      <c r="A250" t="s">
        <v>12</v>
      </c>
      <c r="B250" t="s">
        <v>144</v>
      </c>
      <c r="C250">
        <v>91002355</v>
      </c>
      <c r="D250">
        <v>140</v>
      </c>
      <c r="E250" s="4">
        <v>-19000000</v>
      </c>
      <c r="F250" t="s">
        <v>82</v>
      </c>
      <c r="G250">
        <v>0</v>
      </c>
      <c r="H250" s="32" t="str">
        <f ca="1">+IF(B250&gt;'sap nuevo'!$V$1,"cargar",IF(C250="","cargar","pagado"))</f>
        <v>cargar</v>
      </c>
      <c r="I250" s="32">
        <f>+YEAR(B250)</f>
        <v>2025</v>
      </c>
      <c r="J250" s="32">
        <f>+MONTH(B250)</f>
        <v>4</v>
      </c>
    </row>
    <row r="251" spans="1:10" x14ac:dyDescent="0.25">
      <c r="A251" t="s">
        <v>12</v>
      </c>
      <c r="B251" t="s">
        <v>144</v>
      </c>
      <c r="C251">
        <v>91002360</v>
      </c>
      <c r="D251">
        <v>140</v>
      </c>
      <c r="E251" s="4">
        <v>-18000000</v>
      </c>
      <c r="F251" t="s">
        <v>82</v>
      </c>
      <c r="G251">
        <v>0</v>
      </c>
      <c r="H251" s="32" t="str">
        <f ca="1">+IF(B251&gt;'sap nuevo'!$V$1,"cargar",IF(C251="","cargar","pagado"))</f>
        <v>cargar</v>
      </c>
      <c r="I251" s="32">
        <f>+YEAR(B251)</f>
        <v>2025</v>
      </c>
      <c r="J251" s="32">
        <f>+MONTH(B251)</f>
        <v>4</v>
      </c>
    </row>
    <row r="252" spans="1:10" x14ac:dyDescent="0.25">
      <c r="A252" t="s">
        <v>21</v>
      </c>
      <c r="B252" t="s">
        <v>144</v>
      </c>
      <c r="C252">
        <v>91002353</v>
      </c>
      <c r="D252">
        <v>140</v>
      </c>
      <c r="E252" s="4">
        <v>-16000000</v>
      </c>
      <c r="F252" t="s">
        <v>80</v>
      </c>
      <c r="G252">
        <v>0</v>
      </c>
      <c r="H252" s="32" t="str">
        <f ca="1">+IF(B252&gt;'sap nuevo'!$V$1,"cargar",IF(C252="","cargar","pagado"))</f>
        <v>cargar</v>
      </c>
      <c r="I252" s="32">
        <f t="shared" ref="I252:I260" si="52">+YEAR(B252)</f>
        <v>2025</v>
      </c>
      <c r="J252" s="32">
        <f t="shared" ref="J252:J260" si="53">+MONTH(B252)</f>
        <v>4</v>
      </c>
    </row>
    <row r="253" spans="1:10" x14ac:dyDescent="0.25">
      <c r="A253" t="s">
        <v>21</v>
      </c>
      <c r="B253" t="s">
        <v>144</v>
      </c>
      <c r="C253">
        <v>91002362</v>
      </c>
      <c r="D253">
        <v>140</v>
      </c>
      <c r="E253" s="4">
        <v>-16000000</v>
      </c>
      <c r="F253" t="s">
        <v>80</v>
      </c>
      <c r="G253">
        <v>0</v>
      </c>
      <c r="H253" s="32" t="str">
        <f ca="1">+IF(B253&gt;'sap nuevo'!$V$1,"cargar",IF(C253="","cargar","pagado"))</f>
        <v>cargar</v>
      </c>
      <c r="I253" s="32">
        <f t="shared" si="52"/>
        <v>2025</v>
      </c>
      <c r="J253" s="32">
        <f t="shared" si="53"/>
        <v>4</v>
      </c>
    </row>
    <row r="254" spans="1:10" x14ac:dyDescent="0.25">
      <c r="A254" t="s">
        <v>21</v>
      </c>
      <c r="B254" t="s">
        <v>144</v>
      </c>
      <c r="C254">
        <v>91002352</v>
      </c>
      <c r="D254">
        <v>140</v>
      </c>
      <c r="E254" s="4">
        <v>-13815000</v>
      </c>
      <c r="F254" t="s">
        <v>80</v>
      </c>
      <c r="G254">
        <v>0</v>
      </c>
      <c r="H254" s="32" t="str">
        <f ca="1">+IF(B254&gt;'sap nuevo'!$V$1,"cargar",IF(C254="","cargar","pagado"))</f>
        <v>cargar</v>
      </c>
      <c r="I254" s="32">
        <f t="shared" si="52"/>
        <v>2025</v>
      </c>
      <c r="J254" s="32">
        <f t="shared" si="53"/>
        <v>4</v>
      </c>
    </row>
    <row r="255" spans="1:10" x14ac:dyDescent="0.25">
      <c r="A255" t="s">
        <v>21</v>
      </c>
      <c r="B255" t="s">
        <v>144</v>
      </c>
      <c r="C255">
        <v>91002358</v>
      </c>
      <c r="D255">
        <v>140</v>
      </c>
      <c r="E255" s="4">
        <v>-10000000</v>
      </c>
      <c r="F255" t="s">
        <v>80</v>
      </c>
      <c r="G255">
        <v>0</v>
      </c>
      <c r="H255" s="32" t="str">
        <f ca="1">+IF(B255&gt;'sap nuevo'!$V$1,"cargar",IF(C255="","cargar","pagado"))</f>
        <v>cargar</v>
      </c>
      <c r="I255" s="32">
        <f t="shared" si="52"/>
        <v>2025</v>
      </c>
      <c r="J255" s="32">
        <f t="shared" si="53"/>
        <v>4</v>
      </c>
    </row>
    <row r="256" spans="1:10" x14ac:dyDescent="0.25">
      <c r="A256" t="s">
        <v>21</v>
      </c>
      <c r="B256" t="s">
        <v>144</v>
      </c>
      <c r="C256">
        <v>91002364</v>
      </c>
      <c r="D256">
        <v>140</v>
      </c>
      <c r="E256" s="4">
        <v>-10000000</v>
      </c>
      <c r="F256" t="s">
        <v>80</v>
      </c>
      <c r="G256">
        <v>0</v>
      </c>
      <c r="H256" s="32" t="str">
        <f ca="1">+IF(B256&gt;'sap nuevo'!$V$1,"cargar",IF(C256="","cargar","pagado"))</f>
        <v>cargar</v>
      </c>
      <c r="I256" s="32">
        <f t="shared" si="52"/>
        <v>2025</v>
      </c>
      <c r="J256" s="32">
        <f t="shared" si="53"/>
        <v>4</v>
      </c>
    </row>
    <row r="257" spans="1:10" x14ac:dyDescent="0.25">
      <c r="A257" t="s">
        <v>21</v>
      </c>
      <c r="B257" t="s">
        <v>144</v>
      </c>
      <c r="C257">
        <v>91002341</v>
      </c>
      <c r="D257">
        <v>140</v>
      </c>
      <c r="E257" s="4">
        <v>-7986987.4400000004</v>
      </c>
      <c r="F257" t="s">
        <v>80</v>
      </c>
      <c r="G257">
        <v>0</v>
      </c>
      <c r="H257" s="32" t="str">
        <f ca="1">+IF(B257&gt;'sap nuevo'!$V$1,"cargar",IF(C257="","cargar","pagado"))</f>
        <v>cargar</v>
      </c>
      <c r="I257" s="32">
        <f t="shared" si="52"/>
        <v>2025</v>
      </c>
      <c r="J257" s="32">
        <f t="shared" si="53"/>
        <v>4</v>
      </c>
    </row>
    <row r="258" spans="1:10" x14ac:dyDescent="0.25">
      <c r="A258" t="s">
        <v>21</v>
      </c>
      <c r="B258" t="s">
        <v>144</v>
      </c>
      <c r="C258">
        <v>91002367</v>
      </c>
      <c r="D258">
        <v>140</v>
      </c>
      <c r="E258" s="4">
        <v>-7403131.7400000002</v>
      </c>
      <c r="F258" t="s">
        <v>80</v>
      </c>
      <c r="G258">
        <v>0</v>
      </c>
      <c r="H258" s="32" t="str">
        <f ca="1">+IF(B258&gt;'sap nuevo'!$V$1,"cargar",IF(C258="","cargar","pagado"))</f>
        <v>cargar</v>
      </c>
      <c r="I258" s="32">
        <f t="shared" si="52"/>
        <v>2025</v>
      </c>
      <c r="J258" s="32">
        <f t="shared" si="53"/>
        <v>4</v>
      </c>
    </row>
    <row r="259" spans="1:10" x14ac:dyDescent="0.25">
      <c r="A259" t="s">
        <v>21</v>
      </c>
      <c r="B259" t="s">
        <v>143</v>
      </c>
      <c r="C259">
        <v>91002351</v>
      </c>
      <c r="D259">
        <v>140</v>
      </c>
      <c r="E259" s="4">
        <v>-24282450</v>
      </c>
      <c r="F259" t="s">
        <v>80</v>
      </c>
      <c r="G259">
        <v>0</v>
      </c>
      <c r="H259" s="32" t="str">
        <f ca="1">+IF(B259&gt;'sap nuevo'!$V$1,"cargar",IF(C259="","cargar","pagado"))</f>
        <v>cargar</v>
      </c>
      <c r="I259" s="32">
        <f t="shared" si="52"/>
        <v>2025</v>
      </c>
      <c r="J259" s="32">
        <f t="shared" si="53"/>
        <v>4</v>
      </c>
    </row>
    <row r="260" spans="1:10" x14ac:dyDescent="0.25">
      <c r="A260" t="s">
        <v>21</v>
      </c>
      <c r="B260" t="s">
        <v>143</v>
      </c>
      <c r="C260">
        <v>91002370</v>
      </c>
      <c r="D260">
        <v>140</v>
      </c>
      <c r="E260" s="4">
        <v>-20000000</v>
      </c>
      <c r="F260" t="s">
        <v>80</v>
      </c>
      <c r="G260">
        <v>0</v>
      </c>
      <c r="H260" s="32" t="str">
        <f ca="1">+IF(B260&gt;'sap nuevo'!$V$1,"cargar",IF(C260="","cargar","pagado"))</f>
        <v>cargar</v>
      </c>
      <c r="I260" s="32">
        <f t="shared" si="52"/>
        <v>2025</v>
      </c>
      <c r="J260" s="32">
        <f t="shared" si="53"/>
        <v>4</v>
      </c>
    </row>
    <row r="261" spans="1:10" x14ac:dyDescent="0.25">
      <c r="A261" t="s">
        <v>21</v>
      </c>
      <c r="B261" t="s">
        <v>143</v>
      </c>
      <c r="C261">
        <v>91002361</v>
      </c>
      <c r="D261">
        <v>140</v>
      </c>
      <c r="E261" s="4">
        <v>-19849823.140000001</v>
      </c>
      <c r="F261" t="s">
        <v>80</v>
      </c>
      <c r="G261">
        <v>0</v>
      </c>
      <c r="H261" s="32" t="str">
        <f ca="1">+IF(B261&gt;'sap nuevo'!$V$1,"cargar",IF(C261="","cargar","pagado"))</f>
        <v>cargar</v>
      </c>
      <c r="I261" s="32">
        <f t="shared" ref="I261:I273" si="54">+YEAR(B261)</f>
        <v>2025</v>
      </c>
      <c r="J261" s="32">
        <f t="shared" ref="J261:J273" si="55">+MONTH(B261)</f>
        <v>4</v>
      </c>
    </row>
    <row r="262" spans="1:10" x14ac:dyDescent="0.25">
      <c r="A262" t="s">
        <v>12</v>
      </c>
      <c r="B262" t="s">
        <v>143</v>
      </c>
      <c r="C262">
        <v>91002356</v>
      </c>
      <c r="D262">
        <v>140</v>
      </c>
      <c r="E262" s="4">
        <v>-19438843.399999999</v>
      </c>
      <c r="F262" t="s">
        <v>82</v>
      </c>
      <c r="G262">
        <v>0</v>
      </c>
      <c r="H262" s="32" t="str">
        <f ca="1">+IF(B262&gt;'sap nuevo'!$V$1,"cargar",IF(C262="","cargar","pagado"))</f>
        <v>cargar</v>
      </c>
      <c r="I262" s="32">
        <f t="shared" si="54"/>
        <v>2025</v>
      </c>
      <c r="J262" s="32">
        <f t="shared" si="55"/>
        <v>4</v>
      </c>
    </row>
    <row r="263" spans="1:10" x14ac:dyDescent="0.25">
      <c r="A263" t="s">
        <v>21</v>
      </c>
      <c r="B263" t="s">
        <v>143</v>
      </c>
      <c r="C263">
        <v>91002371</v>
      </c>
      <c r="D263">
        <v>140</v>
      </c>
      <c r="E263" s="4">
        <v>-16728942.050000001</v>
      </c>
      <c r="F263" t="s">
        <v>80</v>
      </c>
      <c r="G263">
        <v>0</v>
      </c>
      <c r="H263" s="32" t="str">
        <f ca="1">+IF(B263&gt;'sap nuevo'!$V$1,"cargar",IF(C263="","cargar","pagado"))</f>
        <v>cargar</v>
      </c>
      <c r="I263" s="32">
        <f t="shared" si="54"/>
        <v>2025</v>
      </c>
      <c r="J263" s="32">
        <f t="shared" si="55"/>
        <v>4</v>
      </c>
    </row>
    <row r="264" spans="1:10" x14ac:dyDescent="0.25">
      <c r="A264" t="s">
        <v>12</v>
      </c>
      <c r="B264" t="s">
        <v>143</v>
      </c>
      <c r="C264">
        <v>91002363</v>
      </c>
      <c r="D264">
        <v>140</v>
      </c>
      <c r="E264" s="4">
        <v>-15470651.689999999</v>
      </c>
      <c r="F264" t="s">
        <v>82</v>
      </c>
      <c r="G264">
        <v>0</v>
      </c>
      <c r="H264" s="32" t="str">
        <f ca="1">+IF(B264&gt;'sap nuevo'!$V$1,"cargar",IF(C264="","cargar","pagado"))</f>
        <v>cargar</v>
      </c>
      <c r="I264" s="32">
        <f t="shared" si="54"/>
        <v>2025</v>
      </c>
      <c r="J264" s="32">
        <f t="shared" si="55"/>
        <v>4</v>
      </c>
    </row>
    <row r="265" spans="1:10" x14ac:dyDescent="0.25">
      <c r="A265" t="s">
        <v>21</v>
      </c>
      <c r="B265" t="s">
        <v>143</v>
      </c>
      <c r="C265">
        <v>91002369</v>
      </c>
      <c r="D265">
        <v>140</v>
      </c>
      <c r="E265" s="4">
        <v>-15075417.92</v>
      </c>
      <c r="F265" t="s">
        <v>80</v>
      </c>
      <c r="G265">
        <v>0</v>
      </c>
      <c r="H265" s="32" t="str">
        <f ca="1">+IF(B265&gt;'sap nuevo'!$V$1,"cargar",IF(C265="","cargar","pagado"))</f>
        <v>cargar</v>
      </c>
      <c r="I265" s="32">
        <f t="shared" si="54"/>
        <v>2025</v>
      </c>
      <c r="J265" s="32">
        <f t="shared" si="55"/>
        <v>4</v>
      </c>
    </row>
    <row r="266" spans="1:10" x14ac:dyDescent="0.25">
      <c r="A266" t="s">
        <v>21</v>
      </c>
      <c r="B266" t="s">
        <v>143</v>
      </c>
      <c r="C266">
        <v>91002354</v>
      </c>
      <c r="D266">
        <v>140</v>
      </c>
      <c r="E266" s="4">
        <v>-15007293.4</v>
      </c>
      <c r="F266" t="s">
        <v>80</v>
      </c>
      <c r="G266">
        <v>0</v>
      </c>
      <c r="H266" s="32" t="str">
        <f ca="1">+IF(B266&gt;'sap nuevo'!$V$1,"cargar",IF(C266="","cargar","pagado"))</f>
        <v>cargar</v>
      </c>
      <c r="I266" s="32">
        <f t="shared" si="54"/>
        <v>2025</v>
      </c>
      <c r="J266" s="32">
        <f t="shared" si="55"/>
        <v>4</v>
      </c>
    </row>
    <row r="267" spans="1:10" x14ac:dyDescent="0.25">
      <c r="A267" t="s">
        <v>21</v>
      </c>
      <c r="B267" t="s">
        <v>143</v>
      </c>
      <c r="C267">
        <v>91002359</v>
      </c>
      <c r="D267">
        <v>140</v>
      </c>
      <c r="E267" s="4">
        <v>-7384547.4400000004</v>
      </c>
      <c r="F267" t="s">
        <v>80</v>
      </c>
      <c r="G267">
        <v>0</v>
      </c>
      <c r="H267" s="32" t="str">
        <f ca="1">+IF(B267&gt;'sap nuevo'!$V$1,"cargar",IF(C267="","cargar","pagado"))</f>
        <v>cargar</v>
      </c>
      <c r="I267" s="32">
        <f t="shared" si="54"/>
        <v>2025</v>
      </c>
      <c r="J267" s="32">
        <f t="shared" si="55"/>
        <v>4</v>
      </c>
    </row>
    <row r="268" spans="1:10" x14ac:dyDescent="0.25">
      <c r="A268" t="s">
        <v>21</v>
      </c>
      <c r="B268" t="s">
        <v>143</v>
      </c>
      <c r="C268">
        <v>91002365</v>
      </c>
      <c r="D268">
        <v>140</v>
      </c>
      <c r="E268" s="4">
        <v>-6295298.71</v>
      </c>
      <c r="F268" t="s">
        <v>80</v>
      </c>
      <c r="G268">
        <v>0</v>
      </c>
      <c r="H268" s="32" t="str">
        <f ca="1">+IF(B268&gt;'sap nuevo'!$V$1,"cargar",IF(C268="","cargar","pagado"))</f>
        <v>cargar</v>
      </c>
      <c r="I268" s="32">
        <f t="shared" si="54"/>
        <v>2025</v>
      </c>
      <c r="J268" s="32">
        <f t="shared" si="55"/>
        <v>4</v>
      </c>
    </row>
    <row r="269" spans="1:10" x14ac:dyDescent="0.25">
      <c r="A269" t="s">
        <v>21</v>
      </c>
      <c r="B269" t="s">
        <v>143</v>
      </c>
      <c r="C269">
        <v>91002366</v>
      </c>
      <c r="D269">
        <v>140</v>
      </c>
      <c r="E269" s="4">
        <v>-5097847.7699999996</v>
      </c>
      <c r="F269" t="s">
        <v>80</v>
      </c>
      <c r="G269">
        <v>0</v>
      </c>
      <c r="H269" s="32" t="str">
        <f ca="1">+IF(B269&gt;'sap nuevo'!$V$1,"cargar",IF(C269="","cargar","pagado"))</f>
        <v>cargar</v>
      </c>
      <c r="I269" s="32">
        <f t="shared" si="54"/>
        <v>2025</v>
      </c>
      <c r="J269" s="32">
        <f t="shared" si="55"/>
        <v>4</v>
      </c>
    </row>
    <row r="270" spans="1:10" x14ac:dyDescent="0.25">
      <c r="A270" t="s">
        <v>21</v>
      </c>
      <c r="B270" t="s">
        <v>871</v>
      </c>
      <c r="C270">
        <v>94326826</v>
      </c>
      <c r="D270">
        <v>52</v>
      </c>
      <c r="E270" s="4">
        <v>-6232980</v>
      </c>
      <c r="F270" t="s">
        <v>20</v>
      </c>
      <c r="G270">
        <v>2</v>
      </c>
      <c r="H270" s="32" t="str">
        <f ca="1">+IF(B270&gt;'sap nuevo'!$V$1,"cargar",IF(C270="","cargar","pagado"))</f>
        <v>cargar</v>
      </c>
      <c r="I270" s="32">
        <f t="shared" si="54"/>
        <v>2025</v>
      </c>
      <c r="J270" s="32">
        <f t="shared" si="55"/>
        <v>4</v>
      </c>
    </row>
    <row r="271" spans="1:10" x14ac:dyDescent="0.25">
      <c r="A271" t="s">
        <v>21</v>
      </c>
      <c r="B271" t="s">
        <v>871</v>
      </c>
      <c r="C271">
        <v>91002357</v>
      </c>
      <c r="D271">
        <v>140</v>
      </c>
      <c r="E271" s="4">
        <v>-11420400</v>
      </c>
      <c r="F271" t="s">
        <v>80</v>
      </c>
      <c r="G271">
        <v>0</v>
      </c>
      <c r="H271" s="32" t="str">
        <f ca="1">+IF(B271&gt;'sap nuevo'!$V$1,"cargar",IF(C271="","cargar","pagado"))</f>
        <v>cargar</v>
      </c>
      <c r="I271" s="32">
        <f t="shared" si="54"/>
        <v>2025</v>
      </c>
      <c r="J271" s="32">
        <f t="shared" si="55"/>
        <v>4</v>
      </c>
    </row>
    <row r="272" spans="1:10" x14ac:dyDescent="0.25">
      <c r="A272" t="s">
        <v>21</v>
      </c>
      <c r="B272" t="s">
        <v>145</v>
      </c>
      <c r="C272">
        <v>91002373</v>
      </c>
      <c r="D272">
        <v>140</v>
      </c>
      <c r="E272" s="4">
        <v>-7855457.96</v>
      </c>
      <c r="F272" t="s">
        <v>80</v>
      </c>
      <c r="G272">
        <v>0</v>
      </c>
      <c r="H272" s="32" t="str">
        <f ca="1">+IF(B272&gt;'sap nuevo'!$V$1,"cargar",IF(C272="","cargar","pagado"))</f>
        <v>cargar</v>
      </c>
      <c r="I272" s="32">
        <f t="shared" si="54"/>
        <v>2025</v>
      </c>
      <c r="J272" s="32">
        <f t="shared" si="55"/>
        <v>4</v>
      </c>
    </row>
    <row r="273" spans="1:10" x14ac:dyDescent="0.25">
      <c r="A273" t="s">
        <v>12</v>
      </c>
      <c r="B273" t="s">
        <v>145</v>
      </c>
      <c r="C273">
        <v>91002374</v>
      </c>
      <c r="D273">
        <v>140</v>
      </c>
      <c r="E273" s="4">
        <v>-5763890.4000000004</v>
      </c>
      <c r="F273" t="s">
        <v>82</v>
      </c>
      <c r="G273">
        <v>0</v>
      </c>
      <c r="H273" s="32" t="str">
        <f ca="1">+IF(B273&gt;'sap nuevo'!$V$1,"cargar",IF(C273="","cargar","pagado"))</f>
        <v>cargar</v>
      </c>
      <c r="I273" s="32">
        <f t="shared" si="54"/>
        <v>2025</v>
      </c>
      <c r="J273" s="32">
        <f t="shared" si="55"/>
        <v>4</v>
      </c>
    </row>
    <row r="274" spans="1:10" x14ac:dyDescent="0.25">
      <c r="A274" t="s">
        <v>21</v>
      </c>
      <c r="B274" t="s">
        <v>146</v>
      </c>
      <c r="C274">
        <v>94326827</v>
      </c>
      <c r="D274">
        <v>52</v>
      </c>
      <c r="E274" s="4">
        <v>-106215990</v>
      </c>
      <c r="F274" t="s">
        <v>20</v>
      </c>
      <c r="G274">
        <v>2</v>
      </c>
      <c r="H274" s="32" t="str">
        <f ca="1">+IF(B274&gt;'sap nuevo'!$V$1,"cargar",IF(C274="","cargar","pagado"))</f>
        <v>cargar</v>
      </c>
      <c r="I274" s="32">
        <f t="shared" ref="I274:I285" si="56">+YEAR(B274)</f>
        <v>2025</v>
      </c>
      <c r="J274" s="32">
        <f t="shared" ref="J274:J285" si="57">+MONTH(B274)</f>
        <v>4</v>
      </c>
    </row>
    <row r="275" spans="1:10" x14ac:dyDescent="0.25">
      <c r="A275" t="s">
        <v>21</v>
      </c>
      <c r="B275" t="s">
        <v>146</v>
      </c>
      <c r="C275">
        <v>2927405</v>
      </c>
      <c r="D275">
        <v>52</v>
      </c>
      <c r="E275" s="4">
        <v>-4300000</v>
      </c>
      <c r="F275" t="s">
        <v>20</v>
      </c>
      <c r="G275">
        <v>2</v>
      </c>
      <c r="H275" s="32" t="str">
        <f ca="1">+IF(B275&gt;'sap nuevo'!$V$1,"cargar",IF(C275="","cargar","pagado"))</f>
        <v>cargar</v>
      </c>
      <c r="I275" s="32">
        <f t="shared" si="56"/>
        <v>2025</v>
      </c>
      <c r="J275" s="32">
        <f t="shared" si="57"/>
        <v>4</v>
      </c>
    </row>
    <row r="276" spans="1:10" x14ac:dyDescent="0.25">
      <c r="A276" t="s">
        <v>21</v>
      </c>
      <c r="B276" t="s">
        <v>147</v>
      </c>
      <c r="C276">
        <v>94326820</v>
      </c>
      <c r="D276">
        <v>52</v>
      </c>
      <c r="E276" s="4">
        <v>-1365000</v>
      </c>
      <c r="F276" t="s">
        <v>20</v>
      </c>
      <c r="G276">
        <v>2</v>
      </c>
      <c r="H276" s="32" t="str">
        <f ca="1">+IF(B276&gt;'sap nuevo'!$V$1,"cargar",IF(C276="","cargar","pagado"))</f>
        <v>cargar</v>
      </c>
      <c r="I276" s="32">
        <f t="shared" si="56"/>
        <v>2025</v>
      </c>
      <c r="J276" s="32">
        <f t="shared" si="57"/>
        <v>4</v>
      </c>
    </row>
    <row r="277" spans="1:10" x14ac:dyDescent="0.25">
      <c r="A277" t="s">
        <v>21</v>
      </c>
      <c r="B277" t="s">
        <v>147</v>
      </c>
      <c r="C277">
        <v>91002372</v>
      </c>
      <c r="D277">
        <v>140</v>
      </c>
      <c r="E277" s="4">
        <v>-3780852.71</v>
      </c>
      <c r="F277" t="s">
        <v>80</v>
      </c>
      <c r="G277">
        <v>0</v>
      </c>
      <c r="H277" s="32" t="str">
        <f ca="1">+IF(B277&gt;'sap nuevo'!$V$1,"cargar",IF(C277="","cargar","pagado"))</f>
        <v>cargar</v>
      </c>
      <c r="I277" s="32">
        <f t="shared" si="56"/>
        <v>2025</v>
      </c>
      <c r="J277" s="32">
        <f t="shared" si="57"/>
        <v>4</v>
      </c>
    </row>
    <row r="278" spans="1:10" x14ac:dyDescent="0.25">
      <c r="A278" t="s">
        <v>21</v>
      </c>
      <c r="B278" t="s">
        <v>148</v>
      </c>
      <c r="C278">
        <v>91002381</v>
      </c>
      <c r="D278">
        <v>140</v>
      </c>
      <c r="E278" s="4">
        <v>-14000000</v>
      </c>
      <c r="F278" t="s">
        <v>80</v>
      </c>
      <c r="G278">
        <v>0</v>
      </c>
      <c r="H278" s="32" t="str">
        <f ca="1">+IF(B278&gt;'sap nuevo'!$V$1,"cargar",IF(C278="","cargar","pagado"))</f>
        <v>cargar</v>
      </c>
      <c r="I278" s="32">
        <f t="shared" si="56"/>
        <v>2025</v>
      </c>
      <c r="J278" s="32">
        <f t="shared" si="57"/>
        <v>4</v>
      </c>
    </row>
    <row r="279" spans="1:10" x14ac:dyDescent="0.25">
      <c r="A279" t="s">
        <v>21</v>
      </c>
      <c r="B279" t="s">
        <v>148</v>
      </c>
      <c r="C279">
        <v>91002378</v>
      </c>
      <c r="D279">
        <v>140</v>
      </c>
      <c r="E279" s="4">
        <v>-12413816.960000001</v>
      </c>
      <c r="F279" t="s">
        <v>80</v>
      </c>
      <c r="G279">
        <v>0</v>
      </c>
      <c r="H279" s="32" t="str">
        <f ca="1">+IF(B279&gt;'sap nuevo'!$V$1,"cargar",IF(C279="","cargar","pagado"))</f>
        <v>cargar</v>
      </c>
      <c r="I279" s="32">
        <f t="shared" si="56"/>
        <v>2025</v>
      </c>
      <c r="J279" s="32">
        <f t="shared" si="57"/>
        <v>4</v>
      </c>
    </row>
    <row r="280" spans="1:10" x14ac:dyDescent="0.25">
      <c r="A280" t="s">
        <v>21</v>
      </c>
      <c r="B280" t="s">
        <v>148</v>
      </c>
      <c r="C280">
        <v>91002379</v>
      </c>
      <c r="D280">
        <v>140</v>
      </c>
      <c r="E280" s="4">
        <v>-7787644.6500000004</v>
      </c>
      <c r="F280" t="s">
        <v>80</v>
      </c>
      <c r="G280">
        <v>0</v>
      </c>
      <c r="H280" s="32" t="str">
        <f ca="1">+IF(B280&gt;'sap nuevo'!$V$1,"cargar",IF(C280="","cargar","pagado"))</f>
        <v>cargar</v>
      </c>
      <c r="I280" s="32">
        <f t="shared" si="56"/>
        <v>2025</v>
      </c>
      <c r="J280" s="32">
        <f t="shared" si="57"/>
        <v>4</v>
      </c>
    </row>
    <row r="281" spans="1:10" x14ac:dyDescent="0.25">
      <c r="A281" t="s">
        <v>21</v>
      </c>
      <c r="B281" t="s">
        <v>148</v>
      </c>
      <c r="C281">
        <v>91002375</v>
      </c>
      <c r="D281">
        <v>140</v>
      </c>
      <c r="E281" s="4">
        <v>-7060640.9400000004</v>
      </c>
      <c r="F281" t="s">
        <v>80</v>
      </c>
      <c r="G281">
        <v>0</v>
      </c>
      <c r="H281" s="32" t="str">
        <f ca="1">+IF(B281&gt;'sap nuevo'!$V$1,"cargar",IF(C281="","cargar","pagado"))</f>
        <v>cargar</v>
      </c>
      <c r="I281" s="32">
        <f t="shared" si="56"/>
        <v>2025</v>
      </c>
      <c r="J281" s="32">
        <f t="shared" si="57"/>
        <v>4</v>
      </c>
    </row>
    <row r="282" spans="1:10" x14ac:dyDescent="0.25">
      <c r="A282" t="s">
        <v>12</v>
      </c>
      <c r="B282" t="s">
        <v>148</v>
      </c>
      <c r="C282">
        <v>91002376</v>
      </c>
      <c r="D282">
        <v>140</v>
      </c>
      <c r="E282" s="4">
        <v>-5219613.87</v>
      </c>
      <c r="F282" t="s">
        <v>82</v>
      </c>
      <c r="G282">
        <v>0</v>
      </c>
      <c r="H282" s="32" t="str">
        <f ca="1">+IF(B282&gt;'sap nuevo'!$V$1,"cargar",IF(C282="","cargar","pagado"))</f>
        <v>cargar</v>
      </c>
      <c r="I282" s="32">
        <f t="shared" si="56"/>
        <v>2025</v>
      </c>
      <c r="J282" s="32">
        <f t="shared" si="57"/>
        <v>4</v>
      </c>
    </row>
    <row r="283" spans="1:10" x14ac:dyDescent="0.25">
      <c r="A283" t="s">
        <v>21</v>
      </c>
      <c r="B283" t="s">
        <v>872</v>
      </c>
      <c r="C283">
        <v>91002382</v>
      </c>
      <c r="D283">
        <v>140</v>
      </c>
      <c r="E283" s="4">
        <v>-14516201.91</v>
      </c>
      <c r="F283" t="s">
        <v>80</v>
      </c>
      <c r="G283">
        <v>0</v>
      </c>
      <c r="H283" s="32" t="str">
        <f ca="1">+IF(B283&gt;'sap nuevo'!$V$1,"cargar",IF(C283="","cargar","pagado"))</f>
        <v>cargar</v>
      </c>
      <c r="I283" s="32">
        <f t="shared" si="56"/>
        <v>2025</v>
      </c>
      <c r="J283" s="32">
        <f t="shared" si="57"/>
        <v>4</v>
      </c>
    </row>
    <row r="284" spans="1:10" x14ac:dyDescent="0.25">
      <c r="A284" t="s">
        <v>21</v>
      </c>
      <c r="B284" t="s">
        <v>872</v>
      </c>
      <c r="C284">
        <v>91002377</v>
      </c>
      <c r="D284">
        <v>140</v>
      </c>
      <c r="E284" s="4">
        <v>-9195647.3100000005</v>
      </c>
      <c r="F284" t="s">
        <v>80</v>
      </c>
      <c r="G284">
        <v>0</v>
      </c>
      <c r="H284" s="32" t="str">
        <f ca="1">+IF(B284&gt;'sap nuevo'!$V$1,"cargar",IF(C284="","cargar","pagado"))</f>
        <v>cargar</v>
      </c>
      <c r="I284" s="32">
        <f t="shared" si="56"/>
        <v>2025</v>
      </c>
      <c r="J284" s="32">
        <f t="shared" si="57"/>
        <v>4</v>
      </c>
    </row>
    <row r="285" spans="1:10" x14ac:dyDescent="0.25">
      <c r="A285" t="s">
        <v>873</v>
      </c>
      <c r="B285" t="s">
        <v>149</v>
      </c>
      <c r="C285">
        <v>1186</v>
      </c>
      <c r="D285">
        <v>9999</v>
      </c>
      <c r="E285" s="4">
        <v>-20366767.350000001</v>
      </c>
      <c r="F285" t="s">
        <v>874</v>
      </c>
      <c r="G285">
        <v>3520</v>
      </c>
      <c r="H285" s="32" t="str">
        <f ca="1">+IF(B285&gt;'sap nuevo'!$V$1,"cargar",IF(C285="","cargar","pagado"))</f>
        <v>cargar</v>
      </c>
      <c r="I285" s="32">
        <f t="shared" si="56"/>
        <v>2025</v>
      </c>
      <c r="J285" s="32">
        <f t="shared" si="57"/>
        <v>5</v>
      </c>
    </row>
    <row r="286" spans="1:10" x14ac:dyDescent="0.25">
      <c r="A286" t="s">
        <v>873</v>
      </c>
      <c r="B286" t="s">
        <v>149</v>
      </c>
      <c r="C286">
        <v>1181</v>
      </c>
      <c r="D286">
        <v>9999</v>
      </c>
      <c r="E286" s="4">
        <v>-12404481.689999999</v>
      </c>
      <c r="F286" t="s">
        <v>875</v>
      </c>
      <c r="G286">
        <v>3520</v>
      </c>
      <c r="H286" s="32" t="str">
        <f ca="1">+IF(B286&gt;'sap nuevo'!$V$1,"cargar",IF(C286="","cargar","pagado"))</f>
        <v>cargar</v>
      </c>
      <c r="I286" s="32">
        <f t="shared" ref="I286:I302" si="58">+YEAR(B286)</f>
        <v>2025</v>
      </c>
      <c r="J286" s="32">
        <f t="shared" ref="J286:J302" si="59">+MONTH(B286)</f>
        <v>5</v>
      </c>
    </row>
    <row r="287" spans="1:10" x14ac:dyDescent="0.25">
      <c r="A287" t="s">
        <v>873</v>
      </c>
      <c r="B287" t="s">
        <v>149</v>
      </c>
      <c r="C287">
        <v>1185</v>
      </c>
      <c r="D287">
        <v>9999</v>
      </c>
      <c r="E287" s="4">
        <v>-12186379.640000001</v>
      </c>
      <c r="F287" t="s">
        <v>876</v>
      </c>
      <c r="G287">
        <v>3520</v>
      </c>
      <c r="H287" s="32" t="str">
        <f ca="1">+IF(B287&gt;'sap nuevo'!$V$1,"cargar",IF(C287="","cargar","pagado"))</f>
        <v>cargar</v>
      </c>
      <c r="I287" s="32">
        <f t="shared" si="58"/>
        <v>2025</v>
      </c>
      <c r="J287" s="32">
        <f t="shared" si="59"/>
        <v>5</v>
      </c>
    </row>
    <row r="288" spans="1:10" x14ac:dyDescent="0.25">
      <c r="A288" t="s">
        <v>877</v>
      </c>
      <c r="B288" t="s">
        <v>150</v>
      </c>
      <c r="C288">
        <v>1192</v>
      </c>
      <c r="D288">
        <v>9999</v>
      </c>
      <c r="E288" s="4">
        <v>-9565507</v>
      </c>
      <c r="F288" t="s">
        <v>878</v>
      </c>
      <c r="G288">
        <v>1385</v>
      </c>
      <c r="H288" s="32" t="str">
        <f ca="1">+IF(B288&gt;'sap nuevo'!$V$1,"cargar",IF(C288="","cargar","pagado"))</f>
        <v>cargar</v>
      </c>
      <c r="I288" s="32">
        <f t="shared" si="58"/>
        <v>2025</v>
      </c>
      <c r="J288" s="32">
        <f t="shared" si="59"/>
        <v>5</v>
      </c>
    </row>
    <row r="289" spans="1:10" x14ac:dyDescent="0.25">
      <c r="A289" t="s">
        <v>877</v>
      </c>
      <c r="B289" t="s">
        <v>150</v>
      </c>
      <c r="C289">
        <v>1179</v>
      </c>
      <c r="D289">
        <v>9999</v>
      </c>
      <c r="E289" s="4">
        <v>-6646805.7800000003</v>
      </c>
      <c r="F289" t="s">
        <v>879</v>
      </c>
      <c r="G289">
        <v>1385</v>
      </c>
      <c r="H289" s="32" t="str">
        <f ca="1">+IF(B289&gt;'sap nuevo'!$V$1,"cargar",IF(C289="","cargar","pagado"))</f>
        <v>cargar</v>
      </c>
      <c r="I289" s="32">
        <f t="shared" si="58"/>
        <v>2025</v>
      </c>
      <c r="J289" s="32">
        <f t="shared" si="59"/>
        <v>5</v>
      </c>
    </row>
    <row r="290" spans="1:10" x14ac:dyDescent="0.25">
      <c r="A290" t="s">
        <v>877</v>
      </c>
      <c r="B290" t="s">
        <v>150</v>
      </c>
      <c r="C290">
        <v>1175</v>
      </c>
      <c r="D290">
        <v>9999</v>
      </c>
      <c r="E290" s="4">
        <v>-6277887.79</v>
      </c>
      <c r="F290" t="s">
        <v>880</v>
      </c>
      <c r="G290">
        <v>1385</v>
      </c>
      <c r="H290" s="32" t="str">
        <f ca="1">+IF(B290&gt;'sap nuevo'!$V$1,"cargar",IF(C290="","cargar","pagado"))</f>
        <v>cargar</v>
      </c>
      <c r="I290" s="32">
        <f t="shared" si="58"/>
        <v>2025</v>
      </c>
      <c r="J290" s="32">
        <f t="shared" si="59"/>
        <v>5</v>
      </c>
    </row>
    <row r="291" spans="1:10" x14ac:dyDescent="0.25">
      <c r="A291" t="s">
        <v>877</v>
      </c>
      <c r="B291" t="s">
        <v>150</v>
      </c>
      <c r="C291">
        <v>1177</v>
      </c>
      <c r="D291">
        <v>9999</v>
      </c>
      <c r="E291" s="4">
        <v>-5825048.9199999999</v>
      </c>
      <c r="F291" t="s">
        <v>881</v>
      </c>
      <c r="G291">
        <v>1385</v>
      </c>
      <c r="H291" s="32" t="str">
        <f ca="1">+IF(B291&gt;'sap nuevo'!$V$1,"cargar",IF(C291="","cargar","pagado"))</f>
        <v>cargar</v>
      </c>
      <c r="I291" s="32">
        <f t="shared" si="58"/>
        <v>2025</v>
      </c>
      <c r="J291" s="32">
        <f t="shared" si="59"/>
        <v>5</v>
      </c>
    </row>
    <row r="292" spans="1:10" x14ac:dyDescent="0.25">
      <c r="A292" t="s">
        <v>877</v>
      </c>
      <c r="B292" t="s">
        <v>150</v>
      </c>
      <c r="C292">
        <v>1171</v>
      </c>
      <c r="D292">
        <v>9999</v>
      </c>
      <c r="E292" s="4">
        <v>-5213600</v>
      </c>
      <c r="F292" t="s">
        <v>882</v>
      </c>
      <c r="G292">
        <v>1385</v>
      </c>
      <c r="H292" s="32" t="str">
        <f ca="1">+IF(B292&gt;'sap nuevo'!$V$1,"cargar",IF(C292="","cargar","pagado"))</f>
        <v>cargar</v>
      </c>
      <c r="I292" s="32">
        <f t="shared" si="58"/>
        <v>2025</v>
      </c>
      <c r="J292" s="32">
        <f t="shared" si="59"/>
        <v>5</v>
      </c>
    </row>
    <row r="293" spans="1:10" x14ac:dyDescent="0.25">
      <c r="A293" t="s">
        <v>877</v>
      </c>
      <c r="B293" t="s">
        <v>150</v>
      </c>
      <c r="C293">
        <v>1194</v>
      </c>
      <c r="D293">
        <v>9999</v>
      </c>
      <c r="E293" s="4">
        <v>-2100000</v>
      </c>
      <c r="F293" t="s">
        <v>883</v>
      </c>
      <c r="G293">
        <v>1385</v>
      </c>
      <c r="H293" s="32" t="str">
        <f ca="1">+IF(B293&gt;'sap nuevo'!$V$1,"cargar",IF(C293="","cargar","pagado"))</f>
        <v>cargar</v>
      </c>
      <c r="I293" s="32">
        <f t="shared" si="58"/>
        <v>2025</v>
      </c>
      <c r="J293" s="32">
        <f t="shared" si="59"/>
        <v>5</v>
      </c>
    </row>
    <row r="294" spans="1:10" x14ac:dyDescent="0.25">
      <c r="A294" t="s">
        <v>877</v>
      </c>
      <c r="B294" t="s">
        <v>150</v>
      </c>
      <c r="C294">
        <v>1189</v>
      </c>
      <c r="D294">
        <v>9999</v>
      </c>
      <c r="E294" s="4">
        <v>-1288083.04</v>
      </c>
      <c r="F294" t="s">
        <v>884</v>
      </c>
      <c r="G294">
        <v>1385</v>
      </c>
      <c r="H294" s="32" t="str">
        <f ca="1">+IF(B294&gt;'sap nuevo'!$V$1,"cargar",IF(C294="","cargar","pagado"))</f>
        <v>cargar</v>
      </c>
      <c r="I294" s="32">
        <f t="shared" si="58"/>
        <v>2025</v>
      </c>
      <c r="J294" s="32">
        <f t="shared" si="59"/>
        <v>5</v>
      </c>
    </row>
    <row r="295" spans="1:10" x14ac:dyDescent="0.25">
      <c r="A295" t="s">
        <v>877</v>
      </c>
      <c r="B295" t="s">
        <v>150</v>
      </c>
      <c r="C295">
        <v>1193</v>
      </c>
      <c r="D295">
        <v>9999</v>
      </c>
      <c r="E295" s="4">
        <v>-1000000</v>
      </c>
      <c r="F295" t="s">
        <v>885</v>
      </c>
      <c r="G295">
        <v>1385</v>
      </c>
      <c r="H295" s="32" t="str">
        <f ca="1">+IF(B295&gt;'sap nuevo'!$V$1,"cargar",IF(C295="","cargar","pagado"))</f>
        <v>cargar</v>
      </c>
      <c r="I295" s="32">
        <f t="shared" si="58"/>
        <v>2025</v>
      </c>
      <c r="J295" s="32">
        <f t="shared" si="59"/>
        <v>5</v>
      </c>
    </row>
    <row r="296" spans="1:10" x14ac:dyDescent="0.25">
      <c r="A296" t="s">
        <v>877</v>
      </c>
      <c r="B296" t="s">
        <v>149</v>
      </c>
      <c r="C296">
        <v>1197</v>
      </c>
      <c r="D296">
        <v>9999</v>
      </c>
      <c r="E296" s="4">
        <v>-26590581.440000001</v>
      </c>
      <c r="F296" t="s">
        <v>886</v>
      </c>
      <c r="G296">
        <v>1385</v>
      </c>
      <c r="H296" s="32" t="str">
        <f ca="1">+IF(B296&gt;'sap nuevo'!$V$1,"cargar",IF(C296="","cargar","pagado"))</f>
        <v>cargar</v>
      </c>
      <c r="I296" s="32">
        <f t="shared" si="58"/>
        <v>2025</v>
      </c>
      <c r="J296" s="32">
        <f t="shared" si="59"/>
        <v>5</v>
      </c>
    </row>
    <row r="297" spans="1:10" x14ac:dyDescent="0.25">
      <c r="A297" t="s">
        <v>877</v>
      </c>
      <c r="B297" t="s">
        <v>149</v>
      </c>
      <c r="C297">
        <v>1187</v>
      </c>
      <c r="D297">
        <v>9999</v>
      </c>
      <c r="E297" s="4">
        <v>-20366767.350000001</v>
      </c>
      <c r="F297" t="s">
        <v>887</v>
      </c>
      <c r="G297">
        <v>1385</v>
      </c>
      <c r="H297" s="32" t="str">
        <f ca="1">+IF(B297&gt;'sap nuevo'!$V$1,"cargar",IF(C297="","cargar","pagado"))</f>
        <v>cargar</v>
      </c>
      <c r="I297" s="32">
        <f t="shared" si="58"/>
        <v>2025</v>
      </c>
      <c r="J297" s="32">
        <f t="shared" si="59"/>
        <v>5</v>
      </c>
    </row>
    <row r="298" spans="1:10" x14ac:dyDescent="0.25">
      <c r="A298" t="s">
        <v>877</v>
      </c>
      <c r="B298" t="s">
        <v>149</v>
      </c>
      <c r="C298">
        <v>1182</v>
      </c>
      <c r="D298">
        <v>9999</v>
      </c>
      <c r="E298" s="4">
        <v>-16619834.470000001</v>
      </c>
      <c r="F298" t="s">
        <v>888</v>
      </c>
      <c r="G298">
        <v>1385</v>
      </c>
      <c r="H298" s="32" t="str">
        <f ca="1">+IF(B298&gt;'sap nuevo'!$V$1,"cargar",IF(C298="","cargar","pagado"))</f>
        <v>cargar</v>
      </c>
      <c r="I298" s="32">
        <f t="shared" si="58"/>
        <v>2025</v>
      </c>
      <c r="J298" s="32">
        <f t="shared" si="59"/>
        <v>5</v>
      </c>
    </row>
    <row r="299" spans="1:10" x14ac:dyDescent="0.25">
      <c r="A299" t="s">
        <v>877</v>
      </c>
      <c r="B299" t="s">
        <v>149</v>
      </c>
      <c r="C299">
        <v>1180</v>
      </c>
      <c r="D299">
        <v>9999</v>
      </c>
      <c r="E299" s="4">
        <v>-14607941.49</v>
      </c>
      <c r="F299" t="s">
        <v>889</v>
      </c>
      <c r="G299">
        <v>1385</v>
      </c>
      <c r="H299" s="32" t="str">
        <f ca="1">+IF(B299&gt;'sap nuevo'!$V$1,"cargar",IF(C299="","cargar","pagado"))</f>
        <v>cargar</v>
      </c>
      <c r="I299" s="32">
        <f t="shared" si="58"/>
        <v>2025</v>
      </c>
      <c r="J299" s="32">
        <f t="shared" si="59"/>
        <v>5</v>
      </c>
    </row>
    <row r="300" spans="1:10" x14ac:dyDescent="0.25">
      <c r="A300" t="s">
        <v>877</v>
      </c>
      <c r="B300" t="s">
        <v>149</v>
      </c>
      <c r="C300">
        <v>1183</v>
      </c>
      <c r="D300">
        <v>9999</v>
      </c>
      <c r="E300" s="4">
        <v>-10551591.060000001</v>
      </c>
      <c r="F300" t="s">
        <v>890</v>
      </c>
      <c r="G300">
        <v>1385</v>
      </c>
      <c r="H300" s="32" t="str">
        <f ca="1">+IF(B300&gt;'sap nuevo'!$V$1,"cargar",IF(C300="","cargar","pagado"))</f>
        <v>cargar</v>
      </c>
      <c r="I300" s="32">
        <f t="shared" si="58"/>
        <v>2025</v>
      </c>
      <c r="J300" s="32">
        <f t="shared" si="59"/>
        <v>5</v>
      </c>
    </row>
    <row r="301" spans="1:10" x14ac:dyDescent="0.25">
      <c r="A301" t="s">
        <v>877</v>
      </c>
      <c r="B301" t="s">
        <v>149</v>
      </c>
      <c r="C301">
        <v>1174</v>
      </c>
      <c r="D301">
        <v>9999</v>
      </c>
      <c r="E301" s="4">
        <v>-5827443.4000000004</v>
      </c>
      <c r="F301" t="s">
        <v>891</v>
      </c>
      <c r="G301">
        <v>1385</v>
      </c>
      <c r="H301" s="32" t="str">
        <f ca="1">+IF(B301&gt;'sap nuevo'!$V$1,"cargar",IF(C301="","cargar","pagado"))</f>
        <v>cargar</v>
      </c>
      <c r="I301" s="32">
        <f t="shared" si="58"/>
        <v>2025</v>
      </c>
      <c r="J301" s="32">
        <f t="shared" si="59"/>
        <v>5</v>
      </c>
    </row>
    <row r="302" spans="1:10" x14ac:dyDescent="0.25">
      <c r="A302" t="s">
        <v>877</v>
      </c>
      <c r="B302" t="s">
        <v>149</v>
      </c>
      <c r="C302">
        <v>1170</v>
      </c>
      <c r="D302">
        <v>9999</v>
      </c>
      <c r="E302" s="4">
        <v>-5729492.2300000004</v>
      </c>
      <c r="F302" t="s">
        <v>892</v>
      </c>
      <c r="G302">
        <v>1385</v>
      </c>
      <c r="H302" s="32" t="str">
        <f ca="1">+IF(B302&gt;'sap nuevo'!$V$1,"cargar",IF(C302="","cargar","pagado"))</f>
        <v>cargar</v>
      </c>
      <c r="I302" s="32">
        <f t="shared" si="58"/>
        <v>2025</v>
      </c>
      <c r="J302" s="32">
        <f t="shared" si="59"/>
        <v>5</v>
      </c>
    </row>
    <row r="303" spans="1:10" x14ac:dyDescent="0.25">
      <c r="A303" t="s">
        <v>877</v>
      </c>
      <c r="B303" t="s">
        <v>149</v>
      </c>
      <c r="C303">
        <v>1191</v>
      </c>
      <c r="D303">
        <v>9999</v>
      </c>
      <c r="E303" s="4">
        <v>-3788354</v>
      </c>
      <c r="F303" t="s">
        <v>893</v>
      </c>
      <c r="G303">
        <v>1385</v>
      </c>
      <c r="H303" s="32" t="str">
        <f ca="1">+IF(B303&gt;'sap nuevo'!$V$1,"cargar",IF(C303="","cargar","pagado"))</f>
        <v>cargar</v>
      </c>
      <c r="I303" s="32">
        <f t="shared" ref="I303:I311" si="60">+YEAR(B303)</f>
        <v>2025</v>
      </c>
      <c r="J303" s="32">
        <f t="shared" ref="J303:J311" si="61">+MONTH(B303)</f>
        <v>5</v>
      </c>
    </row>
    <row r="304" spans="1:10" x14ac:dyDescent="0.25">
      <c r="A304" t="s">
        <v>877</v>
      </c>
      <c r="B304" t="s">
        <v>149</v>
      </c>
      <c r="C304">
        <v>1188</v>
      </c>
      <c r="D304">
        <v>9999</v>
      </c>
      <c r="E304" s="4">
        <v>-1288083.04</v>
      </c>
      <c r="F304" t="s">
        <v>894</v>
      </c>
      <c r="G304">
        <v>1385</v>
      </c>
      <c r="H304" s="32" t="str">
        <f ca="1">+IF(B304&gt;'sap nuevo'!$V$1,"cargar",IF(C304="","cargar","pagado"))</f>
        <v>cargar</v>
      </c>
      <c r="I304" s="32">
        <f t="shared" si="60"/>
        <v>2025</v>
      </c>
      <c r="J304" s="32">
        <f t="shared" si="61"/>
        <v>5</v>
      </c>
    </row>
    <row r="305" spans="1:10" x14ac:dyDescent="0.25">
      <c r="A305" t="s">
        <v>21</v>
      </c>
      <c r="B305" t="s">
        <v>150</v>
      </c>
      <c r="C305">
        <v>91002380</v>
      </c>
      <c r="D305">
        <v>140</v>
      </c>
      <c r="E305" s="4">
        <v>-9326652.8200000003</v>
      </c>
      <c r="F305" t="s">
        <v>80</v>
      </c>
      <c r="G305">
        <v>0</v>
      </c>
      <c r="H305" s="32" t="str">
        <f ca="1">+IF(B305&gt;'sap nuevo'!$V$1,"cargar",IF(C305="","cargar","pagado"))</f>
        <v>cargar</v>
      </c>
      <c r="I305" s="32">
        <f t="shared" si="60"/>
        <v>2025</v>
      </c>
      <c r="J305" s="32">
        <f t="shared" si="61"/>
        <v>5</v>
      </c>
    </row>
    <row r="306" spans="1:10" x14ac:dyDescent="0.25">
      <c r="A306" t="s">
        <v>873</v>
      </c>
      <c r="B306" t="s">
        <v>151</v>
      </c>
      <c r="C306">
        <v>1201</v>
      </c>
      <c r="D306">
        <v>9999</v>
      </c>
      <c r="E306" s="4">
        <v>-17123544.879999999</v>
      </c>
      <c r="F306" t="s">
        <v>895</v>
      </c>
      <c r="G306">
        <v>3520</v>
      </c>
      <c r="H306" s="32" t="str">
        <f ca="1">+IF(B306&gt;'sap nuevo'!$V$1,"cargar",IF(C306="","cargar","pagado"))</f>
        <v>cargar</v>
      </c>
      <c r="I306" s="32">
        <f t="shared" si="60"/>
        <v>2025</v>
      </c>
      <c r="J306" s="32">
        <f t="shared" si="61"/>
        <v>5</v>
      </c>
    </row>
    <row r="307" spans="1:10" x14ac:dyDescent="0.25">
      <c r="A307" t="s">
        <v>873</v>
      </c>
      <c r="B307" t="s">
        <v>151</v>
      </c>
      <c r="C307">
        <v>1176</v>
      </c>
      <c r="D307">
        <v>9999</v>
      </c>
      <c r="E307" s="4">
        <v>-8771216.5299999993</v>
      </c>
      <c r="F307" t="s">
        <v>896</v>
      </c>
      <c r="G307">
        <v>3520</v>
      </c>
      <c r="H307" s="32" t="str">
        <f ca="1">+IF(B307&gt;'sap nuevo'!$V$1,"cargar",IF(C307="","cargar","pagado"))</f>
        <v>cargar</v>
      </c>
      <c r="I307" s="32">
        <f t="shared" si="60"/>
        <v>2025</v>
      </c>
      <c r="J307" s="32">
        <f t="shared" si="61"/>
        <v>5</v>
      </c>
    </row>
    <row r="308" spans="1:10" x14ac:dyDescent="0.25">
      <c r="A308" t="s">
        <v>877</v>
      </c>
      <c r="B308" t="s">
        <v>152</v>
      </c>
      <c r="C308">
        <v>1172</v>
      </c>
      <c r="D308">
        <v>9999</v>
      </c>
      <c r="E308" s="4">
        <v>-4500000</v>
      </c>
      <c r="F308" t="s">
        <v>897</v>
      </c>
      <c r="G308">
        <v>1385</v>
      </c>
      <c r="H308" s="32" t="str">
        <f ca="1">+IF(B308&gt;'sap nuevo'!$V$1,"cargar",IF(C308="","cargar","pagado"))</f>
        <v>cargar</v>
      </c>
      <c r="I308" s="32">
        <f t="shared" si="60"/>
        <v>2025</v>
      </c>
      <c r="J308" s="32">
        <f t="shared" si="61"/>
        <v>5</v>
      </c>
    </row>
    <row r="309" spans="1:10" x14ac:dyDescent="0.25">
      <c r="A309" t="s">
        <v>877</v>
      </c>
      <c r="B309" t="s">
        <v>152</v>
      </c>
      <c r="C309">
        <v>1195</v>
      </c>
      <c r="D309">
        <v>9999</v>
      </c>
      <c r="E309" s="4">
        <v>-1892714</v>
      </c>
      <c r="F309" t="s">
        <v>898</v>
      </c>
      <c r="G309">
        <v>1385</v>
      </c>
      <c r="H309" s="32" t="str">
        <f ca="1">+IF(B309&gt;'sap nuevo'!$V$1,"cargar",IF(C309="","cargar","pagado"))</f>
        <v>cargar</v>
      </c>
      <c r="I309" s="32">
        <f t="shared" si="60"/>
        <v>2025</v>
      </c>
      <c r="J309" s="32">
        <f t="shared" si="61"/>
        <v>5</v>
      </c>
    </row>
    <row r="310" spans="1:10" x14ac:dyDescent="0.25">
      <c r="A310" t="s">
        <v>877</v>
      </c>
      <c r="B310" t="s">
        <v>151</v>
      </c>
      <c r="C310">
        <v>1203</v>
      </c>
      <c r="D310">
        <v>9999</v>
      </c>
      <c r="E310" s="4">
        <v>-12185040.48</v>
      </c>
      <c r="F310" t="s">
        <v>899</v>
      </c>
      <c r="G310">
        <v>1385</v>
      </c>
      <c r="H310" s="32" t="str">
        <f ca="1">+IF(B310&gt;'sap nuevo'!$V$1,"cargar",IF(C310="","cargar","pagado"))</f>
        <v>cargar</v>
      </c>
      <c r="I310" s="32">
        <f t="shared" si="60"/>
        <v>2025</v>
      </c>
      <c r="J310" s="32">
        <f t="shared" si="61"/>
        <v>5</v>
      </c>
    </row>
    <row r="311" spans="1:10" x14ac:dyDescent="0.25">
      <c r="A311" t="s">
        <v>877</v>
      </c>
      <c r="B311" t="s">
        <v>151</v>
      </c>
      <c r="C311">
        <v>1184</v>
      </c>
      <c r="D311">
        <v>9999</v>
      </c>
      <c r="E311" s="4">
        <v>-10478610.35</v>
      </c>
      <c r="F311" t="s">
        <v>900</v>
      </c>
      <c r="G311">
        <v>1385</v>
      </c>
      <c r="H311" s="32" t="str">
        <f ca="1">+IF(B311&gt;'sap nuevo'!$V$1,"cargar",IF(C311="","cargar","pagado"))</f>
        <v>cargar</v>
      </c>
      <c r="I311" s="32">
        <f t="shared" si="60"/>
        <v>2025</v>
      </c>
      <c r="J311" s="32">
        <f t="shared" si="61"/>
        <v>5</v>
      </c>
    </row>
    <row r="312" spans="1:10" x14ac:dyDescent="0.25">
      <c r="A312" t="s">
        <v>877</v>
      </c>
      <c r="B312" t="s">
        <v>151</v>
      </c>
      <c r="C312">
        <v>1198</v>
      </c>
      <c r="D312">
        <v>9999</v>
      </c>
      <c r="E312" s="4">
        <v>-7600950</v>
      </c>
      <c r="F312" t="s">
        <v>901</v>
      </c>
      <c r="G312">
        <v>1385</v>
      </c>
      <c r="H312" s="32" t="str">
        <f ca="1">+IF(B312&gt;'sap nuevo'!$V$1,"cargar",IF(C312="","cargar","pagado"))</f>
        <v>cargar</v>
      </c>
      <c r="I312" s="32">
        <f t="shared" ref="I312:I326" si="62">+YEAR(B312)</f>
        <v>2025</v>
      </c>
      <c r="J312" s="32">
        <f t="shared" ref="J312:J326" si="63">+MONTH(B312)</f>
        <v>5</v>
      </c>
    </row>
    <row r="313" spans="1:10" x14ac:dyDescent="0.25">
      <c r="A313" t="s">
        <v>877</v>
      </c>
      <c r="B313" t="s">
        <v>151</v>
      </c>
      <c r="C313">
        <v>1200</v>
      </c>
      <c r="D313">
        <v>9999</v>
      </c>
      <c r="E313" s="4">
        <v>-4467346.46</v>
      </c>
      <c r="F313" t="s">
        <v>902</v>
      </c>
      <c r="G313">
        <v>1385</v>
      </c>
      <c r="H313" s="32" t="str">
        <f ca="1">+IF(B313&gt;'sap nuevo'!$V$1,"cargar",IF(C313="","cargar","pagado"))</f>
        <v>cargar</v>
      </c>
      <c r="I313" s="32">
        <f t="shared" si="62"/>
        <v>2025</v>
      </c>
      <c r="J313" s="32">
        <f t="shared" si="63"/>
        <v>5</v>
      </c>
    </row>
    <row r="314" spans="1:10" x14ac:dyDescent="0.25">
      <c r="A314" t="s">
        <v>21</v>
      </c>
      <c r="B314" t="s">
        <v>151</v>
      </c>
      <c r="C314">
        <v>94326828</v>
      </c>
      <c r="D314">
        <v>52</v>
      </c>
      <c r="E314" s="4">
        <v>-2187069.77</v>
      </c>
      <c r="F314" t="s">
        <v>20</v>
      </c>
      <c r="G314">
        <v>2</v>
      </c>
      <c r="H314" s="32" t="str">
        <f ca="1">+IF(B314&gt;'sap nuevo'!$V$1,"cargar",IF(C314="","cargar","pagado"))</f>
        <v>cargar</v>
      </c>
      <c r="I314" s="32">
        <f t="shared" si="62"/>
        <v>2025</v>
      </c>
      <c r="J314" s="32">
        <f t="shared" si="63"/>
        <v>5</v>
      </c>
    </row>
    <row r="315" spans="1:10" x14ac:dyDescent="0.25">
      <c r="A315" t="s">
        <v>877</v>
      </c>
      <c r="B315" t="s">
        <v>153</v>
      </c>
      <c r="C315">
        <v>1202</v>
      </c>
      <c r="D315">
        <v>9999</v>
      </c>
      <c r="E315" s="4">
        <v>-17154865.93</v>
      </c>
      <c r="F315" t="s">
        <v>903</v>
      </c>
      <c r="G315">
        <v>1385</v>
      </c>
      <c r="H315" s="32" t="str">
        <f ca="1">+IF(B315&gt;'sap nuevo'!$V$1,"cargar",IF(C315="","cargar","pagado"))</f>
        <v>cargar</v>
      </c>
      <c r="I315" s="32">
        <f t="shared" si="62"/>
        <v>2025</v>
      </c>
      <c r="J315" s="32">
        <f t="shared" si="63"/>
        <v>5</v>
      </c>
    </row>
    <row r="316" spans="1:10" x14ac:dyDescent="0.25">
      <c r="A316" t="s">
        <v>877</v>
      </c>
      <c r="B316" t="s">
        <v>153</v>
      </c>
      <c r="C316">
        <v>1204</v>
      </c>
      <c r="D316">
        <v>9999</v>
      </c>
      <c r="E316" s="4">
        <v>-12153231.51</v>
      </c>
      <c r="F316" t="s">
        <v>904</v>
      </c>
      <c r="G316">
        <v>1385</v>
      </c>
      <c r="H316" s="32" t="str">
        <f ca="1">+IF(B316&gt;'sap nuevo'!$V$1,"cargar",IF(C316="","cargar","pagado"))</f>
        <v>cargar</v>
      </c>
      <c r="I316" s="32">
        <f t="shared" si="62"/>
        <v>2025</v>
      </c>
      <c r="J316" s="32">
        <f t="shared" si="63"/>
        <v>5</v>
      </c>
    </row>
    <row r="317" spans="1:10" x14ac:dyDescent="0.25">
      <c r="A317" t="s">
        <v>21</v>
      </c>
      <c r="B317" t="s">
        <v>154</v>
      </c>
      <c r="C317">
        <v>91002399</v>
      </c>
      <c r="D317">
        <v>140</v>
      </c>
      <c r="E317" s="4">
        <v>-15000000</v>
      </c>
      <c r="F317" t="s">
        <v>80</v>
      </c>
      <c r="G317">
        <v>0</v>
      </c>
      <c r="H317" s="32" t="str">
        <f ca="1">+IF(B317&gt;'sap nuevo'!$V$1,"cargar",IF(C317="","cargar","pagado"))</f>
        <v>cargar</v>
      </c>
      <c r="I317" s="32">
        <f t="shared" si="62"/>
        <v>2025</v>
      </c>
      <c r="J317" s="32">
        <f t="shared" si="63"/>
        <v>5</v>
      </c>
    </row>
    <row r="318" spans="1:10" x14ac:dyDescent="0.25">
      <c r="A318" t="s">
        <v>21</v>
      </c>
      <c r="B318" t="s">
        <v>154</v>
      </c>
      <c r="C318">
        <v>91002396</v>
      </c>
      <c r="D318">
        <v>140</v>
      </c>
      <c r="E318" s="4">
        <v>-12000000</v>
      </c>
      <c r="F318" t="s">
        <v>80</v>
      </c>
      <c r="G318">
        <v>0</v>
      </c>
      <c r="H318" s="32" t="str">
        <f ca="1">+IF(B318&gt;'sap nuevo'!$V$1,"cargar",IF(C318="","cargar","pagado"))</f>
        <v>cargar</v>
      </c>
      <c r="I318" s="32">
        <f t="shared" si="62"/>
        <v>2025</v>
      </c>
      <c r="J318" s="32">
        <f t="shared" si="63"/>
        <v>5</v>
      </c>
    </row>
    <row r="319" spans="1:10" x14ac:dyDescent="0.25">
      <c r="A319" t="s">
        <v>21</v>
      </c>
      <c r="B319" t="s">
        <v>154</v>
      </c>
      <c r="C319">
        <v>91002385</v>
      </c>
      <c r="D319">
        <v>140</v>
      </c>
      <c r="E319" s="4">
        <v>-11519821.869999999</v>
      </c>
      <c r="F319" t="s">
        <v>80</v>
      </c>
      <c r="G319">
        <v>0</v>
      </c>
      <c r="H319" s="32" t="str">
        <f ca="1">+IF(B319&gt;'sap nuevo'!$V$1,"cargar",IF(C319="","cargar","pagado"))</f>
        <v>cargar</v>
      </c>
      <c r="I319" s="32">
        <f t="shared" si="62"/>
        <v>2025</v>
      </c>
      <c r="J319" s="32">
        <f t="shared" si="63"/>
        <v>5</v>
      </c>
    </row>
    <row r="320" spans="1:10" x14ac:dyDescent="0.25">
      <c r="A320" t="s">
        <v>21</v>
      </c>
      <c r="B320" t="s">
        <v>154</v>
      </c>
      <c r="C320">
        <v>91002389</v>
      </c>
      <c r="D320">
        <v>140</v>
      </c>
      <c r="E320" s="4">
        <v>-6199166.4900000002</v>
      </c>
      <c r="F320" t="s">
        <v>80</v>
      </c>
      <c r="G320">
        <v>0</v>
      </c>
      <c r="H320" s="32" t="str">
        <f ca="1">+IF(B320&gt;'sap nuevo'!$V$1,"cargar",IF(C320="","cargar","pagado"))</f>
        <v>cargar</v>
      </c>
      <c r="I320" s="32">
        <f t="shared" si="62"/>
        <v>2025</v>
      </c>
      <c r="J320" s="32">
        <f t="shared" si="63"/>
        <v>5</v>
      </c>
    </row>
    <row r="321" spans="1:10" x14ac:dyDescent="0.25">
      <c r="A321" t="s">
        <v>21</v>
      </c>
      <c r="B321" t="s">
        <v>154</v>
      </c>
      <c r="C321">
        <v>91002390</v>
      </c>
      <c r="D321">
        <v>140</v>
      </c>
      <c r="E321" s="4">
        <v>-6149354.9299999997</v>
      </c>
      <c r="F321" t="s">
        <v>80</v>
      </c>
      <c r="G321">
        <v>0</v>
      </c>
      <c r="H321" s="32" t="str">
        <f ca="1">+IF(B321&gt;'sap nuevo'!$V$1,"cargar",IF(C321="","cargar","pagado"))</f>
        <v>cargar</v>
      </c>
      <c r="I321" s="32">
        <f t="shared" si="62"/>
        <v>2025</v>
      </c>
      <c r="J321" s="32">
        <f t="shared" si="63"/>
        <v>5</v>
      </c>
    </row>
    <row r="322" spans="1:10" x14ac:dyDescent="0.25">
      <c r="A322" t="s">
        <v>21</v>
      </c>
      <c r="B322" t="s">
        <v>154</v>
      </c>
      <c r="C322">
        <v>91002391</v>
      </c>
      <c r="D322">
        <v>140</v>
      </c>
      <c r="E322" s="4">
        <v>-5720794.4100000001</v>
      </c>
      <c r="F322" t="s">
        <v>80</v>
      </c>
      <c r="G322">
        <v>0</v>
      </c>
      <c r="H322" s="32" t="str">
        <f ca="1">+IF(B322&gt;'sap nuevo'!$V$1,"cargar",IF(C322="","cargar","pagado"))</f>
        <v>cargar</v>
      </c>
      <c r="I322" s="32">
        <f t="shared" si="62"/>
        <v>2025</v>
      </c>
      <c r="J322" s="32">
        <f t="shared" si="63"/>
        <v>5</v>
      </c>
    </row>
    <row r="323" spans="1:10" x14ac:dyDescent="0.25">
      <c r="A323" t="s">
        <v>21</v>
      </c>
      <c r="B323" t="s">
        <v>154</v>
      </c>
      <c r="C323">
        <v>91002384</v>
      </c>
      <c r="D323">
        <v>140</v>
      </c>
      <c r="E323" s="4">
        <v>-4535357.83</v>
      </c>
      <c r="F323" t="s">
        <v>80</v>
      </c>
      <c r="G323">
        <v>0</v>
      </c>
      <c r="H323" s="32" t="str">
        <f ca="1">+IF(B323&gt;'sap nuevo'!$V$1,"cargar",IF(C323="","cargar","pagado"))</f>
        <v>cargar</v>
      </c>
      <c r="I323" s="32">
        <f t="shared" si="62"/>
        <v>2025</v>
      </c>
      <c r="J323" s="32">
        <f t="shared" si="63"/>
        <v>5</v>
      </c>
    </row>
    <row r="324" spans="1:10" x14ac:dyDescent="0.25">
      <c r="A324" t="s">
        <v>21</v>
      </c>
      <c r="B324" t="s">
        <v>154</v>
      </c>
      <c r="C324">
        <v>91002392</v>
      </c>
      <c r="D324">
        <v>140</v>
      </c>
      <c r="E324" s="4">
        <v>-4256646.51</v>
      </c>
      <c r="F324" t="s">
        <v>80</v>
      </c>
      <c r="G324">
        <v>0</v>
      </c>
      <c r="H324" s="32" t="str">
        <f ca="1">+IF(B324&gt;'sap nuevo'!$V$1,"cargar",IF(C324="","cargar","pagado"))</f>
        <v>cargar</v>
      </c>
      <c r="I324" s="32">
        <f t="shared" si="62"/>
        <v>2025</v>
      </c>
      <c r="J324" s="32">
        <f t="shared" si="63"/>
        <v>5</v>
      </c>
    </row>
    <row r="325" spans="1:10" x14ac:dyDescent="0.25">
      <c r="A325" t="s">
        <v>21</v>
      </c>
      <c r="B325" t="s">
        <v>154</v>
      </c>
      <c r="C325">
        <v>91002394</v>
      </c>
      <c r="D325">
        <v>140</v>
      </c>
      <c r="E325" s="4">
        <v>-4112784.02</v>
      </c>
      <c r="F325" t="s">
        <v>80</v>
      </c>
      <c r="G325">
        <v>0</v>
      </c>
      <c r="H325" s="32" t="str">
        <f ca="1">+IF(B325&gt;'sap nuevo'!$V$1,"cargar",IF(C325="","cargar","pagado"))</f>
        <v>cargar</v>
      </c>
      <c r="I325" s="32">
        <f t="shared" si="62"/>
        <v>2025</v>
      </c>
      <c r="J325" s="32">
        <f t="shared" si="63"/>
        <v>5</v>
      </c>
    </row>
    <row r="326" spans="1:10" x14ac:dyDescent="0.25">
      <c r="A326" t="s">
        <v>21</v>
      </c>
      <c r="B326" t="s">
        <v>154</v>
      </c>
      <c r="C326">
        <v>91002393</v>
      </c>
      <c r="D326">
        <v>140</v>
      </c>
      <c r="E326" s="4">
        <v>-4018981.05</v>
      </c>
      <c r="F326" t="s">
        <v>80</v>
      </c>
      <c r="G326">
        <v>0</v>
      </c>
      <c r="H326" s="32" t="str">
        <f ca="1">+IF(B326&gt;'sap nuevo'!$V$1,"cargar",IF(C326="","cargar","pagado"))</f>
        <v>cargar</v>
      </c>
      <c r="I326" s="32">
        <f t="shared" si="62"/>
        <v>2025</v>
      </c>
      <c r="J326" s="32">
        <f t="shared" si="63"/>
        <v>5</v>
      </c>
    </row>
    <row r="327" spans="1:10" x14ac:dyDescent="0.25">
      <c r="A327" t="s">
        <v>12</v>
      </c>
      <c r="B327" t="s">
        <v>154</v>
      </c>
      <c r="C327">
        <v>91002395</v>
      </c>
      <c r="D327">
        <v>140</v>
      </c>
      <c r="E327" s="4">
        <v>-3624413.92</v>
      </c>
      <c r="F327" t="s">
        <v>82</v>
      </c>
      <c r="G327">
        <v>0</v>
      </c>
      <c r="H327" s="32" t="str">
        <f ca="1">+IF(B327&gt;'sap nuevo'!$V$1,"cargar",IF(C327="","cargar","pagado"))</f>
        <v>cargar</v>
      </c>
      <c r="I327" s="32">
        <f t="shared" ref="I327:I350" si="64">+YEAR(B327)</f>
        <v>2025</v>
      </c>
      <c r="J327" s="32">
        <f t="shared" ref="J327:J350" si="65">+MONTH(B327)</f>
        <v>5</v>
      </c>
    </row>
    <row r="328" spans="1:10" x14ac:dyDescent="0.25">
      <c r="A328" t="s">
        <v>12</v>
      </c>
      <c r="B328" t="s">
        <v>154</v>
      </c>
      <c r="C328">
        <v>91002388</v>
      </c>
      <c r="D328">
        <v>140</v>
      </c>
      <c r="E328" s="4">
        <v>-2735445.29</v>
      </c>
      <c r="F328" t="s">
        <v>82</v>
      </c>
      <c r="G328">
        <v>0</v>
      </c>
      <c r="H328" s="32" t="str">
        <f ca="1">+IF(B328&gt;'sap nuevo'!$V$1,"cargar",IF(C328="","cargar","pagado"))</f>
        <v>cargar</v>
      </c>
      <c r="I328" s="32">
        <f t="shared" si="64"/>
        <v>2025</v>
      </c>
      <c r="J328" s="32">
        <f t="shared" si="65"/>
        <v>5</v>
      </c>
    </row>
    <row r="329" spans="1:10" x14ac:dyDescent="0.25">
      <c r="A329" t="s">
        <v>21</v>
      </c>
      <c r="B329" t="s">
        <v>154</v>
      </c>
      <c r="C329">
        <v>91002383</v>
      </c>
      <c r="D329">
        <v>140</v>
      </c>
      <c r="E329" s="4">
        <v>-2692869.92</v>
      </c>
      <c r="F329" t="s">
        <v>80</v>
      </c>
      <c r="G329">
        <v>0</v>
      </c>
      <c r="H329" s="32" t="str">
        <f ca="1">+IF(B329&gt;'sap nuevo'!$V$1,"cargar",IF(C329="","cargar","pagado"))</f>
        <v>cargar</v>
      </c>
      <c r="I329" s="32">
        <f t="shared" si="64"/>
        <v>2025</v>
      </c>
      <c r="J329" s="32">
        <f t="shared" si="65"/>
        <v>5</v>
      </c>
    </row>
    <row r="330" spans="1:10" x14ac:dyDescent="0.25">
      <c r="A330" t="s">
        <v>21</v>
      </c>
      <c r="B330" t="s">
        <v>905</v>
      </c>
      <c r="C330">
        <v>91002400</v>
      </c>
      <c r="D330">
        <v>140</v>
      </c>
      <c r="E330" s="4">
        <v>-16429407.18</v>
      </c>
      <c r="F330" t="s">
        <v>80</v>
      </c>
      <c r="G330">
        <v>0</v>
      </c>
      <c r="H330" s="32" t="str">
        <f ca="1">+IF(B330&gt;'sap nuevo'!$V$1,"cargar",IF(C330="","cargar","pagado"))</f>
        <v>cargar</v>
      </c>
      <c r="I330" s="32">
        <f t="shared" si="64"/>
        <v>2025</v>
      </c>
      <c r="J330" s="32">
        <f t="shared" si="65"/>
        <v>5</v>
      </c>
    </row>
    <row r="331" spans="1:10" x14ac:dyDescent="0.25">
      <c r="A331" t="s">
        <v>21</v>
      </c>
      <c r="B331" t="s">
        <v>905</v>
      </c>
      <c r="C331">
        <v>91002397</v>
      </c>
      <c r="D331">
        <v>140</v>
      </c>
      <c r="E331" s="4">
        <v>-11268737.619999999</v>
      </c>
      <c r="F331" t="s">
        <v>80</v>
      </c>
      <c r="G331">
        <v>0</v>
      </c>
      <c r="H331" s="32" t="str">
        <f ca="1">+IF(B331&gt;'sap nuevo'!$V$1,"cargar",IF(C331="","cargar","pagado"))</f>
        <v>cargar</v>
      </c>
      <c r="I331" s="32">
        <f t="shared" si="64"/>
        <v>2025</v>
      </c>
      <c r="J331" s="32">
        <f t="shared" si="65"/>
        <v>5</v>
      </c>
    </row>
    <row r="332" spans="1:10" x14ac:dyDescent="0.25">
      <c r="A332" t="s">
        <v>21</v>
      </c>
      <c r="B332" t="s">
        <v>905</v>
      </c>
      <c r="C332">
        <v>91002398</v>
      </c>
      <c r="D332">
        <v>140</v>
      </c>
      <c r="E332" s="4">
        <v>-10716513.73</v>
      </c>
      <c r="F332" t="s">
        <v>80</v>
      </c>
      <c r="G332">
        <v>0</v>
      </c>
      <c r="H332" s="32" t="str">
        <f ca="1">+IF(B332&gt;'sap nuevo'!$V$1,"cargar",IF(C332="","cargar","pagado"))</f>
        <v>cargar</v>
      </c>
      <c r="I332" s="32">
        <f t="shared" si="64"/>
        <v>2025</v>
      </c>
      <c r="J332" s="32">
        <f t="shared" si="65"/>
        <v>5</v>
      </c>
    </row>
    <row r="333" spans="1:10" x14ac:dyDescent="0.25">
      <c r="A333" t="s">
        <v>21</v>
      </c>
      <c r="B333" t="s">
        <v>905</v>
      </c>
      <c r="C333">
        <v>91002387</v>
      </c>
      <c r="D333">
        <v>140</v>
      </c>
      <c r="E333" s="4">
        <v>-3661506.06</v>
      </c>
      <c r="F333" t="s">
        <v>80</v>
      </c>
      <c r="G333">
        <v>0</v>
      </c>
      <c r="H333" s="32" t="str">
        <f ca="1">+IF(B333&gt;'sap nuevo'!$V$1,"cargar",IF(C333="","cargar","pagado"))</f>
        <v>cargar</v>
      </c>
      <c r="I333" s="32">
        <f t="shared" si="64"/>
        <v>2025</v>
      </c>
      <c r="J333" s="32">
        <f t="shared" si="65"/>
        <v>5</v>
      </c>
    </row>
    <row r="334" spans="1:10" x14ac:dyDescent="0.25">
      <c r="A334" t="s">
        <v>873</v>
      </c>
      <c r="B334" t="s">
        <v>154</v>
      </c>
      <c r="C334">
        <v>1196</v>
      </c>
      <c r="D334">
        <v>9999</v>
      </c>
      <c r="E334" s="4">
        <v>-7000000</v>
      </c>
      <c r="F334" t="s">
        <v>906</v>
      </c>
      <c r="G334">
        <v>3520</v>
      </c>
      <c r="H334" s="32" t="str">
        <f ca="1">+IF(B334&gt;'sap nuevo'!$V$1,"cargar",IF(C334="","cargar","pagado"))</f>
        <v>cargar</v>
      </c>
      <c r="I334" s="32">
        <f t="shared" si="64"/>
        <v>2025</v>
      </c>
      <c r="J334" s="32">
        <f t="shared" si="65"/>
        <v>5</v>
      </c>
    </row>
    <row r="335" spans="1:10" x14ac:dyDescent="0.25">
      <c r="A335" t="s">
        <v>873</v>
      </c>
      <c r="B335" t="s">
        <v>154</v>
      </c>
      <c r="C335">
        <v>1190</v>
      </c>
      <c r="D335">
        <v>9999</v>
      </c>
      <c r="E335" s="4">
        <v>-2344000</v>
      </c>
      <c r="F335" t="s">
        <v>907</v>
      </c>
      <c r="G335">
        <v>3520</v>
      </c>
      <c r="H335" s="32" t="str">
        <f ca="1">+IF(B335&gt;'sap nuevo'!$V$1,"cargar",IF(C335="","cargar","pagado"))</f>
        <v>cargar</v>
      </c>
      <c r="I335" s="32">
        <f t="shared" si="64"/>
        <v>2025</v>
      </c>
      <c r="J335" s="32">
        <f t="shared" si="65"/>
        <v>5</v>
      </c>
    </row>
    <row r="336" spans="1:10" x14ac:dyDescent="0.25">
      <c r="A336" t="s">
        <v>877</v>
      </c>
      <c r="B336" t="s">
        <v>155</v>
      </c>
      <c r="C336">
        <v>1173</v>
      </c>
      <c r="D336">
        <v>9999</v>
      </c>
      <c r="E336" s="4">
        <v>-4198498.4000000004</v>
      </c>
      <c r="F336" t="s">
        <v>908</v>
      </c>
      <c r="G336">
        <v>1385</v>
      </c>
      <c r="H336" s="32" t="str">
        <f ca="1">+IF(B336&gt;'sap nuevo'!$V$1,"cargar",IF(C336="","cargar","pagado"))</f>
        <v>cargar</v>
      </c>
      <c r="I336" s="32">
        <f t="shared" si="64"/>
        <v>2025</v>
      </c>
      <c r="J336" s="32">
        <f t="shared" si="65"/>
        <v>5</v>
      </c>
    </row>
    <row r="337" spans="1:10" x14ac:dyDescent="0.25">
      <c r="A337" t="s">
        <v>873</v>
      </c>
      <c r="B337" t="s">
        <v>156</v>
      </c>
      <c r="C337">
        <v>1209</v>
      </c>
      <c r="D337">
        <v>9999</v>
      </c>
      <c r="E337" s="4">
        <v>-36868867.93</v>
      </c>
      <c r="F337" t="s">
        <v>909</v>
      </c>
      <c r="G337">
        <v>3520</v>
      </c>
      <c r="H337" s="32" t="str">
        <f ca="1">+IF(B337&gt;'sap nuevo'!$V$1,"cargar",IF(C337="","cargar","pagado"))</f>
        <v>cargar</v>
      </c>
      <c r="I337" s="32">
        <f t="shared" si="64"/>
        <v>2025</v>
      </c>
      <c r="J337" s="32">
        <f t="shared" si="65"/>
        <v>5</v>
      </c>
    </row>
    <row r="338" spans="1:10" x14ac:dyDescent="0.25">
      <c r="A338" t="s">
        <v>873</v>
      </c>
      <c r="B338" t="s">
        <v>156</v>
      </c>
      <c r="C338">
        <v>1208</v>
      </c>
      <c r="D338">
        <v>9999</v>
      </c>
      <c r="E338" s="4">
        <v>-7084711.4400000004</v>
      </c>
      <c r="F338" t="s">
        <v>910</v>
      </c>
      <c r="G338">
        <v>3520</v>
      </c>
      <c r="H338" s="32" t="str">
        <f ca="1">+IF(B338&gt;'sap nuevo'!$V$1,"cargar",IF(C338="","cargar","pagado"))</f>
        <v>cargar</v>
      </c>
      <c r="I338" s="32">
        <f t="shared" si="64"/>
        <v>2025</v>
      </c>
      <c r="J338" s="32">
        <f t="shared" si="65"/>
        <v>5</v>
      </c>
    </row>
    <row r="339" spans="1:10" x14ac:dyDescent="0.25">
      <c r="A339" t="s">
        <v>877</v>
      </c>
      <c r="B339" t="s">
        <v>156</v>
      </c>
      <c r="C339">
        <v>1205</v>
      </c>
      <c r="D339">
        <v>9999</v>
      </c>
      <c r="E339" s="4">
        <v>-33276593.399999999</v>
      </c>
      <c r="F339" t="s">
        <v>911</v>
      </c>
      <c r="G339">
        <v>1385</v>
      </c>
      <c r="H339" s="32" t="str">
        <f ca="1">+IF(B339&gt;'sap nuevo'!$V$1,"cargar",IF(C339="","cargar","pagado"))</f>
        <v>cargar</v>
      </c>
      <c r="I339" s="32">
        <f t="shared" si="64"/>
        <v>2025</v>
      </c>
      <c r="J339" s="32">
        <f t="shared" si="65"/>
        <v>5</v>
      </c>
    </row>
    <row r="340" spans="1:10" x14ac:dyDescent="0.25">
      <c r="A340" t="s">
        <v>877</v>
      </c>
      <c r="B340" t="s">
        <v>156</v>
      </c>
      <c r="C340">
        <v>1206</v>
      </c>
      <c r="D340">
        <v>9999</v>
      </c>
      <c r="E340" s="4">
        <v>-30447393.280000001</v>
      </c>
      <c r="F340" t="s">
        <v>912</v>
      </c>
      <c r="G340">
        <v>1385</v>
      </c>
      <c r="H340" s="32" t="str">
        <f ca="1">+IF(B340&gt;'sap nuevo'!$V$1,"cargar",IF(C340="","cargar","pagado"))</f>
        <v>cargar</v>
      </c>
      <c r="I340" s="32">
        <f t="shared" si="64"/>
        <v>2025</v>
      </c>
      <c r="J340" s="32">
        <f t="shared" si="65"/>
        <v>5</v>
      </c>
    </row>
    <row r="341" spans="1:10" x14ac:dyDescent="0.25">
      <c r="A341" t="s">
        <v>877</v>
      </c>
      <c r="B341" t="s">
        <v>156</v>
      </c>
      <c r="C341">
        <v>1213</v>
      </c>
      <c r="D341">
        <v>9999</v>
      </c>
      <c r="E341" s="4">
        <v>-15228403.48</v>
      </c>
      <c r="F341" t="s">
        <v>913</v>
      </c>
      <c r="G341">
        <v>1385</v>
      </c>
      <c r="H341" s="32" t="str">
        <f ca="1">+IF(B341&gt;'sap nuevo'!$V$1,"cargar",IF(C341="","cargar","pagado"))</f>
        <v>cargar</v>
      </c>
      <c r="I341" s="32">
        <f t="shared" si="64"/>
        <v>2025</v>
      </c>
      <c r="J341" s="32">
        <f t="shared" si="65"/>
        <v>5</v>
      </c>
    </row>
    <row r="342" spans="1:10" x14ac:dyDescent="0.25">
      <c r="A342" t="s">
        <v>877</v>
      </c>
      <c r="B342" t="s">
        <v>156</v>
      </c>
      <c r="C342">
        <v>1216</v>
      </c>
      <c r="D342">
        <v>9999</v>
      </c>
      <c r="E342" s="4">
        <v>-12932034.08</v>
      </c>
      <c r="F342" t="s">
        <v>914</v>
      </c>
      <c r="G342">
        <v>1385</v>
      </c>
      <c r="H342" s="32" t="str">
        <f ca="1">+IF(B342&gt;'sap nuevo'!$V$1,"cargar",IF(C342="","cargar","pagado"))</f>
        <v>cargar</v>
      </c>
      <c r="I342" s="32">
        <f t="shared" si="64"/>
        <v>2025</v>
      </c>
      <c r="J342" s="32">
        <f t="shared" si="65"/>
        <v>5</v>
      </c>
    </row>
    <row r="343" spans="1:10" x14ac:dyDescent="0.25">
      <c r="A343" t="s">
        <v>877</v>
      </c>
      <c r="B343" t="s">
        <v>156</v>
      </c>
      <c r="C343">
        <v>1211</v>
      </c>
      <c r="D343">
        <v>9999</v>
      </c>
      <c r="E343" s="4">
        <v>-6385601.3399999999</v>
      </c>
      <c r="F343" t="s">
        <v>915</v>
      </c>
      <c r="G343">
        <v>1385</v>
      </c>
      <c r="H343" s="32" t="str">
        <f ca="1">+IF(B343&gt;'sap nuevo'!$V$1,"cargar",IF(C343="","cargar","pagado"))</f>
        <v>cargar</v>
      </c>
      <c r="I343" s="32">
        <f t="shared" si="64"/>
        <v>2025</v>
      </c>
      <c r="J343" s="32">
        <f t="shared" si="65"/>
        <v>5</v>
      </c>
    </row>
    <row r="344" spans="1:10" x14ac:dyDescent="0.25">
      <c r="A344" t="s">
        <v>877</v>
      </c>
      <c r="B344" t="s">
        <v>156</v>
      </c>
      <c r="C344">
        <v>1210</v>
      </c>
      <c r="D344">
        <v>9999</v>
      </c>
      <c r="E344" s="4">
        <v>-5392607.0599999996</v>
      </c>
      <c r="F344" t="s">
        <v>916</v>
      </c>
      <c r="G344">
        <v>1385</v>
      </c>
      <c r="H344" s="32" t="str">
        <f ca="1">+IF(B344&gt;'sap nuevo'!$V$1,"cargar",IF(C344="","cargar","pagado"))</f>
        <v>cargar</v>
      </c>
      <c r="I344" s="32">
        <f t="shared" si="64"/>
        <v>2025</v>
      </c>
      <c r="J344" s="32">
        <f t="shared" si="65"/>
        <v>5</v>
      </c>
    </row>
    <row r="345" spans="1:10" x14ac:dyDescent="0.25">
      <c r="A345" t="s">
        <v>877</v>
      </c>
      <c r="B345" t="s">
        <v>156</v>
      </c>
      <c r="C345">
        <v>1212</v>
      </c>
      <c r="D345">
        <v>9999</v>
      </c>
      <c r="E345" s="4">
        <v>-5054808.78</v>
      </c>
      <c r="F345" t="s">
        <v>917</v>
      </c>
      <c r="G345">
        <v>1385</v>
      </c>
      <c r="H345" s="32" t="str">
        <f ca="1">+IF(B345&gt;'sap nuevo'!$V$1,"cargar",IF(C345="","cargar","pagado"))</f>
        <v>cargar</v>
      </c>
      <c r="I345" s="32">
        <f t="shared" si="64"/>
        <v>2025</v>
      </c>
      <c r="J345" s="32">
        <f t="shared" si="65"/>
        <v>5</v>
      </c>
    </row>
    <row r="346" spans="1:10" x14ac:dyDescent="0.25">
      <c r="A346" t="s">
        <v>21</v>
      </c>
      <c r="B346" t="s">
        <v>156</v>
      </c>
      <c r="C346">
        <v>94326835</v>
      </c>
      <c r="D346">
        <v>52</v>
      </c>
      <c r="E346" s="4">
        <v>-46807100.57</v>
      </c>
      <c r="F346" t="s">
        <v>20</v>
      </c>
      <c r="G346">
        <v>2</v>
      </c>
      <c r="H346" s="32" t="str">
        <f ca="1">+IF(B346&gt;'sap nuevo'!$V$1,"cargar",IF(C346="","cargar","pagado"))</f>
        <v>cargar</v>
      </c>
      <c r="I346" s="32">
        <f t="shared" si="64"/>
        <v>2025</v>
      </c>
      <c r="J346" s="32">
        <f t="shared" si="65"/>
        <v>5</v>
      </c>
    </row>
    <row r="347" spans="1:10" x14ac:dyDescent="0.25">
      <c r="A347" t="s">
        <v>21</v>
      </c>
      <c r="B347" t="s">
        <v>156</v>
      </c>
      <c r="C347">
        <v>94326834</v>
      </c>
      <c r="D347">
        <v>52</v>
      </c>
      <c r="E347" s="4">
        <v>-46807100</v>
      </c>
      <c r="F347" t="s">
        <v>20</v>
      </c>
      <c r="G347">
        <v>2</v>
      </c>
      <c r="H347" s="32" t="str">
        <f ca="1">+IF(B347&gt;'sap nuevo'!$V$1,"cargar",IF(C347="","cargar","pagado"))</f>
        <v>cargar</v>
      </c>
      <c r="I347" s="32">
        <f t="shared" si="64"/>
        <v>2025</v>
      </c>
      <c r="J347" s="32">
        <f t="shared" si="65"/>
        <v>5</v>
      </c>
    </row>
    <row r="348" spans="1:10" x14ac:dyDescent="0.25">
      <c r="A348" t="s">
        <v>21</v>
      </c>
      <c r="B348" t="s">
        <v>156</v>
      </c>
      <c r="C348">
        <v>91002401</v>
      </c>
      <c r="D348">
        <v>140</v>
      </c>
      <c r="E348" s="4">
        <v>-27000000</v>
      </c>
      <c r="F348" t="s">
        <v>80</v>
      </c>
      <c r="G348">
        <v>0</v>
      </c>
      <c r="H348" s="32" t="str">
        <f ca="1">+IF(B348&gt;'sap nuevo'!$V$1,"cargar",IF(C348="","cargar","pagado"))</f>
        <v>cargar</v>
      </c>
      <c r="I348" s="32">
        <f t="shared" si="64"/>
        <v>2025</v>
      </c>
      <c r="J348" s="32">
        <f t="shared" si="65"/>
        <v>5</v>
      </c>
    </row>
    <row r="349" spans="1:10" x14ac:dyDescent="0.25">
      <c r="A349" t="s">
        <v>21</v>
      </c>
      <c r="B349" t="s">
        <v>157</v>
      </c>
      <c r="C349">
        <v>94326829</v>
      </c>
      <c r="D349">
        <v>52</v>
      </c>
      <c r="E349" s="4">
        <v>-9227933</v>
      </c>
      <c r="F349" t="s">
        <v>20</v>
      </c>
      <c r="G349">
        <v>2</v>
      </c>
      <c r="H349" s="32" t="str">
        <f ca="1">+IF(B349&gt;'sap nuevo'!$V$1,"cargar",IF(C349="","cargar","pagado"))</f>
        <v>cargar</v>
      </c>
      <c r="I349" s="32">
        <f t="shared" si="64"/>
        <v>2025</v>
      </c>
      <c r="J349" s="32">
        <f t="shared" si="65"/>
        <v>5</v>
      </c>
    </row>
    <row r="350" spans="1:10" x14ac:dyDescent="0.25">
      <c r="A350" t="s">
        <v>21</v>
      </c>
      <c r="B350" t="s">
        <v>157</v>
      </c>
      <c r="C350">
        <v>94326830</v>
      </c>
      <c r="D350">
        <v>52</v>
      </c>
      <c r="E350" s="4">
        <v>-6951570</v>
      </c>
      <c r="F350" t="s">
        <v>20</v>
      </c>
      <c r="G350">
        <v>2</v>
      </c>
      <c r="H350" s="32" t="str">
        <f ca="1">+IF(B350&gt;'sap nuevo'!$V$1,"cargar",IF(C350="","cargar","pagado"))</f>
        <v>cargar</v>
      </c>
      <c r="I350" s="32">
        <f t="shared" si="64"/>
        <v>2025</v>
      </c>
      <c r="J350" s="32">
        <f t="shared" si="65"/>
        <v>5</v>
      </c>
    </row>
    <row r="351" spans="1:10" x14ac:dyDescent="0.25">
      <c r="A351" t="s">
        <v>21</v>
      </c>
      <c r="B351" t="s">
        <v>157</v>
      </c>
      <c r="C351">
        <v>94326832</v>
      </c>
      <c r="D351">
        <v>52</v>
      </c>
      <c r="E351" s="4">
        <v>-3027000</v>
      </c>
      <c r="F351" t="s">
        <v>20</v>
      </c>
      <c r="G351">
        <v>2</v>
      </c>
      <c r="H351" s="32" t="str">
        <f ca="1">+IF(B351&gt;'sap nuevo'!$V$1,"cargar",IF(C351="","cargar","pagado"))</f>
        <v>cargar</v>
      </c>
      <c r="I351" s="32">
        <f t="shared" ref="I351:I363" si="66">+YEAR(B351)</f>
        <v>2025</v>
      </c>
      <c r="J351" s="32">
        <f t="shared" ref="J351:J363" si="67">+MONTH(B351)</f>
        <v>5</v>
      </c>
    </row>
    <row r="352" spans="1:10" x14ac:dyDescent="0.25">
      <c r="A352" t="s">
        <v>873</v>
      </c>
      <c r="B352" t="s">
        <v>157</v>
      </c>
      <c r="C352">
        <v>1207</v>
      </c>
      <c r="D352">
        <v>9999</v>
      </c>
      <c r="E352" s="4">
        <v>-19320905.600000001</v>
      </c>
      <c r="F352" t="s">
        <v>918</v>
      </c>
      <c r="G352">
        <v>3520</v>
      </c>
      <c r="H352" s="32" t="str">
        <f ca="1">+IF(B352&gt;'sap nuevo'!$V$1,"cargar",IF(C352="","cargar","pagado"))</f>
        <v>cargar</v>
      </c>
      <c r="I352" s="32">
        <f t="shared" si="66"/>
        <v>2025</v>
      </c>
      <c r="J352" s="32">
        <f t="shared" si="67"/>
        <v>5</v>
      </c>
    </row>
    <row r="353" spans="1:10" x14ac:dyDescent="0.25">
      <c r="A353" t="s">
        <v>873</v>
      </c>
      <c r="B353" t="s">
        <v>158</v>
      </c>
      <c r="C353">
        <v>1217</v>
      </c>
      <c r="D353">
        <v>9999</v>
      </c>
      <c r="E353" s="4">
        <v>-30000000</v>
      </c>
      <c r="F353" t="s">
        <v>919</v>
      </c>
      <c r="G353">
        <v>3520</v>
      </c>
      <c r="H353" s="32" t="str">
        <f ca="1">+IF(B353&gt;'sap nuevo'!$V$1,"cargar",IF(C353="","cargar","pagado"))</f>
        <v>cargar</v>
      </c>
      <c r="I353" s="32">
        <f t="shared" si="66"/>
        <v>2025</v>
      </c>
      <c r="J353" s="32">
        <f t="shared" si="67"/>
        <v>5</v>
      </c>
    </row>
    <row r="354" spans="1:10" x14ac:dyDescent="0.25">
      <c r="A354" t="s">
        <v>873</v>
      </c>
      <c r="B354" t="s">
        <v>158</v>
      </c>
      <c r="C354">
        <v>1237</v>
      </c>
      <c r="D354">
        <v>9999</v>
      </c>
      <c r="E354" s="4">
        <v>-13000000</v>
      </c>
      <c r="F354" t="s">
        <v>920</v>
      </c>
      <c r="G354">
        <v>3520</v>
      </c>
      <c r="H354" s="32" t="str">
        <f ca="1">+IF(B354&gt;'sap nuevo'!$V$1,"cargar",IF(C354="","cargar","pagado"))</f>
        <v>cargar</v>
      </c>
      <c r="I354" s="32">
        <f t="shared" si="66"/>
        <v>2025</v>
      </c>
      <c r="J354" s="32">
        <f t="shared" si="67"/>
        <v>5</v>
      </c>
    </row>
    <row r="355" spans="1:10" x14ac:dyDescent="0.25">
      <c r="A355" t="s">
        <v>21</v>
      </c>
      <c r="B355" t="s">
        <v>158</v>
      </c>
      <c r="C355">
        <v>91002386</v>
      </c>
      <c r="D355">
        <v>140</v>
      </c>
      <c r="E355" s="4">
        <v>-5830302.0599999996</v>
      </c>
      <c r="F355" t="s">
        <v>80</v>
      </c>
      <c r="G355">
        <v>0</v>
      </c>
      <c r="H355" s="32" t="str">
        <f ca="1">+IF(B355&gt;'sap nuevo'!$V$1,"cargar",IF(C355="","cargar","pagado"))</f>
        <v>cargar</v>
      </c>
      <c r="I355" s="32">
        <f t="shared" si="66"/>
        <v>2025</v>
      </c>
      <c r="J355" s="32">
        <f t="shared" si="67"/>
        <v>5</v>
      </c>
    </row>
    <row r="356" spans="1:10" x14ac:dyDescent="0.25">
      <c r="A356" t="s">
        <v>877</v>
      </c>
      <c r="B356" t="s">
        <v>159</v>
      </c>
      <c r="C356">
        <v>1215</v>
      </c>
      <c r="D356">
        <v>9999</v>
      </c>
      <c r="E356" s="4">
        <v>-28251232.370000001</v>
      </c>
      <c r="F356" t="s">
        <v>921</v>
      </c>
      <c r="G356">
        <v>1385</v>
      </c>
      <c r="H356" s="32" t="str">
        <f ca="1">+IF(B356&gt;'sap nuevo'!$V$1,"cargar",IF(C356="","cargar","pagado"))</f>
        <v>cargar</v>
      </c>
      <c r="I356" s="32">
        <f t="shared" si="66"/>
        <v>2025</v>
      </c>
      <c r="J356" s="32">
        <f t="shared" si="67"/>
        <v>5</v>
      </c>
    </row>
    <row r="357" spans="1:10" x14ac:dyDescent="0.25">
      <c r="A357" t="s">
        <v>877</v>
      </c>
      <c r="B357" t="s">
        <v>159</v>
      </c>
      <c r="C357">
        <v>1214</v>
      </c>
      <c r="D357">
        <v>9999</v>
      </c>
      <c r="E357" s="4">
        <v>-14607941.49</v>
      </c>
      <c r="F357" t="s">
        <v>922</v>
      </c>
      <c r="G357">
        <v>1385</v>
      </c>
      <c r="H357" s="32" t="str">
        <f ca="1">+IF(B357&gt;'sap nuevo'!$V$1,"cargar",IF(C357="","cargar","pagado"))</f>
        <v>cargar</v>
      </c>
      <c r="I357" s="32">
        <f t="shared" si="66"/>
        <v>2025</v>
      </c>
      <c r="J357" s="32">
        <f t="shared" si="67"/>
        <v>5</v>
      </c>
    </row>
    <row r="358" spans="1:10" x14ac:dyDescent="0.25">
      <c r="A358" t="s">
        <v>877</v>
      </c>
      <c r="B358" t="s">
        <v>158</v>
      </c>
      <c r="C358">
        <v>1221</v>
      </c>
      <c r="D358">
        <v>9999</v>
      </c>
      <c r="E358" s="4">
        <v>-30000000</v>
      </c>
      <c r="F358" t="s">
        <v>923</v>
      </c>
      <c r="G358">
        <v>1385</v>
      </c>
      <c r="H358" s="32" t="str">
        <f ca="1">+IF(B358&gt;'sap nuevo'!$V$1,"cargar",IF(C358="","cargar","pagado"))</f>
        <v>cargar</v>
      </c>
      <c r="I358" s="32">
        <f t="shared" si="66"/>
        <v>2025</v>
      </c>
      <c r="J358" s="32">
        <f t="shared" si="67"/>
        <v>5</v>
      </c>
    </row>
    <row r="359" spans="1:10" x14ac:dyDescent="0.25">
      <c r="A359" t="s">
        <v>877</v>
      </c>
      <c r="B359" t="s">
        <v>158</v>
      </c>
      <c r="C359">
        <v>1219</v>
      </c>
      <c r="D359">
        <v>9999</v>
      </c>
      <c r="E359" s="4">
        <v>-25000000</v>
      </c>
      <c r="F359" t="s">
        <v>924</v>
      </c>
      <c r="G359">
        <v>1385</v>
      </c>
      <c r="H359" s="32" t="str">
        <f ca="1">+IF(B359&gt;'sap nuevo'!$V$1,"cargar",IF(C359="","cargar","pagado"))</f>
        <v>cargar</v>
      </c>
      <c r="I359" s="32">
        <f t="shared" si="66"/>
        <v>2025</v>
      </c>
      <c r="J359" s="32">
        <f t="shared" si="67"/>
        <v>5</v>
      </c>
    </row>
    <row r="360" spans="1:10" x14ac:dyDescent="0.25">
      <c r="A360" t="s">
        <v>877</v>
      </c>
      <c r="B360" t="s">
        <v>158</v>
      </c>
      <c r="C360">
        <v>1223</v>
      </c>
      <c r="D360">
        <v>9999</v>
      </c>
      <c r="E360" s="4">
        <v>-15000000</v>
      </c>
      <c r="F360" t="s">
        <v>925</v>
      </c>
      <c r="G360">
        <v>1385</v>
      </c>
      <c r="H360" s="32" t="str">
        <f ca="1">+IF(B360&gt;'sap nuevo'!$V$1,"cargar",IF(C360="","cargar","pagado"))</f>
        <v>cargar</v>
      </c>
      <c r="I360" s="32">
        <f t="shared" si="66"/>
        <v>2025</v>
      </c>
      <c r="J360" s="32">
        <f t="shared" si="67"/>
        <v>5</v>
      </c>
    </row>
    <row r="361" spans="1:10" x14ac:dyDescent="0.25">
      <c r="A361" t="s">
        <v>877</v>
      </c>
      <c r="B361" t="s">
        <v>158</v>
      </c>
      <c r="C361">
        <v>1234</v>
      </c>
      <c r="D361">
        <v>9999</v>
      </c>
      <c r="E361" s="4">
        <v>-13000000</v>
      </c>
      <c r="F361" t="s">
        <v>926</v>
      </c>
      <c r="G361">
        <v>1385</v>
      </c>
      <c r="H361" s="32" t="str">
        <f ca="1">+IF(B361&gt;'sap nuevo'!$V$1,"cargar",IF(C361="","cargar","pagado"))</f>
        <v>cargar</v>
      </c>
      <c r="I361" s="32">
        <f t="shared" si="66"/>
        <v>2025</v>
      </c>
      <c r="J361" s="32">
        <f t="shared" si="67"/>
        <v>5</v>
      </c>
    </row>
    <row r="362" spans="1:10" x14ac:dyDescent="0.25">
      <c r="A362" t="s">
        <v>877</v>
      </c>
      <c r="B362" t="s">
        <v>158</v>
      </c>
      <c r="C362">
        <v>1232</v>
      </c>
      <c r="D362">
        <v>9999</v>
      </c>
      <c r="E362" s="4">
        <v>-11943173.76</v>
      </c>
      <c r="F362" t="s">
        <v>927</v>
      </c>
      <c r="G362">
        <v>1385</v>
      </c>
      <c r="H362" s="32" t="str">
        <f ca="1">+IF(B362&gt;'sap nuevo'!$V$1,"cargar",IF(C362="","cargar","pagado"))</f>
        <v>cargar</v>
      </c>
      <c r="I362" s="32">
        <f t="shared" si="66"/>
        <v>2025</v>
      </c>
      <c r="J362" s="32">
        <f t="shared" si="67"/>
        <v>5</v>
      </c>
    </row>
    <row r="363" spans="1:10" x14ac:dyDescent="0.25">
      <c r="A363" t="s">
        <v>877</v>
      </c>
      <c r="B363" t="s">
        <v>158</v>
      </c>
      <c r="C363">
        <v>1225</v>
      </c>
      <c r="D363">
        <v>9999</v>
      </c>
      <c r="E363" s="4">
        <v>-7444087.8899999997</v>
      </c>
      <c r="F363" t="s">
        <v>928</v>
      </c>
      <c r="G363">
        <v>1385</v>
      </c>
      <c r="H363" s="32" t="str">
        <f ca="1">+IF(B363&gt;'sap nuevo'!$V$1,"cargar",IF(C363="","cargar","pagado"))</f>
        <v>cargar</v>
      </c>
      <c r="I363" s="32">
        <f t="shared" si="66"/>
        <v>2025</v>
      </c>
      <c r="J363" s="32">
        <f t="shared" si="67"/>
        <v>5</v>
      </c>
    </row>
    <row r="364" spans="1:10" x14ac:dyDescent="0.25">
      <c r="A364" t="s">
        <v>877</v>
      </c>
      <c r="B364" t="s">
        <v>158</v>
      </c>
      <c r="C364">
        <v>1230</v>
      </c>
      <c r="D364">
        <v>9999</v>
      </c>
      <c r="E364" s="4">
        <v>-7019571.29</v>
      </c>
      <c r="F364" t="s">
        <v>929</v>
      </c>
      <c r="G364">
        <v>1385</v>
      </c>
      <c r="H364" s="32" t="str">
        <f ca="1">+IF(B364&gt;'sap nuevo'!$V$1,"cargar",IF(C364="","cargar","pagado"))</f>
        <v>cargar</v>
      </c>
      <c r="I364" s="32">
        <f t="shared" ref="I364:I369" si="68">+YEAR(B364)</f>
        <v>2025</v>
      </c>
      <c r="J364" s="32">
        <f t="shared" ref="J364:J369" si="69">+MONTH(B364)</f>
        <v>5</v>
      </c>
    </row>
    <row r="365" spans="1:10" x14ac:dyDescent="0.25">
      <c r="A365" t="s">
        <v>877</v>
      </c>
      <c r="B365" t="s">
        <v>158</v>
      </c>
      <c r="C365">
        <v>1231</v>
      </c>
      <c r="D365">
        <v>9999</v>
      </c>
      <c r="E365" s="4">
        <v>-6118915.0499999998</v>
      </c>
      <c r="F365" t="s">
        <v>930</v>
      </c>
      <c r="G365">
        <v>1385</v>
      </c>
      <c r="H365" s="32" t="str">
        <f ca="1">+IF(B365&gt;'sap nuevo'!$V$1,"cargar",IF(C365="","cargar","pagado"))</f>
        <v>cargar</v>
      </c>
      <c r="I365" s="32">
        <f t="shared" si="68"/>
        <v>2025</v>
      </c>
      <c r="J365" s="32">
        <f t="shared" si="69"/>
        <v>5</v>
      </c>
    </row>
    <row r="366" spans="1:10" x14ac:dyDescent="0.25">
      <c r="A366" t="s">
        <v>877</v>
      </c>
      <c r="B366" t="s">
        <v>158</v>
      </c>
      <c r="C366">
        <v>1226</v>
      </c>
      <c r="D366">
        <v>9999</v>
      </c>
      <c r="E366" s="4">
        <v>-6067519.3399999999</v>
      </c>
      <c r="F366" t="s">
        <v>931</v>
      </c>
      <c r="G366">
        <v>1385</v>
      </c>
      <c r="H366" s="32" t="str">
        <f ca="1">+IF(B366&gt;'sap nuevo'!$V$1,"cargar",IF(C366="","cargar","pagado"))</f>
        <v>cargar</v>
      </c>
      <c r="I366" s="32">
        <f t="shared" si="68"/>
        <v>2025</v>
      </c>
      <c r="J366" s="32">
        <f t="shared" si="69"/>
        <v>5</v>
      </c>
    </row>
    <row r="367" spans="1:10" x14ac:dyDescent="0.25">
      <c r="A367" t="s">
        <v>877</v>
      </c>
      <c r="B367" t="s">
        <v>158</v>
      </c>
      <c r="C367">
        <v>1236</v>
      </c>
      <c r="D367">
        <v>9999</v>
      </c>
      <c r="E367" s="4">
        <v>-4957927.6100000003</v>
      </c>
      <c r="F367" t="s">
        <v>932</v>
      </c>
      <c r="G367">
        <v>1385</v>
      </c>
      <c r="H367" s="32" t="str">
        <f ca="1">+IF(B367&gt;'sap nuevo'!$V$1,"cargar",IF(C367="","cargar","pagado"))</f>
        <v>cargar</v>
      </c>
      <c r="I367" s="32">
        <f t="shared" si="68"/>
        <v>2025</v>
      </c>
      <c r="J367" s="32">
        <f t="shared" si="69"/>
        <v>5</v>
      </c>
    </row>
    <row r="368" spans="1:10" x14ac:dyDescent="0.25">
      <c r="A368" s="18" t="s">
        <v>873</v>
      </c>
      <c r="B368" s="23" t="s">
        <v>160</v>
      </c>
      <c r="C368">
        <v>1220</v>
      </c>
      <c r="D368">
        <v>9999</v>
      </c>
      <c r="E368" s="4">
        <v>-21605498.289999999</v>
      </c>
      <c r="F368" t="s">
        <v>933</v>
      </c>
      <c r="G368">
        <v>3520</v>
      </c>
      <c r="H368" s="32" t="str">
        <f ca="1">+IF(B368&gt;'sap nuevo'!$V$1,"cargar",IF(C368="","cargar","pagado"))</f>
        <v>cargar</v>
      </c>
      <c r="I368" s="32">
        <f t="shared" si="68"/>
        <v>2025</v>
      </c>
      <c r="J368" s="32">
        <f t="shared" si="69"/>
        <v>5</v>
      </c>
    </row>
    <row r="369" spans="1:10" x14ac:dyDescent="0.25">
      <c r="A369" s="18" t="s">
        <v>873</v>
      </c>
      <c r="B369" s="23" t="s">
        <v>160</v>
      </c>
      <c r="C369">
        <v>1238</v>
      </c>
      <c r="D369">
        <v>9999</v>
      </c>
      <c r="E369" s="4">
        <v>-13767776.15</v>
      </c>
      <c r="F369" t="s">
        <v>934</v>
      </c>
      <c r="G369">
        <v>3520</v>
      </c>
      <c r="H369" s="32" t="str">
        <f ca="1">+IF(B369&gt;'sap nuevo'!$V$1,"cargar",IF(C369="","cargar","pagado"))</f>
        <v>cargar</v>
      </c>
      <c r="I369" s="32">
        <f t="shared" si="68"/>
        <v>2025</v>
      </c>
      <c r="J369" s="32">
        <f t="shared" si="69"/>
        <v>5</v>
      </c>
    </row>
    <row r="370" spans="1:10" x14ac:dyDescent="0.25">
      <c r="A370" s="18" t="s">
        <v>877</v>
      </c>
      <c r="B370" s="23" t="s">
        <v>160</v>
      </c>
      <c r="C370">
        <v>1218</v>
      </c>
      <c r="D370">
        <v>9999</v>
      </c>
      <c r="E370" s="4">
        <v>-25433952.27</v>
      </c>
      <c r="F370" t="s">
        <v>935</v>
      </c>
      <c r="G370">
        <v>1385</v>
      </c>
      <c r="H370" s="32" t="str">
        <f ca="1">+IF(B370&gt;'sap nuevo'!$V$1,"cargar",IF(C370="","cargar","pagado"))</f>
        <v>cargar</v>
      </c>
      <c r="I370" s="32">
        <f t="shared" ref="I370:I383" si="70">+YEAR(B370)</f>
        <v>2025</v>
      </c>
      <c r="J370" s="32">
        <f t="shared" ref="J370:J383" si="71">+MONTH(B370)</f>
        <v>5</v>
      </c>
    </row>
    <row r="371" spans="1:10" x14ac:dyDescent="0.25">
      <c r="A371" s="18" t="s">
        <v>877</v>
      </c>
      <c r="B371" s="23" t="s">
        <v>160</v>
      </c>
      <c r="C371">
        <v>1222</v>
      </c>
      <c r="D371">
        <v>9999</v>
      </c>
      <c r="E371" s="4">
        <v>-23838706.789999999</v>
      </c>
      <c r="F371" t="s">
        <v>936</v>
      </c>
      <c r="G371">
        <v>1385</v>
      </c>
      <c r="H371" s="32" t="str">
        <f ca="1">+IF(B371&gt;'sap nuevo'!$V$1,"cargar",IF(C371="","cargar","pagado"))</f>
        <v>cargar</v>
      </c>
      <c r="I371" s="32">
        <f t="shared" si="70"/>
        <v>2025</v>
      </c>
      <c r="J371" s="32">
        <f t="shared" si="71"/>
        <v>5</v>
      </c>
    </row>
    <row r="372" spans="1:10" x14ac:dyDescent="0.25">
      <c r="A372" s="18" t="s">
        <v>877</v>
      </c>
      <c r="B372" s="23" t="s">
        <v>160</v>
      </c>
      <c r="C372">
        <v>1224</v>
      </c>
      <c r="D372">
        <v>9999</v>
      </c>
      <c r="E372" s="4">
        <v>-16975231.34</v>
      </c>
      <c r="F372" t="s">
        <v>937</v>
      </c>
      <c r="G372">
        <v>1385</v>
      </c>
      <c r="H372" s="32" t="str">
        <f ca="1">+IF(B372&gt;'sap nuevo'!$V$1,"cargar",IF(C372="","cargar","pagado"))</f>
        <v>cargar</v>
      </c>
      <c r="I372" s="32">
        <f t="shared" si="70"/>
        <v>2025</v>
      </c>
      <c r="J372" s="32">
        <f t="shared" si="71"/>
        <v>5</v>
      </c>
    </row>
    <row r="373" spans="1:10" x14ac:dyDescent="0.25">
      <c r="A373" s="18" t="s">
        <v>877</v>
      </c>
      <c r="B373" s="23" t="s">
        <v>160</v>
      </c>
      <c r="C373">
        <v>1235</v>
      </c>
      <c r="D373">
        <v>9999</v>
      </c>
      <c r="E373" s="4">
        <v>-10111952.289999999</v>
      </c>
      <c r="F373" t="s">
        <v>938</v>
      </c>
      <c r="G373">
        <v>1385</v>
      </c>
      <c r="H373" s="32" t="str">
        <f ca="1">+IF(B373&gt;'sap nuevo'!$V$1,"cargar",IF(C373="","cargar","pagado"))</f>
        <v>cargar</v>
      </c>
      <c r="I373" s="32">
        <f t="shared" si="70"/>
        <v>2025</v>
      </c>
      <c r="J373" s="32">
        <f t="shared" si="71"/>
        <v>5</v>
      </c>
    </row>
    <row r="374" spans="1:10" x14ac:dyDescent="0.25">
      <c r="A374" s="18" t="s">
        <v>877</v>
      </c>
      <c r="B374" s="23" t="s">
        <v>160</v>
      </c>
      <c r="C374">
        <v>1227</v>
      </c>
      <c r="D374">
        <v>9999</v>
      </c>
      <c r="E374" s="4">
        <v>-3861031.53</v>
      </c>
      <c r="F374" t="s">
        <v>939</v>
      </c>
      <c r="G374">
        <v>1385</v>
      </c>
      <c r="H374" s="32" t="str">
        <f ca="1">+IF(B374&gt;'sap nuevo'!$V$1,"cargar",IF(C374="","cargar","pagado"))</f>
        <v>cargar</v>
      </c>
      <c r="I374" s="32">
        <f t="shared" si="70"/>
        <v>2025</v>
      </c>
      <c r="J374" s="32">
        <f t="shared" si="71"/>
        <v>5</v>
      </c>
    </row>
    <row r="375" spans="1:10" x14ac:dyDescent="0.25">
      <c r="A375" s="18" t="s">
        <v>877</v>
      </c>
      <c r="B375" s="23" t="s">
        <v>940</v>
      </c>
      <c r="C375">
        <v>1233</v>
      </c>
      <c r="D375">
        <v>9999</v>
      </c>
      <c r="E375" s="4">
        <v>-6347733.6299999999</v>
      </c>
      <c r="F375" t="s">
        <v>941</v>
      </c>
      <c r="G375">
        <v>1385</v>
      </c>
      <c r="H375" s="32" t="str">
        <f ca="1">+IF(B375&gt;'sap nuevo'!$V$1,"cargar",IF(C375="","cargar","pagado"))</f>
        <v>cargar</v>
      </c>
      <c r="I375" s="32">
        <f t="shared" si="70"/>
        <v>2025</v>
      </c>
      <c r="J375" s="32">
        <f t="shared" si="71"/>
        <v>5</v>
      </c>
    </row>
    <row r="376" spans="1:10" x14ac:dyDescent="0.25">
      <c r="A376" s="18" t="s">
        <v>877</v>
      </c>
      <c r="B376" s="23" t="s">
        <v>940</v>
      </c>
      <c r="C376">
        <v>1228</v>
      </c>
      <c r="D376">
        <v>9999</v>
      </c>
      <c r="E376" s="4">
        <v>-3077915.34</v>
      </c>
      <c r="F376" t="s">
        <v>942</v>
      </c>
      <c r="G376">
        <v>1385</v>
      </c>
      <c r="H376" s="32" t="str">
        <f ca="1">+IF(B376&gt;'sap nuevo'!$V$1,"cargar",IF(C376="","cargar","pagado"))</f>
        <v>cargar</v>
      </c>
      <c r="I376" s="32">
        <f t="shared" si="70"/>
        <v>2025</v>
      </c>
      <c r="J376" s="32">
        <f t="shared" si="71"/>
        <v>5</v>
      </c>
    </row>
    <row r="377" spans="1:10" x14ac:dyDescent="0.25">
      <c r="A377" s="18" t="s">
        <v>877</v>
      </c>
      <c r="B377" s="23" t="s">
        <v>940</v>
      </c>
      <c r="C377">
        <v>1239</v>
      </c>
      <c r="D377">
        <v>9999</v>
      </c>
      <c r="E377" s="4">
        <v>-2997156.71</v>
      </c>
      <c r="F377" t="s">
        <v>943</v>
      </c>
      <c r="G377">
        <v>1385</v>
      </c>
      <c r="H377" s="32" t="str">
        <f ca="1">+IF(B377&gt;'sap nuevo'!$V$1,"cargar",IF(C377="","cargar","pagado"))</f>
        <v>cargar</v>
      </c>
      <c r="I377" s="32">
        <f t="shared" si="70"/>
        <v>2025</v>
      </c>
      <c r="J377" s="32">
        <f t="shared" si="71"/>
        <v>5</v>
      </c>
    </row>
    <row r="378" spans="1:10" x14ac:dyDescent="0.25">
      <c r="A378" t="s">
        <v>21</v>
      </c>
      <c r="B378" t="s">
        <v>160</v>
      </c>
      <c r="C378">
        <v>94326833</v>
      </c>
      <c r="D378">
        <v>52</v>
      </c>
      <c r="E378" s="4">
        <v>-10000000</v>
      </c>
      <c r="F378" t="s">
        <v>20</v>
      </c>
      <c r="G378">
        <v>2</v>
      </c>
      <c r="H378" s="32" t="str">
        <f ca="1">+IF(B378&gt;'sap nuevo'!$V$1,"cargar",IF(C378="","cargar","pagado"))</f>
        <v>cargar</v>
      </c>
      <c r="I378" s="32">
        <f t="shared" si="70"/>
        <v>2025</v>
      </c>
      <c r="J378" s="32">
        <f t="shared" si="71"/>
        <v>5</v>
      </c>
    </row>
    <row r="379" spans="1:10" x14ac:dyDescent="0.25">
      <c r="A379" t="s">
        <v>23</v>
      </c>
      <c r="B379" t="s">
        <v>160</v>
      </c>
      <c r="C379">
        <v>94326837</v>
      </c>
      <c r="D379">
        <v>52</v>
      </c>
      <c r="E379" s="4">
        <v>-839522.13</v>
      </c>
      <c r="F379" t="s">
        <v>24</v>
      </c>
      <c r="G379">
        <v>5</v>
      </c>
      <c r="H379" s="32" t="str">
        <f ca="1">+IF(B379&gt;'sap nuevo'!$V$1,"cargar",IF(C379="","cargar","pagado"))</f>
        <v>cargar</v>
      </c>
      <c r="I379" s="32">
        <f t="shared" si="70"/>
        <v>2025</v>
      </c>
      <c r="J379" s="32">
        <f t="shared" si="71"/>
        <v>5</v>
      </c>
    </row>
    <row r="380" spans="1:10" x14ac:dyDescent="0.25">
      <c r="A380" t="s">
        <v>23</v>
      </c>
      <c r="B380" t="s">
        <v>160</v>
      </c>
      <c r="C380">
        <v>94326836</v>
      </c>
      <c r="D380">
        <v>52</v>
      </c>
      <c r="E380" s="4">
        <v>-585558.64</v>
      </c>
      <c r="F380" t="s">
        <v>24</v>
      </c>
      <c r="G380">
        <v>5</v>
      </c>
      <c r="H380" s="32" t="str">
        <f ca="1">+IF(B380&gt;'sap nuevo'!$V$1,"cargar",IF(C380="","cargar","pagado"))</f>
        <v>cargar</v>
      </c>
      <c r="I380" s="32">
        <f t="shared" si="70"/>
        <v>2025</v>
      </c>
      <c r="J380" s="32">
        <f t="shared" si="71"/>
        <v>5</v>
      </c>
    </row>
    <row r="381" spans="1:10" x14ac:dyDescent="0.25">
      <c r="A381" t="s">
        <v>21</v>
      </c>
      <c r="B381" t="s">
        <v>940</v>
      </c>
      <c r="C381">
        <v>94326839</v>
      </c>
      <c r="D381">
        <v>52</v>
      </c>
      <c r="E381" s="4">
        <v>-114648500</v>
      </c>
      <c r="F381" t="s">
        <v>20</v>
      </c>
      <c r="G381">
        <v>2</v>
      </c>
      <c r="H381" s="32" t="str">
        <f ca="1">+IF(B381&gt;'sap nuevo'!$V$1,"cargar",IF(C381="","cargar","pagado"))</f>
        <v>cargar</v>
      </c>
      <c r="I381" s="32">
        <f t="shared" si="70"/>
        <v>2025</v>
      </c>
      <c r="J381" s="32">
        <f t="shared" si="71"/>
        <v>5</v>
      </c>
    </row>
    <row r="382" spans="1:10" x14ac:dyDescent="0.25">
      <c r="A382" t="s">
        <v>877</v>
      </c>
      <c r="B382" t="s">
        <v>161</v>
      </c>
      <c r="C382">
        <v>1244</v>
      </c>
      <c r="D382">
        <v>9999</v>
      </c>
      <c r="E382" s="4">
        <v>-23000000</v>
      </c>
      <c r="F382" t="s">
        <v>944</v>
      </c>
      <c r="G382">
        <v>1385</v>
      </c>
      <c r="H382" s="32" t="str">
        <f ca="1">+IF(B382&gt;'sap nuevo'!$V$1,"cargar",IF(C382="","cargar","pagado"))</f>
        <v>cargar</v>
      </c>
      <c r="I382" s="32">
        <f t="shared" si="70"/>
        <v>2025</v>
      </c>
      <c r="J382" s="32">
        <f t="shared" si="71"/>
        <v>5</v>
      </c>
    </row>
    <row r="383" spans="1:10" x14ac:dyDescent="0.25">
      <c r="A383" t="s">
        <v>877</v>
      </c>
      <c r="B383" t="s">
        <v>161</v>
      </c>
      <c r="C383">
        <v>1251</v>
      </c>
      <c r="D383">
        <v>9999</v>
      </c>
      <c r="E383" s="4">
        <v>-23000000</v>
      </c>
      <c r="F383" t="s">
        <v>945</v>
      </c>
      <c r="G383">
        <v>1385</v>
      </c>
      <c r="H383" s="32" t="str">
        <f ca="1">+IF(B383&gt;'sap nuevo'!$V$1,"cargar",IF(C383="","cargar","pagado"))</f>
        <v>cargar</v>
      </c>
      <c r="I383" s="32">
        <f t="shared" si="70"/>
        <v>2025</v>
      </c>
      <c r="J383" s="32">
        <f t="shared" si="71"/>
        <v>5</v>
      </c>
    </row>
    <row r="384" spans="1:10" x14ac:dyDescent="0.25">
      <c r="A384" t="s">
        <v>873</v>
      </c>
      <c r="B384" t="s">
        <v>165</v>
      </c>
      <c r="C384">
        <v>1246</v>
      </c>
      <c r="D384">
        <v>9999</v>
      </c>
      <c r="E384" s="4">
        <v>-5855240.5</v>
      </c>
      <c r="F384" t="s">
        <v>946</v>
      </c>
      <c r="G384">
        <v>3520</v>
      </c>
      <c r="H384" s="32" t="str">
        <f ca="1">+IF(B384&gt;'sap nuevo'!$V$1,"cargar",IF(C384="","cargar","pagado"))</f>
        <v>cargar</v>
      </c>
      <c r="I384" s="32">
        <f t="shared" ref="I384:I397" si="72">+YEAR(B384)</f>
        <v>2025</v>
      </c>
      <c r="J384" s="32">
        <f t="shared" ref="J384:J397" si="73">+MONTH(B384)</f>
        <v>5</v>
      </c>
    </row>
    <row r="385" spans="1:10" x14ac:dyDescent="0.25">
      <c r="A385" t="s">
        <v>873</v>
      </c>
      <c r="B385" t="s">
        <v>165</v>
      </c>
      <c r="C385">
        <v>1256</v>
      </c>
      <c r="D385">
        <v>9999</v>
      </c>
      <c r="E385" s="4">
        <v>-5589772.1699999999</v>
      </c>
      <c r="F385" t="s">
        <v>947</v>
      </c>
      <c r="G385">
        <v>3520</v>
      </c>
      <c r="H385" s="32" t="str">
        <f ca="1">+IF(B385&gt;'sap nuevo'!$V$1,"cargar",IF(C385="","cargar","pagado"))</f>
        <v>cargar</v>
      </c>
      <c r="I385" s="32">
        <f t="shared" si="72"/>
        <v>2025</v>
      </c>
      <c r="J385" s="32">
        <f t="shared" si="73"/>
        <v>5</v>
      </c>
    </row>
    <row r="386" spans="1:10" x14ac:dyDescent="0.25">
      <c r="A386" t="s">
        <v>877</v>
      </c>
      <c r="B386" t="s">
        <v>165</v>
      </c>
      <c r="C386">
        <v>1245</v>
      </c>
      <c r="D386">
        <v>9999</v>
      </c>
      <c r="E386" s="4">
        <v>-23674382.829999998</v>
      </c>
      <c r="F386" t="s">
        <v>948</v>
      </c>
      <c r="G386">
        <v>1385</v>
      </c>
      <c r="H386" s="32" t="str">
        <f ca="1">+IF(B386&gt;'sap nuevo'!$V$1,"cargar",IF(C386="","cargar","pagado"))</f>
        <v>cargar</v>
      </c>
      <c r="I386" s="32">
        <f t="shared" si="72"/>
        <v>2025</v>
      </c>
      <c r="J386" s="32">
        <f t="shared" si="73"/>
        <v>5</v>
      </c>
    </row>
    <row r="387" spans="1:10" x14ac:dyDescent="0.25">
      <c r="A387" t="s">
        <v>877</v>
      </c>
      <c r="B387" t="s">
        <v>165</v>
      </c>
      <c r="C387">
        <v>1252</v>
      </c>
      <c r="D387">
        <v>9999</v>
      </c>
      <c r="E387" s="4">
        <v>-20074788.77</v>
      </c>
      <c r="F387" t="s">
        <v>949</v>
      </c>
      <c r="G387">
        <v>1385</v>
      </c>
      <c r="H387" s="32" t="str">
        <f ca="1">+IF(B387&gt;'sap nuevo'!$V$1,"cargar",IF(C387="","cargar","pagado"))</f>
        <v>cargar</v>
      </c>
      <c r="I387" s="32">
        <f t="shared" si="72"/>
        <v>2025</v>
      </c>
      <c r="J387" s="32">
        <f t="shared" si="73"/>
        <v>5</v>
      </c>
    </row>
    <row r="388" spans="1:10" x14ac:dyDescent="0.25">
      <c r="A388" t="s">
        <v>877</v>
      </c>
      <c r="B388" t="s">
        <v>165</v>
      </c>
      <c r="C388">
        <v>1243</v>
      </c>
      <c r="D388">
        <v>9999</v>
      </c>
      <c r="E388" s="4">
        <v>-10666090.949999999</v>
      </c>
      <c r="F388" t="s">
        <v>950</v>
      </c>
      <c r="G388">
        <v>1385</v>
      </c>
      <c r="H388" s="32" t="str">
        <f ca="1">+IF(B388&gt;'sap nuevo'!$V$1,"cargar",IF(C388="","cargar","pagado"))</f>
        <v>cargar</v>
      </c>
      <c r="I388" s="32">
        <f t="shared" si="72"/>
        <v>2025</v>
      </c>
      <c r="J388" s="32">
        <f t="shared" si="73"/>
        <v>5</v>
      </c>
    </row>
    <row r="389" spans="1:10" x14ac:dyDescent="0.25">
      <c r="A389" t="s">
        <v>877</v>
      </c>
      <c r="B389" t="s">
        <v>165</v>
      </c>
      <c r="C389">
        <v>1240</v>
      </c>
      <c r="D389">
        <v>9999</v>
      </c>
      <c r="E389" s="4">
        <v>-9254379.5700000003</v>
      </c>
      <c r="F389" t="s">
        <v>951</v>
      </c>
      <c r="G389">
        <v>1385</v>
      </c>
      <c r="H389" s="32" t="str">
        <f ca="1">+IF(B389&gt;'sap nuevo'!$V$1,"cargar",IF(C389="","cargar","pagado"))</f>
        <v>cargar</v>
      </c>
      <c r="I389" s="32">
        <f t="shared" si="72"/>
        <v>2025</v>
      </c>
      <c r="J389" s="32">
        <f t="shared" si="73"/>
        <v>5</v>
      </c>
    </row>
    <row r="390" spans="1:10" x14ac:dyDescent="0.25">
      <c r="A390" t="s">
        <v>877</v>
      </c>
      <c r="B390" t="s">
        <v>165</v>
      </c>
      <c r="C390">
        <v>1241</v>
      </c>
      <c r="D390">
        <v>9999</v>
      </c>
      <c r="E390" s="4">
        <v>-7650994.7699999996</v>
      </c>
      <c r="F390" t="s">
        <v>952</v>
      </c>
      <c r="G390">
        <v>1385</v>
      </c>
      <c r="H390" s="32" t="str">
        <f ca="1">+IF(B390&gt;'sap nuevo'!$V$1,"cargar",IF(C390="","cargar","pagado"))</f>
        <v>cargar</v>
      </c>
      <c r="I390" s="32">
        <f t="shared" si="72"/>
        <v>2025</v>
      </c>
      <c r="J390" s="32">
        <f t="shared" si="73"/>
        <v>5</v>
      </c>
    </row>
    <row r="391" spans="1:10" x14ac:dyDescent="0.25">
      <c r="A391" t="s">
        <v>877</v>
      </c>
      <c r="B391" t="s">
        <v>165</v>
      </c>
      <c r="C391">
        <v>1253</v>
      </c>
      <c r="D391">
        <v>9999</v>
      </c>
      <c r="E391" s="4">
        <v>-6720095.0300000003</v>
      </c>
      <c r="F391" t="s">
        <v>953</v>
      </c>
      <c r="G391">
        <v>1385</v>
      </c>
      <c r="H391" s="32" t="str">
        <f ca="1">+IF(B391&gt;'sap nuevo'!$V$1,"cargar",IF(C391="","cargar","pagado"))</f>
        <v>cargar</v>
      </c>
      <c r="I391" s="32">
        <f t="shared" si="72"/>
        <v>2025</v>
      </c>
      <c r="J391" s="32">
        <f t="shared" si="73"/>
        <v>5</v>
      </c>
    </row>
    <row r="392" spans="1:10" x14ac:dyDescent="0.25">
      <c r="A392" t="s">
        <v>877</v>
      </c>
      <c r="B392" t="s">
        <v>165</v>
      </c>
      <c r="C392">
        <v>1254</v>
      </c>
      <c r="D392">
        <v>9999</v>
      </c>
      <c r="E392" s="4">
        <v>-5757903.9800000004</v>
      </c>
      <c r="F392" t="s">
        <v>954</v>
      </c>
      <c r="G392">
        <v>1385</v>
      </c>
      <c r="H392" s="32" t="str">
        <f ca="1">+IF(B392&gt;'sap nuevo'!$V$1,"cargar",IF(C392="","cargar","pagado"))</f>
        <v>cargar</v>
      </c>
      <c r="I392" s="32">
        <f t="shared" si="72"/>
        <v>2025</v>
      </c>
      <c r="J392" s="32">
        <f t="shared" si="73"/>
        <v>5</v>
      </c>
    </row>
    <row r="393" spans="1:10" x14ac:dyDescent="0.25">
      <c r="A393" t="s">
        <v>873</v>
      </c>
      <c r="B393" t="s">
        <v>166</v>
      </c>
      <c r="C393">
        <v>1255</v>
      </c>
      <c r="D393">
        <v>9999</v>
      </c>
      <c r="E393" s="4">
        <v>-5402046.1399999997</v>
      </c>
      <c r="F393" t="s">
        <v>955</v>
      </c>
      <c r="G393">
        <v>3520</v>
      </c>
      <c r="H393" s="32" t="str">
        <f ca="1">+IF(B393&gt;'sap nuevo'!$V$1,"cargar",IF(C393="","cargar","pagado"))</f>
        <v>cargar</v>
      </c>
      <c r="I393" s="32">
        <f t="shared" si="72"/>
        <v>2025</v>
      </c>
      <c r="J393" s="32">
        <f t="shared" si="73"/>
        <v>5</v>
      </c>
    </row>
    <row r="394" spans="1:10" x14ac:dyDescent="0.25">
      <c r="A394" t="s">
        <v>877</v>
      </c>
      <c r="B394" t="s">
        <v>165</v>
      </c>
      <c r="C394">
        <v>1250</v>
      </c>
      <c r="D394">
        <v>9999</v>
      </c>
      <c r="E394" s="4">
        <v>-1112616.1000000001</v>
      </c>
      <c r="F394" t="s">
        <v>956</v>
      </c>
      <c r="G394">
        <v>1385</v>
      </c>
      <c r="H394" s="32" t="str">
        <f ca="1">+IF(B394&gt;'sap nuevo'!$V$1,"cargar",IF(C394="","cargar","pagado"))</f>
        <v>cargar</v>
      </c>
      <c r="I394" s="32">
        <f t="shared" si="72"/>
        <v>2025</v>
      </c>
      <c r="J394" s="32">
        <f t="shared" si="73"/>
        <v>5</v>
      </c>
    </row>
    <row r="395" spans="1:10" x14ac:dyDescent="0.25">
      <c r="A395" t="s">
        <v>877</v>
      </c>
      <c r="B395" t="s">
        <v>166</v>
      </c>
      <c r="C395">
        <v>1229</v>
      </c>
      <c r="D395">
        <v>9999</v>
      </c>
      <c r="E395" s="4">
        <v>-3290202.86</v>
      </c>
      <c r="F395" t="s">
        <v>957</v>
      </c>
      <c r="G395">
        <v>1385</v>
      </c>
      <c r="H395" s="32" t="str">
        <f ca="1">+IF(B395&gt;'sap nuevo'!$V$1,"cargar",IF(C395="","cargar","pagado"))</f>
        <v>cargar</v>
      </c>
      <c r="I395" s="32">
        <f t="shared" si="72"/>
        <v>2025</v>
      </c>
      <c r="J395" s="32">
        <f t="shared" si="73"/>
        <v>5</v>
      </c>
    </row>
    <row r="396" spans="1:10" x14ac:dyDescent="0.25">
      <c r="A396" t="s">
        <v>877</v>
      </c>
      <c r="B396" t="s">
        <v>166</v>
      </c>
      <c r="C396">
        <v>1242</v>
      </c>
      <c r="D396">
        <v>9999</v>
      </c>
      <c r="E396" s="4">
        <v>-2146156.1800000002</v>
      </c>
      <c r="F396" t="s">
        <v>958</v>
      </c>
      <c r="G396">
        <v>1385</v>
      </c>
      <c r="H396" s="32" t="str">
        <f ca="1">+IF(B396&gt;'sap nuevo'!$V$1,"cargar",IF(C396="","cargar","pagado"))</f>
        <v>cargar</v>
      </c>
      <c r="I396" s="32">
        <f t="shared" si="72"/>
        <v>2025</v>
      </c>
      <c r="J396" s="32">
        <f t="shared" si="73"/>
        <v>5</v>
      </c>
    </row>
    <row r="397" spans="1:10" x14ac:dyDescent="0.25">
      <c r="A397" t="s">
        <v>21</v>
      </c>
      <c r="B397" t="s">
        <v>166</v>
      </c>
      <c r="C397">
        <v>94326840</v>
      </c>
      <c r="D397">
        <v>52</v>
      </c>
      <c r="E397" s="4">
        <v>-163996880</v>
      </c>
      <c r="F397" t="s">
        <v>20</v>
      </c>
      <c r="G397">
        <v>2</v>
      </c>
      <c r="H397" s="32" t="str">
        <f ca="1">+IF(B397&gt;'sap nuevo'!$V$1,"cargar",IF(C397="","cargar","pagado"))</f>
        <v>cargar</v>
      </c>
      <c r="I397" s="32">
        <f t="shared" si="72"/>
        <v>2025</v>
      </c>
      <c r="J397" s="32">
        <f t="shared" si="73"/>
        <v>5</v>
      </c>
    </row>
    <row r="398" spans="1:10" x14ac:dyDescent="0.25">
      <c r="A398" t="s">
        <v>21</v>
      </c>
      <c r="B398" t="s">
        <v>167</v>
      </c>
      <c r="C398">
        <v>94326838</v>
      </c>
      <c r="D398">
        <v>52</v>
      </c>
      <c r="E398" s="4">
        <v>-2385141.9900000002</v>
      </c>
      <c r="F398" t="s">
        <v>20</v>
      </c>
      <c r="G398">
        <v>2</v>
      </c>
      <c r="H398" s="32" t="str">
        <f ca="1">+IF(B398&gt;'sap nuevo'!$V$1,"cargar",IF(C398="","cargar","pagado"))</f>
        <v>cargar</v>
      </c>
      <c r="I398" s="32">
        <f t="shared" ref="I398" si="74">+YEAR(B398)</f>
        <v>2025</v>
      </c>
      <c r="J398" s="32">
        <f t="shared" ref="J398" si="75">+MONTH(B398)</f>
        <v>5</v>
      </c>
    </row>
    <row r="399" spans="1:10" x14ac:dyDescent="0.25">
      <c r="A399" t="s">
        <v>873</v>
      </c>
      <c r="B399" t="s">
        <v>168</v>
      </c>
      <c r="C399">
        <v>1302</v>
      </c>
      <c r="D399">
        <v>9999</v>
      </c>
      <c r="E399" s="4">
        <v>-19200000</v>
      </c>
      <c r="F399" t="s">
        <v>959</v>
      </c>
      <c r="G399">
        <v>3520</v>
      </c>
      <c r="H399" s="32" t="str">
        <f ca="1">+IF(B399&gt;'sap nuevo'!$V$1,"cargar",IF(C399="","cargar","pagado"))</f>
        <v>cargar</v>
      </c>
      <c r="I399" s="32">
        <f t="shared" ref="I399:I427" si="76">+YEAR(B399)</f>
        <v>2025</v>
      </c>
      <c r="J399" s="32">
        <f t="shared" ref="J399:J427" si="77">+MONTH(B399)</f>
        <v>5</v>
      </c>
    </row>
    <row r="400" spans="1:10" x14ac:dyDescent="0.25">
      <c r="A400" t="s">
        <v>873</v>
      </c>
      <c r="B400" t="s">
        <v>168</v>
      </c>
      <c r="C400">
        <v>1295</v>
      </c>
      <c r="D400">
        <v>9999</v>
      </c>
      <c r="E400" s="4">
        <v>-17000000</v>
      </c>
      <c r="F400" t="s">
        <v>960</v>
      </c>
      <c r="G400">
        <v>3520</v>
      </c>
      <c r="H400" s="32" t="str">
        <f ca="1">+IF(B400&gt;'sap nuevo'!$V$1,"cargar",IF(C400="","cargar","pagado"))</f>
        <v>cargar</v>
      </c>
      <c r="I400" s="32">
        <f t="shared" si="76"/>
        <v>2025</v>
      </c>
      <c r="J400" s="32">
        <f t="shared" si="77"/>
        <v>5</v>
      </c>
    </row>
    <row r="401" spans="1:10" x14ac:dyDescent="0.25">
      <c r="A401" t="s">
        <v>873</v>
      </c>
      <c r="B401" t="s">
        <v>168</v>
      </c>
      <c r="C401">
        <v>1294</v>
      </c>
      <c r="D401">
        <v>9999</v>
      </c>
      <c r="E401" s="4">
        <v>-11844434.27</v>
      </c>
      <c r="F401" t="s">
        <v>961</v>
      </c>
      <c r="G401">
        <v>3520</v>
      </c>
      <c r="H401" s="32" t="str">
        <f ca="1">+IF(B401&gt;'sap nuevo'!$V$1,"cargar",IF(C401="","cargar","pagado"))</f>
        <v>cargar</v>
      </c>
      <c r="I401" s="32">
        <f t="shared" si="76"/>
        <v>2025</v>
      </c>
      <c r="J401" s="32">
        <f t="shared" si="77"/>
        <v>5</v>
      </c>
    </row>
    <row r="402" spans="1:10" x14ac:dyDescent="0.25">
      <c r="A402" t="s">
        <v>877</v>
      </c>
      <c r="B402" t="s">
        <v>168</v>
      </c>
      <c r="C402">
        <v>1297</v>
      </c>
      <c r="D402">
        <v>9999</v>
      </c>
      <c r="E402" s="4">
        <v>-30000000</v>
      </c>
      <c r="F402" t="s">
        <v>962</v>
      </c>
      <c r="G402">
        <v>1385</v>
      </c>
      <c r="H402" s="32" t="str">
        <f ca="1">+IF(B402&gt;'sap nuevo'!$V$1,"cargar",IF(C402="","cargar","pagado"))</f>
        <v>cargar</v>
      </c>
      <c r="I402" s="32">
        <f t="shared" si="76"/>
        <v>2025</v>
      </c>
      <c r="J402" s="32">
        <f t="shared" si="77"/>
        <v>5</v>
      </c>
    </row>
    <row r="403" spans="1:10" x14ac:dyDescent="0.25">
      <c r="A403" t="s">
        <v>877</v>
      </c>
      <c r="B403" t="s">
        <v>168</v>
      </c>
      <c r="C403">
        <v>1287</v>
      </c>
      <c r="D403">
        <v>9999</v>
      </c>
      <c r="E403" s="4">
        <v>-30000000</v>
      </c>
      <c r="F403" t="s">
        <v>963</v>
      </c>
      <c r="G403">
        <v>1385</v>
      </c>
      <c r="H403" s="32" t="str">
        <f ca="1">+IF(B403&gt;'sap nuevo'!$V$1,"cargar",IF(C403="","cargar","pagado"))</f>
        <v>cargar</v>
      </c>
      <c r="I403" s="32">
        <f t="shared" si="76"/>
        <v>2025</v>
      </c>
      <c r="J403" s="32">
        <f t="shared" si="77"/>
        <v>5</v>
      </c>
    </row>
    <row r="404" spans="1:10" x14ac:dyDescent="0.25">
      <c r="A404" t="s">
        <v>877</v>
      </c>
      <c r="B404" t="s">
        <v>168</v>
      </c>
      <c r="C404">
        <v>1298</v>
      </c>
      <c r="D404">
        <v>9999</v>
      </c>
      <c r="E404" s="4">
        <v>-24307046.09</v>
      </c>
      <c r="F404" t="s">
        <v>964</v>
      </c>
      <c r="G404">
        <v>1385</v>
      </c>
      <c r="H404" s="32" t="str">
        <f ca="1">+IF(B404&gt;'sap nuevo'!$V$1,"cargar",IF(C404="","cargar","pagado"))</f>
        <v>cargar</v>
      </c>
      <c r="I404" s="32">
        <f t="shared" si="76"/>
        <v>2025</v>
      </c>
      <c r="J404" s="32">
        <f t="shared" si="77"/>
        <v>5</v>
      </c>
    </row>
    <row r="405" spans="1:10" x14ac:dyDescent="0.25">
      <c r="A405" t="s">
        <v>877</v>
      </c>
      <c r="B405" t="s">
        <v>168</v>
      </c>
      <c r="C405">
        <v>1300</v>
      </c>
      <c r="D405">
        <v>9999</v>
      </c>
      <c r="E405" s="4">
        <v>-20000000</v>
      </c>
      <c r="F405" t="s">
        <v>965</v>
      </c>
      <c r="G405">
        <v>1385</v>
      </c>
      <c r="H405" s="32" t="str">
        <f ca="1">+IF(B405&gt;'sap nuevo'!$V$1,"cargar",IF(C405="","cargar","pagado"))</f>
        <v>cargar</v>
      </c>
      <c r="I405" s="32">
        <f t="shared" si="76"/>
        <v>2025</v>
      </c>
      <c r="J405" s="32">
        <f t="shared" si="77"/>
        <v>5</v>
      </c>
    </row>
    <row r="406" spans="1:10" x14ac:dyDescent="0.25">
      <c r="A406" t="s">
        <v>877</v>
      </c>
      <c r="B406" t="s">
        <v>168</v>
      </c>
      <c r="C406">
        <v>1280</v>
      </c>
      <c r="D406">
        <v>9999</v>
      </c>
      <c r="E406" s="4">
        <v>-20000000</v>
      </c>
      <c r="F406" t="s">
        <v>966</v>
      </c>
      <c r="G406">
        <v>1385</v>
      </c>
      <c r="H406" s="32" t="str">
        <f ca="1">+IF(B406&gt;'sap nuevo'!$V$1,"cargar",IF(C406="","cargar","pagado"))</f>
        <v>cargar</v>
      </c>
      <c r="I406" s="32">
        <f t="shared" si="76"/>
        <v>2025</v>
      </c>
      <c r="J406" s="32">
        <f t="shared" si="77"/>
        <v>5</v>
      </c>
    </row>
    <row r="407" spans="1:10" x14ac:dyDescent="0.25">
      <c r="A407" t="s">
        <v>877</v>
      </c>
      <c r="B407" t="s">
        <v>168</v>
      </c>
      <c r="C407">
        <v>1291</v>
      </c>
      <c r="D407">
        <v>9999</v>
      </c>
      <c r="E407" s="4">
        <v>-16000000</v>
      </c>
      <c r="F407" t="s">
        <v>967</v>
      </c>
      <c r="G407">
        <v>1385</v>
      </c>
      <c r="H407" s="32" t="str">
        <f ca="1">+IF(B407&gt;'sap nuevo'!$V$1,"cargar",IF(C407="","cargar","pagado"))</f>
        <v>cargar</v>
      </c>
      <c r="I407" s="32">
        <f t="shared" si="76"/>
        <v>2025</v>
      </c>
      <c r="J407" s="32">
        <f t="shared" si="77"/>
        <v>5</v>
      </c>
    </row>
    <row r="408" spans="1:10" x14ac:dyDescent="0.25">
      <c r="A408" t="s">
        <v>877</v>
      </c>
      <c r="B408" t="s">
        <v>168</v>
      </c>
      <c r="C408">
        <v>1301</v>
      </c>
      <c r="D408">
        <v>9999</v>
      </c>
      <c r="E408" s="4">
        <v>-14188889.76</v>
      </c>
      <c r="F408" t="s">
        <v>968</v>
      </c>
      <c r="G408">
        <v>1385</v>
      </c>
      <c r="H408" s="32" t="str">
        <f ca="1">+IF(B408&gt;'sap nuevo'!$V$1,"cargar",IF(C408="","cargar","pagado"))</f>
        <v>cargar</v>
      </c>
      <c r="I408" s="32">
        <f t="shared" si="76"/>
        <v>2025</v>
      </c>
      <c r="J408" s="32">
        <f t="shared" si="77"/>
        <v>5</v>
      </c>
    </row>
    <row r="409" spans="1:10" x14ac:dyDescent="0.25">
      <c r="A409" t="s">
        <v>877</v>
      </c>
      <c r="B409" t="s">
        <v>168</v>
      </c>
      <c r="C409">
        <v>1277</v>
      </c>
      <c r="D409">
        <v>9999</v>
      </c>
      <c r="E409" s="4">
        <v>-10952596.109999999</v>
      </c>
      <c r="F409" t="s">
        <v>969</v>
      </c>
      <c r="G409">
        <v>1385</v>
      </c>
      <c r="H409" s="32" t="str">
        <f ca="1">+IF(B409&gt;'sap nuevo'!$V$1,"cargar",IF(C409="","cargar","pagado"))</f>
        <v>cargar</v>
      </c>
      <c r="I409" s="32">
        <f t="shared" si="76"/>
        <v>2025</v>
      </c>
      <c r="J409" s="32">
        <f t="shared" si="77"/>
        <v>5</v>
      </c>
    </row>
    <row r="410" spans="1:10" x14ac:dyDescent="0.25">
      <c r="A410" t="s">
        <v>877</v>
      </c>
      <c r="B410" t="s">
        <v>168</v>
      </c>
      <c r="C410">
        <v>1278</v>
      </c>
      <c r="D410">
        <v>9999</v>
      </c>
      <c r="E410" s="4">
        <v>-9575958.4900000002</v>
      </c>
      <c r="F410" t="s">
        <v>970</v>
      </c>
      <c r="G410">
        <v>1385</v>
      </c>
      <c r="H410" s="32" t="str">
        <f ca="1">+IF(B410&gt;'sap nuevo'!$V$1,"cargar",IF(C410="","cargar","pagado"))</f>
        <v>cargar</v>
      </c>
      <c r="I410" s="32">
        <f t="shared" si="76"/>
        <v>2025</v>
      </c>
      <c r="J410" s="32">
        <f t="shared" si="77"/>
        <v>5</v>
      </c>
    </row>
    <row r="411" spans="1:10" x14ac:dyDescent="0.25">
      <c r="A411" t="s">
        <v>877</v>
      </c>
      <c r="B411" t="s">
        <v>168</v>
      </c>
      <c r="C411">
        <v>1284</v>
      </c>
      <c r="D411">
        <v>9999</v>
      </c>
      <c r="E411" s="4">
        <v>-8678438.1699999999</v>
      </c>
      <c r="F411" t="s">
        <v>971</v>
      </c>
      <c r="G411">
        <v>1385</v>
      </c>
      <c r="H411" s="32" t="str">
        <f ca="1">+IF(B411&gt;'sap nuevo'!$V$1,"cargar",IF(C411="","cargar","pagado"))</f>
        <v>cargar</v>
      </c>
      <c r="I411" s="32">
        <f t="shared" si="76"/>
        <v>2025</v>
      </c>
      <c r="J411" s="32">
        <f t="shared" si="77"/>
        <v>5</v>
      </c>
    </row>
    <row r="412" spans="1:10" x14ac:dyDescent="0.25">
      <c r="A412" t="s">
        <v>877</v>
      </c>
      <c r="B412" t="s">
        <v>168</v>
      </c>
      <c r="C412">
        <v>1293</v>
      </c>
      <c r="D412">
        <v>9999</v>
      </c>
      <c r="E412" s="4">
        <v>-8552025.1400000006</v>
      </c>
      <c r="F412" t="s">
        <v>972</v>
      </c>
      <c r="G412">
        <v>1385</v>
      </c>
      <c r="H412" s="32" t="str">
        <f ca="1">+IF(B412&gt;'sap nuevo'!$V$1,"cargar",IF(C412="","cargar","pagado"))</f>
        <v>cargar</v>
      </c>
      <c r="I412" s="32">
        <f t="shared" si="76"/>
        <v>2025</v>
      </c>
      <c r="J412" s="32">
        <f t="shared" si="77"/>
        <v>5</v>
      </c>
    </row>
    <row r="413" spans="1:10" x14ac:dyDescent="0.25">
      <c r="A413" t="s">
        <v>877</v>
      </c>
      <c r="B413" t="s">
        <v>168</v>
      </c>
      <c r="C413">
        <v>1248</v>
      </c>
      <c r="D413">
        <v>9999</v>
      </c>
      <c r="E413" s="4">
        <v>-1500000</v>
      </c>
      <c r="F413" t="s">
        <v>973</v>
      </c>
      <c r="G413">
        <v>1385</v>
      </c>
      <c r="H413" s="32" t="str">
        <f ca="1">+IF(B413&gt;'sap nuevo'!$V$1,"cargar",IF(C413="","cargar","pagado"))</f>
        <v>cargar</v>
      </c>
      <c r="I413" s="32">
        <f t="shared" si="76"/>
        <v>2025</v>
      </c>
      <c r="J413" s="32">
        <f t="shared" si="77"/>
        <v>5</v>
      </c>
    </row>
    <row r="414" spans="1:10" x14ac:dyDescent="0.25">
      <c r="A414" t="s">
        <v>21</v>
      </c>
      <c r="B414" t="s">
        <v>168</v>
      </c>
      <c r="C414">
        <v>94326844</v>
      </c>
      <c r="D414">
        <v>52</v>
      </c>
      <c r="E414" s="4">
        <v>-12350000</v>
      </c>
      <c r="F414" t="s">
        <v>20</v>
      </c>
      <c r="G414">
        <v>2</v>
      </c>
      <c r="H414" s="32" t="str">
        <f ca="1">+IF(B414&gt;'sap nuevo'!$V$1,"cargar",IF(C414="","cargar","pagado"))</f>
        <v>cargar</v>
      </c>
      <c r="I414" s="32">
        <f t="shared" si="76"/>
        <v>2025</v>
      </c>
      <c r="J414" s="32">
        <f t="shared" si="77"/>
        <v>5</v>
      </c>
    </row>
    <row r="415" spans="1:10" x14ac:dyDescent="0.25">
      <c r="A415" t="s">
        <v>21</v>
      </c>
      <c r="B415" t="s">
        <v>168</v>
      </c>
      <c r="C415">
        <v>94326843</v>
      </c>
      <c r="D415">
        <v>52</v>
      </c>
      <c r="E415" s="4">
        <v>-7309642.96</v>
      </c>
      <c r="F415" t="s">
        <v>20</v>
      </c>
      <c r="G415">
        <v>2</v>
      </c>
      <c r="H415" s="32" t="str">
        <f ca="1">+IF(B415&gt;'sap nuevo'!$V$1,"cargar",IF(C415="","cargar","pagado"))</f>
        <v>cargar</v>
      </c>
      <c r="I415" s="32">
        <f t="shared" si="76"/>
        <v>2025</v>
      </c>
      <c r="J415" s="32">
        <f t="shared" si="77"/>
        <v>5</v>
      </c>
    </row>
    <row r="416" spans="1:10" x14ac:dyDescent="0.25">
      <c r="A416" t="s">
        <v>21</v>
      </c>
      <c r="B416" t="s">
        <v>168</v>
      </c>
      <c r="C416">
        <v>94326842</v>
      </c>
      <c r="D416">
        <v>52</v>
      </c>
      <c r="E416" s="4">
        <v>-4000000</v>
      </c>
      <c r="F416" t="s">
        <v>20</v>
      </c>
      <c r="G416">
        <v>2</v>
      </c>
      <c r="H416" s="32" t="str">
        <f ca="1">+IF(B416&gt;'sap nuevo'!$V$1,"cargar",IF(C416="","cargar","pagado"))</f>
        <v>cargar</v>
      </c>
      <c r="I416" s="32">
        <f t="shared" si="76"/>
        <v>2025</v>
      </c>
      <c r="J416" s="32">
        <f t="shared" si="77"/>
        <v>5</v>
      </c>
    </row>
    <row r="417" spans="1:10" x14ac:dyDescent="0.25">
      <c r="A417" t="s">
        <v>877</v>
      </c>
      <c r="B417" t="s">
        <v>974</v>
      </c>
      <c r="C417">
        <v>1288</v>
      </c>
      <c r="D417">
        <v>9999</v>
      </c>
      <c r="E417" s="4">
        <v>-27399251.109999999</v>
      </c>
      <c r="F417" t="s">
        <v>975</v>
      </c>
      <c r="G417">
        <v>1385</v>
      </c>
      <c r="H417" s="32" t="str">
        <f ca="1">+IF(B417&gt;'sap nuevo'!$V$1,"cargar",IF(C417="","cargar","pagado"))</f>
        <v>cargar</v>
      </c>
      <c r="I417" s="32">
        <f t="shared" si="76"/>
        <v>2025</v>
      </c>
      <c r="J417" s="32">
        <f t="shared" si="77"/>
        <v>6</v>
      </c>
    </row>
    <row r="418" spans="1:10" x14ac:dyDescent="0.25">
      <c r="A418" t="s">
        <v>877</v>
      </c>
      <c r="B418" t="s">
        <v>974</v>
      </c>
      <c r="C418">
        <v>1309</v>
      </c>
      <c r="D418">
        <v>9999</v>
      </c>
      <c r="E418" s="4">
        <v>-25000000</v>
      </c>
      <c r="F418" t="s">
        <v>976</v>
      </c>
      <c r="G418">
        <v>1385</v>
      </c>
      <c r="H418" s="32" t="str">
        <f ca="1">+IF(B418&gt;'sap nuevo'!$V$1,"cargar",IF(C418="","cargar","pagado"))</f>
        <v>cargar</v>
      </c>
      <c r="I418" s="32">
        <f t="shared" si="76"/>
        <v>2025</v>
      </c>
      <c r="J418" s="32">
        <f t="shared" si="77"/>
        <v>6</v>
      </c>
    </row>
    <row r="419" spans="1:10" x14ac:dyDescent="0.25">
      <c r="A419" t="s">
        <v>877</v>
      </c>
      <c r="B419" t="s">
        <v>974</v>
      </c>
      <c r="C419">
        <v>1290</v>
      </c>
      <c r="D419">
        <v>9999</v>
      </c>
      <c r="E419" s="4">
        <v>-23411366.57</v>
      </c>
      <c r="F419" t="s">
        <v>977</v>
      </c>
      <c r="G419">
        <v>1385</v>
      </c>
      <c r="H419" s="32" t="str">
        <f ca="1">+IF(B419&gt;'sap nuevo'!$V$1,"cargar",IF(C419="","cargar","pagado"))</f>
        <v>cargar</v>
      </c>
      <c r="I419" s="32">
        <f t="shared" si="76"/>
        <v>2025</v>
      </c>
      <c r="J419" s="32">
        <f t="shared" si="77"/>
        <v>6</v>
      </c>
    </row>
    <row r="420" spans="1:10" x14ac:dyDescent="0.25">
      <c r="A420" t="s">
        <v>877</v>
      </c>
      <c r="B420" t="s">
        <v>974</v>
      </c>
      <c r="C420">
        <v>1289</v>
      </c>
      <c r="D420">
        <v>9999</v>
      </c>
      <c r="E420" s="4">
        <v>-23000000</v>
      </c>
      <c r="F420" t="s">
        <v>978</v>
      </c>
      <c r="G420">
        <v>1385</v>
      </c>
      <c r="H420" s="32" t="str">
        <f ca="1">+IF(B420&gt;'sap nuevo'!$V$1,"cargar",IF(C420="","cargar","pagado"))</f>
        <v>cargar</v>
      </c>
      <c r="I420" s="32">
        <f t="shared" si="76"/>
        <v>2025</v>
      </c>
      <c r="J420" s="32">
        <f t="shared" si="77"/>
        <v>6</v>
      </c>
    </row>
    <row r="421" spans="1:10" x14ac:dyDescent="0.25">
      <c r="A421" t="s">
        <v>873</v>
      </c>
      <c r="B421" t="s">
        <v>169</v>
      </c>
      <c r="C421">
        <v>1310</v>
      </c>
      <c r="D421">
        <v>9999</v>
      </c>
      <c r="E421" s="4">
        <v>-20210584.18</v>
      </c>
      <c r="F421" t="s">
        <v>979</v>
      </c>
      <c r="G421">
        <v>3520</v>
      </c>
      <c r="H421" s="32" t="str">
        <f ca="1">+IF(B421&gt;'sap nuevo'!$V$1,"cargar",IF(C421="","cargar","pagado"))</f>
        <v>cargar</v>
      </c>
      <c r="I421" s="32">
        <f t="shared" si="76"/>
        <v>2025</v>
      </c>
      <c r="J421" s="32">
        <f t="shared" si="77"/>
        <v>6</v>
      </c>
    </row>
    <row r="422" spans="1:10" x14ac:dyDescent="0.25">
      <c r="A422" t="s">
        <v>877</v>
      </c>
      <c r="B422" t="s">
        <v>974</v>
      </c>
      <c r="C422">
        <v>1305</v>
      </c>
      <c r="D422">
        <v>9999</v>
      </c>
      <c r="E422" s="4">
        <v>-20000000</v>
      </c>
      <c r="F422" t="s">
        <v>980</v>
      </c>
      <c r="G422">
        <v>1385</v>
      </c>
      <c r="H422" s="32" t="str">
        <f ca="1">+IF(B422&gt;'sap nuevo'!$V$1,"cargar",IF(C422="","cargar","pagado"))</f>
        <v>cargar</v>
      </c>
      <c r="I422" s="32">
        <f t="shared" si="76"/>
        <v>2025</v>
      </c>
      <c r="J422" s="32">
        <f t="shared" si="77"/>
        <v>6</v>
      </c>
    </row>
    <row r="423" spans="1:10" x14ac:dyDescent="0.25">
      <c r="A423" t="s">
        <v>877</v>
      </c>
      <c r="B423" t="s">
        <v>974</v>
      </c>
      <c r="C423">
        <v>1296</v>
      </c>
      <c r="D423">
        <v>9999</v>
      </c>
      <c r="E423" s="4">
        <v>-18594664.16</v>
      </c>
      <c r="F423" t="s">
        <v>981</v>
      </c>
      <c r="G423">
        <v>1385</v>
      </c>
      <c r="H423" s="32" t="str">
        <f ca="1">+IF(B423&gt;'sap nuevo'!$V$1,"cargar",IF(C423="","cargar","pagado"))</f>
        <v>cargar</v>
      </c>
      <c r="I423" s="32">
        <f t="shared" si="76"/>
        <v>2025</v>
      </c>
      <c r="J423" s="32">
        <f t="shared" si="77"/>
        <v>6</v>
      </c>
    </row>
    <row r="424" spans="1:10" x14ac:dyDescent="0.25">
      <c r="A424" t="s">
        <v>877</v>
      </c>
      <c r="B424" t="s">
        <v>974</v>
      </c>
      <c r="C424">
        <v>1283</v>
      </c>
      <c r="D424">
        <v>9999</v>
      </c>
      <c r="E424" s="4">
        <v>-16978029.890000001</v>
      </c>
      <c r="F424" t="s">
        <v>982</v>
      </c>
      <c r="G424">
        <v>1385</v>
      </c>
      <c r="H424" s="32" t="str">
        <f ca="1">+IF(B424&gt;'sap nuevo'!$V$1,"cargar",IF(C424="","cargar","pagado"))</f>
        <v>cargar</v>
      </c>
      <c r="I424" s="32">
        <f t="shared" si="76"/>
        <v>2025</v>
      </c>
      <c r="J424" s="32">
        <f t="shared" si="77"/>
        <v>6</v>
      </c>
    </row>
    <row r="425" spans="1:10" x14ac:dyDescent="0.25">
      <c r="A425" t="s">
        <v>877</v>
      </c>
      <c r="B425" t="s">
        <v>974</v>
      </c>
      <c r="C425">
        <v>1292</v>
      </c>
      <c r="D425">
        <v>9999</v>
      </c>
      <c r="E425" s="4">
        <v>-16378667.92</v>
      </c>
      <c r="F425" t="s">
        <v>983</v>
      </c>
      <c r="G425">
        <v>1385</v>
      </c>
      <c r="H425" s="32" t="str">
        <f ca="1">+IF(B425&gt;'sap nuevo'!$V$1,"cargar",IF(C425="","cargar","pagado"))</f>
        <v>cargar</v>
      </c>
      <c r="I425" s="32">
        <f t="shared" si="76"/>
        <v>2025</v>
      </c>
      <c r="J425" s="32">
        <f t="shared" si="77"/>
        <v>6</v>
      </c>
    </row>
    <row r="426" spans="1:10" x14ac:dyDescent="0.25">
      <c r="A426" t="s">
        <v>877</v>
      </c>
      <c r="B426" t="s">
        <v>974</v>
      </c>
      <c r="C426">
        <v>1282</v>
      </c>
      <c r="D426">
        <v>9999</v>
      </c>
      <c r="E426" s="4">
        <v>-15000000</v>
      </c>
      <c r="F426" t="s">
        <v>984</v>
      </c>
      <c r="G426">
        <v>1385</v>
      </c>
      <c r="H426" s="32" t="str">
        <f ca="1">+IF(B426&gt;'sap nuevo'!$V$1,"cargar",IF(C426="","cargar","pagado"))</f>
        <v>cargar</v>
      </c>
      <c r="I426" s="32">
        <f t="shared" si="76"/>
        <v>2025</v>
      </c>
      <c r="J426" s="32">
        <f t="shared" si="77"/>
        <v>6</v>
      </c>
    </row>
    <row r="427" spans="1:10" x14ac:dyDescent="0.25">
      <c r="A427" t="s">
        <v>877</v>
      </c>
      <c r="B427" t="s">
        <v>974</v>
      </c>
      <c r="C427">
        <v>1307</v>
      </c>
      <c r="D427">
        <v>9999</v>
      </c>
      <c r="E427" s="4">
        <v>-14064999.18</v>
      </c>
      <c r="F427" t="s">
        <v>985</v>
      </c>
      <c r="G427">
        <v>1385</v>
      </c>
      <c r="H427" s="32" t="str">
        <f ca="1">+IF(B427&gt;'sap nuevo'!$V$1,"cargar",IF(C427="","cargar","pagado"))</f>
        <v>cargar</v>
      </c>
      <c r="I427" s="32">
        <f t="shared" si="76"/>
        <v>2025</v>
      </c>
      <c r="J427" s="32">
        <f t="shared" si="77"/>
        <v>6</v>
      </c>
    </row>
    <row r="428" spans="1:10" x14ac:dyDescent="0.25">
      <c r="A428" t="s">
        <v>877</v>
      </c>
      <c r="B428" t="s">
        <v>974</v>
      </c>
      <c r="C428">
        <v>1286</v>
      </c>
      <c r="D428">
        <v>9999</v>
      </c>
      <c r="E428" s="4">
        <v>-11214656</v>
      </c>
      <c r="F428" t="s">
        <v>986</v>
      </c>
      <c r="G428">
        <v>1385</v>
      </c>
      <c r="H428" s="32" t="str">
        <f ca="1">+IF(B428&gt;'sap nuevo'!$V$1,"cargar",IF(C428="","cargar","pagado"))</f>
        <v>cargar</v>
      </c>
      <c r="I428" s="32">
        <f t="shared" ref="I428:I457" si="78">+YEAR(B428)</f>
        <v>2025</v>
      </c>
      <c r="J428" s="32">
        <f t="shared" ref="J428:J457" si="79">+MONTH(B428)</f>
        <v>6</v>
      </c>
    </row>
    <row r="429" spans="1:10" x14ac:dyDescent="0.25">
      <c r="A429" t="s">
        <v>877</v>
      </c>
      <c r="B429" t="s">
        <v>974</v>
      </c>
      <c r="C429">
        <v>1315</v>
      </c>
      <c r="D429">
        <v>9999</v>
      </c>
      <c r="E429" s="4">
        <v>-11194514.039999999</v>
      </c>
      <c r="F429" t="s">
        <v>987</v>
      </c>
      <c r="G429">
        <v>1385</v>
      </c>
      <c r="H429" s="32" t="str">
        <f ca="1">+IF(B429&gt;'sap nuevo'!$V$1,"cargar",IF(C429="","cargar","pagado"))</f>
        <v>cargar</v>
      </c>
      <c r="I429" s="32">
        <f t="shared" si="78"/>
        <v>2025</v>
      </c>
      <c r="J429" s="32">
        <f t="shared" si="79"/>
        <v>6</v>
      </c>
    </row>
    <row r="430" spans="1:10" x14ac:dyDescent="0.25">
      <c r="A430" t="s">
        <v>873</v>
      </c>
      <c r="B430" t="s">
        <v>169</v>
      </c>
      <c r="C430">
        <v>1285</v>
      </c>
      <c r="D430">
        <v>9999</v>
      </c>
      <c r="E430" s="4">
        <v>-10000000</v>
      </c>
      <c r="F430" t="s">
        <v>988</v>
      </c>
      <c r="G430">
        <v>3520</v>
      </c>
      <c r="H430" s="32" t="str">
        <f ca="1">+IF(B430&gt;'sap nuevo'!$V$1,"cargar",IF(C430="","cargar","pagado"))</f>
        <v>cargar</v>
      </c>
      <c r="I430" s="32">
        <f t="shared" si="78"/>
        <v>2025</v>
      </c>
      <c r="J430" s="32">
        <f t="shared" si="79"/>
        <v>6</v>
      </c>
    </row>
    <row r="431" spans="1:10" x14ac:dyDescent="0.25">
      <c r="A431" t="s">
        <v>877</v>
      </c>
      <c r="B431" t="s">
        <v>974</v>
      </c>
      <c r="C431">
        <v>1314</v>
      </c>
      <c r="D431">
        <v>9999</v>
      </c>
      <c r="E431" s="4">
        <v>-6077320.2599999998</v>
      </c>
      <c r="F431" t="s">
        <v>989</v>
      </c>
      <c r="G431">
        <v>1385</v>
      </c>
      <c r="H431" s="32" t="str">
        <f ca="1">+IF(B431&gt;'sap nuevo'!$V$1,"cargar",IF(C431="","cargar","pagado"))</f>
        <v>cargar</v>
      </c>
      <c r="I431" s="32">
        <f t="shared" si="78"/>
        <v>2025</v>
      </c>
      <c r="J431" s="32">
        <f t="shared" si="79"/>
        <v>6</v>
      </c>
    </row>
    <row r="432" spans="1:10" x14ac:dyDescent="0.25">
      <c r="A432" t="s">
        <v>877</v>
      </c>
      <c r="B432" t="s">
        <v>974</v>
      </c>
      <c r="C432">
        <v>1312</v>
      </c>
      <c r="D432">
        <v>9999</v>
      </c>
      <c r="E432" s="4">
        <v>-5945997.5300000003</v>
      </c>
      <c r="F432" t="s">
        <v>990</v>
      </c>
      <c r="G432">
        <v>1385</v>
      </c>
      <c r="H432" s="32" t="str">
        <f ca="1">+IF(B432&gt;'sap nuevo'!$V$1,"cargar",IF(C432="","cargar","pagado"))</f>
        <v>cargar</v>
      </c>
      <c r="I432" s="32">
        <f t="shared" si="78"/>
        <v>2025</v>
      </c>
      <c r="J432" s="32">
        <f t="shared" si="79"/>
        <v>6</v>
      </c>
    </row>
    <row r="433" spans="1:10" x14ac:dyDescent="0.25">
      <c r="A433" t="s">
        <v>877</v>
      </c>
      <c r="B433" t="s">
        <v>974</v>
      </c>
      <c r="C433">
        <v>1313</v>
      </c>
      <c r="D433">
        <v>9999</v>
      </c>
      <c r="E433" s="4">
        <v>-5200719.67</v>
      </c>
      <c r="F433" t="s">
        <v>991</v>
      </c>
      <c r="G433">
        <v>1385</v>
      </c>
      <c r="H433" s="32" t="str">
        <f ca="1">+IF(B433&gt;'sap nuevo'!$V$1,"cargar",IF(C433="","cargar","pagado"))</f>
        <v>cargar</v>
      </c>
      <c r="I433" s="32">
        <f t="shared" si="78"/>
        <v>2025</v>
      </c>
      <c r="J433" s="32">
        <f t="shared" si="79"/>
        <v>6</v>
      </c>
    </row>
    <row r="434" spans="1:10" x14ac:dyDescent="0.25">
      <c r="A434" t="s">
        <v>877</v>
      </c>
      <c r="B434" t="s">
        <v>974</v>
      </c>
      <c r="C434">
        <v>1311</v>
      </c>
      <c r="D434">
        <v>9999</v>
      </c>
      <c r="E434" s="4">
        <v>-4930812.3499999996</v>
      </c>
      <c r="F434" t="s">
        <v>992</v>
      </c>
      <c r="G434">
        <v>1385</v>
      </c>
      <c r="H434" s="32" t="str">
        <f ca="1">+IF(B434&gt;'sap nuevo'!$V$1,"cargar",IF(C434="","cargar","pagado"))</f>
        <v>cargar</v>
      </c>
      <c r="I434" s="32">
        <f t="shared" si="78"/>
        <v>2025</v>
      </c>
      <c r="J434" s="32">
        <f t="shared" si="79"/>
        <v>6</v>
      </c>
    </row>
    <row r="435" spans="1:10" x14ac:dyDescent="0.25">
      <c r="A435" t="s">
        <v>877</v>
      </c>
      <c r="B435" t="s">
        <v>974</v>
      </c>
      <c r="C435">
        <v>1279</v>
      </c>
      <c r="D435">
        <v>9999</v>
      </c>
      <c r="E435" s="4">
        <v>-4316841.83</v>
      </c>
      <c r="F435" t="s">
        <v>993</v>
      </c>
      <c r="G435">
        <v>1385</v>
      </c>
      <c r="H435" s="32" t="str">
        <f ca="1">+IF(B435&gt;'sap nuevo'!$V$1,"cargar",IF(C435="","cargar","pagado"))</f>
        <v>cargar</v>
      </c>
      <c r="I435" s="32">
        <f t="shared" si="78"/>
        <v>2025</v>
      </c>
      <c r="J435" s="32">
        <f t="shared" si="79"/>
        <v>6</v>
      </c>
    </row>
    <row r="436" spans="1:10" x14ac:dyDescent="0.25">
      <c r="A436" t="s">
        <v>877</v>
      </c>
      <c r="B436" t="s">
        <v>974</v>
      </c>
      <c r="C436">
        <v>1304</v>
      </c>
      <c r="D436">
        <v>9999</v>
      </c>
      <c r="E436" s="4">
        <v>-4000351.91</v>
      </c>
      <c r="F436" t="s">
        <v>994</v>
      </c>
      <c r="G436">
        <v>1385</v>
      </c>
      <c r="H436" s="32" t="str">
        <f ca="1">+IF(B436&gt;'sap nuevo'!$V$1,"cargar",IF(C436="","cargar","pagado"))</f>
        <v>cargar</v>
      </c>
      <c r="I436" s="32">
        <f t="shared" si="78"/>
        <v>2025</v>
      </c>
      <c r="J436" s="32">
        <f t="shared" si="79"/>
        <v>6</v>
      </c>
    </row>
    <row r="437" spans="1:10" x14ac:dyDescent="0.25">
      <c r="A437" t="s">
        <v>877</v>
      </c>
      <c r="B437" t="s">
        <v>169</v>
      </c>
      <c r="C437">
        <v>1281</v>
      </c>
      <c r="D437">
        <v>9999</v>
      </c>
      <c r="E437" s="4">
        <v>-21600217.09</v>
      </c>
      <c r="F437" t="s">
        <v>995</v>
      </c>
      <c r="G437">
        <v>1385</v>
      </c>
      <c r="H437" s="32" t="str">
        <f ca="1">+IF(B437&gt;'sap nuevo'!$V$1,"cargar",IF(C437="","cargar","pagado"))</f>
        <v>cargar</v>
      </c>
      <c r="I437" s="32">
        <f t="shared" si="78"/>
        <v>2025</v>
      </c>
      <c r="J437" s="32">
        <f t="shared" si="79"/>
        <v>6</v>
      </c>
    </row>
    <row r="438" spans="1:10" x14ac:dyDescent="0.25">
      <c r="A438" t="s">
        <v>21</v>
      </c>
      <c r="B438" t="s">
        <v>974</v>
      </c>
      <c r="C438">
        <v>94326845</v>
      </c>
      <c r="D438">
        <v>52</v>
      </c>
      <c r="E438" s="4">
        <v>-10000000</v>
      </c>
      <c r="F438" t="s">
        <v>20</v>
      </c>
      <c r="G438">
        <v>2</v>
      </c>
      <c r="H438" s="32" t="str">
        <f ca="1">+IF(B438&gt;'sap nuevo'!$V$1,"cargar",IF(C438="","cargar","pagado"))</f>
        <v>cargar</v>
      </c>
      <c r="I438" s="32">
        <f t="shared" si="78"/>
        <v>2025</v>
      </c>
      <c r="J438" s="32">
        <f t="shared" si="79"/>
        <v>6</v>
      </c>
    </row>
    <row r="439" spans="1:10" x14ac:dyDescent="0.25">
      <c r="A439" t="s">
        <v>21</v>
      </c>
      <c r="B439" t="s">
        <v>974</v>
      </c>
      <c r="C439">
        <v>94326846</v>
      </c>
      <c r="D439">
        <v>52</v>
      </c>
      <c r="E439" s="4">
        <v>-10000000</v>
      </c>
      <c r="F439" t="s">
        <v>20</v>
      </c>
      <c r="G439">
        <v>2</v>
      </c>
      <c r="H439" s="32" t="str">
        <f ca="1">+IF(B439&gt;'sap nuevo'!$V$1,"cargar",IF(C439="","cargar","pagado"))</f>
        <v>cargar</v>
      </c>
      <c r="I439" s="32">
        <f t="shared" si="78"/>
        <v>2025</v>
      </c>
      <c r="J439" s="32">
        <f t="shared" si="79"/>
        <v>6</v>
      </c>
    </row>
    <row r="440" spans="1:10" x14ac:dyDescent="0.25">
      <c r="A440" t="s">
        <v>21</v>
      </c>
      <c r="B440" t="s">
        <v>974</v>
      </c>
      <c r="C440">
        <v>94326847</v>
      </c>
      <c r="D440">
        <v>52</v>
      </c>
      <c r="E440" s="4">
        <v>-10000000</v>
      </c>
      <c r="F440" t="s">
        <v>20</v>
      </c>
      <c r="G440">
        <v>2</v>
      </c>
      <c r="H440" s="32" t="str">
        <f ca="1">+IF(B440&gt;'sap nuevo'!$V$1,"cargar",IF(C440="","cargar","pagado"))</f>
        <v>cargar</v>
      </c>
      <c r="I440" s="32">
        <f t="shared" si="78"/>
        <v>2025</v>
      </c>
      <c r="J440" s="32">
        <f t="shared" si="79"/>
        <v>6</v>
      </c>
    </row>
    <row r="441" spans="1:10" x14ac:dyDescent="0.25">
      <c r="A441" t="s">
        <v>21</v>
      </c>
      <c r="B441" t="s">
        <v>974</v>
      </c>
      <c r="C441">
        <v>94326848</v>
      </c>
      <c r="D441">
        <v>52</v>
      </c>
      <c r="E441" s="4">
        <v>-10000000</v>
      </c>
      <c r="F441" t="s">
        <v>20</v>
      </c>
      <c r="G441">
        <v>2</v>
      </c>
      <c r="H441" s="32" t="str">
        <f ca="1">+IF(B441&gt;'sap nuevo'!$V$1,"cargar",IF(C441="","cargar","pagado"))</f>
        <v>cargar</v>
      </c>
      <c r="I441" s="32">
        <f t="shared" si="78"/>
        <v>2025</v>
      </c>
      <c r="J441" s="32">
        <f t="shared" si="79"/>
        <v>6</v>
      </c>
    </row>
    <row r="442" spans="1:10" x14ac:dyDescent="0.25">
      <c r="A442" t="s">
        <v>877</v>
      </c>
      <c r="B442" t="s">
        <v>169</v>
      </c>
      <c r="C442">
        <v>1281</v>
      </c>
      <c r="D442">
        <v>9999</v>
      </c>
      <c r="E442" s="4">
        <v>-21600217.09</v>
      </c>
      <c r="F442" t="s">
        <v>995</v>
      </c>
      <c r="G442">
        <v>1385</v>
      </c>
      <c r="H442" s="32" t="str">
        <f ca="1">+IF(B442&gt;'sap nuevo'!$V$1,"cargar",IF(C442="","cargar","pagado"))</f>
        <v>cargar</v>
      </c>
      <c r="I442" s="32">
        <f t="shared" si="78"/>
        <v>2025</v>
      </c>
      <c r="J442" s="32">
        <f t="shared" si="79"/>
        <v>6</v>
      </c>
    </row>
    <row r="443" spans="1:10" x14ac:dyDescent="0.25">
      <c r="A443" t="s">
        <v>877</v>
      </c>
      <c r="B443" t="s">
        <v>996</v>
      </c>
      <c r="C443">
        <v>1306</v>
      </c>
      <c r="D443">
        <v>9999</v>
      </c>
      <c r="E443" s="4">
        <v>-12750498.57</v>
      </c>
      <c r="F443" t="s">
        <v>997</v>
      </c>
      <c r="G443">
        <v>1385</v>
      </c>
      <c r="H443" s="32" t="str">
        <f ca="1">+IF(B443&gt;'sap nuevo'!$V$1,"cargar",IF(C443="","cargar","pagado"))</f>
        <v>cargar</v>
      </c>
      <c r="I443" s="32">
        <f t="shared" si="78"/>
        <v>2025</v>
      </c>
      <c r="J443" s="32">
        <f t="shared" si="79"/>
        <v>6</v>
      </c>
    </row>
    <row r="444" spans="1:10" x14ac:dyDescent="0.25">
      <c r="A444" t="s">
        <v>877</v>
      </c>
      <c r="B444" t="s">
        <v>170</v>
      </c>
      <c r="C444">
        <v>1247</v>
      </c>
      <c r="D444">
        <v>9999</v>
      </c>
      <c r="E444" s="4">
        <v>-4138777.78</v>
      </c>
      <c r="F444" t="s">
        <v>998</v>
      </c>
      <c r="G444">
        <v>1385</v>
      </c>
      <c r="H444" s="32" t="str">
        <f ca="1">+IF(B444&gt;'sap nuevo'!$V$1,"cargar",IF(C444="","cargar","pagado"))</f>
        <v>cargar</v>
      </c>
      <c r="I444" s="32">
        <f t="shared" si="78"/>
        <v>2025</v>
      </c>
      <c r="J444" s="32">
        <f t="shared" si="79"/>
        <v>6</v>
      </c>
    </row>
    <row r="445" spans="1:10" x14ac:dyDescent="0.25">
      <c r="A445" t="s">
        <v>21</v>
      </c>
      <c r="B445" t="s">
        <v>170</v>
      </c>
      <c r="C445">
        <v>94326849</v>
      </c>
      <c r="D445">
        <v>52</v>
      </c>
      <c r="E445" s="4">
        <v>-3094360</v>
      </c>
      <c r="F445" t="s">
        <v>20</v>
      </c>
      <c r="G445">
        <v>2</v>
      </c>
      <c r="H445" s="32" t="str">
        <f ca="1">+IF(B445&gt;'sap nuevo'!$V$1,"cargar",IF(C445="","cargar","pagado"))</f>
        <v>cargar</v>
      </c>
      <c r="I445" s="32">
        <f t="shared" si="78"/>
        <v>2025</v>
      </c>
      <c r="J445" s="32">
        <f t="shared" si="79"/>
        <v>6</v>
      </c>
    </row>
    <row r="446" spans="1:10" x14ac:dyDescent="0.25">
      <c r="A446" t="s">
        <v>873</v>
      </c>
      <c r="B446" t="s">
        <v>171</v>
      </c>
      <c r="C446">
        <v>1317</v>
      </c>
      <c r="D446">
        <v>9999</v>
      </c>
      <c r="E446" s="4">
        <v>-15000000</v>
      </c>
      <c r="F446" t="s">
        <v>999</v>
      </c>
      <c r="G446">
        <v>3520</v>
      </c>
      <c r="H446" s="32" t="str">
        <f ca="1">+IF(B446&gt;'sap nuevo'!$V$1,"cargar",IF(C446="","cargar","pagado"))</f>
        <v>cargar</v>
      </c>
      <c r="I446" s="32">
        <f t="shared" si="78"/>
        <v>2025</v>
      </c>
      <c r="J446" s="32">
        <f t="shared" si="79"/>
        <v>6</v>
      </c>
    </row>
    <row r="447" spans="1:10" x14ac:dyDescent="0.25">
      <c r="A447" t="s">
        <v>877</v>
      </c>
      <c r="B447" t="s">
        <v>171</v>
      </c>
      <c r="C447">
        <v>1324</v>
      </c>
      <c r="D447">
        <v>9999</v>
      </c>
      <c r="E447" s="4">
        <v>-22000000</v>
      </c>
      <c r="F447" t="s">
        <v>1000</v>
      </c>
      <c r="G447">
        <v>1385</v>
      </c>
      <c r="H447" s="32" t="str">
        <f ca="1">+IF(B447&gt;'sap nuevo'!$V$1,"cargar",IF(C447="","cargar","pagado"))</f>
        <v>cargar</v>
      </c>
      <c r="I447" s="32">
        <f t="shared" si="78"/>
        <v>2025</v>
      </c>
      <c r="J447" s="32">
        <f t="shared" si="79"/>
        <v>6</v>
      </c>
    </row>
    <row r="448" spans="1:10" x14ac:dyDescent="0.25">
      <c r="A448" t="s">
        <v>877</v>
      </c>
      <c r="B448" t="s">
        <v>171</v>
      </c>
      <c r="C448">
        <v>1325</v>
      </c>
      <c r="D448">
        <v>9999</v>
      </c>
      <c r="E448" s="4">
        <v>-20668509.609999999</v>
      </c>
      <c r="F448" t="s">
        <v>1001</v>
      </c>
      <c r="G448">
        <v>1385</v>
      </c>
      <c r="H448" s="32" t="str">
        <f ca="1">+IF(B448&gt;'sap nuevo'!$V$1,"cargar",IF(C448="","cargar","pagado"))</f>
        <v>cargar</v>
      </c>
      <c r="I448" s="32">
        <f t="shared" si="78"/>
        <v>2025</v>
      </c>
      <c r="J448" s="32">
        <f t="shared" si="79"/>
        <v>6</v>
      </c>
    </row>
    <row r="449" spans="1:10" x14ac:dyDescent="0.25">
      <c r="A449" t="s">
        <v>877</v>
      </c>
      <c r="B449" t="s">
        <v>171</v>
      </c>
      <c r="C449">
        <v>1326</v>
      </c>
      <c r="D449">
        <v>9999</v>
      </c>
      <c r="E449" s="4">
        <v>-10296886</v>
      </c>
      <c r="F449" t="s">
        <v>1002</v>
      </c>
      <c r="G449">
        <v>1385</v>
      </c>
      <c r="H449" s="32" t="str">
        <f ca="1">+IF(B449&gt;'sap nuevo'!$V$1,"cargar",IF(C449="","cargar","pagado"))</f>
        <v>cargar</v>
      </c>
      <c r="I449" s="32">
        <f t="shared" si="78"/>
        <v>2025</v>
      </c>
      <c r="J449" s="32">
        <f t="shared" si="79"/>
        <v>6</v>
      </c>
    </row>
    <row r="450" spans="1:10" x14ac:dyDescent="0.25">
      <c r="A450" t="s">
        <v>877</v>
      </c>
      <c r="B450" t="s">
        <v>171</v>
      </c>
      <c r="C450">
        <v>1308</v>
      </c>
      <c r="D450">
        <v>9999</v>
      </c>
      <c r="E450" s="4">
        <v>-10221937.060000001</v>
      </c>
      <c r="F450" t="s">
        <v>1003</v>
      </c>
      <c r="G450">
        <v>1385</v>
      </c>
      <c r="H450" s="32" t="str">
        <f ca="1">+IF(B450&gt;'sap nuevo'!$V$1,"cargar",IF(C450="","cargar","pagado"))</f>
        <v>cargar</v>
      </c>
      <c r="I450" s="32">
        <f t="shared" si="78"/>
        <v>2025</v>
      </c>
      <c r="J450" s="32">
        <f t="shared" si="79"/>
        <v>6</v>
      </c>
    </row>
    <row r="451" spans="1:10" x14ac:dyDescent="0.25">
      <c r="A451" t="s">
        <v>877</v>
      </c>
      <c r="B451" t="s">
        <v>171</v>
      </c>
      <c r="C451">
        <v>1316</v>
      </c>
      <c r="D451">
        <v>9999</v>
      </c>
      <c r="E451" s="4">
        <v>-9740054.5500000007</v>
      </c>
      <c r="F451" t="s">
        <v>1004</v>
      </c>
      <c r="G451">
        <v>1385</v>
      </c>
      <c r="H451" s="32" t="str">
        <f ca="1">+IF(B451&gt;'sap nuevo'!$V$1,"cargar",IF(C451="","cargar","pagado"))</f>
        <v>cargar</v>
      </c>
      <c r="I451" s="32">
        <f t="shared" si="78"/>
        <v>2025</v>
      </c>
      <c r="J451" s="32">
        <f t="shared" si="79"/>
        <v>6</v>
      </c>
    </row>
    <row r="452" spans="1:10" x14ac:dyDescent="0.25">
      <c r="A452" t="s">
        <v>877</v>
      </c>
      <c r="B452" t="s">
        <v>171</v>
      </c>
      <c r="C452">
        <v>1323</v>
      </c>
      <c r="D452">
        <v>9999</v>
      </c>
      <c r="E452" s="4">
        <v>-5700497.5999999996</v>
      </c>
      <c r="F452" t="s">
        <v>1005</v>
      </c>
      <c r="G452">
        <v>1385</v>
      </c>
      <c r="H452" s="32" t="str">
        <f ca="1">+IF(B452&gt;'sap nuevo'!$V$1,"cargar",IF(C452="","cargar","pagado"))</f>
        <v>cargar</v>
      </c>
      <c r="I452" s="32">
        <f t="shared" si="78"/>
        <v>2025</v>
      </c>
      <c r="J452" s="32">
        <f t="shared" si="79"/>
        <v>6</v>
      </c>
    </row>
    <row r="453" spans="1:10" x14ac:dyDescent="0.25">
      <c r="A453" t="s">
        <v>877</v>
      </c>
      <c r="B453" t="s">
        <v>171</v>
      </c>
      <c r="C453">
        <v>1321</v>
      </c>
      <c r="D453">
        <v>9999</v>
      </c>
      <c r="E453" s="4">
        <v>-4387794.96</v>
      </c>
      <c r="F453" t="s">
        <v>1006</v>
      </c>
      <c r="G453">
        <v>1385</v>
      </c>
      <c r="H453" s="32" t="str">
        <f ca="1">+IF(B453&gt;'sap nuevo'!$V$1,"cargar",IF(C453="","cargar","pagado"))</f>
        <v>cargar</v>
      </c>
      <c r="I453" s="32">
        <f t="shared" si="78"/>
        <v>2025</v>
      </c>
      <c r="J453" s="32">
        <f t="shared" si="79"/>
        <v>6</v>
      </c>
    </row>
    <row r="454" spans="1:10" x14ac:dyDescent="0.25">
      <c r="A454" t="s">
        <v>877</v>
      </c>
      <c r="B454" t="s">
        <v>171</v>
      </c>
      <c r="C454">
        <v>1322</v>
      </c>
      <c r="D454">
        <v>9999</v>
      </c>
      <c r="E454" s="4">
        <v>-4178097.48</v>
      </c>
      <c r="F454" t="s">
        <v>1007</v>
      </c>
      <c r="G454">
        <v>1385</v>
      </c>
      <c r="H454" s="32" t="str">
        <f ca="1">+IF(B454&gt;'sap nuevo'!$V$1,"cargar",IF(C454="","cargar","pagado"))</f>
        <v>cargar</v>
      </c>
      <c r="I454" s="32">
        <f t="shared" si="78"/>
        <v>2025</v>
      </c>
      <c r="J454" s="32">
        <f t="shared" si="79"/>
        <v>6</v>
      </c>
    </row>
    <row r="455" spans="1:10" x14ac:dyDescent="0.25">
      <c r="A455" t="s">
        <v>21</v>
      </c>
      <c r="B455" t="s">
        <v>171</v>
      </c>
      <c r="C455">
        <v>94326841</v>
      </c>
      <c r="D455">
        <v>52</v>
      </c>
      <c r="E455" s="4">
        <v>-3000000</v>
      </c>
      <c r="F455" t="s">
        <v>20</v>
      </c>
      <c r="G455">
        <v>2</v>
      </c>
      <c r="H455" s="32" t="str">
        <f ca="1">+IF(B455&gt;'sap nuevo'!$V$1,"cargar",IF(C455="","cargar","pagado"))</f>
        <v>cargar</v>
      </c>
      <c r="I455" s="32">
        <f t="shared" si="78"/>
        <v>2025</v>
      </c>
      <c r="J455" s="32">
        <f t="shared" si="79"/>
        <v>6</v>
      </c>
    </row>
    <row r="456" spans="1:10" x14ac:dyDescent="0.25">
      <c r="A456" t="s">
        <v>873</v>
      </c>
      <c r="B456" t="s">
        <v>172</v>
      </c>
      <c r="C456">
        <v>1336</v>
      </c>
      <c r="D456">
        <v>9999</v>
      </c>
      <c r="E456" s="4">
        <v>-2402209.67</v>
      </c>
      <c r="F456" t="s">
        <v>1008</v>
      </c>
      <c r="G456">
        <v>3520</v>
      </c>
      <c r="H456" s="32" t="str">
        <f ca="1">+IF(B456&gt;'sap nuevo'!$V$1,"cargar",IF(C456="","cargar","pagado"))</f>
        <v>cargar</v>
      </c>
      <c r="I456" s="32">
        <f t="shared" si="78"/>
        <v>2025</v>
      </c>
      <c r="J456" s="32">
        <f t="shared" si="79"/>
        <v>6</v>
      </c>
    </row>
    <row r="457" spans="1:10" x14ac:dyDescent="0.25">
      <c r="A457" t="s">
        <v>877</v>
      </c>
      <c r="B457" t="s">
        <v>172</v>
      </c>
      <c r="C457">
        <v>1332</v>
      </c>
      <c r="D457">
        <v>9999</v>
      </c>
      <c r="E457" s="4">
        <v>-28238867.920000002</v>
      </c>
      <c r="F457" t="s">
        <v>1009</v>
      </c>
      <c r="G457">
        <v>1385</v>
      </c>
      <c r="H457" s="32" t="str">
        <f ca="1">+IF(B457&gt;'sap nuevo'!$V$1,"cargar",IF(C457="","cargar","pagado"))</f>
        <v>cargar</v>
      </c>
      <c r="I457" s="32">
        <f t="shared" si="78"/>
        <v>2025</v>
      </c>
      <c r="J457" s="32">
        <f t="shared" si="79"/>
        <v>6</v>
      </c>
    </row>
    <row r="458" spans="1:10" x14ac:dyDescent="0.25">
      <c r="A458" t="s">
        <v>877</v>
      </c>
      <c r="B458" t="s">
        <v>172</v>
      </c>
      <c r="C458">
        <v>1320</v>
      </c>
      <c r="D458">
        <v>9999</v>
      </c>
      <c r="E458" s="4">
        <v>-8267414.4100000001</v>
      </c>
      <c r="F458" t="s">
        <v>1010</v>
      </c>
      <c r="G458">
        <v>1385</v>
      </c>
      <c r="H458" s="32" t="str">
        <f ca="1">+IF(B458&gt;'sap nuevo'!$V$1,"cargar",IF(C458="","cargar","pagado"))</f>
        <v>cargar</v>
      </c>
      <c r="I458" s="32">
        <f t="shared" ref="I458:I482" si="80">+YEAR(B458)</f>
        <v>2025</v>
      </c>
      <c r="J458" s="32">
        <f t="shared" ref="J458:J482" si="81">+MONTH(B458)</f>
        <v>6</v>
      </c>
    </row>
    <row r="459" spans="1:10" x14ac:dyDescent="0.25">
      <c r="A459" t="s">
        <v>877</v>
      </c>
      <c r="B459" t="s">
        <v>172</v>
      </c>
      <c r="C459">
        <v>1331</v>
      </c>
      <c r="D459">
        <v>9999</v>
      </c>
      <c r="E459" s="4">
        <v>-8054729.7400000002</v>
      </c>
      <c r="F459" t="s">
        <v>1011</v>
      </c>
      <c r="G459">
        <v>1385</v>
      </c>
      <c r="H459" s="32" t="str">
        <f ca="1">+IF(B459&gt;'sap nuevo'!$V$1,"cargar",IF(C459="","cargar","pagado"))</f>
        <v>cargar</v>
      </c>
      <c r="I459" s="32">
        <f t="shared" si="80"/>
        <v>2025</v>
      </c>
      <c r="J459" s="32">
        <f t="shared" si="81"/>
        <v>6</v>
      </c>
    </row>
    <row r="460" spans="1:10" x14ac:dyDescent="0.25">
      <c r="A460" t="s">
        <v>877</v>
      </c>
      <c r="B460" t="s">
        <v>172</v>
      </c>
      <c r="C460">
        <v>1334</v>
      </c>
      <c r="D460">
        <v>9999</v>
      </c>
      <c r="E460" s="4">
        <v>-7230530.2599999998</v>
      </c>
      <c r="F460" t="s">
        <v>1012</v>
      </c>
      <c r="G460">
        <v>1385</v>
      </c>
      <c r="H460" s="32" t="str">
        <f ca="1">+IF(B460&gt;'sap nuevo'!$V$1,"cargar",IF(C460="","cargar","pagado"))</f>
        <v>cargar</v>
      </c>
      <c r="I460" s="32">
        <f t="shared" si="80"/>
        <v>2025</v>
      </c>
      <c r="J460" s="32">
        <f t="shared" si="81"/>
        <v>6</v>
      </c>
    </row>
    <row r="461" spans="1:10" x14ac:dyDescent="0.25">
      <c r="A461" t="s">
        <v>877</v>
      </c>
      <c r="B461" t="s">
        <v>172</v>
      </c>
      <c r="C461">
        <v>1329</v>
      </c>
      <c r="D461">
        <v>9999</v>
      </c>
      <c r="E461" s="4">
        <v>-7018095.9199999999</v>
      </c>
      <c r="F461" t="s">
        <v>1013</v>
      </c>
      <c r="G461">
        <v>1385</v>
      </c>
      <c r="H461" s="32" t="str">
        <f ca="1">+IF(B461&gt;'sap nuevo'!$V$1,"cargar",IF(C461="","cargar","pagado"))</f>
        <v>cargar</v>
      </c>
      <c r="I461" s="32">
        <f t="shared" si="80"/>
        <v>2025</v>
      </c>
      <c r="J461" s="32">
        <f t="shared" si="81"/>
        <v>6</v>
      </c>
    </row>
    <row r="462" spans="1:10" x14ac:dyDescent="0.25">
      <c r="A462" t="s">
        <v>877</v>
      </c>
      <c r="B462" t="s">
        <v>172</v>
      </c>
      <c r="C462">
        <v>1330</v>
      </c>
      <c r="D462">
        <v>9999</v>
      </c>
      <c r="E462" s="4">
        <v>-4018981.05</v>
      </c>
      <c r="F462" t="s">
        <v>1014</v>
      </c>
      <c r="G462">
        <v>1385</v>
      </c>
      <c r="H462" s="32" t="str">
        <f ca="1">+IF(B462&gt;'sap nuevo'!$V$1,"cargar",IF(C462="","cargar","pagado"))</f>
        <v>cargar</v>
      </c>
      <c r="I462" s="32">
        <f t="shared" si="80"/>
        <v>2025</v>
      </c>
      <c r="J462" s="32">
        <f t="shared" si="81"/>
        <v>6</v>
      </c>
    </row>
    <row r="463" spans="1:10" x14ac:dyDescent="0.25">
      <c r="A463" t="s">
        <v>877</v>
      </c>
      <c r="B463" t="s">
        <v>172</v>
      </c>
      <c r="C463">
        <v>1340</v>
      </c>
      <c r="D463">
        <v>9999</v>
      </c>
      <c r="E463" s="4">
        <v>-3258808.3</v>
      </c>
      <c r="F463" t="s">
        <v>1015</v>
      </c>
      <c r="G463">
        <v>1385</v>
      </c>
      <c r="H463" s="32" t="str">
        <f ca="1">+IF(B463&gt;'sap nuevo'!$V$1,"cargar",IF(C463="","cargar","pagado"))</f>
        <v>cargar</v>
      </c>
      <c r="I463" s="32">
        <f t="shared" si="80"/>
        <v>2025</v>
      </c>
      <c r="J463" s="32">
        <f t="shared" si="81"/>
        <v>6</v>
      </c>
    </row>
    <row r="464" spans="1:10" x14ac:dyDescent="0.25">
      <c r="A464" t="s">
        <v>877</v>
      </c>
      <c r="B464" t="s">
        <v>172</v>
      </c>
      <c r="C464">
        <v>1341</v>
      </c>
      <c r="D464">
        <v>9999</v>
      </c>
      <c r="E464" s="4">
        <v>-3158687.5</v>
      </c>
      <c r="F464" t="s">
        <v>1016</v>
      </c>
      <c r="G464">
        <v>1385</v>
      </c>
      <c r="H464" s="32" t="str">
        <f ca="1">+IF(B464&gt;'sap nuevo'!$V$1,"cargar",IF(C464="","cargar","pagado"))</f>
        <v>cargar</v>
      </c>
      <c r="I464" s="32">
        <f t="shared" si="80"/>
        <v>2025</v>
      </c>
      <c r="J464" s="32">
        <f t="shared" si="81"/>
        <v>6</v>
      </c>
    </row>
    <row r="465" spans="1:10" x14ac:dyDescent="0.25">
      <c r="A465" t="s">
        <v>877</v>
      </c>
      <c r="B465" t="s">
        <v>172</v>
      </c>
      <c r="C465">
        <v>1339</v>
      </c>
      <c r="D465">
        <v>9999</v>
      </c>
      <c r="E465" s="4">
        <v>-3003338.5</v>
      </c>
      <c r="F465" t="s">
        <v>1017</v>
      </c>
      <c r="G465">
        <v>1385</v>
      </c>
      <c r="H465" s="32" t="str">
        <f ca="1">+IF(B465&gt;'sap nuevo'!$V$1,"cargar",IF(C465="","cargar","pagado"))</f>
        <v>cargar</v>
      </c>
      <c r="I465" s="32">
        <f t="shared" si="80"/>
        <v>2025</v>
      </c>
      <c r="J465" s="32">
        <f t="shared" si="81"/>
        <v>6</v>
      </c>
    </row>
    <row r="466" spans="1:10" x14ac:dyDescent="0.25">
      <c r="A466" t="s">
        <v>877</v>
      </c>
      <c r="B466" t="s">
        <v>172</v>
      </c>
      <c r="C466">
        <v>1327</v>
      </c>
      <c r="D466">
        <v>9999</v>
      </c>
      <c r="E466" s="4">
        <v>-2958892.92</v>
      </c>
      <c r="F466" t="s">
        <v>1018</v>
      </c>
      <c r="G466">
        <v>1385</v>
      </c>
      <c r="H466" s="32" t="str">
        <f ca="1">+IF(B466&gt;'sap nuevo'!$V$1,"cargar",IF(C466="","cargar","pagado"))</f>
        <v>cargar</v>
      </c>
      <c r="I466" s="32">
        <f t="shared" si="80"/>
        <v>2025</v>
      </c>
      <c r="J466" s="32">
        <f t="shared" si="81"/>
        <v>6</v>
      </c>
    </row>
    <row r="467" spans="1:10" x14ac:dyDescent="0.25">
      <c r="A467" t="s">
        <v>877</v>
      </c>
      <c r="B467" t="s">
        <v>173</v>
      </c>
      <c r="C467">
        <v>1335</v>
      </c>
      <c r="D467">
        <v>9999</v>
      </c>
      <c r="E467" s="4">
        <v>-2500204.92</v>
      </c>
      <c r="F467" t="s">
        <v>1019</v>
      </c>
      <c r="G467">
        <v>1385</v>
      </c>
      <c r="H467" s="32" t="str">
        <f ca="1">+IF(B467&gt;'sap nuevo'!$V$1,"cargar",IF(C467="","cargar","pagado"))</f>
        <v>cargar</v>
      </c>
      <c r="I467" s="32">
        <f t="shared" si="80"/>
        <v>2025</v>
      </c>
      <c r="J467" s="32">
        <f t="shared" si="81"/>
        <v>6</v>
      </c>
    </row>
    <row r="468" spans="1:10" x14ac:dyDescent="0.25">
      <c r="A468" t="s">
        <v>877</v>
      </c>
      <c r="B468" t="s">
        <v>173</v>
      </c>
      <c r="C468">
        <v>1338</v>
      </c>
      <c r="D468">
        <v>9999</v>
      </c>
      <c r="E468" s="4">
        <v>-2437827.3199999998</v>
      </c>
      <c r="F468" t="s">
        <v>1020</v>
      </c>
      <c r="G468">
        <v>1385</v>
      </c>
      <c r="H468" s="32" t="str">
        <f ca="1">+IF(B468&gt;'sap nuevo'!$V$1,"cargar",IF(C468="","cargar","pagado"))</f>
        <v>cargar</v>
      </c>
      <c r="I468" s="32">
        <f t="shared" si="80"/>
        <v>2025</v>
      </c>
      <c r="J468" s="32">
        <f t="shared" si="81"/>
        <v>6</v>
      </c>
    </row>
    <row r="469" spans="1:10" x14ac:dyDescent="0.25">
      <c r="A469" t="s">
        <v>21</v>
      </c>
      <c r="B469" t="s">
        <v>173</v>
      </c>
      <c r="C469">
        <v>94326831</v>
      </c>
      <c r="D469">
        <v>52</v>
      </c>
      <c r="E469" s="4">
        <v>-3900000</v>
      </c>
      <c r="F469" t="s">
        <v>20</v>
      </c>
      <c r="G469">
        <v>2</v>
      </c>
      <c r="H469" s="32" t="str">
        <f ca="1">+IF(B469&gt;'sap nuevo'!$V$1,"cargar",IF(C469="","cargar","pagado"))</f>
        <v>cargar</v>
      </c>
      <c r="I469" s="32">
        <f t="shared" si="80"/>
        <v>2025</v>
      </c>
      <c r="J469" s="32">
        <f t="shared" si="81"/>
        <v>6</v>
      </c>
    </row>
    <row r="470" spans="1:10" x14ac:dyDescent="0.25">
      <c r="A470" t="s">
        <v>873</v>
      </c>
      <c r="B470" t="s">
        <v>174</v>
      </c>
      <c r="C470">
        <v>1365</v>
      </c>
      <c r="D470">
        <v>9999</v>
      </c>
      <c r="E470" s="4">
        <v>-12294522.08</v>
      </c>
      <c r="F470" t="s">
        <v>1021</v>
      </c>
      <c r="G470">
        <v>3520</v>
      </c>
      <c r="H470" s="32" t="str">
        <f ca="1">+IF(B470&gt;'sap nuevo'!$V$1,"cargar",IF(C470="","cargar","pagado"))</f>
        <v>cargar</v>
      </c>
      <c r="I470" s="32">
        <f t="shared" si="80"/>
        <v>2025</v>
      </c>
      <c r="J470" s="32">
        <f t="shared" si="81"/>
        <v>6</v>
      </c>
    </row>
    <row r="471" spans="1:10" x14ac:dyDescent="0.25">
      <c r="A471" t="s">
        <v>873</v>
      </c>
      <c r="B471" t="s">
        <v>174</v>
      </c>
      <c r="C471">
        <v>1345</v>
      </c>
      <c r="D471">
        <v>9999</v>
      </c>
      <c r="E471" s="4">
        <v>-1111712</v>
      </c>
      <c r="F471" t="s">
        <v>1022</v>
      </c>
      <c r="G471">
        <v>3520</v>
      </c>
      <c r="H471" s="32" t="str">
        <f ca="1">+IF(B471&gt;'sap nuevo'!$V$1,"cargar",IF(C471="","cargar","pagado"))</f>
        <v>cargar</v>
      </c>
      <c r="I471" s="32">
        <f t="shared" si="80"/>
        <v>2025</v>
      </c>
      <c r="J471" s="32">
        <f t="shared" si="81"/>
        <v>6</v>
      </c>
    </row>
    <row r="472" spans="1:10" x14ac:dyDescent="0.25">
      <c r="A472" t="s">
        <v>877</v>
      </c>
      <c r="B472" t="s">
        <v>174</v>
      </c>
      <c r="C472">
        <v>1360</v>
      </c>
      <c r="D472">
        <v>9999</v>
      </c>
      <c r="E472" s="4">
        <v>-17000000</v>
      </c>
      <c r="F472" t="s">
        <v>1023</v>
      </c>
      <c r="G472">
        <v>1385</v>
      </c>
      <c r="H472" s="32" t="str">
        <f ca="1">+IF(B472&gt;'sap nuevo'!$V$1,"cargar",IF(C472="","cargar","pagado"))</f>
        <v>cargar</v>
      </c>
      <c r="I472" s="32">
        <f t="shared" si="80"/>
        <v>2025</v>
      </c>
      <c r="J472" s="32">
        <f t="shared" si="81"/>
        <v>6</v>
      </c>
    </row>
    <row r="473" spans="1:10" x14ac:dyDescent="0.25">
      <c r="A473" t="s">
        <v>877</v>
      </c>
      <c r="B473" t="s">
        <v>174</v>
      </c>
      <c r="C473">
        <v>1358</v>
      </c>
      <c r="D473">
        <v>9999</v>
      </c>
      <c r="E473" s="4">
        <v>-15000000</v>
      </c>
      <c r="F473" t="s">
        <v>1024</v>
      </c>
      <c r="G473">
        <v>1385</v>
      </c>
      <c r="H473" s="32" t="str">
        <f ca="1">+IF(B473&gt;'sap nuevo'!$V$1,"cargar",IF(C473="","cargar","pagado"))</f>
        <v>cargar</v>
      </c>
      <c r="I473" s="32">
        <f t="shared" si="80"/>
        <v>2025</v>
      </c>
      <c r="J473" s="32">
        <f t="shared" si="81"/>
        <v>6</v>
      </c>
    </row>
    <row r="474" spans="1:10" x14ac:dyDescent="0.25">
      <c r="A474" t="s">
        <v>877</v>
      </c>
      <c r="B474" t="s">
        <v>174</v>
      </c>
      <c r="C474">
        <v>1362</v>
      </c>
      <c r="D474">
        <v>9999</v>
      </c>
      <c r="E474" s="4">
        <v>-11000000</v>
      </c>
      <c r="F474" t="s">
        <v>1025</v>
      </c>
      <c r="G474">
        <v>1385</v>
      </c>
      <c r="H474" s="32" t="str">
        <f ca="1">+IF(B474&gt;'sap nuevo'!$V$1,"cargar",IF(C474="","cargar","pagado"))</f>
        <v>cargar</v>
      </c>
      <c r="I474" s="32">
        <f t="shared" si="80"/>
        <v>2025</v>
      </c>
      <c r="J474" s="32">
        <f t="shared" si="81"/>
        <v>6</v>
      </c>
    </row>
    <row r="475" spans="1:10" x14ac:dyDescent="0.25">
      <c r="A475" t="s">
        <v>877</v>
      </c>
      <c r="B475" t="s">
        <v>174</v>
      </c>
      <c r="C475">
        <v>1348</v>
      </c>
      <c r="D475">
        <v>9999</v>
      </c>
      <c r="E475" s="4">
        <v>-8377145</v>
      </c>
      <c r="F475" t="s">
        <v>1026</v>
      </c>
      <c r="G475">
        <v>1385</v>
      </c>
      <c r="H475" s="32" t="str">
        <f ca="1">+IF(B475&gt;'sap nuevo'!$V$1,"cargar",IF(C475="","cargar","pagado"))</f>
        <v>cargar</v>
      </c>
      <c r="I475" s="32">
        <f t="shared" si="80"/>
        <v>2025</v>
      </c>
      <c r="J475" s="32">
        <f t="shared" si="81"/>
        <v>6</v>
      </c>
    </row>
    <row r="476" spans="1:10" x14ac:dyDescent="0.25">
      <c r="A476" t="s">
        <v>877</v>
      </c>
      <c r="B476" t="s">
        <v>174</v>
      </c>
      <c r="C476">
        <v>1350</v>
      </c>
      <c r="D476">
        <v>9999</v>
      </c>
      <c r="E476" s="4">
        <v>-6150000</v>
      </c>
      <c r="F476" t="s">
        <v>1027</v>
      </c>
      <c r="G476">
        <v>1385</v>
      </c>
      <c r="H476" s="32" t="str">
        <f ca="1">+IF(B476&gt;'sap nuevo'!$V$1,"cargar",IF(C476="","cargar","pagado"))</f>
        <v>cargar</v>
      </c>
      <c r="I476" s="32">
        <f t="shared" si="80"/>
        <v>2025</v>
      </c>
      <c r="J476" s="32">
        <f t="shared" si="81"/>
        <v>6</v>
      </c>
    </row>
    <row r="477" spans="1:10" x14ac:dyDescent="0.25">
      <c r="A477" t="s">
        <v>877</v>
      </c>
      <c r="B477" t="s">
        <v>174</v>
      </c>
      <c r="C477">
        <v>1343</v>
      </c>
      <c r="D477">
        <v>9999</v>
      </c>
      <c r="E477" s="4">
        <v>-5730784.9699999997</v>
      </c>
      <c r="F477" t="s">
        <v>1028</v>
      </c>
      <c r="G477">
        <v>1385</v>
      </c>
      <c r="H477" s="32" t="str">
        <f ca="1">+IF(B477&gt;'sap nuevo'!$V$1,"cargar",IF(C477="","cargar","pagado"))</f>
        <v>cargar</v>
      </c>
      <c r="I477" s="32">
        <f t="shared" si="80"/>
        <v>2025</v>
      </c>
      <c r="J477" s="32">
        <f t="shared" si="81"/>
        <v>6</v>
      </c>
    </row>
    <row r="478" spans="1:10" x14ac:dyDescent="0.25">
      <c r="A478" t="s">
        <v>877</v>
      </c>
      <c r="B478" t="s">
        <v>174</v>
      </c>
      <c r="C478">
        <v>1364</v>
      </c>
      <c r="D478">
        <v>9999</v>
      </c>
      <c r="E478" s="4">
        <v>-4316064.2</v>
      </c>
      <c r="F478" t="s">
        <v>1029</v>
      </c>
      <c r="G478">
        <v>1385</v>
      </c>
      <c r="H478" s="32" t="str">
        <f ca="1">+IF(B478&gt;'sap nuevo'!$V$1,"cargar",IF(C478="","cargar","pagado"))</f>
        <v>cargar</v>
      </c>
      <c r="I478" s="32">
        <f t="shared" si="80"/>
        <v>2025</v>
      </c>
      <c r="J478" s="32">
        <f t="shared" si="81"/>
        <v>6</v>
      </c>
    </row>
    <row r="479" spans="1:10" x14ac:dyDescent="0.25">
      <c r="A479" t="s">
        <v>877</v>
      </c>
      <c r="B479" t="s">
        <v>174</v>
      </c>
      <c r="C479">
        <v>1353</v>
      </c>
      <c r="D479">
        <v>9999</v>
      </c>
      <c r="E479" s="4">
        <v>-3354900</v>
      </c>
      <c r="F479" t="s">
        <v>1030</v>
      </c>
      <c r="G479">
        <v>1385</v>
      </c>
      <c r="H479" s="32" t="str">
        <f ca="1">+IF(B479&gt;'sap nuevo'!$V$1,"cargar",IF(C479="","cargar","pagado"))</f>
        <v>cargar</v>
      </c>
      <c r="I479" s="32">
        <f t="shared" si="80"/>
        <v>2025</v>
      </c>
      <c r="J479" s="32">
        <f t="shared" si="81"/>
        <v>6</v>
      </c>
    </row>
    <row r="480" spans="1:10" x14ac:dyDescent="0.25">
      <c r="A480" t="s">
        <v>877</v>
      </c>
      <c r="B480" t="s">
        <v>174</v>
      </c>
      <c r="C480">
        <v>1352</v>
      </c>
      <c r="D480">
        <v>9999</v>
      </c>
      <c r="E480" s="4">
        <v>-2555000</v>
      </c>
      <c r="F480" t="s">
        <v>1031</v>
      </c>
      <c r="G480">
        <v>1385</v>
      </c>
      <c r="H480" s="32" t="str">
        <f ca="1">+IF(B480&gt;'sap nuevo'!$V$1,"cargar",IF(C480="","cargar","pagado"))</f>
        <v>cargar</v>
      </c>
      <c r="I480" s="32">
        <f t="shared" si="80"/>
        <v>2025</v>
      </c>
      <c r="J480" s="32">
        <f t="shared" si="81"/>
        <v>6</v>
      </c>
    </row>
    <row r="481" spans="1:10" x14ac:dyDescent="0.25">
      <c r="A481" t="s">
        <v>877</v>
      </c>
      <c r="B481" t="s">
        <v>174</v>
      </c>
      <c r="C481">
        <v>1333</v>
      </c>
      <c r="D481">
        <v>9999</v>
      </c>
      <c r="E481" s="4">
        <v>-2122166.35</v>
      </c>
      <c r="F481" t="s">
        <v>1032</v>
      </c>
      <c r="G481">
        <v>1385</v>
      </c>
      <c r="H481" s="32" t="str">
        <f ca="1">+IF(B481&gt;'sap nuevo'!$V$1,"cargar",IF(C481="","cargar","pagado"))</f>
        <v>cargar</v>
      </c>
      <c r="I481" s="32">
        <f t="shared" si="80"/>
        <v>2025</v>
      </c>
      <c r="J481" s="32">
        <f t="shared" si="81"/>
        <v>6</v>
      </c>
    </row>
    <row r="482" spans="1:10" x14ac:dyDescent="0.25">
      <c r="A482" t="s">
        <v>877</v>
      </c>
      <c r="B482" t="s">
        <v>174</v>
      </c>
      <c r="C482">
        <v>1351</v>
      </c>
      <c r="D482">
        <v>9999</v>
      </c>
      <c r="E482" s="4">
        <v>-1530610</v>
      </c>
      <c r="F482" t="s">
        <v>1033</v>
      </c>
      <c r="G482">
        <v>1385</v>
      </c>
      <c r="H482" s="32" t="str">
        <f ca="1">+IF(B482&gt;'sap nuevo'!$V$1,"cargar",IF(C482="","cargar","pagado"))</f>
        <v>cargar</v>
      </c>
      <c r="I482" s="32">
        <f t="shared" si="80"/>
        <v>2025</v>
      </c>
      <c r="J482" s="32">
        <f t="shared" si="81"/>
        <v>6</v>
      </c>
    </row>
    <row r="483" spans="1:10" x14ac:dyDescent="0.25">
      <c r="A483" t="s">
        <v>873</v>
      </c>
      <c r="B483" t="s">
        <v>175</v>
      </c>
      <c r="C483">
        <v>1318</v>
      </c>
      <c r="D483">
        <v>9999</v>
      </c>
      <c r="E483" s="4">
        <v>-15000000</v>
      </c>
      <c r="F483" t="s">
        <v>1034</v>
      </c>
      <c r="G483">
        <v>3520</v>
      </c>
      <c r="H483" s="32" t="str">
        <f ca="1">+IF(B483&gt;'sap nuevo'!$V$1,"cargar",IF(C483="","cargar","pagado"))</f>
        <v>cargar</v>
      </c>
      <c r="I483" s="32">
        <f t="shared" ref="I483:I504" si="82">+YEAR(B483)</f>
        <v>2025</v>
      </c>
      <c r="J483" s="32">
        <f t="shared" ref="J483:J504" si="83">+MONTH(B483)</f>
        <v>6</v>
      </c>
    </row>
    <row r="484" spans="1:10" x14ac:dyDescent="0.25">
      <c r="A484" t="s">
        <v>877</v>
      </c>
      <c r="B484" t="s">
        <v>175</v>
      </c>
      <c r="C484">
        <v>1368</v>
      </c>
      <c r="D484">
        <v>9999</v>
      </c>
      <c r="E484" s="4">
        <v>-22000000</v>
      </c>
      <c r="F484" t="s">
        <v>1035</v>
      </c>
      <c r="G484">
        <v>1385</v>
      </c>
      <c r="H484" s="32" t="str">
        <f ca="1">+IF(B484&gt;'sap nuevo'!$V$1,"cargar",IF(C484="","cargar","pagado"))</f>
        <v>cargar</v>
      </c>
      <c r="I484" s="32">
        <f t="shared" si="82"/>
        <v>2025</v>
      </c>
      <c r="J484" s="32">
        <f t="shared" si="83"/>
        <v>6</v>
      </c>
    </row>
    <row r="485" spans="1:10" x14ac:dyDescent="0.25">
      <c r="A485" t="s">
        <v>877</v>
      </c>
      <c r="B485" t="s">
        <v>175</v>
      </c>
      <c r="C485">
        <v>1370</v>
      </c>
      <c r="D485">
        <v>9999</v>
      </c>
      <c r="E485" s="4">
        <v>-20000000</v>
      </c>
      <c r="F485" t="s">
        <v>1036</v>
      </c>
      <c r="G485">
        <v>1385</v>
      </c>
      <c r="H485" s="32" t="str">
        <f ca="1">+IF(B485&gt;'sap nuevo'!$V$1,"cargar",IF(C485="","cargar","pagado"))</f>
        <v>cargar</v>
      </c>
      <c r="I485" s="32">
        <f t="shared" si="82"/>
        <v>2025</v>
      </c>
      <c r="J485" s="32">
        <f t="shared" si="83"/>
        <v>6</v>
      </c>
    </row>
    <row r="486" spans="1:10" x14ac:dyDescent="0.25">
      <c r="A486" t="s">
        <v>877</v>
      </c>
      <c r="B486" t="s">
        <v>175</v>
      </c>
      <c r="C486">
        <v>1361</v>
      </c>
      <c r="D486">
        <v>9999</v>
      </c>
      <c r="E486" s="4">
        <v>-17845578.190000001</v>
      </c>
      <c r="F486" t="s">
        <v>1037</v>
      </c>
      <c r="G486">
        <v>1385</v>
      </c>
      <c r="H486" s="32" t="str">
        <f ca="1">+IF(B486&gt;'sap nuevo'!$V$1,"cargar",IF(C486="","cargar","pagado"))</f>
        <v>cargar</v>
      </c>
      <c r="I486" s="32">
        <f t="shared" si="82"/>
        <v>2025</v>
      </c>
      <c r="J486" s="32">
        <f t="shared" si="83"/>
        <v>6</v>
      </c>
    </row>
    <row r="487" spans="1:10" x14ac:dyDescent="0.25">
      <c r="A487" t="s">
        <v>877</v>
      </c>
      <c r="B487" t="s">
        <v>175</v>
      </c>
      <c r="C487">
        <v>1359</v>
      </c>
      <c r="D487">
        <v>9999</v>
      </c>
      <c r="E487" s="4">
        <v>-14192776.15</v>
      </c>
      <c r="F487" t="s">
        <v>1038</v>
      </c>
      <c r="G487">
        <v>1385</v>
      </c>
      <c r="H487" s="32" t="str">
        <f ca="1">+IF(B487&gt;'sap nuevo'!$V$1,"cargar",IF(C487="","cargar","pagado"))</f>
        <v>cargar</v>
      </c>
      <c r="I487" s="32">
        <f t="shared" si="82"/>
        <v>2025</v>
      </c>
      <c r="J487" s="32">
        <f t="shared" si="83"/>
        <v>6</v>
      </c>
    </row>
    <row r="488" spans="1:10" x14ac:dyDescent="0.25">
      <c r="A488" t="s">
        <v>877</v>
      </c>
      <c r="B488" t="s">
        <v>175</v>
      </c>
      <c r="C488">
        <v>1357</v>
      </c>
      <c r="D488">
        <v>9999</v>
      </c>
      <c r="E488" s="4">
        <v>-11377284.92</v>
      </c>
      <c r="F488" t="s">
        <v>1039</v>
      </c>
      <c r="G488">
        <v>1385</v>
      </c>
      <c r="H488" s="32" t="str">
        <f ca="1">+IF(B488&gt;'sap nuevo'!$V$1,"cargar",IF(C488="","cargar","pagado"))</f>
        <v>cargar</v>
      </c>
      <c r="I488" s="32">
        <f t="shared" si="82"/>
        <v>2025</v>
      </c>
      <c r="J488" s="32">
        <f t="shared" si="83"/>
        <v>6</v>
      </c>
    </row>
    <row r="489" spans="1:10" x14ac:dyDescent="0.25">
      <c r="A489" t="s">
        <v>877</v>
      </c>
      <c r="B489" t="s">
        <v>175</v>
      </c>
      <c r="C489">
        <v>1363</v>
      </c>
      <c r="D489">
        <v>9999</v>
      </c>
      <c r="E489" s="4">
        <v>-11086105.07</v>
      </c>
      <c r="F489" t="s">
        <v>1040</v>
      </c>
      <c r="G489">
        <v>1385</v>
      </c>
      <c r="H489" s="32" t="str">
        <f ca="1">+IF(B489&gt;'sap nuevo'!$V$1,"cargar",IF(C489="","cargar","pagado"))</f>
        <v>cargar</v>
      </c>
      <c r="I489" s="32">
        <f t="shared" si="82"/>
        <v>2025</v>
      </c>
      <c r="J489" s="32">
        <f t="shared" si="83"/>
        <v>6</v>
      </c>
    </row>
    <row r="490" spans="1:10" x14ac:dyDescent="0.25">
      <c r="A490" t="s">
        <v>877</v>
      </c>
      <c r="B490" t="s">
        <v>175</v>
      </c>
      <c r="C490">
        <v>1356</v>
      </c>
      <c r="D490">
        <v>9999</v>
      </c>
      <c r="E490" s="4">
        <v>-10000000</v>
      </c>
      <c r="F490" t="s">
        <v>1041</v>
      </c>
      <c r="G490">
        <v>1385</v>
      </c>
      <c r="H490" s="32" t="str">
        <f ca="1">+IF(B490&gt;'sap nuevo'!$V$1,"cargar",IF(C490="","cargar","pagado"))</f>
        <v>cargar</v>
      </c>
      <c r="I490" s="32">
        <f t="shared" si="82"/>
        <v>2025</v>
      </c>
      <c r="J490" s="32">
        <f t="shared" si="83"/>
        <v>6</v>
      </c>
    </row>
    <row r="491" spans="1:10" x14ac:dyDescent="0.25">
      <c r="A491" t="s">
        <v>877</v>
      </c>
      <c r="B491" t="s">
        <v>175</v>
      </c>
      <c r="C491">
        <v>1367</v>
      </c>
      <c r="D491">
        <v>9999</v>
      </c>
      <c r="E491" s="4">
        <v>-4434292.0999999996</v>
      </c>
      <c r="F491" t="s">
        <v>1042</v>
      </c>
      <c r="G491">
        <v>1385</v>
      </c>
      <c r="H491" s="32" t="str">
        <f ca="1">+IF(B491&gt;'sap nuevo'!$V$1,"cargar",IF(C491="","cargar","pagado"))</f>
        <v>cargar</v>
      </c>
      <c r="I491" s="32">
        <f t="shared" si="82"/>
        <v>2025</v>
      </c>
      <c r="J491" s="32">
        <f t="shared" si="83"/>
        <v>6</v>
      </c>
    </row>
    <row r="492" spans="1:10" x14ac:dyDescent="0.25">
      <c r="A492" t="s">
        <v>877</v>
      </c>
      <c r="B492" t="s">
        <v>175</v>
      </c>
      <c r="C492">
        <v>1349</v>
      </c>
      <c r="D492">
        <v>9999</v>
      </c>
      <c r="E492" s="4">
        <v>-4329071</v>
      </c>
      <c r="F492" t="s">
        <v>1043</v>
      </c>
      <c r="G492">
        <v>1385</v>
      </c>
      <c r="H492" s="32" t="str">
        <f ca="1">+IF(B492&gt;'sap nuevo'!$V$1,"cargar",IF(C492="","cargar","pagado"))</f>
        <v>cargar</v>
      </c>
      <c r="I492" s="32">
        <f t="shared" si="82"/>
        <v>2025</v>
      </c>
      <c r="J492" s="32">
        <f t="shared" si="83"/>
        <v>6</v>
      </c>
    </row>
    <row r="493" spans="1:10" x14ac:dyDescent="0.25">
      <c r="A493" t="s">
        <v>877</v>
      </c>
      <c r="B493" t="s">
        <v>175</v>
      </c>
      <c r="C493">
        <v>1344</v>
      </c>
      <c r="D493">
        <v>9999</v>
      </c>
      <c r="E493" s="4">
        <v>-1911957</v>
      </c>
      <c r="F493" t="s">
        <v>1044</v>
      </c>
      <c r="G493">
        <v>1385</v>
      </c>
      <c r="H493" s="32" t="str">
        <f ca="1">+IF(B493&gt;'sap nuevo'!$V$1,"cargar",IF(C493="","cargar","pagado"))</f>
        <v>cargar</v>
      </c>
      <c r="I493" s="32">
        <f t="shared" si="82"/>
        <v>2025</v>
      </c>
      <c r="J493" s="32">
        <f t="shared" si="83"/>
        <v>6</v>
      </c>
    </row>
    <row r="494" spans="1:10" x14ac:dyDescent="0.25">
      <c r="A494" t="s">
        <v>23</v>
      </c>
      <c r="B494" t="s">
        <v>175</v>
      </c>
      <c r="C494">
        <v>94326852</v>
      </c>
      <c r="D494">
        <v>52</v>
      </c>
      <c r="E494" s="4">
        <v>-1600000</v>
      </c>
      <c r="F494" t="s">
        <v>24</v>
      </c>
      <c r="G494">
        <v>5</v>
      </c>
      <c r="H494" s="32" t="str">
        <f ca="1">+IF(B494&gt;'sap nuevo'!$V$1,"cargar",IF(C494="","cargar","pagado"))</f>
        <v>cargar</v>
      </c>
      <c r="I494" s="32">
        <f t="shared" si="82"/>
        <v>2025</v>
      </c>
      <c r="J494" s="32">
        <f t="shared" si="83"/>
        <v>6</v>
      </c>
    </row>
    <row r="495" spans="1:10" x14ac:dyDescent="0.25">
      <c r="A495" t="s">
        <v>23</v>
      </c>
      <c r="B495" t="s">
        <v>175</v>
      </c>
      <c r="C495">
        <v>94326851</v>
      </c>
      <c r="D495">
        <v>52</v>
      </c>
      <c r="E495" s="4">
        <v>-759814</v>
      </c>
      <c r="F495" t="s">
        <v>24</v>
      </c>
      <c r="G495">
        <v>5</v>
      </c>
      <c r="H495" s="32" t="str">
        <f ca="1">+IF(B495&gt;'sap nuevo'!$V$1,"cargar",IF(C495="","cargar","pagado"))</f>
        <v>cargar</v>
      </c>
      <c r="I495" s="32">
        <f t="shared" si="82"/>
        <v>2025</v>
      </c>
      <c r="J495" s="32">
        <f t="shared" si="83"/>
        <v>6</v>
      </c>
    </row>
    <row r="496" spans="1:10" x14ac:dyDescent="0.25">
      <c r="A496" t="s">
        <v>873</v>
      </c>
      <c r="B496" t="s">
        <v>177</v>
      </c>
      <c r="C496">
        <v>1319</v>
      </c>
      <c r="D496">
        <v>9999</v>
      </c>
      <c r="E496" s="4">
        <v>-11500244.5</v>
      </c>
      <c r="F496" t="s">
        <v>1045</v>
      </c>
      <c r="G496">
        <v>3520</v>
      </c>
      <c r="H496" s="32" t="str">
        <f ca="1">+IF(B496&gt;'sap nuevo'!$V$1,"cargar",IF(C496="","cargar","pagado"))</f>
        <v>cargar</v>
      </c>
      <c r="I496" s="32">
        <f t="shared" si="82"/>
        <v>2025</v>
      </c>
      <c r="J496" s="32">
        <f t="shared" si="83"/>
        <v>6</v>
      </c>
    </row>
    <row r="497" spans="1:10" x14ac:dyDescent="0.25">
      <c r="A497" t="s">
        <v>873</v>
      </c>
      <c r="B497" t="s">
        <v>178</v>
      </c>
      <c r="C497">
        <v>1380</v>
      </c>
      <c r="D497">
        <v>9999</v>
      </c>
      <c r="E497" s="4">
        <v>-24563659.02</v>
      </c>
      <c r="F497" t="s">
        <v>1046</v>
      </c>
      <c r="G497">
        <v>3520</v>
      </c>
      <c r="H497" s="32" t="str">
        <f ca="1">+IF(B497&gt;'sap nuevo'!$V$1,"cargar",IF(C497="","cargar","pagado"))</f>
        <v>cargar</v>
      </c>
      <c r="I497" s="32">
        <f t="shared" si="82"/>
        <v>2025</v>
      </c>
      <c r="J497" s="32">
        <f t="shared" si="83"/>
        <v>6</v>
      </c>
    </row>
    <row r="498" spans="1:10" x14ac:dyDescent="0.25">
      <c r="A498" t="s">
        <v>873</v>
      </c>
      <c r="B498" t="s">
        <v>178</v>
      </c>
      <c r="C498">
        <v>1372</v>
      </c>
      <c r="D498">
        <v>9999</v>
      </c>
      <c r="E498" s="4">
        <v>-19774783.579999998</v>
      </c>
      <c r="F498" t="s">
        <v>1047</v>
      </c>
      <c r="G498">
        <v>3520</v>
      </c>
      <c r="H498" s="32" t="str">
        <f ca="1">+IF(B498&gt;'sap nuevo'!$V$1,"cargar",IF(C498="","cargar","pagado"))</f>
        <v>cargar</v>
      </c>
      <c r="I498" s="32">
        <f t="shared" si="82"/>
        <v>2025</v>
      </c>
      <c r="J498" s="32">
        <f t="shared" si="83"/>
        <v>6</v>
      </c>
    </row>
    <row r="499" spans="1:10" x14ac:dyDescent="0.25">
      <c r="A499" t="s">
        <v>877</v>
      </c>
      <c r="B499" t="s">
        <v>177</v>
      </c>
      <c r="C499">
        <v>1371</v>
      </c>
      <c r="D499">
        <v>9999</v>
      </c>
      <c r="E499" s="4">
        <v>-18021035.59</v>
      </c>
      <c r="F499" t="s">
        <v>1048</v>
      </c>
      <c r="G499">
        <v>1385</v>
      </c>
      <c r="H499" s="32" t="str">
        <f ca="1">+IF(B499&gt;'sap nuevo'!$V$1,"cargar",IF(C499="","cargar","pagado"))</f>
        <v>cargar</v>
      </c>
      <c r="I499" s="32">
        <f t="shared" si="82"/>
        <v>2025</v>
      </c>
      <c r="J499" s="32">
        <f t="shared" si="83"/>
        <v>6</v>
      </c>
    </row>
    <row r="500" spans="1:10" x14ac:dyDescent="0.25">
      <c r="A500" t="s">
        <v>877</v>
      </c>
      <c r="B500" t="s">
        <v>177</v>
      </c>
      <c r="C500">
        <v>1299</v>
      </c>
      <c r="D500">
        <v>9999</v>
      </c>
      <c r="E500" s="4">
        <v>-14695554.199999999</v>
      </c>
      <c r="F500" t="s">
        <v>1049</v>
      </c>
      <c r="G500">
        <v>1385</v>
      </c>
      <c r="H500" s="32" t="str">
        <f ca="1">+IF(B500&gt;'sap nuevo'!$V$1,"cargar",IF(C500="","cargar","pagado"))</f>
        <v>cargar</v>
      </c>
      <c r="I500" s="32">
        <f t="shared" si="82"/>
        <v>2025</v>
      </c>
      <c r="J500" s="32">
        <f t="shared" si="83"/>
        <v>6</v>
      </c>
    </row>
    <row r="501" spans="1:10" x14ac:dyDescent="0.25">
      <c r="A501" t="s">
        <v>873</v>
      </c>
      <c r="B501" t="s">
        <v>178</v>
      </c>
      <c r="C501">
        <v>1377</v>
      </c>
      <c r="D501">
        <v>9999</v>
      </c>
      <c r="E501" s="4">
        <v>-3990443.34</v>
      </c>
      <c r="F501" t="s">
        <v>1050</v>
      </c>
      <c r="G501">
        <v>3520</v>
      </c>
      <c r="H501" s="32" t="str">
        <f ca="1">+IF(B501&gt;'sap nuevo'!$V$1,"cargar",IF(C501="","cargar","pagado"))</f>
        <v>cargar</v>
      </c>
      <c r="I501" s="32">
        <f t="shared" si="82"/>
        <v>2025</v>
      </c>
      <c r="J501" s="32">
        <f t="shared" si="83"/>
        <v>6</v>
      </c>
    </row>
    <row r="502" spans="1:10" x14ac:dyDescent="0.25">
      <c r="A502" t="s">
        <v>877</v>
      </c>
      <c r="B502" t="s">
        <v>178</v>
      </c>
      <c r="C502">
        <v>1376</v>
      </c>
      <c r="D502">
        <v>9999</v>
      </c>
      <c r="E502" s="4">
        <v>-36245528.310000002</v>
      </c>
      <c r="F502" t="s">
        <v>1051</v>
      </c>
      <c r="G502">
        <v>1385</v>
      </c>
      <c r="H502" s="32" t="str">
        <f ca="1">+IF(B502&gt;'sap nuevo'!$V$1,"cargar",IF(C502="","cargar","pagado"))</f>
        <v>cargar</v>
      </c>
      <c r="I502" s="32">
        <f t="shared" si="82"/>
        <v>2025</v>
      </c>
      <c r="J502" s="32">
        <f t="shared" si="83"/>
        <v>6</v>
      </c>
    </row>
    <row r="503" spans="1:10" x14ac:dyDescent="0.25">
      <c r="A503" t="s">
        <v>877</v>
      </c>
      <c r="B503" t="s">
        <v>178</v>
      </c>
      <c r="C503">
        <v>1378</v>
      </c>
      <c r="D503">
        <v>9999</v>
      </c>
      <c r="E503" s="4">
        <v>-20256723.109999999</v>
      </c>
      <c r="F503" t="s">
        <v>1052</v>
      </c>
      <c r="G503">
        <v>1385</v>
      </c>
      <c r="H503" s="32" t="str">
        <f ca="1">+IF(B503&gt;'sap nuevo'!$V$1,"cargar",IF(C503="","cargar","pagado"))</f>
        <v>cargar</v>
      </c>
      <c r="I503" s="32">
        <f t="shared" si="82"/>
        <v>2025</v>
      </c>
      <c r="J503" s="32">
        <f t="shared" si="83"/>
        <v>6</v>
      </c>
    </row>
    <row r="504" spans="1:10" x14ac:dyDescent="0.25">
      <c r="A504" t="s">
        <v>877</v>
      </c>
      <c r="B504" t="s">
        <v>178</v>
      </c>
      <c r="C504">
        <v>1379</v>
      </c>
      <c r="D504">
        <v>9999</v>
      </c>
      <c r="E504" s="4">
        <v>-11371273.550000001</v>
      </c>
      <c r="F504" t="s">
        <v>1053</v>
      </c>
      <c r="G504">
        <v>1385</v>
      </c>
      <c r="H504" s="32" t="str">
        <f ca="1">+IF(B504&gt;'sap nuevo'!$V$1,"cargar",IF(C504="","cargar","pagado"))</f>
        <v>cargar</v>
      </c>
      <c r="I504" s="32">
        <f t="shared" si="82"/>
        <v>2025</v>
      </c>
      <c r="J504" s="32">
        <f t="shared" si="83"/>
        <v>6</v>
      </c>
    </row>
    <row r="505" spans="1:10" x14ac:dyDescent="0.25">
      <c r="A505" t="s">
        <v>877</v>
      </c>
      <c r="B505" t="s">
        <v>178</v>
      </c>
      <c r="C505">
        <v>1381</v>
      </c>
      <c r="D505">
        <v>9999</v>
      </c>
      <c r="E505" s="4">
        <v>-11023782</v>
      </c>
      <c r="F505" t="s">
        <v>1054</v>
      </c>
      <c r="G505">
        <v>1385</v>
      </c>
      <c r="H505" s="32" t="str">
        <f ca="1">+IF(B505&gt;'sap nuevo'!$V$1,"cargar",IF(C505="","cargar","pagado"))</f>
        <v>cargar</v>
      </c>
      <c r="I505" s="32">
        <f t="shared" ref="I505:I527" si="84">+YEAR(B505)</f>
        <v>2025</v>
      </c>
      <c r="J505" s="32">
        <f t="shared" ref="J505:J527" si="85">+MONTH(B505)</f>
        <v>6</v>
      </c>
    </row>
    <row r="506" spans="1:10" x14ac:dyDescent="0.25">
      <c r="A506" t="s">
        <v>877</v>
      </c>
      <c r="B506" t="s">
        <v>178</v>
      </c>
      <c r="C506">
        <v>1382</v>
      </c>
      <c r="D506">
        <v>9999</v>
      </c>
      <c r="E506" s="4">
        <v>-9357237.3200000003</v>
      </c>
      <c r="F506" t="s">
        <v>1055</v>
      </c>
      <c r="G506">
        <v>1385</v>
      </c>
      <c r="H506" s="32" t="str">
        <f ca="1">+IF(B506&gt;'sap nuevo'!$V$1,"cargar",IF(C506="","cargar","pagado"))</f>
        <v>cargar</v>
      </c>
      <c r="I506" s="32">
        <f t="shared" si="84"/>
        <v>2025</v>
      </c>
      <c r="J506" s="32">
        <f t="shared" si="85"/>
        <v>6</v>
      </c>
    </row>
    <row r="507" spans="1:10" x14ac:dyDescent="0.25">
      <c r="A507" t="s">
        <v>877</v>
      </c>
      <c r="B507" t="s">
        <v>178</v>
      </c>
      <c r="C507">
        <v>1366</v>
      </c>
      <c r="D507">
        <v>9999</v>
      </c>
      <c r="E507" s="4">
        <v>-7947151</v>
      </c>
      <c r="F507" t="s">
        <v>1056</v>
      </c>
      <c r="G507">
        <v>1385</v>
      </c>
      <c r="H507" s="32" t="str">
        <f ca="1">+IF(B507&gt;'sap nuevo'!$V$1,"cargar",IF(C507="","cargar","pagado"))</f>
        <v>cargar</v>
      </c>
      <c r="I507" s="32">
        <f t="shared" si="84"/>
        <v>2025</v>
      </c>
      <c r="J507" s="32">
        <f t="shared" si="85"/>
        <v>6</v>
      </c>
    </row>
    <row r="508" spans="1:10" x14ac:dyDescent="0.25">
      <c r="A508" t="s">
        <v>877</v>
      </c>
      <c r="B508" t="s">
        <v>178</v>
      </c>
      <c r="C508">
        <v>1373</v>
      </c>
      <c r="D508">
        <v>9999</v>
      </c>
      <c r="E508" s="4">
        <v>-7391148.2000000002</v>
      </c>
      <c r="F508" t="s">
        <v>1057</v>
      </c>
      <c r="G508">
        <v>1385</v>
      </c>
      <c r="H508" s="32" t="str">
        <f ca="1">+IF(B508&gt;'sap nuevo'!$V$1,"cargar",IF(C508="","cargar","pagado"))</f>
        <v>cargar</v>
      </c>
      <c r="I508" s="32">
        <f t="shared" si="84"/>
        <v>2025</v>
      </c>
      <c r="J508" s="32">
        <f t="shared" si="85"/>
        <v>6</v>
      </c>
    </row>
    <row r="509" spans="1:10" x14ac:dyDescent="0.25">
      <c r="A509" t="s">
        <v>877</v>
      </c>
      <c r="B509" t="s">
        <v>178</v>
      </c>
      <c r="C509">
        <v>1354</v>
      </c>
      <c r="D509">
        <v>9999</v>
      </c>
      <c r="E509" s="4">
        <v>-7000000</v>
      </c>
      <c r="F509" t="s">
        <v>1058</v>
      </c>
      <c r="G509">
        <v>1385</v>
      </c>
      <c r="H509" s="32" t="str">
        <f ca="1">+IF(B509&gt;'sap nuevo'!$V$1,"cargar",IF(C509="","cargar","pagado"))</f>
        <v>cargar</v>
      </c>
      <c r="I509" s="32">
        <f t="shared" si="84"/>
        <v>2025</v>
      </c>
      <c r="J509" s="32">
        <f t="shared" si="85"/>
        <v>6</v>
      </c>
    </row>
    <row r="510" spans="1:10" x14ac:dyDescent="0.25">
      <c r="A510" t="s">
        <v>877</v>
      </c>
      <c r="B510" t="s">
        <v>178</v>
      </c>
      <c r="C510">
        <v>1355</v>
      </c>
      <c r="D510">
        <v>9999</v>
      </c>
      <c r="E510" s="4">
        <v>-4832639</v>
      </c>
      <c r="F510" t="s">
        <v>1059</v>
      </c>
      <c r="G510">
        <v>1385</v>
      </c>
      <c r="H510" s="32" t="str">
        <f ca="1">+IF(B510&gt;'sap nuevo'!$V$1,"cargar",IF(C510="","cargar","pagado"))</f>
        <v>cargar</v>
      </c>
      <c r="I510" s="32">
        <f t="shared" si="84"/>
        <v>2025</v>
      </c>
      <c r="J510" s="32">
        <f t="shared" si="85"/>
        <v>6</v>
      </c>
    </row>
    <row r="511" spans="1:10" x14ac:dyDescent="0.25">
      <c r="A511" t="s">
        <v>877</v>
      </c>
      <c r="B511" t="s">
        <v>178</v>
      </c>
      <c r="C511">
        <v>1375</v>
      </c>
      <c r="D511">
        <v>9999</v>
      </c>
      <c r="E511" s="4">
        <v>-4018813.13</v>
      </c>
      <c r="F511" t="s">
        <v>1060</v>
      </c>
      <c r="G511">
        <v>1385</v>
      </c>
      <c r="H511" s="32" t="str">
        <f ca="1">+IF(B511&gt;'sap nuevo'!$V$1,"cargar",IF(C511="","cargar","pagado"))</f>
        <v>cargar</v>
      </c>
      <c r="I511" s="32">
        <f t="shared" si="84"/>
        <v>2025</v>
      </c>
      <c r="J511" s="32">
        <f t="shared" si="85"/>
        <v>6</v>
      </c>
    </row>
    <row r="512" spans="1:10" x14ac:dyDescent="0.25">
      <c r="A512" t="s">
        <v>21</v>
      </c>
      <c r="B512" t="s">
        <v>178</v>
      </c>
      <c r="C512">
        <v>94326850</v>
      </c>
      <c r="D512">
        <v>52</v>
      </c>
      <c r="E512" s="4">
        <v>-2257247.9300000002</v>
      </c>
      <c r="F512" t="s">
        <v>20</v>
      </c>
      <c r="G512">
        <v>2</v>
      </c>
      <c r="H512" s="32" t="str">
        <f ca="1">+IF(B512&gt;'sap nuevo'!$V$1,"cargar",IF(C512="","cargar","pagado"))</f>
        <v>cargar</v>
      </c>
      <c r="I512" s="32">
        <f t="shared" si="84"/>
        <v>2025</v>
      </c>
      <c r="J512" s="32">
        <f t="shared" si="85"/>
        <v>6</v>
      </c>
    </row>
    <row r="513" spans="1:10" x14ac:dyDescent="0.25">
      <c r="A513" t="s">
        <v>877</v>
      </c>
      <c r="B513" t="s">
        <v>179</v>
      </c>
      <c r="C513">
        <v>1337</v>
      </c>
      <c r="D513">
        <v>9999</v>
      </c>
      <c r="E513" s="4">
        <v>-6105815.0300000003</v>
      </c>
      <c r="F513" t="s">
        <v>1061</v>
      </c>
      <c r="G513">
        <v>1385</v>
      </c>
      <c r="H513" s="32" t="str">
        <f ca="1">+IF(B513&gt;'sap nuevo'!$V$1,"cargar",IF(C513="","cargar","pagado"))</f>
        <v>cargar</v>
      </c>
      <c r="I513" s="32">
        <f t="shared" si="84"/>
        <v>2025</v>
      </c>
      <c r="J513" s="32">
        <f t="shared" si="85"/>
        <v>6</v>
      </c>
    </row>
    <row r="514" spans="1:10" x14ac:dyDescent="0.25">
      <c r="A514" t="s">
        <v>877</v>
      </c>
      <c r="B514" t="s">
        <v>179</v>
      </c>
      <c r="C514">
        <v>1249</v>
      </c>
      <c r="D514">
        <v>9999</v>
      </c>
      <c r="E514" s="4">
        <v>-1500000</v>
      </c>
      <c r="F514" t="s">
        <v>1062</v>
      </c>
      <c r="G514">
        <v>1385</v>
      </c>
      <c r="H514" s="32" t="str">
        <f ca="1">+IF(B514&gt;'sap nuevo'!$V$1,"cargar",IF(C514="","cargar","pagado"))</f>
        <v>cargar</v>
      </c>
      <c r="I514" s="32">
        <f t="shared" si="84"/>
        <v>2025</v>
      </c>
      <c r="J514" s="32">
        <f t="shared" si="85"/>
        <v>6</v>
      </c>
    </row>
    <row r="515" spans="1:10" x14ac:dyDescent="0.25">
      <c r="A515" t="s">
        <v>877</v>
      </c>
      <c r="B515" t="s">
        <v>180</v>
      </c>
      <c r="C515">
        <v>1392</v>
      </c>
      <c r="D515">
        <v>9999</v>
      </c>
      <c r="E515" s="4">
        <v>-9314352.7899999991</v>
      </c>
      <c r="F515" t="s">
        <v>1063</v>
      </c>
      <c r="G515">
        <v>1385</v>
      </c>
      <c r="H515" s="32" t="str">
        <f ca="1">+IF(B515&gt;'sap nuevo'!$V$1,"cargar",IF(C515="","cargar","pagado"))</f>
        <v>cargar</v>
      </c>
      <c r="I515" s="32">
        <f t="shared" si="84"/>
        <v>2025</v>
      </c>
      <c r="J515" s="32">
        <f t="shared" si="85"/>
        <v>6</v>
      </c>
    </row>
    <row r="516" spans="1:10" x14ac:dyDescent="0.25">
      <c r="A516" t="s">
        <v>877</v>
      </c>
      <c r="B516" t="s">
        <v>180</v>
      </c>
      <c r="C516">
        <v>1391</v>
      </c>
      <c r="D516">
        <v>9999</v>
      </c>
      <c r="E516" s="4">
        <v>-5813690.2999999998</v>
      </c>
      <c r="F516" t="s">
        <v>1064</v>
      </c>
      <c r="G516">
        <v>1385</v>
      </c>
      <c r="H516" s="32" t="str">
        <f ca="1">+IF(B516&gt;'sap nuevo'!$V$1,"cargar",IF(C516="","cargar","pagado"))</f>
        <v>cargar</v>
      </c>
      <c r="I516" s="32">
        <f t="shared" si="84"/>
        <v>2025</v>
      </c>
      <c r="J516" s="32">
        <f t="shared" si="85"/>
        <v>6</v>
      </c>
    </row>
    <row r="517" spans="1:10" x14ac:dyDescent="0.25">
      <c r="A517" t="s">
        <v>877</v>
      </c>
      <c r="B517" t="s">
        <v>180</v>
      </c>
      <c r="C517">
        <v>1390</v>
      </c>
      <c r="D517">
        <v>9999</v>
      </c>
      <c r="E517" s="4">
        <v>-5675483.3499999996</v>
      </c>
      <c r="F517" t="s">
        <v>1065</v>
      </c>
      <c r="G517">
        <v>1385</v>
      </c>
      <c r="H517" s="32" t="str">
        <f ca="1">+IF(B517&gt;'sap nuevo'!$V$1,"cargar",IF(C517="","cargar","pagado"))</f>
        <v>cargar</v>
      </c>
      <c r="I517" s="32">
        <f t="shared" si="84"/>
        <v>2025</v>
      </c>
      <c r="J517" s="32">
        <f t="shared" si="85"/>
        <v>6</v>
      </c>
    </row>
    <row r="518" spans="1:10" x14ac:dyDescent="0.25">
      <c r="A518" t="s">
        <v>877</v>
      </c>
      <c r="B518" t="s">
        <v>180</v>
      </c>
      <c r="C518">
        <v>1388</v>
      </c>
      <c r="D518">
        <v>9999</v>
      </c>
      <c r="E518" s="4">
        <v>-3713118.49</v>
      </c>
      <c r="F518" t="s">
        <v>1066</v>
      </c>
      <c r="G518">
        <v>1385</v>
      </c>
      <c r="H518" s="32" t="str">
        <f ca="1">+IF(B518&gt;'sap nuevo'!$V$1,"cargar",IF(C518="","cargar","pagado"))</f>
        <v>cargar</v>
      </c>
      <c r="I518" s="32">
        <f t="shared" si="84"/>
        <v>2025</v>
      </c>
      <c r="J518" s="32">
        <f t="shared" si="85"/>
        <v>6</v>
      </c>
    </row>
    <row r="519" spans="1:10" x14ac:dyDescent="0.25">
      <c r="A519" t="s">
        <v>877</v>
      </c>
      <c r="B519" t="s">
        <v>180</v>
      </c>
      <c r="C519">
        <v>1384</v>
      </c>
      <c r="D519">
        <v>9999</v>
      </c>
      <c r="E519" s="4">
        <v>-3533592.22</v>
      </c>
      <c r="F519" t="s">
        <v>1067</v>
      </c>
      <c r="G519">
        <v>1385</v>
      </c>
      <c r="H519" s="32" t="str">
        <f ca="1">+IF(B519&gt;'sap nuevo'!$V$1,"cargar",IF(C519="","cargar","pagado"))</f>
        <v>cargar</v>
      </c>
      <c r="I519" s="32">
        <f t="shared" si="84"/>
        <v>2025</v>
      </c>
      <c r="J519" s="32">
        <f t="shared" si="85"/>
        <v>6</v>
      </c>
    </row>
    <row r="520" spans="1:10" x14ac:dyDescent="0.25">
      <c r="A520" t="s">
        <v>877</v>
      </c>
      <c r="B520" t="s">
        <v>180</v>
      </c>
      <c r="C520">
        <v>1389</v>
      </c>
      <c r="D520">
        <v>9999</v>
      </c>
      <c r="E520" s="4">
        <v>-3410663.1</v>
      </c>
      <c r="F520" t="s">
        <v>1068</v>
      </c>
      <c r="G520">
        <v>1385</v>
      </c>
      <c r="H520" s="32" t="str">
        <f ca="1">+IF(B520&gt;'sap nuevo'!$V$1,"cargar",IF(C520="","cargar","pagado"))</f>
        <v>cargar</v>
      </c>
      <c r="I520" s="32">
        <f t="shared" si="84"/>
        <v>2025</v>
      </c>
      <c r="J520" s="32">
        <f t="shared" si="85"/>
        <v>6</v>
      </c>
    </row>
    <row r="521" spans="1:10" x14ac:dyDescent="0.25">
      <c r="A521" t="s">
        <v>873</v>
      </c>
      <c r="B521" t="s">
        <v>1069</v>
      </c>
      <c r="C521">
        <v>1383</v>
      </c>
      <c r="D521">
        <v>9999</v>
      </c>
      <c r="E521" s="4">
        <v>-3409708.93</v>
      </c>
      <c r="F521" t="s">
        <v>1070</v>
      </c>
      <c r="G521">
        <v>3520</v>
      </c>
      <c r="H521" s="32" t="str">
        <f ca="1">+IF(B521&gt;'sap nuevo'!$V$1,"cargar",IF(C521="","cargar","pagado"))</f>
        <v>cargar</v>
      </c>
      <c r="I521" s="32">
        <f t="shared" si="84"/>
        <v>2025</v>
      </c>
      <c r="J521" s="32">
        <f t="shared" si="85"/>
        <v>6</v>
      </c>
    </row>
    <row r="522" spans="1:10" x14ac:dyDescent="0.25">
      <c r="A522" t="s">
        <v>877</v>
      </c>
      <c r="B522" t="s">
        <v>1069</v>
      </c>
      <c r="C522">
        <v>1397</v>
      </c>
      <c r="D522">
        <v>9999</v>
      </c>
      <c r="E522" s="4">
        <v>-35678329.469999999</v>
      </c>
      <c r="F522" t="s">
        <v>1071</v>
      </c>
      <c r="G522">
        <v>1385</v>
      </c>
      <c r="H522" s="32" t="str">
        <f ca="1">+IF(B522&gt;'sap nuevo'!$V$1,"cargar",IF(C522="","cargar","pagado"))</f>
        <v>cargar</v>
      </c>
      <c r="I522" s="32">
        <f t="shared" si="84"/>
        <v>2025</v>
      </c>
      <c r="J522" s="32">
        <f t="shared" si="85"/>
        <v>6</v>
      </c>
    </row>
    <row r="523" spans="1:10" x14ac:dyDescent="0.25">
      <c r="A523" t="s">
        <v>877</v>
      </c>
      <c r="B523" t="s">
        <v>1069</v>
      </c>
      <c r="C523">
        <v>1385</v>
      </c>
      <c r="D523">
        <v>9999</v>
      </c>
      <c r="E523" s="4">
        <v>-31798200</v>
      </c>
      <c r="F523" t="s">
        <v>1072</v>
      </c>
      <c r="G523">
        <v>1385</v>
      </c>
      <c r="H523" s="32" t="str">
        <f ca="1">+IF(B523&gt;'sap nuevo'!$V$1,"cargar",IF(C523="","cargar","pagado"))</f>
        <v>cargar</v>
      </c>
      <c r="I523" s="32">
        <f t="shared" si="84"/>
        <v>2025</v>
      </c>
      <c r="J523" s="32">
        <f t="shared" si="85"/>
        <v>6</v>
      </c>
    </row>
    <row r="524" spans="1:10" x14ac:dyDescent="0.25">
      <c r="A524" t="s">
        <v>877</v>
      </c>
      <c r="B524" t="s">
        <v>1069</v>
      </c>
      <c r="C524">
        <v>1396</v>
      </c>
      <c r="D524">
        <v>9999</v>
      </c>
      <c r="E524" s="4">
        <v>-30000000</v>
      </c>
      <c r="F524" t="s">
        <v>1073</v>
      </c>
      <c r="G524">
        <v>1385</v>
      </c>
      <c r="H524" s="32" t="str">
        <f ca="1">+IF(B524&gt;'sap nuevo'!$V$1,"cargar",IF(C524="","cargar","pagado"))</f>
        <v>cargar</v>
      </c>
      <c r="I524" s="32">
        <f t="shared" si="84"/>
        <v>2025</v>
      </c>
      <c r="J524" s="32">
        <f t="shared" si="85"/>
        <v>6</v>
      </c>
    </row>
    <row r="525" spans="1:10" x14ac:dyDescent="0.25">
      <c r="A525" t="s">
        <v>877</v>
      </c>
      <c r="B525" t="s">
        <v>1069</v>
      </c>
      <c r="C525">
        <v>1303</v>
      </c>
      <c r="D525">
        <v>9999</v>
      </c>
      <c r="E525" s="4">
        <v>-19112616.789999999</v>
      </c>
      <c r="F525" t="s">
        <v>1074</v>
      </c>
      <c r="G525">
        <v>1385</v>
      </c>
      <c r="H525" s="32" t="str">
        <f ca="1">+IF(B525&gt;'sap nuevo'!$V$1,"cargar",IF(C525="","cargar","pagado"))</f>
        <v>cargar</v>
      </c>
      <c r="I525" s="32">
        <f t="shared" si="84"/>
        <v>2025</v>
      </c>
      <c r="J525" s="32">
        <f t="shared" si="85"/>
        <v>6</v>
      </c>
    </row>
    <row r="526" spans="1:10" x14ac:dyDescent="0.25">
      <c r="A526" t="s">
        <v>877</v>
      </c>
      <c r="B526" t="s">
        <v>1069</v>
      </c>
      <c r="C526">
        <v>1387</v>
      </c>
      <c r="D526">
        <v>9999</v>
      </c>
      <c r="E526" s="4">
        <v>-4967307.03</v>
      </c>
      <c r="F526" t="s">
        <v>1075</v>
      </c>
      <c r="G526">
        <v>1385</v>
      </c>
      <c r="H526" s="32" t="str">
        <f ca="1">+IF(B526&gt;'sap nuevo'!$V$1,"cargar",IF(C526="","cargar","pagado"))</f>
        <v>cargar</v>
      </c>
      <c r="I526" s="32">
        <f t="shared" si="84"/>
        <v>2025</v>
      </c>
      <c r="J526" s="32">
        <f t="shared" si="85"/>
        <v>6</v>
      </c>
    </row>
    <row r="527" spans="1:10" x14ac:dyDescent="0.25">
      <c r="A527" t="s">
        <v>21</v>
      </c>
      <c r="B527" t="s">
        <v>180</v>
      </c>
      <c r="C527">
        <v>91002416</v>
      </c>
      <c r="D527">
        <v>140</v>
      </c>
      <c r="E527" s="4">
        <v>-20000000</v>
      </c>
      <c r="F527" t="s">
        <v>80</v>
      </c>
      <c r="G527">
        <v>0</v>
      </c>
      <c r="H527" s="32" t="str">
        <f ca="1">+IF(B527&gt;'sap nuevo'!$V$1,"cargar",IF(C527="","cargar","pagado"))</f>
        <v>cargar</v>
      </c>
      <c r="I527" s="32">
        <f t="shared" si="84"/>
        <v>2025</v>
      </c>
      <c r="J527" s="32">
        <f t="shared" si="85"/>
        <v>6</v>
      </c>
    </row>
    <row r="528" spans="1:10" x14ac:dyDescent="0.25">
      <c r="A528" t="s">
        <v>12</v>
      </c>
      <c r="B528" t="s">
        <v>180</v>
      </c>
      <c r="C528">
        <v>91002420</v>
      </c>
      <c r="D528">
        <v>140</v>
      </c>
      <c r="E528" s="4">
        <v>-20000000</v>
      </c>
      <c r="F528" t="s">
        <v>82</v>
      </c>
      <c r="G528">
        <v>0</v>
      </c>
      <c r="H528" s="32" t="str">
        <f ca="1">+IF(B528&gt;'sap nuevo'!$V$1,"cargar",IF(C528="","cargar","pagado"))</f>
        <v>cargar</v>
      </c>
      <c r="I528" s="32">
        <f t="shared" ref="I528:I545" si="86">+YEAR(B528)</f>
        <v>2025</v>
      </c>
      <c r="J528" s="32">
        <f t="shared" ref="J528:J545" si="87">+MONTH(B528)</f>
        <v>6</v>
      </c>
    </row>
    <row r="529" spans="1:10" x14ac:dyDescent="0.25">
      <c r="A529" t="s">
        <v>21</v>
      </c>
      <c r="B529" t="s">
        <v>180</v>
      </c>
      <c r="C529">
        <v>91002405</v>
      </c>
      <c r="D529">
        <v>140</v>
      </c>
      <c r="E529" s="4">
        <v>-16000000</v>
      </c>
      <c r="F529" t="s">
        <v>80</v>
      </c>
      <c r="G529">
        <v>0</v>
      </c>
      <c r="H529" s="32" t="str">
        <f ca="1">+IF(B529&gt;'sap nuevo'!$V$1,"cargar",IF(C529="","cargar","pagado"))</f>
        <v>cargar</v>
      </c>
      <c r="I529" s="32">
        <f t="shared" si="86"/>
        <v>2025</v>
      </c>
      <c r="J529" s="32">
        <f t="shared" si="87"/>
        <v>6</v>
      </c>
    </row>
    <row r="530" spans="1:10" x14ac:dyDescent="0.25">
      <c r="A530" t="s">
        <v>21</v>
      </c>
      <c r="B530" t="s">
        <v>180</v>
      </c>
      <c r="C530">
        <v>91002424</v>
      </c>
      <c r="D530">
        <v>140</v>
      </c>
      <c r="E530" s="4">
        <v>-14179847.67</v>
      </c>
      <c r="F530" t="s">
        <v>80</v>
      </c>
      <c r="G530">
        <v>0</v>
      </c>
      <c r="H530" s="32" t="str">
        <f ca="1">+IF(B530&gt;'sap nuevo'!$V$1,"cargar",IF(C530="","cargar","pagado"))</f>
        <v>cargar</v>
      </c>
      <c r="I530" s="32">
        <f t="shared" si="86"/>
        <v>2025</v>
      </c>
      <c r="J530" s="32">
        <f t="shared" si="87"/>
        <v>6</v>
      </c>
    </row>
    <row r="531" spans="1:10" x14ac:dyDescent="0.25">
      <c r="A531" t="s">
        <v>21</v>
      </c>
      <c r="B531" t="s">
        <v>180</v>
      </c>
      <c r="C531">
        <v>91002411</v>
      </c>
      <c r="D531">
        <v>140</v>
      </c>
      <c r="E531" s="4">
        <v>-12330887.6</v>
      </c>
      <c r="F531" t="s">
        <v>80</v>
      </c>
      <c r="G531">
        <v>0</v>
      </c>
      <c r="H531" s="32" t="str">
        <f ca="1">+IF(B531&gt;'sap nuevo'!$V$1,"cargar",IF(C531="","cargar","pagado"))</f>
        <v>cargar</v>
      </c>
      <c r="I531" s="32">
        <f t="shared" si="86"/>
        <v>2025</v>
      </c>
      <c r="J531" s="32">
        <f t="shared" si="87"/>
        <v>6</v>
      </c>
    </row>
    <row r="532" spans="1:10" x14ac:dyDescent="0.25">
      <c r="A532" t="s">
        <v>12</v>
      </c>
      <c r="B532" t="s">
        <v>180</v>
      </c>
      <c r="C532">
        <v>91002407</v>
      </c>
      <c r="D532">
        <v>140</v>
      </c>
      <c r="E532" s="4">
        <v>-11000000</v>
      </c>
      <c r="F532" t="s">
        <v>82</v>
      </c>
      <c r="G532">
        <v>0</v>
      </c>
      <c r="H532" s="32" t="str">
        <f ca="1">+IF(B532&gt;'sap nuevo'!$V$1,"cargar",IF(C532="","cargar","pagado"))</f>
        <v>cargar</v>
      </c>
      <c r="I532" s="32">
        <f t="shared" si="86"/>
        <v>2025</v>
      </c>
      <c r="J532" s="32">
        <f t="shared" si="87"/>
        <v>6</v>
      </c>
    </row>
    <row r="533" spans="1:10" x14ac:dyDescent="0.25">
      <c r="A533" t="s">
        <v>21</v>
      </c>
      <c r="B533" t="s">
        <v>180</v>
      </c>
      <c r="C533">
        <v>91002409</v>
      </c>
      <c r="D533">
        <v>140</v>
      </c>
      <c r="E533" s="4">
        <v>-10000000</v>
      </c>
      <c r="F533" t="s">
        <v>80</v>
      </c>
      <c r="G533">
        <v>0</v>
      </c>
      <c r="H533" s="32" t="str">
        <f ca="1">+IF(B533&gt;'sap nuevo'!$V$1,"cargar",IF(C533="","cargar","pagado"))</f>
        <v>cargar</v>
      </c>
      <c r="I533" s="32">
        <f t="shared" si="86"/>
        <v>2025</v>
      </c>
      <c r="J533" s="32">
        <f t="shared" si="87"/>
        <v>6</v>
      </c>
    </row>
    <row r="534" spans="1:10" x14ac:dyDescent="0.25">
      <c r="A534" t="s">
        <v>21</v>
      </c>
      <c r="B534" t="s">
        <v>180</v>
      </c>
      <c r="C534">
        <v>91002414</v>
      </c>
      <c r="D534">
        <v>140</v>
      </c>
      <c r="E534" s="4">
        <v>-9602807.5899999999</v>
      </c>
      <c r="F534" t="s">
        <v>80</v>
      </c>
      <c r="G534">
        <v>0</v>
      </c>
      <c r="H534" s="32" t="str">
        <f ca="1">+IF(B534&gt;'sap nuevo'!$V$1,"cargar",IF(C534="","cargar","pagado"))</f>
        <v>cargar</v>
      </c>
      <c r="I534" s="32">
        <f t="shared" si="86"/>
        <v>2025</v>
      </c>
      <c r="J534" s="32">
        <f t="shared" si="87"/>
        <v>6</v>
      </c>
    </row>
    <row r="535" spans="1:10" x14ac:dyDescent="0.25">
      <c r="A535" t="s">
        <v>21</v>
      </c>
      <c r="B535" t="s">
        <v>180</v>
      </c>
      <c r="C535">
        <v>91002413</v>
      </c>
      <c r="D535">
        <v>140</v>
      </c>
      <c r="E535" s="4">
        <v>-6980091.1399999997</v>
      </c>
      <c r="F535" t="s">
        <v>80</v>
      </c>
      <c r="G535">
        <v>0</v>
      </c>
      <c r="H535" s="32" t="str">
        <f ca="1">+IF(B535&gt;'sap nuevo'!$V$1,"cargar",IF(C535="","cargar","pagado"))</f>
        <v>cargar</v>
      </c>
      <c r="I535" s="32">
        <f t="shared" si="86"/>
        <v>2025</v>
      </c>
      <c r="J535" s="32">
        <f t="shared" si="87"/>
        <v>6</v>
      </c>
    </row>
    <row r="536" spans="1:10" x14ac:dyDescent="0.25">
      <c r="A536" t="s">
        <v>21</v>
      </c>
      <c r="B536" t="s">
        <v>180</v>
      </c>
      <c r="C536">
        <v>91002412</v>
      </c>
      <c r="D536">
        <v>140</v>
      </c>
      <c r="E536" s="4">
        <v>-5966191.7400000002</v>
      </c>
      <c r="F536" t="s">
        <v>80</v>
      </c>
      <c r="G536">
        <v>0</v>
      </c>
      <c r="H536" s="32" t="str">
        <f ca="1">+IF(B536&gt;'sap nuevo'!$V$1,"cargar",IF(C536="","cargar","pagado"))</f>
        <v>cargar</v>
      </c>
      <c r="I536" s="32">
        <f t="shared" si="86"/>
        <v>2025</v>
      </c>
      <c r="J536" s="32">
        <f t="shared" si="87"/>
        <v>6</v>
      </c>
    </row>
    <row r="537" spans="1:10" x14ac:dyDescent="0.25">
      <c r="A537" t="s">
        <v>21</v>
      </c>
      <c r="B537" t="s">
        <v>180</v>
      </c>
      <c r="C537">
        <v>91002423</v>
      </c>
      <c r="D537">
        <v>140</v>
      </c>
      <c r="E537" s="4">
        <v>-3429507.82</v>
      </c>
      <c r="F537" t="s">
        <v>80</v>
      </c>
      <c r="G537">
        <v>0</v>
      </c>
      <c r="H537" s="32" t="str">
        <f ca="1">+IF(B537&gt;'sap nuevo'!$V$1,"cargar",IF(C537="","cargar","pagado"))</f>
        <v>cargar</v>
      </c>
      <c r="I537" s="32">
        <f t="shared" si="86"/>
        <v>2025</v>
      </c>
      <c r="J537" s="32">
        <f t="shared" si="87"/>
        <v>6</v>
      </c>
    </row>
    <row r="538" spans="1:10" x14ac:dyDescent="0.25">
      <c r="A538" t="s">
        <v>21</v>
      </c>
      <c r="B538" t="s">
        <v>180</v>
      </c>
      <c r="C538">
        <v>91002422</v>
      </c>
      <c r="D538">
        <v>140</v>
      </c>
      <c r="E538" s="4">
        <v>-2835506.02</v>
      </c>
      <c r="F538" t="s">
        <v>80</v>
      </c>
      <c r="G538">
        <v>0</v>
      </c>
      <c r="H538" s="32" t="str">
        <f ca="1">+IF(B538&gt;'sap nuevo'!$V$1,"cargar",IF(C538="","cargar","pagado"))</f>
        <v>cargar</v>
      </c>
      <c r="I538" s="32">
        <f t="shared" si="86"/>
        <v>2025</v>
      </c>
      <c r="J538" s="32">
        <f t="shared" si="87"/>
        <v>6</v>
      </c>
    </row>
    <row r="539" spans="1:10" x14ac:dyDescent="0.25">
      <c r="A539" t="s">
        <v>21</v>
      </c>
      <c r="B539" t="s">
        <v>1069</v>
      </c>
      <c r="C539">
        <v>91002406</v>
      </c>
      <c r="D539">
        <v>140</v>
      </c>
      <c r="E539" s="4">
        <v>-16218247.369999999</v>
      </c>
      <c r="F539" t="s">
        <v>80</v>
      </c>
      <c r="G539">
        <v>0</v>
      </c>
      <c r="H539" s="32" t="str">
        <f ca="1">+IF(B539&gt;'sap nuevo'!$V$1,"cargar",IF(C539="","cargar","pagado"))</f>
        <v>cargar</v>
      </c>
      <c r="I539" s="32">
        <f t="shared" si="86"/>
        <v>2025</v>
      </c>
      <c r="J539" s="32">
        <f t="shared" si="87"/>
        <v>6</v>
      </c>
    </row>
    <row r="540" spans="1:10" x14ac:dyDescent="0.25">
      <c r="A540" t="s">
        <v>12</v>
      </c>
      <c r="B540" t="s">
        <v>1069</v>
      </c>
      <c r="C540">
        <v>91002421</v>
      </c>
      <c r="D540">
        <v>140</v>
      </c>
      <c r="E540" s="4">
        <v>-14349218.08</v>
      </c>
      <c r="F540" t="s">
        <v>82</v>
      </c>
      <c r="G540">
        <v>0</v>
      </c>
      <c r="H540" s="32" t="str">
        <f ca="1">+IF(B540&gt;'sap nuevo'!$V$1,"cargar",IF(C540="","cargar","pagado"))</f>
        <v>cargar</v>
      </c>
      <c r="I540" s="32">
        <f t="shared" si="86"/>
        <v>2025</v>
      </c>
      <c r="J540" s="32">
        <f t="shared" si="87"/>
        <v>6</v>
      </c>
    </row>
    <row r="541" spans="1:10" x14ac:dyDescent="0.25">
      <c r="A541" t="s">
        <v>21</v>
      </c>
      <c r="B541" t="s">
        <v>1069</v>
      </c>
      <c r="C541">
        <v>91002410</v>
      </c>
      <c r="D541">
        <v>140</v>
      </c>
      <c r="E541" s="4">
        <v>-10887200</v>
      </c>
      <c r="F541" t="s">
        <v>80</v>
      </c>
      <c r="G541">
        <v>0</v>
      </c>
      <c r="H541" s="32" t="str">
        <f ca="1">+IF(B541&gt;'sap nuevo'!$V$1,"cargar",IF(C541="","cargar","pagado"))</f>
        <v>cargar</v>
      </c>
      <c r="I541" s="32">
        <f t="shared" si="86"/>
        <v>2025</v>
      </c>
      <c r="J541" s="32">
        <f t="shared" si="87"/>
        <v>6</v>
      </c>
    </row>
    <row r="542" spans="1:10" x14ac:dyDescent="0.25">
      <c r="A542" t="s">
        <v>12</v>
      </c>
      <c r="B542" t="s">
        <v>1069</v>
      </c>
      <c r="C542">
        <v>91002408</v>
      </c>
      <c r="D542">
        <v>140</v>
      </c>
      <c r="E542" s="4">
        <v>-10053783.98</v>
      </c>
      <c r="F542" t="s">
        <v>82</v>
      </c>
      <c r="G542">
        <v>0</v>
      </c>
      <c r="H542" s="32" t="str">
        <f ca="1">+IF(B542&gt;'sap nuevo'!$V$1,"cargar",IF(C542="","cargar","pagado"))</f>
        <v>cargar</v>
      </c>
      <c r="I542" s="32">
        <f t="shared" si="86"/>
        <v>2025</v>
      </c>
      <c r="J542" s="32">
        <f t="shared" si="87"/>
        <v>6</v>
      </c>
    </row>
    <row r="543" spans="1:10" x14ac:dyDescent="0.25">
      <c r="A543" t="s">
        <v>21</v>
      </c>
      <c r="B543" t="s">
        <v>1069</v>
      </c>
      <c r="C543">
        <v>91002403</v>
      </c>
      <c r="D543">
        <v>140</v>
      </c>
      <c r="E543" s="4">
        <v>-10000000</v>
      </c>
      <c r="F543" t="s">
        <v>80</v>
      </c>
      <c r="G543">
        <v>0</v>
      </c>
      <c r="H543" s="32" t="str">
        <f ca="1">+IF(B543&gt;'sap nuevo'!$V$1,"cargar",IF(C543="","cargar","pagado"))</f>
        <v>cargar</v>
      </c>
      <c r="I543" s="32">
        <f t="shared" si="86"/>
        <v>2025</v>
      </c>
      <c r="J543" s="32">
        <f t="shared" si="87"/>
        <v>6</v>
      </c>
    </row>
    <row r="544" spans="1:10" x14ac:dyDescent="0.25">
      <c r="A544" t="s">
        <v>21</v>
      </c>
      <c r="B544" t="s">
        <v>1069</v>
      </c>
      <c r="C544">
        <v>91002415</v>
      </c>
      <c r="D544">
        <v>140</v>
      </c>
      <c r="E544" s="4">
        <v>-6749707.1799999997</v>
      </c>
      <c r="F544" t="s">
        <v>80</v>
      </c>
      <c r="G544">
        <v>0</v>
      </c>
      <c r="H544" s="32" t="str">
        <f ca="1">+IF(B544&gt;'sap nuevo'!$V$1,"cargar",IF(C544="","cargar","pagado"))</f>
        <v>cargar</v>
      </c>
      <c r="I544" s="32">
        <f t="shared" si="86"/>
        <v>2025</v>
      </c>
      <c r="J544" s="32">
        <f t="shared" si="87"/>
        <v>6</v>
      </c>
    </row>
    <row r="545" spans="1:10" x14ac:dyDescent="0.25">
      <c r="A545" t="s">
        <v>21</v>
      </c>
      <c r="B545" t="s">
        <v>1069</v>
      </c>
      <c r="C545">
        <v>91002402</v>
      </c>
      <c r="D545">
        <v>140</v>
      </c>
      <c r="E545" s="4">
        <v>-4630820.46</v>
      </c>
      <c r="F545" t="s">
        <v>80</v>
      </c>
      <c r="G545">
        <v>0</v>
      </c>
      <c r="H545" s="32" t="str">
        <f ca="1">+IF(B545&gt;'sap nuevo'!$V$1,"cargar",IF(C545="","cargar","pagado"))</f>
        <v>cargar</v>
      </c>
      <c r="I545" s="32">
        <f t="shared" si="86"/>
        <v>2025</v>
      </c>
      <c r="J545" s="32">
        <f t="shared" si="87"/>
        <v>6</v>
      </c>
    </row>
    <row r="546" spans="1:10" x14ac:dyDescent="0.25">
      <c r="A546" t="s">
        <v>21</v>
      </c>
      <c r="B546" t="s">
        <v>180</v>
      </c>
      <c r="C546">
        <v>94326853</v>
      </c>
      <c r="D546">
        <v>52</v>
      </c>
      <c r="E546" s="4">
        <v>-42588420</v>
      </c>
      <c r="F546" t="s">
        <v>20</v>
      </c>
      <c r="G546" s="104">
        <v>0</v>
      </c>
      <c r="H546" s="32" t="str">
        <f ca="1">+IF(B546&gt;'sap nuevo'!$V$1,"cargar",IF(C546="","cargar","pagado"))</f>
        <v>cargar</v>
      </c>
      <c r="I546" s="32">
        <f t="shared" ref="I546" si="88">+YEAR(B546)</f>
        <v>2025</v>
      </c>
      <c r="J546" s="32">
        <f t="shared" ref="J546" si="89">+MONTH(B546)</f>
        <v>6</v>
      </c>
    </row>
    <row r="547" spans="1:10" x14ac:dyDescent="0.25">
      <c r="A547" t="s">
        <v>21</v>
      </c>
      <c r="B547" t="s">
        <v>181</v>
      </c>
      <c r="C547">
        <v>40272950</v>
      </c>
      <c r="D547">
        <v>140</v>
      </c>
      <c r="E547" s="4">
        <v>-219588080</v>
      </c>
      <c r="F547" t="s">
        <v>80</v>
      </c>
      <c r="G547" s="104">
        <v>0</v>
      </c>
      <c r="H547" s="32" t="str">
        <f ca="1">+IF(B547&gt;'sap nuevo'!$V$1,"cargar",IF(C547="","cargar","pagado"))</f>
        <v>cargar</v>
      </c>
      <c r="I547" s="32">
        <f t="shared" ref="I547:I548" si="90">+YEAR(B547)</f>
        <v>2025</v>
      </c>
      <c r="J547" s="32">
        <f t="shared" ref="J547:J548" si="91">+MONTH(B547)</f>
        <v>6</v>
      </c>
    </row>
    <row r="548" spans="1:10" x14ac:dyDescent="0.25">
      <c r="A548" t="s">
        <v>21</v>
      </c>
      <c r="B548" t="s">
        <v>181</v>
      </c>
      <c r="C548">
        <v>91002417</v>
      </c>
      <c r="D548">
        <v>140</v>
      </c>
      <c r="E548" s="4">
        <v>-15205593.4</v>
      </c>
      <c r="F548" t="s">
        <v>80</v>
      </c>
      <c r="G548" s="104">
        <v>0</v>
      </c>
      <c r="H548" s="32" t="str">
        <f ca="1">+IF(B548&gt;'sap nuevo'!$V$1,"cargar",IF(C548="","cargar","pagado"))</f>
        <v>cargar</v>
      </c>
      <c r="I548" s="32">
        <f t="shared" si="90"/>
        <v>2025</v>
      </c>
      <c r="J548" s="32">
        <f t="shared" si="91"/>
        <v>6</v>
      </c>
    </row>
    <row r="549" spans="1:10" x14ac:dyDescent="0.25">
      <c r="A549" t="s">
        <v>877</v>
      </c>
      <c r="B549" t="s">
        <v>181</v>
      </c>
      <c r="C549">
        <v>1395</v>
      </c>
      <c r="D549">
        <v>9999</v>
      </c>
      <c r="E549" s="4">
        <v>-10000000</v>
      </c>
      <c r="F549" t="s">
        <v>1076</v>
      </c>
      <c r="G549">
        <v>1385</v>
      </c>
      <c r="H549" s="32" t="str">
        <f ca="1">+IF(B549&gt;'sap nuevo'!$V$1,"cargar",IF(C549="","cargar","pagado"))</f>
        <v>cargar</v>
      </c>
      <c r="I549" s="32">
        <f t="shared" ref="I549:I562" si="92">+YEAR(B549)</f>
        <v>2025</v>
      </c>
      <c r="J549" s="32">
        <f t="shared" ref="J549:J562" si="93">+MONTH(B549)</f>
        <v>6</v>
      </c>
    </row>
    <row r="550" spans="1:10" x14ac:dyDescent="0.25">
      <c r="A550" t="s">
        <v>873</v>
      </c>
      <c r="B550" t="s">
        <v>1077</v>
      </c>
      <c r="C550">
        <v>1402</v>
      </c>
      <c r="D550">
        <v>9999</v>
      </c>
      <c r="E550" s="4">
        <v>-7548120.8099999996</v>
      </c>
      <c r="F550" t="s">
        <v>1078</v>
      </c>
      <c r="G550">
        <v>3520</v>
      </c>
      <c r="H550" s="32" t="str">
        <f ca="1">+IF(B550&gt;'sap nuevo'!$V$1,"cargar",IF(C550="","cargar","pagado"))</f>
        <v>cargar</v>
      </c>
      <c r="I550" s="32">
        <f t="shared" si="92"/>
        <v>2025</v>
      </c>
      <c r="J550" s="32">
        <f t="shared" si="93"/>
        <v>6</v>
      </c>
    </row>
    <row r="551" spans="1:10" x14ac:dyDescent="0.25">
      <c r="A551" t="s">
        <v>873</v>
      </c>
      <c r="B551" t="s">
        <v>1077</v>
      </c>
      <c r="C551">
        <v>1404</v>
      </c>
      <c r="D551">
        <v>9999</v>
      </c>
      <c r="E551" s="4">
        <v>-5325235.5</v>
      </c>
      <c r="F551" t="s">
        <v>1079</v>
      </c>
      <c r="G551">
        <v>3520</v>
      </c>
      <c r="H551" s="32" t="str">
        <f ca="1">+IF(B551&gt;'sap nuevo'!$V$1,"cargar",IF(C551="","cargar","pagado"))</f>
        <v>cargar</v>
      </c>
      <c r="I551" s="32">
        <f t="shared" si="92"/>
        <v>2025</v>
      </c>
      <c r="J551" s="32">
        <f t="shared" si="93"/>
        <v>6</v>
      </c>
    </row>
    <row r="552" spans="1:10" x14ac:dyDescent="0.25">
      <c r="A552" t="s">
        <v>877</v>
      </c>
      <c r="B552" t="s">
        <v>181</v>
      </c>
      <c r="C552">
        <v>1386</v>
      </c>
      <c r="D552">
        <v>9999</v>
      </c>
      <c r="E552" s="4">
        <v>-4851099.5999999996</v>
      </c>
      <c r="F552" t="s">
        <v>1080</v>
      </c>
      <c r="G552">
        <v>1385</v>
      </c>
      <c r="H552" s="32" t="str">
        <f ca="1">+IF(B552&gt;'sap nuevo'!$V$1,"cargar",IF(C552="","cargar","pagado"))</f>
        <v>cargar</v>
      </c>
      <c r="I552" s="32">
        <f t="shared" si="92"/>
        <v>2025</v>
      </c>
      <c r="J552" s="32">
        <f t="shared" si="93"/>
        <v>6</v>
      </c>
    </row>
    <row r="553" spans="1:10" x14ac:dyDescent="0.25">
      <c r="A553" t="s">
        <v>877</v>
      </c>
      <c r="B553" t="s">
        <v>181</v>
      </c>
      <c r="C553">
        <v>1374</v>
      </c>
      <c r="D553">
        <v>9999</v>
      </c>
      <c r="E553" s="4">
        <v>-4232024.63</v>
      </c>
      <c r="F553" t="s">
        <v>1081</v>
      </c>
      <c r="G553">
        <v>1385</v>
      </c>
      <c r="H553" s="32" t="str">
        <f ca="1">+IF(B553&gt;'sap nuevo'!$V$1,"cargar",IF(C553="","cargar","pagado"))</f>
        <v>cargar</v>
      </c>
      <c r="I553" s="32">
        <f t="shared" si="92"/>
        <v>2025</v>
      </c>
      <c r="J553" s="32">
        <f t="shared" si="93"/>
        <v>6</v>
      </c>
    </row>
    <row r="554" spans="1:10" x14ac:dyDescent="0.25">
      <c r="A554" t="s">
        <v>877</v>
      </c>
      <c r="B554" t="s">
        <v>1077</v>
      </c>
      <c r="C554">
        <v>1398</v>
      </c>
      <c r="D554">
        <v>9999</v>
      </c>
      <c r="E554" s="4">
        <v>-27787142</v>
      </c>
      <c r="F554" t="s">
        <v>1082</v>
      </c>
      <c r="G554">
        <v>1385</v>
      </c>
      <c r="H554" s="32" t="str">
        <f ca="1">+IF(B554&gt;'sap nuevo'!$V$1,"cargar",IF(C554="","cargar","pagado"))</f>
        <v>cargar</v>
      </c>
      <c r="I554" s="32">
        <f t="shared" si="92"/>
        <v>2025</v>
      </c>
      <c r="J554" s="32">
        <f t="shared" si="93"/>
        <v>6</v>
      </c>
    </row>
    <row r="555" spans="1:10" x14ac:dyDescent="0.25">
      <c r="A555" t="s">
        <v>877</v>
      </c>
      <c r="B555" t="s">
        <v>1077</v>
      </c>
      <c r="C555">
        <v>1408</v>
      </c>
      <c r="D555">
        <v>9999</v>
      </c>
      <c r="E555" s="4">
        <v>-13996405.65</v>
      </c>
      <c r="F555" t="s">
        <v>1083</v>
      </c>
      <c r="G555">
        <v>1385</v>
      </c>
      <c r="H555" s="32" t="str">
        <f ca="1">+IF(B555&gt;'sap nuevo'!$V$1,"cargar",IF(C555="","cargar","pagado"))</f>
        <v>cargar</v>
      </c>
      <c r="I555" s="32">
        <f t="shared" si="92"/>
        <v>2025</v>
      </c>
      <c r="J555" s="32">
        <f t="shared" si="93"/>
        <v>6</v>
      </c>
    </row>
    <row r="556" spans="1:10" x14ac:dyDescent="0.25">
      <c r="A556" t="s">
        <v>877</v>
      </c>
      <c r="B556" t="s">
        <v>1077</v>
      </c>
      <c r="C556">
        <v>1400</v>
      </c>
      <c r="D556">
        <v>9999</v>
      </c>
      <c r="E556" s="4">
        <v>-8194737.7000000002</v>
      </c>
      <c r="F556" t="s">
        <v>1084</v>
      </c>
      <c r="G556">
        <v>1385</v>
      </c>
      <c r="H556" s="32" t="str">
        <f ca="1">+IF(B556&gt;'sap nuevo'!$V$1,"cargar",IF(C556="","cargar","pagado"))</f>
        <v>cargar</v>
      </c>
      <c r="I556" s="32">
        <f t="shared" si="92"/>
        <v>2025</v>
      </c>
      <c r="J556" s="32">
        <f t="shared" si="93"/>
        <v>6</v>
      </c>
    </row>
    <row r="557" spans="1:10" x14ac:dyDescent="0.25">
      <c r="A557" t="s">
        <v>877</v>
      </c>
      <c r="B557" t="s">
        <v>1077</v>
      </c>
      <c r="C557">
        <v>1410</v>
      </c>
      <c r="D557">
        <v>9999</v>
      </c>
      <c r="E557" s="4">
        <v>-6957670.3899999997</v>
      </c>
      <c r="F557" t="s">
        <v>1085</v>
      </c>
      <c r="G557">
        <v>1385</v>
      </c>
      <c r="H557" s="32" t="str">
        <f ca="1">+IF(B557&gt;'sap nuevo'!$V$1,"cargar",IF(C557="","cargar","pagado"))</f>
        <v>cargar</v>
      </c>
      <c r="I557" s="32">
        <f t="shared" si="92"/>
        <v>2025</v>
      </c>
      <c r="J557" s="32">
        <f t="shared" si="93"/>
        <v>6</v>
      </c>
    </row>
    <row r="558" spans="1:10" x14ac:dyDescent="0.25">
      <c r="A558" t="s">
        <v>877</v>
      </c>
      <c r="B558" t="s">
        <v>1077</v>
      </c>
      <c r="C558">
        <v>1342</v>
      </c>
      <c r="D558">
        <v>9999</v>
      </c>
      <c r="E558" s="4">
        <v>-5640600.9299999997</v>
      </c>
      <c r="F558" t="s">
        <v>1086</v>
      </c>
      <c r="G558">
        <v>1385</v>
      </c>
      <c r="H558" s="32" t="str">
        <f ca="1">+IF(B558&gt;'sap nuevo'!$V$1,"cargar",IF(C558="","cargar","pagado"))</f>
        <v>cargar</v>
      </c>
      <c r="I558" s="32">
        <f t="shared" si="92"/>
        <v>2025</v>
      </c>
      <c r="J558" s="32">
        <f t="shared" si="93"/>
        <v>6</v>
      </c>
    </row>
    <row r="559" spans="1:10" x14ac:dyDescent="0.25">
      <c r="A559" t="s">
        <v>877</v>
      </c>
      <c r="B559" t="s">
        <v>1077</v>
      </c>
      <c r="C559">
        <v>1394</v>
      </c>
      <c r="D559">
        <v>9999</v>
      </c>
      <c r="E559" s="4">
        <v>-5000000</v>
      </c>
      <c r="F559" t="s">
        <v>1087</v>
      </c>
      <c r="G559">
        <v>1385</v>
      </c>
      <c r="H559" s="32" t="str">
        <f ca="1">+IF(B559&gt;'sap nuevo'!$V$1,"cargar",IF(C559="","cargar","pagado"))</f>
        <v>cargar</v>
      </c>
      <c r="I559" s="32">
        <f t="shared" si="92"/>
        <v>2025</v>
      </c>
      <c r="J559" s="32">
        <f t="shared" si="93"/>
        <v>6</v>
      </c>
    </row>
    <row r="560" spans="1:10" x14ac:dyDescent="0.25">
      <c r="A560" t="s">
        <v>877</v>
      </c>
      <c r="B560" t="s">
        <v>1077</v>
      </c>
      <c r="C560">
        <v>1406</v>
      </c>
      <c r="D560">
        <v>9999</v>
      </c>
      <c r="E560" s="4">
        <v>-4711555.01</v>
      </c>
      <c r="F560" t="s">
        <v>1088</v>
      </c>
      <c r="G560">
        <v>1385</v>
      </c>
      <c r="H560" s="32" t="str">
        <f ca="1">+IF(B560&gt;'sap nuevo'!$V$1,"cargar",IF(C560="","cargar","pagado"))</f>
        <v>cargar</v>
      </c>
      <c r="I560" s="32">
        <f t="shared" si="92"/>
        <v>2025</v>
      </c>
      <c r="J560" s="32">
        <f t="shared" si="93"/>
        <v>6</v>
      </c>
    </row>
    <row r="561" spans="1:10" x14ac:dyDescent="0.25">
      <c r="A561" t="s">
        <v>877</v>
      </c>
      <c r="B561" t="s">
        <v>1077</v>
      </c>
      <c r="C561">
        <v>1399</v>
      </c>
      <c r="D561">
        <v>9999</v>
      </c>
      <c r="E561" s="4">
        <v>-3579105</v>
      </c>
      <c r="F561" t="s">
        <v>1089</v>
      </c>
      <c r="G561">
        <v>1385</v>
      </c>
      <c r="H561" s="32" t="str">
        <f ca="1">+IF(B561&gt;'sap nuevo'!$V$1,"cargar",IF(C561="","cargar","pagado"))</f>
        <v>cargar</v>
      </c>
      <c r="I561" s="32">
        <f t="shared" si="92"/>
        <v>2025</v>
      </c>
      <c r="J561" s="32">
        <f t="shared" si="93"/>
        <v>6</v>
      </c>
    </row>
    <row r="562" spans="1:10" x14ac:dyDescent="0.25">
      <c r="A562" t="s">
        <v>877</v>
      </c>
      <c r="B562" t="s">
        <v>1077</v>
      </c>
      <c r="C562">
        <v>1347</v>
      </c>
      <c r="D562">
        <v>9999</v>
      </c>
      <c r="E562" s="4">
        <v>-1856299</v>
      </c>
      <c r="F562" t="s">
        <v>1090</v>
      </c>
      <c r="G562">
        <v>1385</v>
      </c>
      <c r="H562" s="32" t="str">
        <f ca="1">+IF(B562&gt;'sap nuevo'!$V$1,"cargar",IF(C562="","cargar","pagado"))</f>
        <v>cargar</v>
      </c>
      <c r="I562" s="32">
        <f t="shared" si="92"/>
        <v>2025</v>
      </c>
      <c r="J562" s="32">
        <f t="shared" si="93"/>
        <v>6</v>
      </c>
    </row>
    <row r="563" spans="1:10" x14ac:dyDescent="0.25">
      <c r="A563" t="s">
        <v>873</v>
      </c>
      <c r="B563" t="s">
        <v>1077</v>
      </c>
      <c r="C563">
        <v>1402</v>
      </c>
      <c r="D563">
        <v>9999</v>
      </c>
      <c r="E563" s="4">
        <v>-7548120.8099999996</v>
      </c>
      <c r="F563" t="s">
        <v>1078</v>
      </c>
      <c r="G563">
        <v>3520</v>
      </c>
      <c r="H563" s="32" t="str">
        <f ca="1">+IF(B563&gt;'sap nuevo'!$V$1,"cargar",IF(C563="","cargar","pagado"))</f>
        <v>cargar</v>
      </c>
      <c r="I563" s="32">
        <f t="shared" ref="I563:I585" si="94">+YEAR(B563)</f>
        <v>2025</v>
      </c>
      <c r="J563" s="32">
        <f t="shared" ref="J563:J585" si="95">+MONTH(B563)</f>
        <v>6</v>
      </c>
    </row>
    <row r="564" spans="1:10" x14ac:dyDescent="0.25">
      <c r="A564" t="s">
        <v>873</v>
      </c>
      <c r="B564" t="s">
        <v>1077</v>
      </c>
      <c r="C564">
        <v>1404</v>
      </c>
      <c r="D564">
        <v>9999</v>
      </c>
      <c r="E564" s="4">
        <v>-5325235.5</v>
      </c>
      <c r="F564" t="s">
        <v>1079</v>
      </c>
      <c r="G564">
        <v>3520</v>
      </c>
      <c r="H564" s="32" t="str">
        <f ca="1">+IF(B564&gt;'sap nuevo'!$V$1,"cargar",IF(C564="","cargar","pagado"))</f>
        <v>cargar</v>
      </c>
      <c r="I564" s="32">
        <f t="shared" si="94"/>
        <v>2025</v>
      </c>
      <c r="J564" s="32">
        <f t="shared" si="95"/>
        <v>6</v>
      </c>
    </row>
    <row r="565" spans="1:10" x14ac:dyDescent="0.25">
      <c r="A565" t="s">
        <v>877</v>
      </c>
      <c r="B565" t="s">
        <v>1077</v>
      </c>
      <c r="C565">
        <v>1398</v>
      </c>
      <c r="D565">
        <v>9999</v>
      </c>
      <c r="E565" s="4">
        <v>-27787142</v>
      </c>
      <c r="F565" t="s">
        <v>1082</v>
      </c>
      <c r="G565">
        <v>1385</v>
      </c>
      <c r="H565" s="32" t="str">
        <f ca="1">+IF(B565&gt;'sap nuevo'!$V$1,"cargar",IF(C565="","cargar","pagado"))</f>
        <v>cargar</v>
      </c>
      <c r="I565" s="32">
        <f t="shared" si="94"/>
        <v>2025</v>
      </c>
      <c r="J565" s="32">
        <f t="shared" si="95"/>
        <v>6</v>
      </c>
    </row>
    <row r="566" spans="1:10" x14ac:dyDescent="0.25">
      <c r="A566" t="s">
        <v>873</v>
      </c>
      <c r="B566" t="s">
        <v>1091</v>
      </c>
      <c r="C566">
        <v>1403</v>
      </c>
      <c r="D566">
        <v>9999</v>
      </c>
      <c r="E566" s="4">
        <v>-18435105.66</v>
      </c>
      <c r="F566" t="s">
        <v>1092</v>
      </c>
      <c r="G566">
        <v>3520</v>
      </c>
      <c r="H566" s="32" t="str">
        <f ca="1">+IF(B566&gt;'sap nuevo'!$V$1,"cargar",IF(C566="","cargar","pagado"))</f>
        <v>cargar</v>
      </c>
      <c r="I566" s="32">
        <f t="shared" si="94"/>
        <v>2025</v>
      </c>
      <c r="J566" s="32">
        <f t="shared" si="95"/>
        <v>6</v>
      </c>
    </row>
    <row r="567" spans="1:10" x14ac:dyDescent="0.25">
      <c r="A567" t="s">
        <v>877</v>
      </c>
      <c r="B567" t="s">
        <v>1077</v>
      </c>
      <c r="C567">
        <v>1408</v>
      </c>
      <c r="D567">
        <v>9999</v>
      </c>
      <c r="E567" s="4">
        <v>-13996405.65</v>
      </c>
      <c r="F567" t="s">
        <v>1083</v>
      </c>
      <c r="G567">
        <v>1385</v>
      </c>
      <c r="H567" s="32" t="str">
        <f ca="1">+IF(B567&gt;'sap nuevo'!$V$1,"cargar",IF(C567="","cargar","pagado"))</f>
        <v>cargar</v>
      </c>
      <c r="I567" s="32">
        <f t="shared" si="94"/>
        <v>2025</v>
      </c>
      <c r="J567" s="32">
        <f t="shared" si="95"/>
        <v>6</v>
      </c>
    </row>
    <row r="568" spans="1:10" x14ac:dyDescent="0.25">
      <c r="A568" t="s">
        <v>877</v>
      </c>
      <c r="B568" t="s">
        <v>1077</v>
      </c>
      <c r="C568">
        <v>1400</v>
      </c>
      <c r="D568">
        <v>9999</v>
      </c>
      <c r="E568" s="4">
        <v>-8194737.7000000002</v>
      </c>
      <c r="F568" t="s">
        <v>1084</v>
      </c>
      <c r="G568">
        <v>1385</v>
      </c>
      <c r="H568" s="32" t="str">
        <f ca="1">+IF(B568&gt;'sap nuevo'!$V$1,"cargar",IF(C568="","cargar","pagado"))</f>
        <v>cargar</v>
      </c>
      <c r="I568" s="32">
        <f t="shared" si="94"/>
        <v>2025</v>
      </c>
      <c r="J568" s="32">
        <f t="shared" si="95"/>
        <v>6</v>
      </c>
    </row>
    <row r="569" spans="1:10" x14ac:dyDescent="0.25">
      <c r="A569" t="s">
        <v>877</v>
      </c>
      <c r="B569" t="s">
        <v>1077</v>
      </c>
      <c r="C569">
        <v>1410</v>
      </c>
      <c r="D569">
        <v>9999</v>
      </c>
      <c r="E569" s="4">
        <v>-6957670.3899999997</v>
      </c>
      <c r="F569" t="s">
        <v>1085</v>
      </c>
      <c r="G569">
        <v>1385</v>
      </c>
      <c r="H569" s="32" t="str">
        <f ca="1">+IF(B569&gt;'sap nuevo'!$V$1,"cargar",IF(C569="","cargar","pagado"))</f>
        <v>cargar</v>
      </c>
      <c r="I569" s="32">
        <f t="shared" si="94"/>
        <v>2025</v>
      </c>
      <c r="J569" s="32">
        <f t="shared" si="95"/>
        <v>6</v>
      </c>
    </row>
    <row r="570" spans="1:10" x14ac:dyDescent="0.25">
      <c r="A570" t="s">
        <v>877</v>
      </c>
      <c r="B570" t="s">
        <v>1077</v>
      </c>
      <c r="C570">
        <v>1342</v>
      </c>
      <c r="D570">
        <v>9999</v>
      </c>
      <c r="E570" s="4">
        <v>-5640600.9299999997</v>
      </c>
      <c r="F570" t="s">
        <v>1086</v>
      </c>
      <c r="G570">
        <v>1385</v>
      </c>
      <c r="H570" s="32" t="str">
        <f ca="1">+IF(B570&gt;'sap nuevo'!$V$1,"cargar",IF(C570="","cargar","pagado"))</f>
        <v>cargar</v>
      </c>
      <c r="I570" s="32">
        <f t="shared" si="94"/>
        <v>2025</v>
      </c>
      <c r="J570" s="32">
        <f t="shared" si="95"/>
        <v>6</v>
      </c>
    </row>
    <row r="571" spans="1:10" x14ac:dyDescent="0.25">
      <c r="A571" t="s">
        <v>877</v>
      </c>
      <c r="B571" t="s">
        <v>1077</v>
      </c>
      <c r="C571">
        <v>1394</v>
      </c>
      <c r="D571">
        <v>9999</v>
      </c>
      <c r="E571" s="4">
        <v>-5000000</v>
      </c>
      <c r="F571" t="s">
        <v>1087</v>
      </c>
      <c r="G571">
        <v>1385</v>
      </c>
      <c r="H571" s="32" t="str">
        <f ca="1">+IF(B571&gt;'sap nuevo'!$V$1,"cargar",IF(C571="","cargar","pagado"))</f>
        <v>cargar</v>
      </c>
      <c r="I571" s="32">
        <f t="shared" si="94"/>
        <v>2025</v>
      </c>
      <c r="J571" s="32">
        <f t="shared" si="95"/>
        <v>6</v>
      </c>
    </row>
    <row r="572" spans="1:10" x14ac:dyDescent="0.25">
      <c r="A572" t="s">
        <v>877</v>
      </c>
      <c r="B572" t="s">
        <v>1077</v>
      </c>
      <c r="C572">
        <v>1406</v>
      </c>
      <c r="D572">
        <v>9999</v>
      </c>
      <c r="E572" s="4">
        <v>-4711555.01</v>
      </c>
      <c r="F572" t="s">
        <v>1088</v>
      </c>
      <c r="G572">
        <v>1385</v>
      </c>
      <c r="H572" s="32" t="str">
        <f ca="1">+IF(B572&gt;'sap nuevo'!$V$1,"cargar",IF(C572="","cargar","pagado"))</f>
        <v>cargar</v>
      </c>
      <c r="I572" s="32">
        <f t="shared" si="94"/>
        <v>2025</v>
      </c>
      <c r="J572" s="32">
        <f t="shared" si="95"/>
        <v>6</v>
      </c>
    </row>
    <row r="573" spans="1:10" x14ac:dyDescent="0.25">
      <c r="A573" t="s">
        <v>877</v>
      </c>
      <c r="B573" t="s">
        <v>1077</v>
      </c>
      <c r="C573">
        <v>1399</v>
      </c>
      <c r="D573">
        <v>9999</v>
      </c>
      <c r="E573" s="4">
        <v>-3579105</v>
      </c>
      <c r="F573" t="s">
        <v>1089</v>
      </c>
      <c r="G573">
        <v>1385</v>
      </c>
      <c r="H573" s="32" t="str">
        <f ca="1">+IF(B573&gt;'sap nuevo'!$V$1,"cargar",IF(C573="","cargar","pagado"))</f>
        <v>cargar</v>
      </c>
      <c r="I573" s="32">
        <f t="shared" si="94"/>
        <v>2025</v>
      </c>
      <c r="J573" s="32">
        <f t="shared" si="95"/>
        <v>6</v>
      </c>
    </row>
    <row r="574" spans="1:10" x14ac:dyDescent="0.25">
      <c r="A574" t="s">
        <v>877</v>
      </c>
      <c r="B574" t="s">
        <v>1077</v>
      </c>
      <c r="C574">
        <v>1347</v>
      </c>
      <c r="D574">
        <v>9999</v>
      </c>
      <c r="E574" s="4">
        <v>-1856299</v>
      </c>
      <c r="F574" t="s">
        <v>1090</v>
      </c>
      <c r="G574">
        <v>1385</v>
      </c>
      <c r="H574" s="32" t="str">
        <f ca="1">+IF(B574&gt;'sap nuevo'!$V$1,"cargar",IF(C574="","cargar","pagado"))</f>
        <v>cargar</v>
      </c>
      <c r="I574" s="32">
        <f t="shared" si="94"/>
        <v>2025</v>
      </c>
      <c r="J574" s="32">
        <f t="shared" si="95"/>
        <v>6</v>
      </c>
    </row>
    <row r="575" spans="1:10" x14ac:dyDescent="0.25">
      <c r="A575" t="s">
        <v>873</v>
      </c>
      <c r="B575" t="s">
        <v>1091</v>
      </c>
      <c r="C575">
        <v>1346</v>
      </c>
      <c r="D575">
        <v>9999</v>
      </c>
      <c r="E575" s="4">
        <v>-1805529</v>
      </c>
      <c r="F575" t="s">
        <v>1093</v>
      </c>
      <c r="G575">
        <v>3520</v>
      </c>
      <c r="H575" s="32" t="str">
        <f ca="1">+IF(B575&gt;'sap nuevo'!$V$1,"cargar",IF(C575="","cargar","pagado"))</f>
        <v>cargar</v>
      </c>
      <c r="I575" s="32">
        <f t="shared" si="94"/>
        <v>2025</v>
      </c>
      <c r="J575" s="32">
        <f t="shared" si="95"/>
        <v>6</v>
      </c>
    </row>
    <row r="576" spans="1:10" x14ac:dyDescent="0.25">
      <c r="A576" t="s">
        <v>877</v>
      </c>
      <c r="B576" t="s">
        <v>1091</v>
      </c>
      <c r="C576">
        <v>1407</v>
      </c>
      <c r="D576">
        <v>9999</v>
      </c>
      <c r="E576" s="4">
        <v>-3023142.36</v>
      </c>
      <c r="F576" t="s">
        <v>1094</v>
      </c>
      <c r="G576">
        <v>1385</v>
      </c>
      <c r="H576" s="32" t="str">
        <f ca="1">+IF(B576&gt;'sap nuevo'!$V$1,"cargar",IF(C576="","cargar","pagado"))</f>
        <v>cargar</v>
      </c>
      <c r="I576" s="32">
        <f t="shared" si="94"/>
        <v>2025</v>
      </c>
      <c r="J576" s="32">
        <f t="shared" si="95"/>
        <v>6</v>
      </c>
    </row>
    <row r="577" spans="1:10" x14ac:dyDescent="0.25">
      <c r="A577" t="s">
        <v>21</v>
      </c>
      <c r="B577" t="s">
        <v>1091</v>
      </c>
      <c r="C577">
        <v>40272951</v>
      </c>
      <c r="D577">
        <v>140</v>
      </c>
      <c r="E577" s="4">
        <v>-2263590</v>
      </c>
      <c r="F577" t="s">
        <v>80</v>
      </c>
      <c r="G577">
        <v>0</v>
      </c>
      <c r="H577" s="32" t="str">
        <f ca="1">+IF(B577&gt;'sap nuevo'!$V$1,"cargar",IF(C577="","cargar","pagado"))</f>
        <v>cargar</v>
      </c>
      <c r="I577" s="32">
        <f t="shared" si="94"/>
        <v>2025</v>
      </c>
      <c r="J577" s="32">
        <f t="shared" si="95"/>
        <v>6</v>
      </c>
    </row>
    <row r="578" spans="1:10" x14ac:dyDescent="0.25">
      <c r="A578" t="s">
        <v>877</v>
      </c>
      <c r="B578" t="s">
        <v>183</v>
      </c>
      <c r="C578">
        <v>1417</v>
      </c>
      <c r="D578">
        <v>9999</v>
      </c>
      <c r="E578" s="4">
        <v>-39978715.689999998</v>
      </c>
      <c r="F578" t="s">
        <v>1095</v>
      </c>
      <c r="G578">
        <v>1385</v>
      </c>
      <c r="H578" s="32" t="str">
        <f ca="1">+IF(B578&gt;'sap nuevo'!$V$1,"cargar",IF(C578="","cargar","pagado"))</f>
        <v>cargar</v>
      </c>
      <c r="I578" s="32">
        <f t="shared" si="94"/>
        <v>2025</v>
      </c>
      <c r="J578" s="32">
        <f t="shared" si="95"/>
        <v>6</v>
      </c>
    </row>
    <row r="579" spans="1:10" x14ac:dyDescent="0.25">
      <c r="A579" t="s">
        <v>877</v>
      </c>
      <c r="B579" t="s">
        <v>183</v>
      </c>
      <c r="C579">
        <v>1413</v>
      </c>
      <c r="D579">
        <v>9999</v>
      </c>
      <c r="E579" s="4">
        <v>-21294050.120000001</v>
      </c>
      <c r="F579" t="s">
        <v>1096</v>
      </c>
      <c r="G579">
        <v>1385</v>
      </c>
      <c r="H579" s="32" t="str">
        <f ca="1">+IF(B579&gt;'sap nuevo'!$V$1,"cargar",IF(C579="","cargar","pagado"))</f>
        <v>cargar</v>
      </c>
      <c r="I579" s="32">
        <f t="shared" si="94"/>
        <v>2025</v>
      </c>
      <c r="J579" s="32">
        <f t="shared" si="95"/>
        <v>6</v>
      </c>
    </row>
    <row r="580" spans="1:10" x14ac:dyDescent="0.25">
      <c r="A580" t="s">
        <v>877</v>
      </c>
      <c r="B580" t="s">
        <v>183</v>
      </c>
      <c r="C580">
        <v>1416</v>
      </c>
      <c r="D580">
        <v>9999</v>
      </c>
      <c r="E580" s="4">
        <v>-21074118.09</v>
      </c>
      <c r="F580" t="s">
        <v>1097</v>
      </c>
      <c r="G580">
        <v>1385</v>
      </c>
      <c r="H580" s="32" t="str">
        <f ca="1">+IF(B580&gt;'sap nuevo'!$V$1,"cargar",IF(C580="","cargar","pagado"))</f>
        <v>cargar</v>
      </c>
      <c r="I580" s="32">
        <f t="shared" si="94"/>
        <v>2025</v>
      </c>
      <c r="J580" s="32">
        <f t="shared" si="95"/>
        <v>6</v>
      </c>
    </row>
    <row r="581" spans="1:10" x14ac:dyDescent="0.25">
      <c r="A581" t="s">
        <v>877</v>
      </c>
      <c r="B581" t="s">
        <v>183</v>
      </c>
      <c r="C581">
        <v>1418</v>
      </c>
      <c r="D581">
        <v>9999</v>
      </c>
      <c r="E581" s="4">
        <v>-12536088.23</v>
      </c>
      <c r="F581" t="s">
        <v>1098</v>
      </c>
      <c r="G581">
        <v>1385</v>
      </c>
      <c r="H581" s="32" t="str">
        <f ca="1">+IF(B581&gt;'sap nuevo'!$V$1,"cargar",IF(C581="","cargar","pagado"))</f>
        <v>cargar</v>
      </c>
      <c r="I581" s="32">
        <f t="shared" si="94"/>
        <v>2025</v>
      </c>
      <c r="J581" s="32">
        <f t="shared" si="95"/>
        <v>6</v>
      </c>
    </row>
    <row r="582" spans="1:10" x14ac:dyDescent="0.25">
      <c r="A582" t="s">
        <v>877</v>
      </c>
      <c r="B582" t="s">
        <v>183</v>
      </c>
      <c r="C582">
        <v>1419</v>
      </c>
      <c r="D582">
        <v>9999</v>
      </c>
      <c r="E582" s="4">
        <v>-11883729.300000001</v>
      </c>
      <c r="F582" t="s">
        <v>1099</v>
      </c>
      <c r="G582">
        <v>1385</v>
      </c>
      <c r="H582" s="32" t="str">
        <f ca="1">+IF(B582&gt;'sap nuevo'!$V$1,"cargar",IF(C582="","cargar","pagado"))</f>
        <v>cargar</v>
      </c>
      <c r="I582" s="32">
        <f t="shared" si="94"/>
        <v>2025</v>
      </c>
      <c r="J582" s="32">
        <f t="shared" si="95"/>
        <v>6</v>
      </c>
    </row>
    <row r="583" spans="1:10" x14ac:dyDescent="0.25">
      <c r="A583" t="s">
        <v>877</v>
      </c>
      <c r="B583" t="s">
        <v>183</v>
      </c>
      <c r="C583">
        <v>1411</v>
      </c>
      <c r="D583">
        <v>9999</v>
      </c>
      <c r="E583" s="4">
        <v>-5723915.6299999999</v>
      </c>
      <c r="F583" t="s">
        <v>1100</v>
      </c>
      <c r="G583">
        <v>1385</v>
      </c>
      <c r="H583" s="32" t="str">
        <f ca="1">+IF(B583&gt;'sap nuevo'!$V$1,"cargar",IF(C583="","cargar","pagado"))</f>
        <v>cargar</v>
      </c>
      <c r="I583" s="32">
        <f t="shared" si="94"/>
        <v>2025</v>
      </c>
      <c r="J583" s="32">
        <f t="shared" si="95"/>
        <v>6</v>
      </c>
    </row>
    <row r="584" spans="1:10" x14ac:dyDescent="0.25">
      <c r="A584" t="s">
        <v>21</v>
      </c>
      <c r="B584" t="s">
        <v>183</v>
      </c>
      <c r="C584">
        <v>91002418</v>
      </c>
      <c r="D584">
        <v>140</v>
      </c>
      <c r="E584" s="4">
        <v>-8000000</v>
      </c>
      <c r="F584" t="s">
        <v>80</v>
      </c>
      <c r="G584">
        <v>0</v>
      </c>
      <c r="H584" s="32" t="str">
        <f ca="1">+IF(B584&gt;'sap nuevo'!$V$1,"cargar",IF(C584="","cargar","pagado"))</f>
        <v>cargar</v>
      </c>
      <c r="I584" s="32">
        <f t="shared" si="94"/>
        <v>2025</v>
      </c>
      <c r="J584" s="32">
        <f t="shared" si="95"/>
        <v>6</v>
      </c>
    </row>
    <row r="585" spans="1:10" x14ac:dyDescent="0.25">
      <c r="A585" t="s">
        <v>873</v>
      </c>
      <c r="B585" t="s">
        <v>184</v>
      </c>
      <c r="C585">
        <v>1414</v>
      </c>
      <c r="D585">
        <v>9999</v>
      </c>
      <c r="E585" s="4">
        <v>-20874644.699999999</v>
      </c>
      <c r="F585" t="s">
        <v>1101</v>
      </c>
      <c r="G585">
        <v>3520</v>
      </c>
      <c r="H585" s="32" t="str">
        <f ca="1">+IF(B585&gt;'sap nuevo'!$V$1,"cargar",IF(C585="","cargar","pagado"))</f>
        <v>cargar</v>
      </c>
      <c r="I585" s="32">
        <f t="shared" si="94"/>
        <v>2025</v>
      </c>
      <c r="J585" s="32">
        <f t="shared" si="95"/>
        <v>7</v>
      </c>
    </row>
    <row r="586" spans="1:10" x14ac:dyDescent="0.25">
      <c r="A586" t="s">
        <v>873</v>
      </c>
      <c r="B586" t="s">
        <v>184</v>
      </c>
      <c r="C586">
        <v>1436</v>
      </c>
      <c r="D586">
        <v>9999</v>
      </c>
      <c r="E586" s="4">
        <v>-7865678</v>
      </c>
      <c r="F586" t="s">
        <v>1102</v>
      </c>
      <c r="G586">
        <v>3520</v>
      </c>
      <c r="H586" s="32" t="str">
        <f ca="1">+IF(B586&gt;'sap nuevo'!$V$1,"cargar",IF(C586="","cargar","pagado"))</f>
        <v>cargar</v>
      </c>
      <c r="I586" s="32">
        <f t="shared" ref="I586:I595" si="96">+YEAR(B586)</f>
        <v>2025</v>
      </c>
      <c r="J586" s="32">
        <f t="shared" ref="J586:J595" si="97">+MONTH(B586)</f>
        <v>7</v>
      </c>
    </row>
    <row r="587" spans="1:10" x14ac:dyDescent="0.25">
      <c r="A587" t="s">
        <v>873</v>
      </c>
      <c r="B587" t="s">
        <v>184</v>
      </c>
      <c r="C587">
        <v>1437</v>
      </c>
      <c r="D587">
        <v>9999</v>
      </c>
      <c r="E587" s="4">
        <v>-5990114.6299999999</v>
      </c>
      <c r="F587" t="s">
        <v>1103</v>
      </c>
      <c r="G587">
        <v>3520</v>
      </c>
      <c r="H587" s="32" t="str">
        <f ca="1">+IF(B587&gt;'sap nuevo'!$V$1,"cargar",IF(C587="","cargar","pagado"))</f>
        <v>cargar</v>
      </c>
      <c r="I587" s="32">
        <f t="shared" si="96"/>
        <v>2025</v>
      </c>
      <c r="J587" s="32">
        <f t="shared" si="97"/>
        <v>7</v>
      </c>
    </row>
    <row r="588" spans="1:10" x14ac:dyDescent="0.25">
      <c r="A588" t="s">
        <v>873</v>
      </c>
      <c r="B588" t="s">
        <v>184</v>
      </c>
      <c r="C588">
        <v>1424</v>
      </c>
      <c r="D588">
        <v>9999</v>
      </c>
      <c r="E588" s="4">
        <v>-3764402.17</v>
      </c>
      <c r="F588" t="s">
        <v>1104</v>
      </c>
      <c r="G588">
        <v>3520</v>
      </c>
      <c r="H588" s="32" t="str">
        <f ca="1">+IF(B588&gt;'sap nuevo'!$V$1,"cargar",IF(C588="","cargar","pagado"))</f>
        <v>cargar</v>
      </c>
      <c r="I588" s="32">
        <f t="shared" si="96"/>
        <v>2025</v>
      </c>
      <c r="J588" s="32">
        <f t="shared" si="97"/>
        <v>7</v>
      </c>
    </row>
    <row r="589" spans="1:10" x14ac:dyDescent="0.25">
      <c r="A589" t="s">
        <v>877</v>
      </c>
      <c r="B589" t="s">
        <v>184</v>
      </c>
      <c r="C589">
        <v>1422</v>
      </c>
      <c r="D589">
        <v>9999</v>
      </c>
      <c r="E589" s="4">
        <v>-15309349.109999999</v>
      </c>
      <c r="F589" t="s">
        <v>1105</v>
      </c>
      <c r="G589">
        <v>1385</v>
      </c>
      <c r="H589" s="32" t="str">
        <f ca="1">+IF(B589&gt;'sap nuevo'!$V$1,"cargar",IF(C589="","cargar","pagado"))</f>
        <v>cargar</v>
      </c>
      <c r="I589" s="32">
        <f t="shared" si="96"/>
        <v>2025</v>
      </c>
      <c r="J589" s="32">
        <f t="shared" si="97"/>
        <v>7</v>
      </c>
    </row>
    <row r="590" spans="1:10" x14ac:dyDescent="0.25">
      <c r="A590" t="s">
        <v>877</v>
      </c>
      <c r="B590" t="s">
        <v>184</v>
      </c>
      <c r="C590">
        <v>1401</v>
      </c>
      <c r="D590">
        <v>9999</v>
      </c>
      <c r="E590" s="4">
        <v>-10038095.4</v>
      </c>
      <c r="F590" t="s">
        <v>1106</v>
      </c>
      <c r="G590">
        <v>1385</v>
      </c>
      <c r="H590" s="32" t="str">
        <f ca="1">+IF(B590&gt;'sap nuevo'!$V$1,"cargar",IF(C590="","cargar","pagado"))</f>
        <v>cargar</v>
      </c>
      <c r="I590" s="32">
        <f t="shared" si="96"/>
        <v>2025</v>
      </c>
      <c r="J590" s="32">
        <f t="shared" si="97"/>
        <v>7</v>
      </c>
    </row>
    <row r="591" spans="1:10" x14ac:dyDescent="0.25">
      <c r="A591" t="s">
        <v>877</v>
      </c>
      <c r="B591" t="s">
        <v>184</v>
      </c>
      <c r="C591">
        <v>1426</v>
      </c>
      <c r="D591">
        <v>9999</v>
      </c>
      <c r="E591" s="4">
        <v>-9357237.3200000003</v>
      </c>
      <c r="F591" t="s">
        <v>1107</v>
      </c>
      <c r="G591">
        <v>1385</v>
      </c>
      <c r="H591" s="32" t="str">
        <f ca="1">+IF(B591&gt;'sap nuevo'!$V$1,"cargar",IF(C591="","cargar","pagado"))</f>
        <v>cargar</v>
      </c>
      <c r="I591" s="32">
        <f t="shared" si="96"/>
        <v>2025</v>
      </c>
      <c r="J591" s="32">
        <f t="shared" si="97"/>
        <v>7</v>
      </c>
    </row>
    <row r="592" spans="1:10" x14ac:dyDescent="0.25">
      <c r="A592" t="s">
        <v>877</v>
      </c>
      <c r="B592" t="s">
        <v>184</v>
      </c>
      <c r="C592">
        <v>1435</v>
      </c>
      <c r="D592">
        <v>9999</v>
      </c>
      <c r="E592" s="4">
        <v>-8428990.5999999996</v>
      </c>
      <c r="F592" t="s">
        <v>1108</v>
      </c>
      <c r="G592">
        <v>1385</v>
      </c>
      <c r="H592" s="32" t="str">
        <f ca="1">+IF(B592&gt;'sap nuevo'!$V$1,"cargar",IF(C592="","cargar","pagado"))</f>
        <v>cargar</v>
      </c>
      <c r="I592" s="32">
        <f t="shared" si="96"/>
        <v>2025</v>
      </c>
      <c r="J592" s="32">
        <f t="shared" si="97"/>
        <v>7</v>
      </c>
    </row>
    <row r="593" spans="1:10" x14ac:dyDescent="0.25">
      <c r="A593" t="s">
        <v>877</v>
      </c>
      <c r="B593" t="s">
        <v>184</v>
      </c>
      <c r="C593">
        <v>1428</v>
      </c>
      <c r="D593">
        <v>9999</v>
      </c>
      <c r="E593" s="4">
        <v>-8292873.4000000004</v>
      </c>
      <c r="F593" t="s">
        <v>1109</v>
      </c>
      <c r="G593">
        <v>1385</v>
      </c>
      <c r="H593" s="32" t="str">
        <f ca="1">+IF(B593&gt;'sap nuevo'!$V$1,"cargar",IF(C593="","cargar","pagado"))</f>
        <v>cargar</v>
      </c>
      <c r="I593" s="32">
        <f t="shared" si="96"/>
        <v>2025</v>
      </c>
      <c r="J593" s="32">
        <f t="shared" si="97"/>
        <v>7</v>
      </c>
    </row>
    <row r="594" spans="1:10" x14ac:dyDescent="0.25">
      <c r="A594" t="s">
        <v>877</v>
      </c>
      <c r="B594" t="s">
        <v>184</v>
      </c>
      <c r="C594">
        <v>1328</v>
      </c>
      <c r="D594">
        <v>9999</v>
      </c>
      <c r="E594" s="4">
        <v>-7986987.4299999997</v>
      </c>
      <c r="F594" t="s">
        <v>1110</v>
      </c>
      <c r="G594">
        <v>1385</v>
      </c>
      <c r="H594" s="32" t="str">
        <f ca="1">+IF(B594&gt;'sap nuevo'!$V$1,"cargar",IF(C594="","cargar","pagado"))</f>
        <v>cargar</v>
      </c>
      <c r="I594" s="32">
        <f t="shared" si="96"/>
        <v>2025</v>
      </c>
      <c r="J594" s="32">
        <f t="shared" si="97"/>
        <v>7</v>
      </c>
    </row>
    <row r="595" spans="1:10" x14ac:dyDescent="0.25">
      <c r="A595" t="s">
        <v>877</v>
      </c>
      <c r="B595" t="s">
        <v>184</v>
      </c>
      <c r="C595">
        <v>1421</v>
      </c>
      <c r="D595">
        <v>9999</v>
      </c>
      <c r="E595" s="4">
        <v>-7694216.2000000002</v>
      </c>
      <c r="F595" t="s">
        <v>1111</v>
      </c>
      <c r="G595">
        <v>1385</v>
      </c>
      <c r="H595" s="32" t="str">
        <f ca="1">+IF(B595&gt;'sap nuevo'!$V$1,"cargar",IF(C595="","cargar","pagado"))</f>
        <v>cargar</v>
      </c>
      <c r="I595" s="32">
        <f t="shared" si="96"/>
        <v>2025</v>
      </c>
      <c r="J595" s="32">
        <f t="shared" si="97"/>
        <v>7</v>
      </c>
    </row>
    <row r="596" spans="1:10" x14ac:dyDescent="0.25">
      <c r="A596" t="s">
        <v>877</v>
      </c>
      <c r="B596" t="s">
        <v>184</v>
      </c>
      <c r="C596">
        <v>1433</v>
      </c>
      <c r="D596">
        <v>9999</v>
      </c>
      <c r="E596" s="4">
        <v>-6078687.3300000001</v>
      </c>
      <c r="F596" t="s">
        <v>1112</v>
      </c>
      <c r="G596">
        <v>1385</v>
      </c>
      <c r="H596" s="32" t="str">
        <f ca="1">+IF(B596&gt;'sap nuevo'!$V$1,"cargar",IF(C596="","cargar","pagado"))</f>
        <v>cargar</v>
      </c>
      <c r="I596" s="32">
        <f t="shared" ref="I596:I635" si="98">+YEAR(B596)</f>
        <v>2025</v>
      </c>
      <c r="J596" s="32">
        <f t="shared" ref="J596:J635" si="99">+MONTH(B596)</f>
        <v>7</v>
      </c>
    </row>
    <row r="597" spans="1:10" x14ac:dyDescent="0.25">
      <c r="A597" t="s">
        <v>877</v>
      </c>
      <c r="B597" t="s">
        <v>184</v>
      </c>
      <c r="C597">
        <v>1420</v>
      </c>
      <c r="D597">
        <v>9999</v>
      </c>
      <c r="E597" s="4">
        <v>-4557000</v>
      </c>
      <c r="F597" t="s">
        <v>1113</v>
      </c>
      <c r="G597">
        <v>1385</v>
      </c>
      <c r="H597" s="32" t="str">
        <f ca="1">+IF(B597&gt;'sap nuevo'!$V$1,"cargar",IF(C597="","cargar","pagado"))</f>
        <v>cargar</v>
      </c>
      <c r="I597" s="32">
        <f t="shared" si="98"/>
        <v>2025</v>
      </c>
      <c r="J597" s="32">
        <f t="shared" si="99"/>
        <v>7</v>
      </c>
    </row>
    <row r="598" spans="1:10" x14ac:dyDescent="0.25">
      <c r="A598" t="s">
        <v>877</v>
      </c>
      <c r="B598" t="s">
        <v>184</v>
      </c>
      <c r="C598">
        <v>1434</v>
      </c>
      <c r="D598">
        <v>9999</v>
      </c>
      <c r="E598" s="4">
        <v>-4253920.29</v>
      </c>
      <c r="F598" t="s">
        <v>1114</v>
      </c>
      <c r="G598">
        <v>1385</v>
      </c>
      <c r="H598" s="32" t="str">
        <f ca="1">+IF(B598&gt;'sap nuevo'!$V$1,"cargar",IF(C598="","cargar","pagado"))</f>
        <v>cargar</v>
      </c>
      <c r="I598" s="32">
        <f t="shared" si="98"/>
        <v>2025</v>
      </c>
      <c r="J598" s="32">
        <f t="shared" si="99"/>
        <v>7</v>
      </c>
    </row>
    <row r="599" spans="1:10" x14ac:dyDescent="0.25">
      <c r="A599" t="s">
        <v>877</v>
      </c>
      <c r="B599" t="s">
        <v>184</v>
      </c>
      <c r="C599">
        <v>1430</v>
      </c>
      <c r="D599">
        <v>9999</v>
      </c>
      <c r="E599" s="4">
        <v>-4231992.71</v>
      </c>
      <c r="F599" t="s">
        <v>1115</v>
      </c>
      <c r="G599">
        <v>1385</v>
      </c>
      <c r="H599" s="32" t="str">
        <f ca="1">+IF(B599&gt;'sap nuevo'!$V$1,"cargar",IF(C599="","cargar","pagado"))</f>
        <v>cargar</v>
      </c>
      <c r="I599" s="32">
        <f t="shared" si="98"/>
        <v>2025</v>
      </c>
      <c r="J599" s="32">
        <f t="shared" si="99"/>
        <v>7</v>
      </c>
    </row>
    <row r="600" spans="1:10" x14ac:dyDescent="0.25">
      <c r="A600" t="s">
        <v>877</v>
      </c>
      <c r="B600" t="s">
        <v>184</v>
      </c>
      <c r="C600">
        <v>1423</v>
      </c>
      <c r="D600">
        <v>9999</v>
      </c>
      <c r="E600" s="4">
        <v>-4113417.9</v>
      </c>
      <c r="F600" t="s">
        <v>1116</v>
      </c>
      <c r="G600">
        <v>1385</v>
      </c>
      <c r="H600" s="32" t="str">
        <f ca="1">+IF(B600&gt;'sap nuevo'!$V$1,"cargar",IF(C600="","cargar","pagado"))</f>
        <v>cargar</v>
      </c>
      <c r="I600" s="32">
        <f t="shared" si="98"/>
        <v>2025</v>
      </c>
      <c r="J600" s="32">
        <f t="shared" si="99"/>
        <v>7</v>
      </c>
    </row>
    <row r="601" spans="1:10" x14ac:dyDescent="0.25">
      <c r="A601" t="s">
        <v>877</v>
      </c>
      <c r="B601" t="s">
        <v>184</v>
      </c>
      <c r="C601">
        <v>1432</v>
      </c>
      <c r="D601">
        <v>9999</v>
      </c>
      <c r="E601" s="4">
        <v>-3488147.05</v>
      </c>
      <c r="F601" t="s">
        <v>1117</v>
      </c>
      <c r="G601">
        <v>1385</v>
      </c>
      <c r="H601" s="32" t="str">
        <f ca="1">+IF(B601&gt;'sap nuevo'!$V$1,"cargar",IF(C601="","cargar","pagado"))</f>
        <v>cargar</v>
      </c>
      <c r="I601" s="32">
        <f t="shared" si="98"/>
        <v>2025</v>
      </c>
      <c r="J601" s="32">
        <f t="shared" si="99"/>
        <v>7</v>
      </c>
    </row>
    <row r="602" spans="1:10" x14ac:dyDescent="0.25">
      <c r="A602" t="s">
        <v>873</v>
      </c>
      <c r="B602" t="s">
        <v>1118</v>
      </c>
      <c r="C602">
        <v>1439</v>
      </c>
      <c r="D602">
        <v>9999</v>
      </c>
      <c r="E602" s="4">
        <v>-54814678.590000004</v>
      </c>
      <c r="F602" t="s">
        <v>1119</v>
      </c>
      <c r="G602">
        <v>3520</v>
      </c>
      <c r="H602" s="32" t="str">
        <f ca="1">+IF(B602&gt;'sap nuevo'!$V$1,"cargar",IF(C602="","cargar","pagado"))</f>
        <v>cargar</v>
      </c>
      <c r="I602" s="32">
        <f t="shared" si="98"/>
        <v>2025</v>
      </c>
      <c r="J602" s="32">
        <f t="shared" si="99"/>
        <v>7</v>
      </c>
    </row>
    <row r="603" spans="1:10" x14ac:dyDescent="0.25">
      <c r="A603" t="s">
        <v>873</v>
      </c>
      <c r="B603" t="s">
        <v>185</v>
      </c>
      <c r="C603">
        <v>1464</v>
      </c>
      <c r="D603">
        <v>9999</v>
      </c>
      <c r="E603" s="4">
        <v>-300000000</v>
      </c>
      <c r="F603" t="s">
        <v>1120</v>
      </c>
      <c r="G603">
        <v>3520</v>
      </c>
      <c r="H603" s="32" t="str">
        <f ca="1">+IF(B603&gt;'sap nuevo'!$V$1,"cargar",IF(C603="","cargar","pagado"))</f>
        <v>cargar</v>
      </c>
      <c r="I603" s="32">
        <f t="shared" si="98"/>
        <v>2025</v>
      </c>
      <c r="J603" s="32">
        <f t="shared" si="99"/>
        <v>7</v>
      </c>
    </row>
    <row r="604" spans="1:10" x14ac:dyDescent="0.25">
      <c r="A604" t="s">
        <v>873</v>
      </c>
      <c r="B604" t="s">
        <v>185</v>
      </c>
      <c r="C604">
        <v>1465</v>
      </c>
      <c r="D604">
        <v>9999</v>
      </c>
      <c r="E604" s="4">
        <v>-50000000</v>
      </c>
      <c r="F604" t="s">
        <v>1121</v>
      </c>
      <c r="G604">
        <v>3520</v>
      </c>
      <c r="H604" s="32" t="str">
        <f ca="1">+IF(B604&gt;'sap nuevo'!$V$1,"cargar",IF(C604="","cargar","pagado"))</f>
        <v>cargar</v>
      </c>
      <c r="I604" s="32">
        <f t="shared" si="98"/>
        <v>2025</v>
      </c>
      <c r="J604" s="32">
        <f t="shared" si="99"/>
        <v>7</v>
      </c>
    </row>
    <row r="605" spans="1:10" x14ac:dyDescent="0.25">
      <c r="A605" t="s">
        <v>873</v>
      </c>
      <c r="B605" t="s">
        <v>185</v>
      </c>
      <c r="C605">
        <v>1469</v>
      </c>
      <c r="D605">
        <v>9999</v>
      </c>
      <c r="E605" s="4">
        <v>-50000000</v>
      </c>
      <c r="F605" t="s">
        <v>1122</v>
      </c>
      <c r="G605">
        <v>3520</v>
      </c>
      <c r="H605" s="32" t="str">
        <f ca="1">+IF(B605&gt;'sap nuevo'!$V$1,"cargar",IF(C605="","cargar","pagado"))</f>
        <v>cargar</v>
      </c>
      <c r="I605" s="32">
        <f t="shared" si="98"/>
        <v>2025</v>
      </c>
      <c r="J605" s="32">
        <f t="shared" si="99"/>
        <v>7</v>
      </c>
    </row>
    <row r="606" spans="1:10" x14ac:dyDescent="0.25">
      <c r="A606" t="s">
        <v>873</v>
      </c>
      <c r="B606" t="s">
        <v>185</v>
      </c>
      <c r="C606">
        <v>1468</v>
      </c>
      <c r="D606">
        <v>9999</v>
      </c>
      <c r="E606" s="4">
        <v>-50000000</v>
      </c>
      <c r="F606" t="s">
        <v>1123</v>
      </c>
      <c r="G606">
        <v>3520</v>
      </c>
      <c r="H606" s="32" t="str">
        <f ca="1">+IF(B606&gt;'sap nuevo'!$V$1,"cargar",IF(C606="","cargar","pagado"))</f>
        <v>cargar</v>
      </c>
      <c r="I606" s="32">
        <f t="shared" si="98"/>
        <v>2025</v>
      </c>
      <c r="J606" s="32">
        <f t="shared" si="99"/>
        <v>7</v>
      </c>
    </row>
    <row r="607" spans="1:10" x14ac:dyDescent="0.25">
      <c r="A607" t="s">
        <v>873</v>
      </c>
      <c r="B607" t="s">
        <v>185</v>
      </c>
      <c r="C607">
        <v>1467</v>
      </c>
      <c r="D607">
        <v>9999</v>
      </c>
      <c r="E607" s="4">
        <v>-50000000</v>
      </c>
      <c r="F607" t="s">
        <v>1124</v>
      </c>
      <c r="G607">
        <v>3520</v>
      </c>
      <c r="H607" s="32" t="str">
        <f ca="1">+IF(B607&gt;'sap nuevo'!$V$1,"cargar",IF(C607="","cargar","pagado"))</f>
        <v>cargar</v>
      </c>
      <c r="I607" s="32">
        <f t="shared" si="98"/>
        <v>2025</v>
      </c>
      <c r="J607" s="32">
        <f t="shared" si="99"/>
        <v>7</v>
      </c>
    </row>
    <row r="608" spans="1:10" x14ac:dyDescent="0.25">
      <c r="A608" t="s">
        <v>873</v>
      </c>
      <c r="B608" t="s">
        <v>185</v>
      </c>
      <c r="C608">
        <v>1466</v>
      </c>
      <c r="D608">
        <v>9999</v>
      </c>
      <c r="E608" s="4">
        <v>-50000000</v>
      </c>
      <c r="F608" t="s">
        <v>1125</v>
      </c>
      <c r="G608">
        <v>3520</v>
      </c>
      <c r="H608" s="32" t="str">
        <f ca="1">+IF(B608&gt;'sap nuevo'!$V$1,"cargar",IF(C608="","cargar","pagado"))</f>
        <v>cargar</v>
      </c>
      <c r="I608" s="32">
        <f t="shared" si="98"/>
        <v>2025</v>
      </c>
      <c r="J608" s="32">
        <f t="shared" si="99"/>
        <v>7</v>
      </c>
    </row>
    <row r="609" spans="1:10" x14ac:dyDescent="0.25">
      <c r="A609" t="s">
        <v>873</v>
      </c>
      <c r="B609" t="s">
        <v>185</v>
      </c>
      <c r="C609">
        <v>1470</v>
      </c>
      <c r="D609">
        <v>9999</v>
      </c>
      <c r="E609" s="4">
        <v>-32467453.350000001</v>
      </c>
      <c r="F609" t="s">
        <v>1126</v>
      </c>
      <c r="G609">
        <v>3520</v>
      </c>
      <c r="H609" s="32" t="str">
        <f ca="1">+IF(B609&gt;'sap nuevo'!$V$1,"cargar",IF(C609="","cargar","pagado"))</f>
        <v>cargar</v>
      </c>
      <c r="I609" s="32">
        <f t="shared" si="98"/>
        <v>2025</v>
      </c>
      <c r="J609" s="32">
        <f t="shared" si="99"/>
        <v>7</v>
      </c>
    </row>
    <row r="610" spans="1:10" x14ac:dyDescent="0.25">
      <c r="A610" t="s">
        <v>877</v>
      </c>
      <c r="B610" t="s">
        <v>1118</v>
      </c>
      <c r="C610">
        <v>1438</v>
      </c>
      <c r="D610">
        <v>9999</v>
      </c>
      <c r="E610" s="4">
        <v>-19970612.600000001</v>
      </c>
      <c r="F610" t="s">
        <v>1127</v>
      </c>
      <c r="G610">
        <v>1385</v>
      </c>
      <c r="H610" s="32" t="str">
        <f ca="1">+IF(B610&gt;'sap nuevo'!$V$1,"cargar",IF(C610="","cargar","pagado"))</f>
        <v>cargar</v>
      </c>
      <c r="I610" s="32">
        <f t="shared" si="98"/>
        <v>2025</v>
      </c>
      <c r="J610" s="32">
        <f t="shared" si="99"/>
        <v>7</v>
      </c>
    </row>
    <row r="611" spans="1:10" x14ac:dyDescent="0.25">
      <c r="A611" t="s">
        <v>873</v>
      </c>
      <c r="B611" t="s">
        <v>185</v>
      </c>
      <c r="C611">
        <v>1427</v>
      </c>
      <c r="D611">
        <v>9999</v>
      </c>
      <c r="E611" s="4">
        <v>-14382842.76</v>
      </c>
      <c r="F611" t="s">
        <v>1128</v>
      </c>
      <c r="G611">
        <v>3520</v>
      </c>
      <c r="H611" s="32" t="str">
        <f ca="1">+IF(B611&gt;'sap nuevo'!$V$1,"cargar",IF(C611="","cargar","pagado"))</f>
        <v>cargar</v>
      </c>
      <c r="I611" s="32">
        <f t="shared" si="98"/>
        <v>2025</v>
      </c>
      <c r="J611" s="32">
        <f t="shared" si="99"/>
        <v>7</v>
      </c>
    </row>
    <row r="612" spans="1:10" x14ac:dyDescent="0.25">
      <c r="A612" t="s">
        <v>877</v>
      </c>
      <c r="B612" t="s">
        <v>1118</v>
      </c>
      <c r="C612">
        <v>1425</v>
      </c>
      <c r="D612">
        <v>9999</v>
      </c>
      <c r="E612" s="4">
        <v>-11395701.310000001</v>
      </c>
      <c r="F612" t="s">
        <v>1129</v>
      </c>
      <c r="G612">
        <v>1385</v>
      </c>
      <c r="H612" s="32" t="str">
        <f ca="1">+IF(B612&gt;'sap nuevo'!$V$1,"cargar",IF(C612="","cargar","pagado"))</f>
        <v>cargar</v>
      </c>
      <c r="I612" s="32">
        <f t="shared" si="98"/>
        <v>2025</v>
      </c>
      <c r="J612" s="32">
        <f t="shared" si="99"/>
        <v>7</v>
      </c>
    </row>
    <row r="613" spans="1:10" x14ac:dyDescent="0.25">
      <c r="A613" t="s">
        <v>873</v>
      </c>
      <c r="B613" t="s">
        <v>185</v>
      </c>
      <c r="C613">
        <v>1479</v>
      </c>
      <c r="D613">
        <v>9999</v>
      </c>
      <c r="E613" s="4">
        <v>-10967169.91</v>
      </c>
      <c r="F613" t="s">
        <v>1130</v>
      </c>
      <c r="G613">
        <v>3520</v>
      </c>
      <c r="H613" s="32" t="str">
        <f ca="1">+IF(B613&gt;'sap nuevo'!$V$1,"cargar",IF(C613="","cargar","pagado"))</f>
        <v>cargar</v>
      </c>
      <c r="I613" s="32">
        <f t="shared" si="98"/>
        <v>2025</v>
      </c>
      <c r="J613" s="32">
        <f t="shared" si="99"/>
        <v>7</v>
      </c>
    </row>
    <row r="614" spans="1:10" x14ac:dyDescent="0.25">
      <c r="A614" t="s">
        <v>873</v>
      </c>
      <c r="B614" t="s">
        <v>185</v>
      </c>
      <c r="C614">
        <v>1480</v>
      </c>
      <c r="D614">
        <v>9999</v>
      </c>
      <c r="E614" s="4">
        <v>-8381553.0800000001</v>
      </c>
      <c r="F614" t="s">
        <v>1131</v>
      </c>
      <c r="G614">
        <v>3520</v>
      </c>
      <c r="H614" s="32" t="str">
        <f ca="1">+IF(B614&gt;'sap nuevo'!$V$1,"cargar",IF(C614="","cargar","pagado"))</f>
        <v>cargar</v>
      </c>
      <c r="I614" s="32">
        <f t="shared" si="98"/>
        <v>2025</v>
      </c>
      <c r="J614" s="32">
        <f t="shared" si="99"/>
        <v>7</v>
      </c>
    </row>
    <row r="615" spans="1:10" x14ac:dyDescent="0.25">
      <c r="A615" t="s">
        <v>877</v>
      </c>
      <c r="B615" t="s">
        <v>1118</v>
      </c>
      <c r="C615">
        <v>1442</v>
      </c>
      <c r="D615">
        <v>9999</v>
      </c>
      <c r="E615" s="4">
        <v>-7070542.9000000004</v>
      </c>
      <c r="F615" t="s">
        <v>1132</v>
      </c>
      <c r="G615">
        <v>1385</v>
      </c>
      <c r="H615" s="32" t="str">
        <f ca="1">+IF(B615&gt;'sap nuevo'!$V$1,"cargar",IF(C615="","cargar","pagado"))</f>
        <v>cargar</v>
      </c>
      <c r="I615" s="32">
        <f t="shared" si="98"/>
        <v>2025</v>
      </c>
      <c r="J615" s="32">
        <f t="shared" si="99"/>
        <v>7</v>
      </c>
    </row>
    <row r="616" spans="1:10" x14ac:dyDescent="0.25">
      <c r="A616" t="s">
        <v>873</v>
      </c>
      <c r="B616" t="s">
        <v>185</v>
      </c>
      <c r="C616">
        <v>1450</v>
      </c>
      <c r="D616">
        <v>9999</v>
      </c>
      <c r="E616" s="4">
        <v>-4941397.2</v>
      </c>
      <c r="F616" t="s">
        <v>1133</v>
      </c>
      <c r="G616">
        <v>3520</v>
      </c>
      <c r="H616" s="32" t="str">
        <f ca="1">+IF(B616&gt;'sap nuevo'!$V$1,"cargar",IF(C616="","cargar","pagado"))</f>
        <v>cargar</v>
      </c>
      <c r="I616" s="32">
        <f t="shared" si="98"/>
        <v>2025</v>
      </c>
      <c r="J616" s="32">
        <f t="shared" si="99"/>
        <v>7</v>
      </c>
    </row>
    <row r="617" spans="1:10" x14ac:dyDescent="0.25">
      <c r="A617" t="s">
        <v>877</v>
      </c>
      <c r="B617" t="s">
        <v>1118</v>
      </c>
      <c r="C617">
        <v>1431</v>
      </c>
      <c r="D617">
        <v>9999</v>
      </c>
      <c r="E617" s="4">
        <v>-4353550.68</v>
      </c>
      <c r="F617" t="s">
        <v>1134</v>
      </c>
      <c r="G617">
        <v>1385</v>
      </c>
      <c r="H617" s="32" t="str">
        <f ca="1">+IF(B617&gt;'sap nuevo'!$V$1,"cargar",IF(C617="","cargar","pagado"))</f>
        <v>cargar</v>
      </c>
      <c r="I617" s="32">
        <f t="shared" si="98"/>
        <v>2025</v>
      </c>
      <c r="J617" s="32">
        <f t="shared" si="99"/>
        <v>7</v>
      </c>
    </row>
    <row r="618" spans="1:10" x14ac:dyDescent="0.25">
      <c r="A618" t="s">
        <v>877</v>
      </c>
      <c r="B618" t="s">
        <v>185</v>
      </c>
      <c r="C618">
        <v>1463</v>
      </c>
      <c r="D618">
        <v>9999</v>
      </c>
      <c r="E618" s="4">
        <v>-122000000</v>
      </c>
      <c r="F618" t="s">
        <v>1135</v>
      </c>
      <c r="G618">
        <v>1385</v>
      </c>
      <c r="H618" s="32" t="str">
        <f ca="1">+IF(B618&gt;'sap nuevo'!$V$1,"cargar",IF(C618="","cargar","pagado"))</f>
        <v>cargar</v>
      </c>
      <c r="I618" s="32">
        <f t="shared" si="98"/>
        <v>2025</v>
      </c>
      <c r="J618" s="32">
        <f t="shared" si="99"/>
        <v>7</v>
      </c>
    </row>
    <row r="619" spans="1:10" x14ac:dyDescent="0.25">
      <c r="A619" t="s">
        <v>877</v>
      </c>
      <c r="B619" t="s">
        <v>185</v>
      </c>
      <c r="C619">
        <v>1452</v>
      </c>
      <c r="D619">
        <v>9999</v>
      </c>
      <c r="E619" s="4">
        <v>-61573593.240000002</v>
      </c>
      <c r="F619" t="s">
        <v>1136</v>
      </c>
      <c r="G619">
        <v>1385</v>
      </c>
      <c r="H619" s="32" t="str">
        <f ca="1">+IF(B619&gt;'sap nuevo'!$V$1,"cargar",IF(C619="","cargar","pagado"))</f>
        <v>cargar</v>
      </c>
      <c r="I619" s="32">
        <f t="shared" si="98"/>
        <v>2025</v>
      </c>
      <c r="J619" s="32">
        <f t="shared" si="99"/>
        <v>7</v>
      </c>
    </row>
    <row r="620" spans="1:10" x14ac:dyDescent="0.25">
      <c r="A620" t="s">
        <v>877</v>
      </c>
      <c r="B620" t="s">
        <v>185</v>
      </c>
      <c r="C620">
        <v>1481</v>
      </c>
      <c r="D620">
        <v>9999</v>
      </c>
      <c r="E620" s="4">
        <v>-45000000</v>
      </c>
      <c r="F620" t="s">
        <v>1137</v>
      </c>
      <c r="G620">
        <v>1385</v>
      </c>
      <c r="H620" s="32" t="str">
        <f ca="1">+IF(B620&gt;'sap nuevo'!$V$1,"cargar",IF(C620="","cargar","pagado"))</f>
        <v>cargar</v>
      </c>
      <c r="I620" s="32">
        <f t="shared" si="98"/>
        <v>2025</v>
      </c>
      <c r="J620" s="32">
        <f t="shared" si="99"/>
        <v>7</v>
      </c>
    </row>
    <row r="621" spans="1:10" x14ac:dyDescent="0.25">
      <c r="A621" t="s">
        <v>877</v>
      </c>
      <c r="B621" t="s">
        <v>185</v>
      </c>
      <c r="C621">
        <v>1456</v>
      </c>
      <c r="D621">
        <v>9999</v>
      </c>
      <c r="E621" s="4">
        <v>-38083000.799999997</v>
      </c>
      <c r="F621" t="s">
        <v>1138</v>
      </c>
      <c r="G621">
        <v>1385</v>
      </c>
      <c r="H621" s="32" t="str">
        <f ca="1">+IF(B621&gt;'sap nuevo'!$V$1,"cargar",IF(C621="","cargar","pagado"))</f>
        <v>cargar</v>
      </c>
      <c r="I621" s="32">
        <f t="shared" si="98"/>
        <v>2025</v>
      </c>
      <c r="J621" s="32">
        <f t="shared" si="99"/>
        <v>7</v>
      </c>
    </row>
    <row r="622" spans="1:10" x14ac:dyDescent="0.25">
      <c r="A622" t="s">
        <v>877</v>
      </c>
      <c r="B622" t="s">
        <v>185</v>
      </c>
      <c r="C622">
        <v>1457</v>
      </c>
      <c r="D622">
        <v>9999</v>
      </c>
      <c r="E622" s="4">
        <v>-18662149.899999999</v>
      </c>
      <c r="F622" t="s">
        <v>1139</v>
      </c>
      <c r="G622">
        <v>1385</v>
      </c>
      <c r="H622" s="32" t="str">
        <f ca="1">+IF(B622&gt;'sap nuevo'!$V$1,"cargar",IF(C622="","cargar","pagado"))</f>
        <v>cargar</v>
      </c>
      <c r="I622" s="32">
        <f t="shared" si="98"/>
        <v>2025</v>
      </c>
      <c r="J622" s="32">
        <f t="shared" si="99"/>
        <v>7</v>
      </c>
    </row>
    <row r="623" spans="1:10" x14ac:dyDescent="0.25">
      <c r="A623" t="s">
        <v>877</v>
      </c>
      <c r="B623" t="s">
        <v>185</v>
      </c>
      <c r="C623">
        <v>1474</v>
      </c>
      <c r="D623">
        <v>9999</v>
      </c>
      <c r="E623" s="4">
        <v>-15000000</v>
      </c>
      <c r="F623" t="s">
        <v>1140</v>
      </c>
      <c r="G623">
        <v>1385</v>
      </c>
      <c r="H623" s="32" t="str">
        <f ca="1">+IF(B623&gt;'sap nuevo'!$V$1,"cargar",IF(C623="","cargar","pagado"))</f>
        <v>cargar</v>
      </c>
      <c r="I623" s="32">
        <f t="shared" si="98"/>
        <v>2025</v>
      </c>
      <c r="J623" s="32">
        <f t="shared" si="99"/>
        <v>7</v>
      </c>
    </row>
    <row r="624" spans="1:10" x14ac:dyDescent="0.25">
      <c r="A624" t="s">
        <v>877</v>
      </c>
      <c r="B624" t="s">
        <v>185</v>
      </c>
      <c r="C624">
        <v>1473</v>
      </c>
      <c r="D624">
        <v>9999</v>
      </c>
      <c r="E624" s="4">
        <v>-7305998.1799999997</v>
      </c>
      <c r="F624" t="s">
        <v>1141</v>
      </c>
      <c r="G624">
        <v>1385</v>
      </c>
      <c r="H624" s="32" t="str">
        <f ca="1">+IF(B624&gt;'sap nuevo'!$V$1,"cargar",IF(C624="","cargar","pagado"))</f>
        <v>cargar</v>
      </c>
      <c r="I624" s="32">
        <f t="shared" si="98"/>
        <v>2025</v>
      </c>
      <c r="J624" s="32">
        <f t="shared" si="99"/>
        <v>7</v>
      </c>
    </row>
    <row r="625" spans="1:10" x14ac:dyDescent="0.25">
      <c r="A625" t="s">
        <v>877</v>
      </c>
      <c r="B625" t="s">
        <v>185</v>
      </c>
      <c r="C625">
        <v>1478</v>
      </c>
      <c r="D625">
        <v>9999</v>
      </c>
      <c r="E625" s="4">
        <v>-6586616.4699999997</v>
      </c>
      <c r="F625" t="s">
        <v>1142</v>
      </c>
      <c r="G625">
        <v>1385</v>
      </c>
      <c r="H625" s="32" t="str">
        <f ca="1">+IF(B625&gt;'sap nuevo'!$V$1,"cargar",IF(C625="","cargar","pagado"))</f>
        <v>cargar</v>
      </c>
      <c r="I625" s="32">
        <f t="shared" si="98"/>
        <v>2025</v>
      </c>
      <c r="J625" s="32">
        <f t="shared" si="99"/>
        <v>7</v>
      </c>
    </row>
    <row r="626" spans="1:10" x14ac:dyDescent="0.25">
      <c r="A626" t="s">
        <v>877</v>
      </c>
      <c r="B626" t="s">
        <v>185</v>
      </c>
      <c r="C626">
        <v>1453</v>
      </c>
      <c r="D626">
        <v>9999</v>
      </c>
      <c r="E626" s="4">
        <v>-5746954.3200000003</v>
      </c>
      <c r="F626" t="s">
        <v>1143</v>
      </c>
      <c r="G626">
        <v>1385</v>
      </c>
      <c r="H626" s="32" t="str">
        <f ca="1">+IF(B626&gt;'sap nuevo'!$V$1,"cargar",IF(C626="","cargar","pagado"))</f>
        <v>cargar</v>
      </c>
      <c r="I626" s="32">
        <f t="shared" si="98"/>
        <v>2025</v>
      </c>
      <c r="J626" s="32">
        <f t="shared" si="99"/>
        <v>7</v>
      </c>
    </row>
    <row r="627" spans="1:10" x14ac:dyDescent="0.25">
      <c r="A627" t="s">
        <v>877</v>
      </c>
      <c r="B627" t="s">
        <v>185</v>
      </c>
      <c r="C627">
        <v>1461</v>
      </c>
      <c r="D627">
        <v>9999</v>
      </c>
      <c r="E627" s="4">
        <v>-3993372.93</v>
      </c>
      <c r="F627" t="s">
        <v>1144</v>
      </c>
      <c r="G627">
        <v>1385</v>
      </c>
      <c r="H627" s="32" t="str">
        <f ca="1">+IF(B627&gt;'sap nuevo'!$V$1,"cargar",IF(C627="","cargar","pagado"))</f>
        <v>cargar</v>
      </c>
      <c r="I627" s="32">
        <f t="shared" si="98"/>
        <v>2025</v>
      </c>
      <c r="J627" s="32">
        <f t="shared" si="99"/>
        <v>7</v>
      </c>
    </row>
    <row r="628" spans="1:10" x14ac:dyDescent="0.25">
      <c r="A628" t="s">
        <v>877</v>
      </c>
      <c r="B628" t="s">
        <v>185</v>
      </c>
      <c r="C628">
        <v>1455</v>
      </c>
      <c r="D628">
        <v>9999</v>
      </c>
      <c r="E628" s="4">
        <v>-3974983.52</v>
      </c>
      <c r="F628" t="s">
        <v>1145</v>
      </c>
      <c r="G628">
        <v>1385</v>
      </c>
      <c r="H628" s="32" t="str">
        <f ca="1">+IF(B628&gt;'sap nuevo'!$V$1,"cargar",IF(C628="","cargar","pagado"))</f>
        <v>cargar</v>
      </c>
      <c r="I628" s="32">
        <f t="shared" si="98"/>
        <v>2025</v>
      </c>
      <c r="J628" s="32">
        <f t="shared" si="99"/>
        <v>7</v>
      </c>
    </row>
    <row r="629" spans="1:10" x14ac:dyDescent="0.25">
      <c r="A629" t="s">
        <v>877</v>
      </c>
      <c r="B629" t="s">
        <v>185</v>
      </c>
      <c r="C629">
        <v>1446</v>
      </c>
      <c r="D629">
        <v>9999</v>
      </c>
      <c r="E629" s="4">
        <v>-1859238.66</v>
      </c>
      <c r="F629" t="s">
        <v>1146</v>
      </c>
      <c r="G629">
        <v>1385</v>
      </c>
      <c r="H629" s="32" t="str">
        <f ca="1">+IF(B629&gt;'sap nuevo'!$V$1,"cargar",IF(C629="","cargar","pagado"))</f>
        <v>cargar</v>
      </c>
      <c r="I629" s="32">
        <f t="shared" si="98"/>
        <v>2025</v>
      </c>
      <c r="J629" s="32">
        <f t="shared" si="99"/>
        <v>7</v>
      </c>
    </row>
    <row r="630" spans="1:10" x14ac:dyDescent="0.25">
      <c r="A630" t="s">
        <v>877</v>
      </c>
      <c r="B630" t="s">
        <v>185</v>
      </c>
      <c r="C630">
        <v>1448</v>
      </c>
      <c r="D630">
        <v>9999</v>
      </c>
      <c r="E630" s="4">
        <v>-1548233.05</v>
      </c>
      <c r="F630" t="s">
        <v>1147</v>
      </c>
      <c r="G630">
        <v>1385</v>
      </c>
      <c r="H630" s="32" t="str">
        <f ca="1">+IF(B630&gt;'sap nuevo'!$V$1,"cargar",IF(C630="","cargar","pagado"))</f>
        <v>cargar</v>
      </c>
      <c r="I630" s="32">
        <f t="shared" si="98"/>
        <v>2025</v>
      </c>
      <c r="J630" s="32">
        <f t="shared" si="99"/>
        <v>7</v>
      </c>
    </row>
    <row r="631" spans="1:10" x14ac:dyDescent="0.25">
      <c r="A631" t="s">
        <v>877</v>
      </c>
      <c r="B631" t="s">
        <v>185</v>
      </c>
      <c r="C631">
        <v>1460</v>
      </c>
      <c r="D631">
        <v>9999</v>
      </c>
      <c r="E631" s="4">
        <v>-1517147.52</v>
      </c>
      <c r="F631" t="s">
        <v>1148</v>
      </c>
      <c r="G631">
        <v>1385</v>
      </c>
      <c r="H631" s="32" t="str">
        <f ca="1">+IF(B631&gt;'sap nuevo'!$V$1,"cargar",IF(C631="","cargar","pagado"))</f>
        <v>cargar</v>
      </c>
      <c r="I631" s="32">
        <f t="shared" si="98"/>
        <v>2025</v>
      </c>
      <c r="J631" s="32">
        <f t="shared" si="99"/>
        <v>7</v>
      </c>
    </row>
    <row r="632" spans="1:10" x14ac:dyDescent="0.25">
      <c r="A632" t="s">
        <v>877</v>
      </c>
      <c r="B632" t="s">
        <v>185</v>
      </c>
      <c r="C632">
        <v>1445</v>
      </c>
      <c r="D632">
        <v>9999</v>
      </c>
      <c r="E632" s="4">
        <v>-444050.81</v>
      </c>
      <c r="F632" t="s">
        <v>1149</v>
      </c>
      <c r="G632">
        <v>1385</v>
      </c>
      <c r="H632" s="32" t="str">
        <f ca="1">+IF(B632&gt;'sap nuevo'!$V$1,"cargar",IF(C632="","cargar","pagado"))</f>
        <v>cargar</v>
      </c>
      <c r="I632" s="32">
        <f t="shared" si="98"/>
        <v>2025</v>
      </c>
      <c r="J632" s="32">
        <f t="shared" si="99"/>
        <v>7</v>
      </c>
    </row>
    <row r="633" spans="1:10" x14ac:dyDescent="0.25">
      <c r="A633" t="s">
        <v>877</v>
      </c>
      <c r="B633" t="s">
        <v>185</v>
      </c>
      <c r="C633">
        <v>1447</v>
      </c>
      <c r="D633">
        <v>9999</v>
      </c>
      <c r="E633" s="4">
        <v>-401930.27</v>
      </c>
      <c r="F633" t="s">
        <v>1150</v>
      </c>
      <c r="G633">
        <v>1385</v>
      </c>
      <c r="H633" s="32" t="str">
        <f ca="1">+IF(B633&gt;'sap nuevo'!$V$1,"cargar",IF(C633="","cargar","pagado"))</f>
        <v>cargar</v>
      </c>
      <c r="I633" s="32">
        <f t="shared" si="98"/>
        <v>2025</v>
      </c>
      <c r="J633" s="32">
        <f t="shared" si="99"/>
        <v>7</v>
      </c>
    </row>
    <row r="634" spans="1:10" x14ac:dyDescent="0.25">
      <c r="A634" t="s">
        <v>877</v>
      </c>
      <c r="B634" t="s">
        <v>185</v>
      </c>
      <c r="C634">
        <v>1454</v>
      </c>
      <c r="D634">
        <v>9999</v>
      </c>
      <c r="E634" s="4">
        <v>-365483.4</v>
      </c>
      <c r="F634" t="s">
        <v>1151</v>
      </c>
      <c r="G634">
        <v>1385</v>
      </c>
      <c r="H634" s="32" t="str">
        <f ca="1">+IF(B634&gt;'sap nuevo'!$V$1,"cargar",IF(C634="","cargar","pagado"))</f>
        <v>cargar</v>
      </c>
      <c r="I634" s="32">
        <f t="shared" si="98"/>
        <v>2025</v>
      </c>
      <c r="J634" s="32">
        <f t="shared" si="99"/>
        <v>7</v>
      </c>
    </row>
    <row r="635" spans="1:10" x14ac:dyDescent="0.25">
      <c r="A635" t="s">
        <v>21</v>
      </c>
      <c r="B635" t="s">
        <v>185</v>
      </c>
      <c r="C635">
        <v>91002404</v>
      </c>
      <c r="D635">
        <v>140</v>
      </c>
      <c r="E635" s="4">
        <v>-10083327.779999999</v>
      </c>
      <c r="F635" t="s">
        <v>80</v>
      </c>
      <c r="G635">
        <v>0</v>
      </c>
      <c r="H635" s="32" t="str">
        <f ca="1">+IF(B635&gt;'sap nuevo'!$V$1,"cargar",IF(C635="","cargar","pagado"))</f>
        <v>cargar</v>
      </c>
      <c r="I635" s="32">
        <f t="shared" si="98"/>
        <v>2025</v>
      </c>
      <c r="J635" s="32">
        <f t="shared" si="99"/>
        <v>7</v>
      </c>
    </row>
    <row r="636" spans="1:10" x14ac:dyDescent="0.25">
      <c r="A636" t="s">
        <v>873</v>
      </c>
      <c r="B636" t="s">
        <v>186</v>
      </c>
      <c r="C636">
        <v>1493</v>
      </c>
      <c r="D636">
        <v>9999</v>
      </c>
      <c r="E636" s="4">
        <v>-20000000</v>
      </c>
      <c r="F636" t="s">
        <v>1152</v>
      </c>
      <c r="G636">
        <v>3520</v>
      </c>
      <c r="H636" s="32" t="str">
        <f ca="1">+IF(B636&gt;'sap nuevo'!$V$1,"cargar",IF(C636="","cargar","pagado"))</f>
        <v>cargar</v>
      </c>
      <c r="I636" s="32">
        <f t="shared" ref="I636:I658" si="100">+YEAR(B636)</f>
        <v>2025</v>
      </c>
      <c r="J636" s="32">
        <f t="shared" ref="J636:J658" si="101">+MONTH(B636)</f>
        <v>7</v>
      </c>
    </row>
    <row r="637" spans="1:10" x14ac:dyDescent="0.25">
      <c r="A637" t="s">
        <v>873</v>
      </c>
      <c r="B637" t="s">
        <v>186</v>
      </c>
      <c r="C637">
        <v>1497</v>
      </c>
      <c r="D637">
        <v>9999</v>
      </c>
      <c r="E637" s="4">
        <v>-10000000</v>
      </c>
      <c r="F637" t="s">
        <v>1153</v>
      </c>
      <c r="G637">
        <v>3520</v>
      </c>
      <c r="H637" s="32" t="str">
        <f ca="1">+IF(B637&gt;'sap nuevo'!$V$1,"cargar",IF(C637="","cargar","pagado"))</f>
        <v>cargar</v>
      </c>
      <c r="I637" s="32">
        <f t="shared" si="100"/>
        <v>2025</v>
      </c>
      <c r="J637" s="32">
        <f t="shared" si="101"/>
        <v>7</v>
      </c>
    </row>
    <row r="638" spans="1:10" x14ac:dyDescent="0.25">
      <c r="A638" t="s">
        <v>873</v>
      </c>
      <c r="B638" t="s">
        <v>186</v>
      </c>
      <c r="C638">
        <v>1491</v>
      </c>
      <c r="D638">
        <v>9999</v>
      </c>
      <c r="E638" s="4">
        <v>-8000000</v>
      </c>
      <c r="F638" t="s">
        <v>1154</v>
      </c>
      <c r="G638">
        <v>3520</v>
      </c>
      <c r="H638" s="32" t="str">
        <f ca="1">+IF(B638&gt;'sap nuevo'!$V$1,"cargar",IF(C638="","cargar","pagado"))</f>
        <v>cargar</v>
      </c>
      <c r="I638" s="32">
        <f t="shared" si="100"/>
        <v>2025</v>
      </c>
      <c r="J638" s="32">
        <f t="shared" si="101"/>
        <v>7</v>
      </c>
    </row>
    <row r="639" spans="1:10" x14ac:dyDescent="0.25">
      <c r="A639" t="s">
        <v>877</v>
      </c>
      <c r="B639" t="s">
        <v>186</v>
      </c>
      <c r="C639">
        <v>1482</v>
      </c>
      <c r="D639">
        <v>9999</v>
      </c>
      <c r="E639" s="4">
        <v>-23000000</v>
      </c>
      <c r="F639" t="s">
        <v>1155</v>
      </c>
      <c r="G639">
        <v>1385</v>
      </c>
      <c r="H639" s="32" t="str">
        <f ca="1">+IF(B639&gt;'sap nuevo'!$V$1,"cargar",IF(C639="","cargar","pagado"))</f>
        <v>cargar</v>
      </c>
      <c r="I639" s="32">
        <f t="shared" si="100"/>
        <v>2025</v>
      </c>
      <c r="J639" s="32">
        <f t="shared" si="101"/>
        <v>7</v>
      </c>
    </row>
    <row r="640" spans="1:10" x14ac:dyDescent="0.25">
      <c r="A640" t="s">
        <v>877</v>
      </c>
      <c r="B640" t="s">
        <v>186</v>
      </c>
      <c r="C640">
        <v>1490</v>
      </c>
      <c r="D640">
        <v>9999</v>
      </c>
      <c r="E640" s="4">
        <v>-14947995.310000001</v>
      </c>
      <c r="F640" t="s">
        <v>1156</v>
      </c>
      <c r="G640">
        <v>1385</v>
      </c>
      <c r="H640" s="32" t="str">
        <f ca="1">+IF(B640&gt;'sap nuevo'!$V$1,"cargar",IF(C640="","cargar","pagado"))</f>
        <v>cargar</v>
      </c>
      <c r="I640" s="32">
        <f t="shared" si="100"/>
        <v>2025</v>
      </c>
      <c r="J640" s="32">
        <f t="shared" si="101"/>
        <v>7</v>
      </c>
    </row>
    <row r="641" spans="1:10" x14ac:dyDescent="0.25">
      <c r="A641" t="s">
        <v>877</v>
      </c>
      <c r="B641" t="s">
        <v>186</v>
      </c>
      <c r="C641">
        <v>1483</v>
      </c>
      <c r="D641">
        <v>9999</v>
      </c>
      <c r="E641" s="4">
        <v>-7000000</v>
      </c>
      <c r="F641" t="s">
        <v>1157</v>
      </c>
      <c r="G641">
        <v>1385</v>
      </c>
      <c r="H641" s="32" t="str">
        <f ca="1">+IF(B641&gt;'sap nuevo'!$V$1,"cargar",IF(C641="","cargar","pagado"))</f>
        <v>cargar</v>
      </c>
      <c r="I641" s="32">
        <f t="shared" si="100"/>
        <v>2025</v>
      </c>
      <c r="J641" s="32">
        <f t="shared" si="101"/>
        <v>7</v>
      </c>
    </row>
    <row r="642" spans="1:10" x14ac:dyDescent="0.25">
      <c r="A642" t="s">
        <v>877</v>
      </c>
      <c r="B642" t="s">
        <v>186</v>
      </c>
      <c r="C642">
        <v>1488</v>
      </c>
      <c r="D642">
        <v>9999</v>
      </c>
      <c r="E642" s="4">
        <v>-6866727.3300000001</v>
      </c>
      <c r="F642" t="s">
        <v>1158</v>
      </c>
      <c r="G642">
        <v>1385</v>
      </c>
      <c r="H642" s="32" t="str">
        <f ca="1">+IF(B642&gt;'sap nuevo'!$V$1,"cargar",IF(C642="","cargar","pagado"))</f>
        <v>cargar</v>
      </c>
      <c r="I642" s="32">
        <f t="shared" si="100"/>
        <v>2025</v>
      </c>
      <c r="J642" s="32">
        <f t="shared" si="101"/>
        <v>7</v>
      </c>
    </row>
    <row r="643" spans="1:10" x14ac:dyDescent="0.25">
      <c r="A643" t="s">
        <v>877</v>
      </c>
      <c r="B643" t="s">
        <v>186</v>
      </c>
      <c r="C643">
        <v>1485</v>
      </c>
      <c r="D643">
        <v>9999</v>
      </c>
      <c r="E643" s="4">
        <v>-4856074.25</v>
      </c>
      <c r="F643" t="s">
        <v>1159</v>
      </c>
      <c r="G643">
        <v>1385</v>
      </c>
      <c r="H643" s="32" t="str">
        <f ca="1">+IF(B643&gt;'sap nuevo'!$V$1,"cargar",IF(C643="","cargar","pagado"))</f>
        <v>cargar</v>
      </c>
      <c r="I643" s="32">
        <f t="shared" si="100"/>
        <v>2025</v>
      </c>
      <c r="J643" s="32">
        <f t="shared" si="101"/>
        <v>7</v>
      </c>
    </row>
    <row r="644" spans="1:10" x14ac:dyDescent="0.25">
      <c r="A644" t="s">
        <v>877</v>
      </c>
      <c r="B644" t="s">
        <v>186</v>
      </c>
      <c r="C644">
        <v>1489</v>
      </c>
      <c r="D644">
        <v>9999</v>
      </c>
      <c r="E644" s="4">
        <v>-4122092.11</v>
      </c>
      <c r="F644" t="s">
        <v>1160</v>
      </c>
      <c r="G644">
        <v>1385</v>
      </c>
      <c r="H644" s="32" t="str">
        <f ca="1">+IF(B644&gt;'sap nuevo'!$V$1,"cargar",IF(C644="","cargar","pagado"))</f>
        <v>cargar</v>
      </c>
      <c r="I644" s="32">
        <f t="shared" si="100"/>
        <v>2025</v>
      </c>
      <c r="J644" s="32">
        <f t="shared" si="101"/>
        <v>7</v>
      </c>
    </row>
    <row r="645" spans="1:10" x14ac:dyDescent="0.25">
      <c r="A645" t="s">
        <v>877</v>
      </c>
      <c r="B645" t="s">
        <v>186</v>
      </c>
      <c r="C645">
        <v>1444</v>
      </c>
      <c r="D645">
        <v>9999</v>
      </c>
      <c r="E645" s="4">
        <v>-872386.75</v>
      </c>
      <c r="F645" t="s">
        <v>1161</v>
      </c>
      <c r="G645">
        <v>1385</v>
      </c>
      <c r="H645" s="32" t="str">
        <f ca="1">+IF(B645&gt;'sap nuevo'!$V$1,"cargar",IF(C645="","cargar","pagado"))</f>
        <v>cargar</v>
      </c>
      <c r="I645" s="32">
        <f t="shared" si="100"/>
        <v>2025</v>
      </c>
      <c r="J645" s="32">
        <f t="shared" si="101"/>
        <v>7</v>
      </c>
    </row>
    <row r="646" spans="1:10" x14ac:dyDescent="0.25">
      <c r="A646" t="s">
        <v>21</v>
      </c>
      <c r="B646" t="s">
        <v>186</v>
      </c>
      <c r="C646">
        <v>91002419</v>
      </c>
      <c r="D646">
        <v>140</v>
      </c>
      <c r="E646" s="4">
        <v>-7251223.9299999997</v>
      </c>
      <c r="F646" t="s">
        <v>80</v>
      </c>
      <c r="G646">
        <v>0</v>
      </c>
      <c r="H646" s="32" t="str">
        <f ca="1">+IF(B646&gt;'sap nuevo'!$V$1,"cargar",IF(C646="","cargar","pagado"))</f>
        <v>cargar</v>
      </c>
      <c r="I646" s="32">
        <f t="shared" si="100"/>
        <v>2025</v>
      </c>
      <c r="J646" s="32">
        <f t="shared" si="101"/>
        <v>7</v>
      </c>
    </row>
    <row r="647" spans="1:10" x14ac:dyDescent="0.25">
      <c r="A647" t="s">
        <v>877</v>
      </c>
      <c r="B647" t="s">
        <v>1162</v>
      </c>
      <c r="C647">
        <v>1503</v>
      </c>
      <c r="D647">
        <v>9999</v>
      </c>
      <c r="E647" s="4">
        <v>-25615103.690000001</v>
      </c>
      <c r="F647" t="s">
        <v>1163</v>
      </c>
      <c r="G647">
        <v>1385</v>
      </c>
      <c r="H647" s="32" t="str">
        <f ca="1">+IF(B647&gt;'sap nuevo'!$V$1,"cargar",IF(C647="","cargar","pagado"))</f>
        <v>cargar</v>
      </c>
      <c r="I647" s="32">
        <f t="shared" si="100"/>
        <v>2025</v>
      </c>
      <c r="J647" s="32">
        <f t="shared" si="101"/>
        <v>7</v>
      </c>
    </row>
    <row r="648" spans="1:10" x14ac:dyDescent="0.25">
      <c r="A648" t="s">
        <v>877</v>
      </c>
      <c r="B648" t="s">
        <v>1162</v>
      </c>
      <c r="C648">
        <v>1498</v>
      </c>
      <c r="D648">
        <v>9999</v>
      </c>
      <c r="E648" s="4">
        <v>-10170667.92</v>
      </c>
      <c r="F648" t="s">
        <v>1164</v>
      </c>
      <c r="G648">
        <v>1385</v>
      </c>
      <c r="H648" s="32" t="str">
        <f ca="1">+IF(B648&gt;'sap nuevo'!$V$1,"cargar",IF(C648="","cargar","pagado"))</f>
        <v>cargar</v>
      </c>
      <c r="I648" s="32">
        <f t="shared" si="100"/>
        <v>2025</v>
      </c>
      <c r="J648" s="32">
        <f t="shared" si="101"/>
        <v>7</v>
      </c>
    </row>
    <row r="649" spans="1:10" x14ac:dyDescent="0.25">
      <c r="A649" t="s">
        <v>877</v>
      </c>
      <c r="B649" t="s">
        <v>1162</v>
      </c>
      <c r="C649">
        <v>1499</v>
      </c>
      <c r="D649">
        <v>9999</v>
      </c>
      <c r="E649" s="4">
        <v>-10000000</v>
      </c>
      <c r="F649" t="s">
        <v>1165</v>
      </c>
      <c r="G649">
        <v>1385</v>
      </c>
      <c r="H649" s="32" t="str">
        <f ca="1">+IF(B649&gt;'sap nuevo'!$V$1,"cargar",IF(C649="","cargar","pagado"))</f>
        <v>cargar</v>
      </c>
      <c r="I649" s="32">
        <f t="shared" si="100"/>
        <v>2025</v>
      </c>
      <c r="J649" s="32">
        <f t="shared" si="101"/>
        <v>7</v>
      </c>
    </row>
    <row r="650" spans="1:10" x14ac:dyDescent="0.25">
      <c r="A650" t="s">
        <v>877</v>
      </c>
      <c r="B650" t="s">
        <v>1162</v>
      </c>
      <c r="C650">
        <v>1500</v>
      </c>
      <c r="D650">
        <v>9999</v>
      </c>
      <c r="E650" s="4">
        <v>-8430989.8900000006</v>
      </c>
      <c r="F650" t="s">
        <v>1166</v>
      </c>
      <c r="G650">
        <v>1385</v>
      </c>
      <c r="H650" s="32" t="str">
        <f ca="1">+IF(B650&gt;'sap nuevo'!$V$1,"cargar",IF(C650="","cargar","pagado"))</f>
        <v>cargar</v>
      </c>
      <c r="I650" s="32">
        <f t="shared" si="100"/>
        <v>2025</v>
      </c>
      <c r="J650" s="32">
        <f t="shared" si="101"/>
        <v>7</v>
      </c>
    </row>
    <row r="651" spans="1:10" x14ac:dyDescent="0.25">
      <c r="A651" t="s">
        <v>877</v>
      </c>
      <c r="B651" t="s">
        <v>1162</v>
      </c>
      <c r="C651">
        <v>1487</v>
      </c>
      <c r="D651">
        <v>9999</v>
      </c>
      <c r="E651" s="4">
        <v>-6098541.5499999998</v>
      </c>
      <c r="F651" t="s">
        <v>1167</v>
      </c>
      <c r="G651">
        <v>1385</v>
      </c>
      <c r="H651" s="32" t="str">
        <f ca="1">+IF(B651&gt;'sap nuevo'!$V$1,"cargar",IF(C651="","cargar","pagado"))</f>
        <v>cargar</v>
      </c>
      <c r="I651" s="32">
        <f t="shared" si="100"/>
        <v>2025</v>
      </c>
      <c r="J651" s="32">
        <f t="shared" si="101"/>
        <v>7</v>
      </c>
    </row>
    <row r="652" spans="1:10" x14ac:dyDescent="0.25">
      <c r="A652" t="s">
        <v>877</v>
      </c>
      <c r="B652" t="s">
        <v>1162</v>
      </c>
      <c r="C652">
        <v>1472</v>
      </c>
      <c r="D652">
        <v>9999</v>
      </c>
      <c r="E652" s="4">
        <v>-4354537.47</v>
      </c>
      <c r="F652" t="s">
        <v>1168</v>
      </c>
      <c r="G652">
        <v>1385</v>
      </c>
      <c r="H652" s="32" t="str">
        <f ca="1">+IF(B652&gt;'sap nuevo'!$V$1,"cargar",IF(C652="","cargar","pagado"))</f>
        <v>cargar</v>
      </c>
      <c r="I652" s="32">
        <f t="shared" si="100"/>
        <v>2025</v>
      </c>
      <c r="J652" s="32">
        <f t="shared" si="101"/>
        <v>7</v>
      </c>
    </row>
    <row r="653" spans="1:10" x14ac:dyDescent="0.25">
      <c r="A653" t="s">
        <v>877</v>
      </c>
      <c r="B653" t="s">
        <v>1162</v>
      </c>
      <c r="C653">
        <v>1429</v>
      </c>
      <c r="D653">
        <v>9999</v>
      </c>
      <c r="E653" s="4">
        <v>-4138777.77</v>
      </c>
      <c r="F653" t="s">
        <v>1169</v>
      </c>
      <c r="G653">
        <v>1385</v>
      </c>
      <c r="H653" s="32" t="str">
        <f ca="1">+IF(B653&gt;'sap nuevo'!$V$1,"cargar",IF(C653="","cargar","pagado"))</f>
        <v>cargar</v>
      </c>
      <c r="I653" s="32">
        <f t="shared" si="100"/>
        <v>2025</v>
      </c>
      <c r="J653" s="32">
        <f t="shared" si="101"/>
        <v>7</v>
      </c>
    </row>
    <row r="654" spans="1:10" x14ac:dyDescent="0.25">
      <c r="A654" t="s">
        <v>877</v>
      </c>
      <c r="B654" t="s">
        <v>1162</v>
      </c>
      <c r="C654">
        <v>1441</v>
      </c>
      <c r="D654">
        <v>9999</v>
      </c>
      <c r="E654" s="4">
        <v>-2732562.03</v>
      </c>
      <c r="F654" t="s">
        <v>1170</v>
      </c>
      <c r="G654">
        <v>1385</v>
      </c>
      <c r="H654" s="32" t="str">
        <f ca="1">+IF(B654&gt;'sap nuevo'!$V$1,"cargar",IF(C654="","cargar","pagado"))</f>
        <v>cargar</v>
      </c>
      <c r="I654" s="32">
        <f t="shared" si="100"/>
        <v>2025</v>
      </c>
      <c r="J654" s="32">
        <f t="shared" si="101"/>
        <v>7</v>
      </c>
    </row>
    <row r="655" spans="1:10" x14ac:dyDescent="0.25">
      <c r="A655" t="s">
        <v>877</v>
      </c>
      <c r="B655" t="s">
        <v>1162</v>
      </c>
      <c r="C655">
        <v>1443</v>
      </c>
      <c r="D655">
        <v>9999</v>
      </c>
      <c r="E655" s="4">
        <v>-2343060.31</v>
      </c>
      <c r="F655" t="s">
        <v>1171</v>
      </c>
      <c r="G655">
        <v>1385</v>
      </c>
      <c r="H655" s="32" t="str">
        <f ca="1">+IF(B655&gt;'sap nuevo'!$V$1,"cargar",IF(C655="","cargar","pagado"))</f>
        <v>cargar</v>
      </c>
      <c r="I655" s="32">
        <f t="shared" si="100"/>
        <v>2025</v>
      </c>
      <c r="J655" s="32">
        <f t="shared" si="101"/>
        <v>7</v>
      </c>
    </row>
    <row r="656" spans="1:10" x14ac:dyDescent="0.25">
      <c r="A656" t="s">
        <v>877</v>
      </c>
      <c r="B656" t="s">
        <v>1162</v>
      </c>
      <c r="C656">
        <v>1449</v>
      </c>
      <c r="D656">
        <v>9999</v>
      </c>
      <c r="E656" s="4">
        <v>-268429.75</v>
      </c>
      <c r="F656" t="s">
        <v>1172</v>
      </c>
      <c r="G656">
        <v>1385</v>
      </c>
      <c r="H656" s="32" t="str">
        <f ca="1">+IF(B656&gt;'sap nuevo'!$V$1,"cargar",IF(C656="","cargar","pagado"))</f>
        <v>cargar</v>
      </c>
      <c r="I656" s="32">
        <f t="shared" si="100"/>
        <v>2025</v>
      </c>
      <c r="J656" s="32">
        <f t="shared" si="101"/>
        <v>7</v>
      </c>
    </row>
    <row r="657" spans="1:10" x14ac:dyDescent="0.25">
      <c r="A657" t="s">
        <v>873</v>
      </c>
      <c r="B657" t="s">
        <v>187</v>
      </c>
      <c r="C657">
        <v>1513</v>
      </c>
      <c r="D657">
        <v>9999</v>
      </c>
      <c r="E657" s="4">
        <v>-50000000</v>
      </c>
      <c r="F657" t="s">
        <v>1173</v>
      </c>
      <c r="G657">
        <v>3520</v>
      </c>
      <c r="H657" s="32" t="str">
        <f ca="1">+IF(B657&gt;'sap nuevo'!$V$1,"cargar",IF(C657="","cargar","pagado"))</f>
        <v>cargar</v>
      </c>
      <c r="I657" s="32">
        <f t="shared" si="100"/>
        <v>2025</v>
      </c>
      <c r="J657" s="32">
        <f t="shared" si="101"/>
        <v>7</v>
      </c>
    </row>
    <row r="658" spans="1:10" x14ac:dyDescent="0.25">
      <c r="A658" t="s">
        <v>873</v>
      </c>
      <c r="B658" t="s">
        <v>187</v>
      </c>
      <c r="C658">
        <v>1519</v>
      </c>
      <c r="D658">
        <v>9999</v>
      </c>
      <c r="E658" s="4">
        <v>-45802777.619999997</v>
      </c>
      <c r="F658" t="s">
        <v>1174</v>
      </c>
      <c r="G658">
        <v>3520</v>
      </c>
      <c r="H658" s="32" t="str">
        <f ca="1">+IF(B658&gt;'sap nuevo'!$V$1,"cargar",IF(C658="","cargar","pagado"))</f>
        <v>cargar</v>
      </c>
      <c r="I658" s="32">
        <f t="shared" si="100"/>
        <v>2025</v>
      </c>
      <c r="J658" s="32">
        <f t="shared" si="101"/>
        <v>7</v>
      </c>
    </row>
    <row r="659" spans="1:10" x14ac:dyDescent="0.25">
      <c r="A659" t="s">
        <v>873</v>
      </c>
      <c r="B659" t="s">
        <v>187</v>
      </c>
      <c r="C659">
        <v>1525</v>
      </c>
      <c r="D659">
        <v>9999</v>
      </c>
      <c r="E659" s="4">
        <v>-42874102.289999999</v>
      </c>
      <c r="F659" t="s">
        <v>1175</v>
      </c>
      <c r="G659">
        <v>3520</v>
      </c>
      <c r="H659" s="32" t="str">
        <f ca="1">+IF(B659&gt;'sap nuevo'!$V$1,"cargar",IF(C659="","cargar","pagado"))</f>
        <v>cargar</v>
      </c>
      <c r="I659" s="32">
        <f t="shared" ref="I659:I722" si="102">+YEAR(B659)</f>
        <v>2025</v>
      </c>
      <c r="J659" s="32">
        <f t="shared" ref="J659:J722" si="103">+MONTH(B659)</f>
        <v>7</v>
      </c>
    </row>
    <row r="660" spans="1:10" x14ac:dyDescent="0.25">
      <c r="A660" t="s">
        <v>873</v>
      </c>
      <c r="B660" t="s">
        <v>187</v>
      </c>
      <c r="C660">
        <v>1527</v>
      </c>
      <c r="D660">
        <v>9999</v>
      </c>
      <c r="E660" s="4">
        <v>-39311412.149999999</v>
      </c>
      <c r="F660" t="s">
        <v>1176</v>
      </c>
      <c r="G660">
        <v>3520</v>
      </c>
      <c r="H660" s="32" t="str">
        <f ca="1">+IF(B660&gt;'sap nuevo'!$V$1,"cargar",IF(C660="","cargar","pagado"))</f>
        <v>cargar</v>
      </c>
      <c r="I660" s="32">
        <f t="shared" si="102"/>
        <v>2025</v>
      </c>
      <c r="J660" s="32">
        <f t="shared" si="103"/>
        <v>7</v>
      </c>
    </row>
    <row r="661" spans="1:10" x14ac:dyDescent="0.25">
      <c r="A661" t="s">
        <v>873</v>
      </c>
      <c r="B661" t="s">
        <v>187</v>
      </c>
      <c r="C661">
        <v>1508</v>
      </c>
      <c r="D661">
        <v>9999</v>
      </c>
      <c r="E661" s="4">
        <v>-38049786.170000002</v>
      </c>
      <c r="F661" t="s">
        <v>1177</v>
      </c>
      <c r="G661">
        <v>3520</v>
      </c>
      <c r="H661" s="32" t="str">
        <f ca="1">+IF(B661&gt;'sap nuevo'!$V$1,"cargar",IF(C661="","cargar","pagado"))</f>
        <v>cargar</v>
      </c>
      <c r="I661" s="32">
        <f t="shared" si="102"/>
        <v>2025</v>
      </c>
      <c r="J661" s="32">
        <f t="shared" si="103"/>
        <v>7</v>
      </c>
    </row>
    <row r="662" spans="1:10" x14ac:dyDescent="0.25">
      <c r="A662" t="s">
        <v>873</v>
      </c>
      <c r="B662" t="s">
        <v>187</v>
      </c>
      <c r="C662">
        <v>1521</v>
      </c>
      <c r="D662">
        <v>9999</v>
      </c>
      <c r="E662" s="4">
        <v>-32627008.489999998</v>
      </c>
      <c r="F662" t="s">
        <v>1178</v>
      </c>
      <c r="G662">
        <v>3520</v>
      </c>
      <c r="H662" s="32" t="str">
        <f ca="1">+IF(B662&gt;'sap nuevo'!$V$1,"cargar",IF(C662="","cargar","pagado"))</f>
        <v>cargar</v>
      </c>
      <c r="I662" s="32">
        <f t="shared" si="102"/>
        <v>2025</v>
      </c>
      <c r="J662" s="32">
        <f t="shared" si="103"/>
        <v>7</v>
      </c>
    </row>
    <row r="663" spans="1:10" x14ac:dyDescent="0.25">
      <c r="A663" t="s">
        <v>873</v>
      </c>
      <c r="B663" t="s">
        <v>187</v>
      </c>
      <c r="C663">
        <v>1523</v>
      </c>
      <c r="D663">
        <v>9999</v>
      </c>
      <c r="E663" s="4">
        <v>-29915816.52</v>
      </c>
      <c r="F663" t="s">
        <v>1179</v>
      </c>
      <c r="G663">
        <v>3520</v>
      </c>
      <c r="H663" s="32" t="str">
        <f ca="1">+IF(B663&gt;'sap nuevo'!$V$1,"cargar",IF(C663="","cargar","pagado"))</f>
        <v>cargar</v>
      </c>
      <c r="I663" s="32">
        <f t="shared" si="102"/>
        <v>2025</v>
      </c>
      <c r="J663" s="32">
        <f t="shared" si="103"/>
        <v>7</v>
      </c>
    </row>
    <row r="664" spans="1:10" x14ac:dyDescent="0.25">
      <c r="A664" t="s">
        <v>873</v>
      </c>
      <c r="B664" t="s">
        <v>187</v>
      </c>
      <c r="C664">
        <v>1534</v>
      </c>
      <c r="D664">
        <v>9999</v>
      </c>
      <c r="E664" s="4">
        <v>-19613283.219999999</v>
      </c>
      <c r="F664" t="s">
        <v>1180</v>
      </c>
      <c r="G664">
        <v>3520</v>
      </c>
      <c r="H664" s="32" t="str">
        <f ca="1">+IF(B664&gt;'sap nuevo'!$V$1,"cargar",IF(C664="","cargar","pagado"))</f>
        <v>cargar</v>
      </c>
      <c r="I664" s="32">
        <f t="shared" si="102"/>
        <v>2025</v>
      </c>
      <c r="J664" s="32">
        <f t="shared" si="103"/>
        <v>7</v>
      </c>
    </row>
    <row r="665" spans="1:10" x14ac:dyDescent="0.25">
      <c r="A665" t="s">
        <v>873</v>
      </c>
      <c r="B665" t="s">
        <v>187</v>
      </c>
      <c r="C665">
        <v>1528</v>
      </c>
      <c r="D665">
        <v>9999</v>
      </c>
      <c r="E665" s="4">
        <v>-14385179.029999999</v>
      </c>
      <c r="F665" t="s">
        <v>1181</v>
      </c>
      <c r="G665">
        <v>3520</v>
      </c>
      <c r="H665" s="32" t="str">
        <f ca="1">+IF(B665&gt;'sap nuevo'!$V$1,"cargar",IF(C665="","cargar","pagado"))</f>
        <v>cargar</v>
      </c>
      <c r="I665" s="32">
        <f t="shared" si="102"/>
        <v>2025</v>
      </c>
      <c r="J665" s="32">
        <f t="shared" si="103"/>
        <v>7</v>
      </c>
    </row>
    <row r="666" spans="1:10" x14ac:dyDescent="0.25">
      <c r="A666" t="s">
        <v>873</v>
      </c>
      <c r="B666" t="s">
        <v>187</v>
      </c>
      <c r="C666">
        <v>1518</v>
      </c>
      <c r="D666">
        <v>9999</v>
      </c>
      <c r="E666" s="4">
        <v>-11950213.83</v>
      </c>
      <c r="F666" t="s">
        <v>1182</v>
      </c>
      <c r="G666">
        <v>3520</v>
      </c>
      <c r="H666" s="32" t="str">
        <f ca="1">+IF(B666&gt;'sap nuevo'!$V$1,"cargar",IF(C666="","cargar","pagado"))</f>
        <v>cargar</v>
      </c>
      <c r="I666" s="32">
        <f t="shared" si="102"/>
        <v>2025</v>
      </c>
      <c r="J666" s="32">
        <f t="shared" si="103"/>
        <v>7</v>
      </c>
    </row>
    <row r="667" spans="1:10" x14ac:dyDescent="0.25">
      <c r="A667" t="s">
        <v>873</v>
      </c>
      <c r="B667" t="s">
        <v>187</v>
      </c>
      <c r="C667">
        <v>1530</v>
      </c>
      <c r="D667">
        <v>9999</v>
      </c>
      <c r="E667" s="4">
        <v>-10247093.800000001</v>
      </c>
      <c r="F667" t="s">
        <v>1183</v>
      </c>
      <c r="G667">
        <v>3520</v>
      </c>
      <c r="H667" s="32" t="str">
        <f ca="1">+IF(B667&gt;'sap nuevo'!$V$1,"cargar",IF(C667="","cargar","pagado"))</f>
        <v>cargar</v>
      </c>
      <c r="I667" s="32">
        <f t="shared" si="102"/>
        <v>2025</v>
      </c>
      <c r="J667" s="32">
        <f t="shared" si="103"/>
        <v>7</v>
      </c>
    </row>
    <row r="668" spans="1:10" x14ac:dyDescent="0.25">
      <c r="A668" t="s">
        <v>873</v>
      </c>
      <c r="B668" t="s">
        <v>187</v>
      </c>
      <c r="C668">
        <v>1533</v>
      </c>
      <c r="D668">
        <v>9999</v>
      </c>
      <c r="E668" s="4">
        <v>-9395595.6199999992</v>
      </c>
      <c r="F668" t="s">
        <v>1184</v>
      </c>
      <c r="G668">
        <v>3520</v>
      </c>
      <c r="H668" s="32" t="str">
        <f ca="1">+IF(B668&gt;'sap nuevo'!$V$1,"cargar",IF(C668="","cargar","pagado"))</f>
        <v>cargar</v>
      </c>
      <c r="I668" s="32">
        <f t="shared" si="102"/>
        <v>2025</v>
      </c>
      <c r="J668" s="32">
        <f t="shared" si="103"/>
        <v>7</v>
      </c>
    </row>
    <row r="669" spans="1:10" x14ac:dyDescent="0.25">
      <c r="A669" t="s">
        <v>873</v>
      </c>
      <c r="B669" t="s">
        <v>187</v>
      </c>
      <c r="C669">
        <v>1509</v>
      </c>
      <c r="D669">
        <v>9999</v>
      </c>
      <c r="E669" s="4">
        <v>-6829004.1900000004</v>
      </c>
      <c r="F669" t="s">
        <v>1185</v>
      </c>
      <c r="G669">
        <v>3520</v>
      </c>
      <c r="H669" s="32" t="str">
        <f ca="1">+IF(B669&gt;'sap nuevo'!$V$1,"cargar",IF(C669="","cargar","pagado"))</f>
        <v>cargar</v>
      </c>
      <c r="I669" s="32">
        <f t="shared" si="102"/>
        <v>2025</v>
      </c>
      <c r="J669" s="32">
        <f t="shared" si="103"/>
        <v>7</v>
      </c>
    </row>
    <row r="670" spans="1:10" x14ac:dyDescent="0.25">
      <c r="A670" t="s">
        <v>873</v>
      </c>
      <c r="B670" t="s">
        <v>187</v>
      </c>
      <c r="C670">
        <v>1504</v>
      </c>
      <c r="D670">
        <v>9999</v>
      </c>
      <c r="E670" s="4">
        <v>-5196842.9800000004</v>
      </c>
      <c r="F670" t="s">
        <v>1186</v>
      </c>
      <c r="G670">
        <v>3520</v>
      </c>
      <c r="H670" s="32" t="str">
        <f ca="1">+IF(B670&gt;'sap nuevo'!$V$1,"cargar",IF(C670="","cargar","pagado"))</f>
        <v>cargar</v>
      </c>
      <c r="I670" s="32">
        <f t="shared" si="102"/>
        <v>2025</v>
      </c>
      <c r="J670" s="32">
        <f t="shared" si="103"/>
        <v>7</v>
      </c>
    </row>
    <row r="671" spans="1:10" x14ac:dyDescent="0.25">
      <c r="A671" t="s">
        <v>873</v>
      </c>
      <c r="B671" t="s">
        <v>187</v>
      </c>
      <c r="C671">
        <v>1511</v>
      </c>
      <c r="D671">
        <v>9999</v>
      </c>
      <c r="E671" s="4">
        <v>-3625000</v>
      </c>
      <c r="F671" t="s">
        <v>1187</v>
      </c>
      <c r="G671">
        <v>3520</v>
      </c>
      <c r="H671" s="32" t="str">
        <f ca="1">+IF(B671&gt;'sap nuevo'!$V$1,"cargar",IF(C671="","cargar","pagado"))</f>
        <v>cargar</v>
      </c>
      <c r="I671" s="32">
        <f t="shared" si="102"/>
        <v>2025</v>
      </c>
      <c r="J671" s="32">
        <f t="shared" si="103"/>
        <v>7</v>
      </c>
    </row>
    <row r="672" spans="1:10" x14ac:dyDescent="0.25">
      <c r="A672" t="s">
        <v>873</v>
      </c>
      <c r="B672" t="s">
        <v>187</v>
      </c>
      <c r="C672">
        <v>1506</v>
      </c>
      <c r="D672">
        <v>9999</v>
      </c>
      <c r="E672" s="4">
        <v>-2758609.5</v>
      </c>
      <c r="F672" t="s">
        <v>1188</v>
      </c>
      <c r="G672">
        <v>3520</v>
      </c>
      <c r="H672" s="32" t="str">
        <f ca="1">+IF(B672&gt;'sap nuevo'!$V$1,"cargar",IF(C672="","cargar","pagado"))</f>
        <v>cargar</v>
      </c>
      <c r="I672" s="32">
        <f t="shared" si="102"/>
        <v>2025</v>
      </c>
      <c r="J672" s="32">
        <f t="shared" si="103"/>
        <v>7</v>
      </c>
    </row>
    <row r="673" spans="1:10" x14ac:dyDescent="0.25">
      <c r="A673" t="s">
        <v>873</v>
      </c>
      <c r="B673" t="s">
        <v>187</v>
      </c>
      <c r="C673">
        <v>1514</v>
      </c>
      <c r="D673">
        <v>9999</v>
      </c>
      <c r="E673" s="4">
        <v>-1632161.21</v>
      </c>
      <c r="F673" t="s">
        <v>1189</v>
      </c>
      <c r="G673">
        <v>3520</v>
      </c>
      <c r="H673" s="32" t="str">
        <f ca="1">+IF(B673&gt;'sap nuevo'!$V$1,"cargar",IF(C673="","cargar","pagado"))</f>
        <v>cargar</v>
      </c>
      <c r="I673" s="32">
        <f t="shared" si="102"/>
        <v>2025</v>
      </c>
      <c r="J673" s="32">
        <f t="shared" si="103"/>
        <v>7</v>
      </c>
    </row>
    <row r="674" spans="1:10" x14ac:dyDescent="0.25">
      <c r="A674" t="s">
        <v>877</v>
      </c>
      <c r="B674" t="s">
        <v>188</v>
      </c>
      <c r="C674">
        <v>1440</v>
      </c>
      <c r="D674">
        <v>9999</v>
      </c>
      <c r="E674" s="4">
        <v>-1133271.3999999999</v>
      </c>
      <c r="F674" t="s">
        <v>1190</v>
      </c>
      <c r="G674">
        <v>1385</v>
      </c>
      <c r="H674" s="32" t="str">
        <f ca="1">+IF(B674&gt;'sap nuevo'!$V$1,"cargar",IF(C674="","cargar","pagado"))</f>
        <v>cargar</v>
      </c>
      <c r="I674" s="32">
        <f t="shared" si="102"/>
        <v>2025</v>
      </c>
      <c r="J674" s="32">
        <f t="shared" si="103"/>
        <v>7</v>
      </c>
    </row>
    <row r="675" spans="1:10" x14ac:dyDescent="0.25">
      <c r="A675" t="s">
        <v>873</v>
      </c>
      <c r="B675" t="s">
        <v>187</v>
      </c>
      <c r="C675">
        <v>1516</v>
      </c>
      <c r="D675">
        <v>9999</v>
      </c>
      <c r="E675" s="4">
        <v>-866390.5</v>
      </c>
      <c r="F675" t="s">
        <v>1191</v>
      </c>
      <c r="G675">
        <v>3520</v>
      </c>
      <c r="H675" s="32" t="str">
        <f ca="1">+IF(B675&gt;'sap nuevo'!$V$1,"cargar",IF(C675="","cargar","pagado"))</f>
        <v>cargar</v>
      </c>
      <c r="I675" s="32">
        <f t="shared" si="102"/>
        <v>2025</v>
      </c>
      <c r="J675" s="32">
        <f t="shared" si="103"/>
        <v>7</v>
      </c>
    </row>
    <row r="676" spans="1:10" x14ac:dyDescent="0.25">
      <c r="A676" t="s">
        <v>873</v>
      </c>
      <c r="B676" t="s">
        <v>187</v>
      </c>
      <c r="C676">
        <v>1524</v>
      </c>
      <c r="D676">
        <v>9999</v>
      </c>
      <c r="E676" s="4">
        <v>-681129.32</v>
      </c>
      <c r="F676" t="s">
        <v>1192</v>
      </c>
      <c r="G676">
        <v>3520</v>
      </c>
      <c r="H676" s="32" t="str">
        <f ca="1">+IF(B676&gt;'sap nuevo'!$V$1,"cargar",IF(C676="","cargar","pagado"))</f>
        <v>cargar</v>
      </c>
      <c r="I676" s="32">
        <f t="shared" si="102"/>
        <v>2025</v>
      </c>
      <c r="J676" s="32">
        <f t="shared" si="103"/>
        <v>7</v>
      </c>
    </row>
    <row r="677" spans="1:10" x14ac:dyDescent="0.25">
      <c r="A677" t="s">
        <v>873</v>
      </c>
      <c r="B677" t="s">
        <v>187</v>
      </c>
      <c r="C677">
        <v>1520</v>
      </c>
      <c r="D677">
        <v>9999</v>
      </c>
      <c r="E677" s="4">
        <v>-518336.5</v>
      </c>
      <c r="F677" t="s">
        <v>1193</v>
      </c>
      <c r="G677">
        <v>3520</v>
      </c>
      <c r="H677" s="32" t="str">
        <f ca="1">+IF(B677&gt;'sap nuevo'!$V$1,"cargar",IF(C677="","cargar","pagado"))</f>
        <v>cargar</v>
      </c>
      <c r="I677" s="32">
        <f t="shared" si="102"/>
        <v>2025</v>
      </c>
      <c r="J677" s="32">
        <f t="shared" si="103"/>
        <v>7</v>
      </c>
    </row>
    <row r="678" spans="1:10" x14ac:dyDescent="0.25">
      <c r="A678" t="s">
        <v>873</v>
      </c>
      <c r="B678" t="s">
        <v>187</v>
      </c>
      <c r="C678">
        <v>1529</v>
      </c>
      <c r="D678">
        <v>9999</v>
      </c>
      <c r="E678" s="4">
        <v>-162792.82</v>
      </c>
      <c r="F678" t="s">
        <v>1194</v>
      </c>
      <c r="G678">
        <v>3520</v>
      </c>
      <c r="H678" s="32" t="str">
        <f ca="1">+IF(B678&gt;'sap nuevo'!$V$1,"cargar",IF(C678="","cargar","pagado"))</f>
        <v>cargar</v>
      </c>
      <c r="I678" s="32">
        <f t="shared" si="102"/>
        <v>2025</v>
      </c>
      <c r="J678" s="32">
        <f t="shared" si="103"/>
        <v>7</v>
      </c>
    </row>
    <row r="679" spans="1:10" x14ac:dyDescent="0.25">
      <c r="A679" t="s">
        <v>877</v>
      </c>
      <c r="B679" t="s">
        <v>187</v>
      </c>
      <c r="C679">
        <v>1458</v>
      </c>
      <c r="D679">
        <v>9999</v>
      </c>
      <c r="E679" s="4">
        <v>-8662942.3599999994</v>
      </c>
      <c r="F679" t="s">
        <v>1195</v>
      </c>
      <c r="G679">
        <v>1385</v>
      </c>
      <c r="H679" s="32" t="str">
        <f ca="1">+IF(B679&gt;'sap nuevo'!$V$1,"cargar",IF(C679="","cargar","pagado"))</f>
        <v>cargar</v>
      </c>
      <c r="I679" s="32">
        <f t="shared" si="102"/>
        <v>2025</v>
      </c>
      <c r="J679" s="32">
        <f t="shared" si="103"/>
        <v>7</v>
      </c>
    </row>
    <row r="680" spans="1:10" x14ac:dyDescent="0.25">
      <c r="A680" t="s">
        <v>877</v>
      </c>
      <c r="B680" t="s">
        <v>187</v>
      </c>
      <c r="C680">
        <v>1501</v>
      </c>
      <c r="D680">
        <v>9999</v>
      </c>
      <c r="E680" s="4">
        <v>-6622806.2800000003</v>
      </c>
      <c r="F680" t="s">
        <v>1196</v>
      </c>
      <c r="G680">
        <v>1385</v>
      </c>
      <c r="H680" s="32" t="str">
        <f ca="1">+IF(B680&gt;'sap nuevo'!$V$1,"cargar",IF(C680="","cargar","pagado"))</f>
        <v>cargar</v>
      </c>
      <c r="I680" s="32">
        <f t="shared" si="102"/>
        <v>2025</v>
      </c>
      <c r="J680" s="32">
        <f t="shared" si="103"/>
        <v>7</v>
      </c>
    </row>
    <row r="681" spans="1:10" x14ac:dyDescent="0.25">
      <c r="A681" t="s">
        <v>877</v>
      </c>
      <c r="B681" t="s">
        <v>187</v>
      </c>
      <c r="C681">
        <v>1471</v>
      </c>
      <c r="D681">
        <v>9999</v>
      </c>
      <c r="E681" s="4">
        <v>-6158806.5300000003</v>
      </c>
      <c r="F681" t="s">
        <v>1197</v>
      </c>
      <c r="G681">
        <v>1385</v>
      </c>
      <c r="H681" s="32" t="str">
        <f ca="1">+IF(B681&gt;'sap nuevo'!$V$1,"cargar",IF(C681="","cargar","pagado"))</f>
        <v>cargar</v>
      </c>
      <c r="I681" s="32">
        <f t="shared" si="102"/>
        <v>2025</v>
      </c>
      <c r="J681" s="32">
        <f t="shared" si="103"/>
        <v>7</v>
      </c>
    </row>
    <row r="682" spans="1:10" x14ac:dyDescent="0.25">
      <c r="A682" t="s">
        <v>877</v>
      </c>
      <c r="B682" t="s">
        <v>187</v>
      </c>
      <c r="C682">
        <v>1415</v>
      </c>
      <c r="D682">
        <v>9999</v>
      </c>
      <c r="E682" s="4">
        <v>-3350566.66</v>
      </c>
      <c r="F682" t="s">
        <v>1198</v>
      </c>
      <c r="G682">
        <v>1385</v>
      </c>
      <c r="H682" s="32" t="str">
        <f ca="1">+IF(B682&gt;'sap nuevo'!$V$1,"cargar",IF(C682="","cargar","pagado"))</f>
        <v>cargar</v>
      </c>
      <c r="I682" s="32">
        <f t="shared" si="102"/>
        <v>2025</v>
      </c>
      <c r="J682" s="32">
        <f t="shared" si="103"/>
        <v>7</v>
      </c>
    </row>
    <row r="683" spans="1:10" x14ac:dyDescent="0.25">
      <c r="A683" t="s">
        <v>877</v>
      </c>
      <c r="B683" t="s">
        <v>187</v>
      </c>
      <c r="C683">
        <v>1510</v>
      </c>
      <c r="D683">
        <v>9999</v>
      </c>
      <c r="E683" s="4">
        <v>-61513.5</v>
      </c>
      <c r="F683" t="s">
        <v>1199</v>
      </c>
      <c r="G683">
        <v>1385</v>
      </c>
      <c r="H683" s="32" t="str">
        <f ca="1">+IF(B683&gt;'sap nuevo'!$V$1,"cargar",IF(C683="","cargar","pagado"))</f>
        <v>cargar</v>
      </c>
      <c r="I683" s="32">
        <f t="shared" si="102"/>
        <v>2025</v>
      </c>
      <c r="J683" s="32">
        <f t="shared" si="103"/>
        <v>7</v>
      </c>
    </row>
    <row r="684" spans="1:10" x14ac:dyDescent="0.25">
      <c r="A684" t="s">
        <v>877</v>
      </c>
      <c r="B684" t="s">
        <v>187</v>
      </c>
      <c r="C684">
        <v>1505</v>
      </c>
      <c r="D684">
        <v>9999</v>
      </c>
      <c r="E684" s="4">
        <v>-46811.51</v>
      </c>
      <c r="F684" t="s">
        <v>1200</v>
      </c>
      <c r="G684">
        <v>1385</v>
      </c>
      <c r="H684" s="32" t="str">
        <f ca="1">+IF(B684&gt;'sap nuevo'!$V$1,"cargar",IF(C684="","cargar","pagado"))</f>
        <v>cargar</v>
      </c>
      <c r="I684" s="32">
        <f t="shared" si="102"/>
        <v>2025</v>
      </c>
      <c r="J684" s="32">
        <f t="shared" si="103"/>
        <v>7</v>
      </c>
    </row>
    <row r="685" spans="1:10" x14ac:dyDescent="0.25">
      <c r="A685" t="s">
        <v>877</v>
      </c>
      <c r="B685" t="s">
        <v>187</v>
      </c>
      <c r="C685">
        <v>1515</v>
      </c>
      <c r="D685">
        <v>9999</v>
      </c>
      <c r="E685" s="4">
        <v>-14701.99</v>
      </c>
      <c r="F685" t="s">
        <v>1201</v>
      </c>
      <c r="G685">
        <v>1385</v>
      </c>
      <c r="H685" s="32" t="str">
        <f ca="1">+IF(B685&gt;'sap nuevo'!$V$1,"cargar",IF(C685="","cargar","pagado"))</f>
        <v>cargar</v>
      </c>
      <c r="I685" s="32">
        <f t="shared" si="102"/>
        <v>2025</v>
      </c>
      <c r="J685" s="32">
        <f t="shared" si="103"/>
        <v>7</v>
      </c>
    </row>
    <row r="686" spans="1:10" x14ac:dyDescent="0.25">
      <c r="A686" t="s">
        <v>873</v>
      </c>
      <c r="B686" t="s">
        <v>1162</v>
      </c>
      <c r="C686">
        <v>1494</v>
      </c>
      <c r="D686">
        <v>9999</v>
      </c>
      <c r="E686" s="4">
        <v>-14715513.439999999</v>
      </c>
      <c r="F686" t="s">
        <v>1202</v>
      </c>
      <c r="G686">
        <v>3520</v>
      </c>
      <c r="H686" s="32" t="str">
        <f ca="1">+IF(B686&gt;'sap nuevo'!$V$1,"cargar",IF(C686="","cargar","pagado"))</f>
        <v>cargar</v>
      </c>
      <c r="I686" s="32">
        <f t="shared" si="102"/>
        <v>2025</v>
      </c>
      <c r="J686" s="32">
        <f t="shared" si="103"/>
        <v>7</v>
      </c>
    </row>
    <row r="687" spans="1:10" x14ac:dyDescent="0.25">
      <c r="A687" t="s">
        <v>873</v>
      </c>
      <c r="B687" t="s">
        <v>1162</v>
      </c>
      <c r="C687">
        <v>1496</v>
      </c>
      <c r="D687">
        <v>9999</v>
      </c>
      <c r="E687" s="4">
        <v>-12874847.92</v>
      </c>
      <c r="F687" t="s">
        <v>1203</v>
      </c>
      <c r="G687">
        <v>3520</v>
      </c>
      <c r="H687" s="32" t="str">
        <f ca="1">+IF(B687&gt;'sap nuevo'!$V$1,"cargar",IF(C687="","cargar","pagado"))</f>
        <v>cargar</v>
      </c>
      <c r="I687" s="32">
        <f t="shared" si="102"/>
        <v>2025</v>
      </c>
      <c r="J687" s="32">
        <f t="shared" si="103"/>
        <v>7</v>
      </c>
    </row>
    <row r="688" spans="1:10" x14ac:dyDescent="0.25">
      <c r="A688" t="s">
        <v>873</v>
      </c>
      <c r="B688" t="s">
        <v>1162</v>
      </c>
      <c r="C688">
        <v>1492</v>
      </c>
      <c r="D688">
        <v>9999</v>
      </c>
      <c r="E688" s="4">
        <v>-8875156.7300000004</v>
      </c>
      <c r="F688" t="s">
        <v>1204</v>
      </c>
      <c r="G688">
        <v>3520</v>
      </c>
      <c r="H688" s="32" t="str">
        <f ca="1">+IF(B688&gt;'sap nuevo'!$V$1,"cargar",IF(C688="","cargar","pagado"))</f>
        <v>cargar</v>
      </c>
      <c r="I688" s="32">
        <f t="shared" si="102"/>
        <v>2025</v>
      </c>
      <c r="J688" s="32">
        <f t="shared" si="103"/>
        <v>7</v>
      </c>
    </row>
    <row r="689" spans="1:10" x14ac:dyDescent="0.25">
      <c r="A689" t="s">
        <v>21</v>
      </c>
      <c r="B689" t="s">
        <v>187</v>
      </c>
      <c r="C689">
        <v>40272952</v>
      </c>
      <c r="D689">
        <v>140</v>
      </c>
      <c r="E689" s="4">
        <v>-3203580.11</v>
      </c>
      <c r="F689" t="s">
        <v>80</v>
      </c>
      <c r="G689">
        <v>0</v>
      </c>
      <c r="H689" s="32" t="str">
        <f ca="1">+IF(B689&gt;'sap nuevo'!$V$1,"cargar",IF(C689="","cargar","pagado"))</f>
        <v>cargar</v>
      </c>
      <c r="I689" s="32">
        <f t="shared" si="102"/>
        <v>2025</v>
      </c>
      <c r="J689" s="32">
        <f t="shared" si="103"/>
        <v>7</v>
      </c>
    </row>
    <row r="690" spans="1:10" x14ac:dyDescent="0.25">
      <c r="A690" t="s">
        <v>873</v>
      </c>
      <c r="B690" t="s">
        <v>179</v>
      </c>
      <c r="C690">
        <v>1369</v>
      </c>
      <c r="D690">
        <v>9999</v>
      </c>
      <c r="E690" s="4">
        <v>-20941125.5</v>
      </c>
      <c r="F690" t="s">
        <v>1205</v>
      </c>
      <c r="G690">
        <v>3520</v>
      </c>
      <c r="H690" s="32" t="str">
        <f ca="1">+IF(B690&gt;'sap nuevo'!$V$1,"cargar",IF(C690="","cargar","pagado"))</f>
        <v>cargar</v>
      </c>
      <c r="I690" s="32">
        <f t="shared" si="102"/>
        <v>2025</v>
      </c>
      <c r="J690" s="32">
        <f t="shared" si="103"/>
        <v>6</v>
      </c>
    </row>
    <row r="691" spans="1:10" x14ac:dyDescent="0.25">
      <c r="A691" t="s">
        <v>873</v>
      </c>
      <c r="B691" t="s">
        <v>181</v>
      </c>
      <c r="C691">
        <v>1393</v>
      </c>
      <c r="D691">
        <v>9999</v>
      </c>
      <c r="E691" s="4">
        <v>-7000000</v>
      </c>
      <c r="F691" t="s">
        <v>1206</v>
      </c>
      <c r="G691">
        <v>3520</v>
      </c>
      <c r="H691" s="32" t="str">
        <f ca="1">+IF(B691&gt;'sap nuevo'!$V$1,"cargar",IF(C691="","cargar","pagado"))</f>
        <v>cargar</v>
      </c>
      <c r="I691" s="32">
        <f t="shared" si="102"/>
        <v>2025</v>
      </c>
      <c r="J691" s="32">
        <f t="shared" si="103"/>
        <v>6</v>
      </c>
    </row>
    <row r="692" spans="1:10" x14ac:dyDescent="0.25">
      <c r="A692" t="s">
        <v>873</v>
      </c>
      <c r="B692" t="s">
        <v>187</v>
      </c>
      <c r="C692">
        <v>1525</v>
      </c>
      <c r="D692">
        <v>9999</v>
      </c>
      <c r="E692" s="4">
        <v>-42874102.289999999</v>
      </c>
      <c r="F692" t="s">
        <v>1175</v>
      </c>
      <c r="G692">
        <v>3520</v>
      </c>
      <c r="H692" s="32" t="str">
        <f ca="1">+IF(B692&gt;'sap nuevo'!$V$1,"cargar",IF(C692="","cargar","pagado"))</f>
        <v>cargar</v>
      </c>
      <c r="I692" s="32">
        <f t="shared" si="102"/>
        <v>2025</v>
      </c>
      <c r="J692" s="32">
        <f t="shared" si="103"/>
        <v>7</v>
      </c>
    </row>
    <row r="693" spans="1:10" x14ac:dyDescent="0.25">
      <c r="A693" t="s">
        <v>877</v>
      </c>
      <c r="B693" t="s">
        <v>189</v>
      </c>
      <c r="C693">
        <v>1412</v>
      </c>
      <c r="D693">
        <v>9999</v>
      </c>
      <c r="E693" s="4">
        <v>-4592469.97</v>
      </c>
      <c r="F693" t="s">
        <v>1207</v>
      </c>
      <c r="G693">
        <v>1385</v>
      </c>
      <c r="H693" s="32" t="str">
        <f ca="1">+IF(B693&gt;'sap nuevo'!$V$1,"cargar",IF(C693="","cargar","pagado"))</f>
        <v>cargar</v>
      </c>
      <c r="I693" s="32">
        <f t="shared" si="102"/>
        <v>2025</v>
      </c>
      <c r="J693" s="32">
        <f t="shared" si="103"/>
        <v>7</v>
      </c>
    </row>
    <row r="694" spans="1:10" x14ac:dyDescent="0.25">
      <c r="A694" t="s">
        <v>873</v>
      </c>
      <c r="B694" t="s">
        <v>190</v>
      </c>
      <c r="C694">
        <v>1543</v>
      </c>
      <c r="D694">
        <v>9999</v>
      </c>
      <c r="E694" s="4">
        <v>-24000000</v>
      </c>
      <c r="F694" t="s">
        <v>1208</v>
      </c>
      <c r="G694">
        <v>3520</v>
      </c>
      <c r="H694" s="32" t="str">
        <f ca="1">+IF(B694&gt;'sap nuevo'!$V$1,"cargar",IF(C694="","cargar","pagado"))</f>
        <v>cargar</v>
      </c>
      <c r="I694" s="32">
        <f t="shared" si="102"/>
        <v>2025</v>
      </c>
      <c r="J694" s="32">
        <f t="shared" si="103"/>
        <v>7</v>
      </c>
    </row>
    <row r="695" spans="1:10" x14ac:dyDescent="0.25">
      <c r="A695" t="s">
        <v>873</v>
      </c>
      <c r="B695" t="s">
        <v>190</v>
      </c>
      <c r="C695">
        <v>1571</v>
      </c>
      <c r="D695">
        <v>9999</v>
      </c>
      <c r="E695" s="4">
        <v>-20000000</v>
      </c>
      <c r="F695" t="s">
        <v>1209</v>
      </c>
      <c r="G695">
        <v>3520</v>
      </c>
      <c r="H695" s="32" t="str">
        <f ca="1">+IF(B695&gt;'sap nuevo'!$V$1,"cargar",IF(C695="","cargar","pagado"))</f>
        <v>cargar</v>
      </c>
      <c r="I695" s="32">
        <f t="shared" si="102"/>
        <v>2025</v>
      </c>
      <c r="J695" s="32">
        <f t="shared" si="103"/>
        <v>7</v>
      </c>
    </row>
    <row r="696" spans="1:10" x14ac:dyDescent="0.25">
      <c r="A696" t="s">
        <v>873</v>
      </c>
      <c r="B696" t="s">
        <v>190</v>
      </c>
      <c r="C696">
        <v>1547</v>
      </c>
      <c r="D696">
        <v>9999</v>
      </c>
      <c r="E696" s="4">
        <v>-10000000</v>
      </c>
      <c r="F696" t="s">
        <v>1210</v>
      </c>
      <c r="G696">
        <v>3520</v>
      </c>
      <c r="H696" s="32" t="str">
        <f ca="1">+IF(B696&gt;'sap nuevo'!$V$1,"cargar",IF(C696="","cargar","pagado"))</f>
        <v>cargar</v>
      </c>
      <c r="I696" s="32">
        <f t="shared" si="102"/>
        <v>2025</v>
      </c>
      <c r="J696" s="32">
        <f t="shared" si="103"/>
        <v>7</v>
      </c>
    </row>
    <row r="697" spans="1:10" x14ac:dyDescent="0.25">
      <c r="A697" t="s">
        <v>873</v>
      </c>
      <c r="B697" t="s">
        <v>190</v>
      </c>
      <c r="C697">
        <v>1537</v>
      </c>
      <c r="D697">
        <v>9999</v>
      </c>
      <c r="E697" s="4">
        <v>-7354746.9699999997</v>
      </c>
      <c r="F697" t="s">
        <v>1211</v>
      </c>
      <c r="G697">
        <v>3520</v>
      </c>
      <c r="H697" s="32" t="str">
        <f ca="1">+IF(B697&gt;'sap nuevo'!$V$1,"cargar",IF(C697="","cargar","pagado"))</f>
        <v>cargar</v>
      </c>
      <c r="I697" s="32">
        <f t="shared" si="102"/>
        <v>2025</v>
      </c>
      <c r="J697" s="32">
        <f t="shared" si="103"/>
        <v>7</v>
      </c>
    </row>
    <row r="698" spans="1:10" x14ac:dyDescent="0.25">
      <c r="A698" t="s">
        <v>873</v>
      </c>
      <c r="B698" t="s">
        <v>191</v>
      </c>
      <c r="C698">
        <v>1526</v>
      </c>
      <c r="D698">
        <v>9999</v>
      </c>
      <c r="E698" s="4">
        <v>-39311412.149999999</v>
      </c>
      <c r="F698" t="s">
        <v>1212</v>
      </c>
      <c r="G698">
        <v>3520</v>
      </c>
      <c r="H698" s="32" t="str">
        <f ca="1">+IF(B698&gt;'sap nuevo'!$V$1,"cargar",IF(C698="","cargar","pagado"))</f>
        <v>cargar</v>
      </c>
      <c r="I698" s="32">
        <f t="shared" si="102"/>
        <v>2025</v>
      </c>
      <c r="J698" s="32">
        <f t="shared" si="103"/>
        <v>7</v>
      </c>
    </row>
    <row r="699" spans="1:10" x14ac:dyDescent="0.25">
      <c r="A699" t="s">
        <v>877</v>
      </c>
      <c r="B699" t="s">
        <v>190</v>
      </c>
      <c r="C699">
        <v>1569</v>
      </c>
      <c r="D699">
        <v>9999</v>
      </c>
      <c r="E699" s="4">
        <v>-36000000</v>
      </c>
      <c r="F699" t="s">
        <v>1213</v>
      </c>
      <c r="G699">
        <v>1385</v>
      </c>
      <c r="H699" s="32" t="str">
        <f ca="1">+IF(B699&gt;'sap nuevo'!$V$1,"cargar",IF(C699="","cargar","pagado"))</f>
        <v>cargar</v>
      </c>
      <c r="I699" s="32">
        <f t="shared" si="102"/>
        <v>2025</v>
      </c>
      <c r="J699" s="32">
        <f t="shared" si="103"/>
        <v>7</v>
      </c>
    </row>
    <row r="700" spans="1:10" x14ac:dyDescent="0.25">
      <c r="A700" t="s">
        <v>873</v>
      </c>
      <c r="B700" t="s">
        <v>191</v>
      </c>
      <c r="C700">
        <v>1522</v>
      </c>
      <c r="D700">
        <v>9999</v>
      </c>
      <c r="E700" s="4">
        <v>-29915816.530000001</v>
      </c>
      <c r="F700" t="s">
        <v>1214</v>
      </c>
      <c r="G700">
        <v>3520</v>
      </c>
      <c r="H700" s="32" t="str">
        <f ca="1">+IF(B700&gt;'sap nuevo'!$V$1,"cargar",IF(C700="","cargar","pagado"))</f>
        <v>cargar</v>
      </c>
      <c r="I700" s="32">
        <f t="shared" si="102"/>
        <v>2025</v>
      </c>
      <c r="J700" s="32">
        <f t="shared" si="103"/>
        <v>7</v>
      </c>
    </row>
    <row r="701" spans="1:10" x14ac:dyDescent="0.25">
      <c r="A701" t="s">
        <v>873</v>
      </c>
      <c r="B701" t="s">
        <v>191</v>
      </c>
      <c r="C701">
        <v>1531</v>
      </c>
      <c r="D701">
        <v>9999</v>
      </c>
      <c r="E701" s="4">
        <v>-26913913.91</v>
      </c>
      <c r="F701" t="s">
        <v>1215</v>
      </c>
      <c r="G701">
        <v>3520</v>
      </c>
      <c r="H701" s="32" t="str">
        <f ca="1">+IF(B701&gt;'sap nuevo'!$V$1,"cargar",IF(C701="","cargar","pagado"))</f>
        <v>cargar</v>
      </c>
      <c r="I701" s="32">
        <f t="shared" si="102"/>
        <v>2025</v>
      </c>
      <c r="J701" s="32">
        <f t="shared" si="103"/>
        <v>7</v>
      </c>
    </row>
    <row r="702" spans="1:10" x14ac:dyDescent="0.25">
      <c r="A702" t="s">
        <v>877</v>
      </c>
      <c r="B702" t="s">
        <v>190</v>
      </c>
      <c r="C702">
        <v>1554</v>
      </c>
      <c r="D702">
        <v>9999</v>
      </c>
      <c r="E702" s="4">
        <v>-25000000</v>
      </c>
      <c r="F702" t="s">
        <v>1216</v>
      </c>
      <c r="G702">
        <v>1385</v>
      </c>
      <c r="H702" s="32" t="str">
        <f ca="1">+IF(B702&gt;'sap nuevo'!$V$1,"cargar",IF(C702="","cargar","pagado"))</f>
        <v>cargar</v>
      </c>
      <c r="I702" s="32">
        <f t="shared" si="102"/>
        <v>2025</v>
      </c>
      <c r="J702" s="32">
        <f t="shared" si="103"/>
        <v>7</v>
      </c>
    </row>
    <row r="703" spans="1:10" x14ac:dyDescent="0.25">
      <c r="A703" t="s">
        <v>873</v>
      </c>
      <c r="B703" t="s">
        <v>191</v>
      </c>
      <c r="C703">
        <v>1544</v>
      </c>
      <c r="D703">
        <v>9999</v>
      </c>
      <c r="E703" s="4">
        <v>-24201797.289999999</v>
      </c>
      <c r="F703" t="s">
        <v>1217</v>
      </c>
      <c r="G703">
        <v>3520</v>
      </c>
      <c r="H703" s="32" t="str">
        <f ca="1">+IF(B703&gt;'sap nuevo'!$V$1,"cargar",IF(C703="","cargar","pagado"))</f>
        <v>cargar</v>
      </c>
      <c r="I703" s="32">
        <f t="shared" si="102"/>
        <v>2025</v>
      </c>
      <c r="J703" s="32">
        <f t="shared" si="103"/>
        <v>7</v>
      </c>
    </row>
    <row r="704" spans="1:10" x14ac:dyDescent="0.25">
      <c r="A704" t="s">
        <v>877</v>
      </c>
      <c r="B704" t="s">
        <v>190</v>
      </c>
      <c r="C704">
        <v>1545</v>
      </c>
      <c r="D704">
        <v>9999</v>
      </c>
      <c r="E704" s="4">
        <v>-24000000</v>
      </c>
      <c r="F704" t="s">
        <v>1218</v>
      </c>
      <c r="G704">
        <v>1385</v>
      </c>
      <c r="H704" s="32" t="str">
        <f ca="1">+IF(B704&gt;'sap nuevo'!$V$1,"cargar",IF(C704="","cargar","pagado"))</f>
        <v>cargar</v>
      </c>
      <c r="I704" s="32">
        <f t="shared" si="102"/>
        <v>2025</v>
      </c>
      <c r="J704" s="32">
        <f t="shared" si="103"/>
        <v>7</v>
      </c>
    </row>
    <row r="705" spans="1:10" x14ac:dyDescent="0.25">
      <c r="A705" t="s">
        <v>877</v>
      </c>
      <c r="B705" t="s">
        <v>190</v>
      </c>
      <c r="C705">
        <v>1565</v>
      </c>
      <c r="D705">
        <v>9999</v>
      </c>
      <c r="E705" s="4">
        <v>-22000000</v>
      </c>
      <c r="F705" t="s">
        <v>1219</v>
      </c>
      <c r="G705">
        <v>1385</v>
      </c>
      <c r="H705" s="32" t="str">
        <f ca="1">+IF(B705&gt;'sap nuevo'!$V$1,"cargar",IF(C705="","cargar","pagado"))</f>
        <v>cargar</v>
      </c>
      <c r="I705" s="32">
        <f t="shared" si="102"/>
        <v>2025</v>
      </c>
      <c r="J705" s="32">
        <f t="shared" si="103"/>
        <v>7</v>
      </c>
    </row>
    <row r="706" spans="1:10" x14ac:dyDescent="0.25">
      <c r="A706" t="s">
        <v>877</v>
      </c>
      <c r="B706" t="s">
        <v>190</v>
      </c>
      <c r="C706">
        <v>1535</v>
      </c>
      <c r="D706">
        <v>9999</v>
      </c>
      <c r="E706" s="4">
        <v>-20000000</v>
      </c>
      <c r="F706" t="s">
        <v>1220</v>
      </c>
      <c r="G706">
        <v>1385</v>
      </c>
      <c r="H706" s="32" t="str">
        <f ca="1">+IF(B706&gt;'sap nuevo'!$V$1,"cargar",IF(C706="","cargar","pagado"))</f>
        <v>cargar</v>
      </c>
      <c r="I706" s="32">
        <f t="shared" si="102"/>
        <v>2025</v>
      </c>
      <c r="J706" s="32">
        <f t="shared" si="103"/>
        <v>7</v>
      </c>
    </row>
    <row r="707" spans="1:10" x14ac:dyDescent="0.25">
      <c r="A707" t="s">
        <v>877</v>
      </c>
      <c r="B707" t="s">
        <v>190</v>
      </c>
      <c r="C707">
        <v>1541</v>
      </c>
      <c r="D707">
        <v>9999</v>
      </c>
      <c r="E707" s="4">
        <v>-20000000</v>
      </c>
      <c r="F707" t="s">
        <v>1221</v>
      </c>
      <c r="G707">
        <v>1385</v>
      </c>
      <c r="H707" s="32" t="str">
        <f ca="1">+IF(B707&gt;'sap nuevo'!$V$1,"cargar",IF(C707="","cargar","pagado"))</f>
        <v>cargar</v>
      </c>
      <c r="I707" s="32">
        <f t="shared" si="102"/>
        <v>2025</v>
      </c>
      <c r="J707" s="32">
        <f t="shared" si="103"/>
        <v>7</v>
      </c>
    </row>
    <row r="708" spans="1:10" x14ac:dyDescent="0.25">
      <c r="A708" t="s">
        <v>877</v>
      </c>
      <c r="B708" t="s">
        <v>190</v>
      </c>
      <c r="C708">
        <v>1552</v>
      </c>
      <c r="D708">
        <v>9999</v>
      </c>
      <c r="E708" s="4">
        <v>-20000000</v>
      </c>
      <c r="F708" t="s">
        <v>1222</v>
      </c>
      <c r="G708">
        <v>1385</v>
      </c>
      <c r="H708" s="32" t="str">
        <f ca="1">+IF(B708&gt;'sap nuevo'!$V$1,"cargar",IF(C708="","cargar","pagado"))</f>
        <v>cargar</v>
      </c>
      <c r="I708" s="32">
        <f t="shared" si="102"/>
        <v>2025</v>
      </c>
      <c r="J708" s="32">
        <f t="shared" si="103"/>
        <v>7</v>
      </c>
    </row>
    <row r="709" spans="1:10" x14ac:dyDescent="0.25">
      <c r="A709" t="s">
        <v>877</v>
      </c>
      <c r="B709" t="s">
        <v>190</v>
      </c>
      <c r="C709">
        <v>1582</v>
      </c>
      <c r="D709">
        <v>9999</v>
      </c>
      <c r="E709" s="4">
        <v>-15939620.75</v>
      </c>
      <c r="F709" t="s">
        <v>1223</v>
      </c>
      <c r="G709">
        <v>1385</v>
      </c>
      <c r="H709" s="32" t="str">
        <f ca="1">+IF(B709&gt;'sap nuevo'!$V$1,"cargar",IF(C709="","cargar","pagado"))</f>
        <v>cargar</v>
      </c>
      <c r="I709" s="32">
        <f t="shared" si="102"/>
        <v>2025</v>
      </c>
      <c r="J709" s="32">
        <f t="shared" si="103"/>
        <v>7</v>
      </c>
    </row>
    <row r="710" spans="1:10" x14ac:dyDescent="0.25">
      <c r="A710" t="s">
        <v>877</v>
      </c>
      <c r="B710" t="s">
        <v>190</v>
      </c>
      <c r="C710">
        <v>1475</v>
      </c>
      <c r="D710">
        <v>9999</v>
      </c>
      <c r="E710" s="4">
        <v>-15870968.109999999</v>
      </c>
      <c r="F710" t="s">
        <v>1224</v>
      </c>
      <c r="G710">
        <v>1385</v>
      </c>
      <c r="H710" s="32" t="str">
        <f ca="1">+IF(B710&gt;'sap nuevo'!$V$1,"cargar",IF(C710="","cargar","pagado"))</f>
        <v>cargar</v>
      </c>
      <c r="I710" s="32">
        <f t="shared" si="102"/>
        <v>2025</v>
      </c>
      <c r="J710" s="32">
        <f t="shared" si="103"/>
        <v>7</v>
      </c>
    </row>
    <row r="711" spans="1:10" x14ac:dyDescent="0.25">
      <c r="A711" t="s">
        <v>873</v>
      </c>
      <c r="B711" t="s">
        <v>191</v>
      </c>
      <c r="C711">
        <v>1553</v>
      </c>
      <c r="D711">
        <v>9999</v>
      </c>
      <c r="E711" s="4">
        <v>-15614443.08</v>
      </c>
      <c r="F711" t="s">
        <v>1225</v>
      </c>
      <c r="G711">
        <v>3520</v>
      </c>
      <c r="H711" s="32" t="str">
        <f ca="1">+IF(B711&gt;'sap nuevo'!$V$1,"cargar",IF(C711="","cargar","pagado"))</f>
        <v>cargar</v>
      </c>
      <c r="I711" s="32">
        <f t="shared" si="102"/>
        <v>2025</v>
      </c>
      <c r="J711" s="32">
        <f t="shared" si="103"/>
        <v>7</v>
      </c>
    </row>
    <row r="712" spans="1:10" x14ac:dyDescent="0.25">
      <c r="A712" t="s">
        <v>877</v>
      </c>
      <c r="B712" t="s">
        <v>190</v>
      </c>
      <c r="C712">
        <v>1556</v>
      </c>
      <c r="D712">
        <v>9999</v>
      </c>
      <c r="E712" s="4">
        <v>-15000000</v>
      </c>
      <c r="F712" t="s">
        <v>1226</v>
      </c>
      <c r="G712">
        <v>1385</v>
      </c>
      <c r="H712" s="32" t="str">
        <f ca="1">+IF(B712&gt;'sap nuevo'!$V$1,"cargar",IF(C712="","cargar","pagado"))</f>
        <v>cargar</v>
      </c>
      <c r="I712" s="32">
        <f t="shared" si="102"/>
        <v>2025</v>
      </c>
      <c r="J712" s="32">
        <f t="shared" si="103"/>
        <v>7</v>
      </c>
    </row>
    <row r="713" spans="1:10" x14ac:dyDescent="0.25">
      <c r="A713" t="s">
        <v>877</v>
      </c>
      <c r="B713" t="s">
        <v>190</v>
      </c>
      <c r="C713">
        <v>1557</v>
      </c>
      <c r="D713">
        <v>9999</v>
      </c>
      <c r="E713" s="4">
        <v>-15000000</v>
      </c>
      <c r="F713" t="s">
        <v>1227</v>
      </c>
      <c r="G713">
        <v>1385</v>
      </c>
      <c r="H713" s="32" t="str">
        <f ca="1">+IF(B713&gt;'sap nuevo'!$V$1,"cargar",IF(C713="","cargar","pagado"))</f>
        <v>cargar</v>
      </c>
      <c r="I713" s="32">
        <f t="shared" si="102"/>
        <v>2025</v>
      </c>
      <c r="J713" s="32">
        <f t="shared" si="103"/>
        <v>7</v>
      </c>
    </row>
    <row r="714" spans="1:10" x14ac:dyDescent="0.25">
      <c r="A714" t="s">
        <v>877</v>
      </c>
      <c r="B714" t="s">
        <v>190</v>
      </c>
      <c r="C714">
        <v>1573</v>
      </c>
      <c r="D714">
        <v>9999</v>
      </c>
      <c r="E714" s="4">
        <v>-15000000</v>
      </c>
      <c r="F714" t="s">
        <v>1228</v>
      </c>
      <c r="G714">
        <v>1385</v>
      </c>
      <c r="H714" s="32" t="str">
        <f ca="1">+IF(B714&gt;'sap nuevo'!$V$1,"cargar",IF(C714="","cargar","pagado"))</f>
        <v>cargar</v>
      </c>
      <c r="I714" s="32">
        <f t="shared" si="102"/>
        <v>2025</v>
      </c>
      <c r="J714" s="32">
        <f t="shared" si="103"/>
        <v>7</v>
      </c>
    </row>
    <row r="715" spans="1:10" x14ac:dyDescent="0.25">
      <c r="A715" t="s">
        <v>877</v>
      </c>
      <c r="B715" t="s">
        <v>190</v>
      </c>
      <c r="C715">
        <v>1567</v>
      </c>
      <c r="D715">
        <v>9999</v>
      </c>
      <c r="E715" s="4">
        <v>-13000000</v>
      </c>
      <c r="F715" t="s">
        <v>1229</v>
      </c>
      <c r="G715">
        <v>1385</v>
      </c>
      <c r="H715" s="32" t="str">
        <f ca="1">+IF(B715&gt;'sap nuevo'!$V$1,"cargar",IF(C715="","cargar","pagado"))</f>
        <v>cargar</v>
      </c>
      <c r="I715" s="32">
        <f t="shared" si="102"/>
        <v>2025</v>
      </c>
      <c r="J715" s="32">
        <f t="shared" si="103"/>
        <v>7</v>
      </c>
    </row>
    <row r="716" spans="1:10" x14ac:dyDescent="0.25">
      <c r="A716" t="s">
        <v>877</v>
      </c>
      <c r="B716" t="s">
        <v>190</v>
      </c>
      <c r="C716">
        <v>1578</v>
      </c>
      <c r="D716">
        <v>9999</v>
      </c>
      <c r="E716" s="4">
        <v>-10000000</v>
      </c>
      <c r="F716" t="s">
        <v>1230</v>
      </c>
      <c r="G716">
        <v>1385</v>
      </c>
      <c r="H716" s="32" t="str">
        <f ca="1">+IF(B716&gt;'sap nuevo'!$V$1,"cargar",IF(C716="","cargar","pagado"))</f>
        <v>cargar</v>
      </c>
      <c r="I716" s="32">
        <f t="shared" si="102"/>
        <v>2025</v>
      </c>
      <c r="J716" s="32">
        <f t="shared" si="103"/>
        <v>7</v>
      </c>
    </row>
    <row r="717" spans="1:10" x14ac:dyDescent="0.25">
      <c r="A717" t="s">
        <v>877</v>
      </c>
      <c r="B717" t="s">
        <v>190</v>
      </c>
      <c r="C717">
        <v>1577</v>
      </c>
      <c r="D717">
        <v>9999</v>
      </c>
      <c r="E717" s="4">
        <v>-10000000</v>
      </c>
      <c r="F717" t="s">
        <v>1231</v>
      </c>
      <c r="G717">
        <v>1385</v>
      </c>
      <c r="H717" s="32" t="str">
        <f ca="1">+IF(B717&gt;'sap nuevo'!$V$1,"cargar",IF(C717="","cargar","pagado"))</f>
        <v>cargar</v>
      </c>
      <c r="I717" s="32">
        <f t="shared" si="102"/>
        <v>2025</v>
      </c>
      <c r="J717" s="32">
        <f t="shared" si="103"/>
        <v>7</v>
      </c>
    </row>
    <row r="718" spans="1:10" x14ac:dyDescent="0.25">
      <c r="A718" t="s">
        <v>877</v>
      </c>
      <c r="B718" t="s">
        <v>190</v>
      </c>
      <c r="C718">
        <v>1549</v>
      </c>
      <c r="D718">
        <v>9999</v>
      </c>
      <c r="E718" s="4">
        <v>-10000000</v>
      </c>
      <c r="F718" t="s">
        <v>1232</v>
      </c>
      <c r="G718">
        <v>1385</v>
      </c>
      <c r="H718" s="32" t="str">
        <f ca="1">+IF(B718&gt;'sap nuevo'!$V$1,"cargar",IF(C718="","cargar","pagado"))</f>
        <v>cargar</v>
      </c>
      <c r="I718" s="32">
        <f t="shared" si="102"/>
        <v>2025</v>
      </c>
      <c r="J718" s="32">
        <f t="shared" si="103"/>
        <v>7</v>
      </c>
    </row>
    <row r="719" spans="1:10" x14ac:dyDescent="0.25">
      <c r="A719" t="s">
        <v>877</v>
      </c>
      <c r="B719" t="s">
        <v>190</v>
      </c>
      <c r="C719">
        <v>1476</v>
      </c>
      <c r="D719">
        <v>9999</v>
      </c>
      <c r="E719" s="4">
        <v>-9957268.25</v>
      </c>
      <c r="F719" t="s">
        <v>1233</v>
      </c>
      <c r="G719">
        <v>1385</v>
      </c>
      <c r="H719" s="32" t="str">
        <f ca="1">+IF(B719&gt;'sap nuevo'!$V$1,"cargar",IF(C719="","cargar","pagado"))</f>
        <v>cargar</v>
      </c>
      <c r="I719" s="32">
        <f t="shared" si="102"/>
        <v>2025</v>
      </c>
      <c r="J719" s="32">
        <f t="shared" si="103"/>
        <v>7</v>
      </c>
    </row>
    <row r="720" spans="1:10" x14ac:dyDescent="0.25">
      <c r="A720" t="s">
        <v>873</v>
      </c>
      <c r="B720" t="s">
        <v>191</v>
      </c>
      <c r="C720">
        <v>1532</v>
      </c>
      <c r="D720">
        <v>9999</v>
      </c>
      <c r="E720" s="4">
        <v>-9395595.6199999992</v>
      </c>
      <c r="F720" t="s">
        <v>1234</v>
      </c>
      <c r="G720">
        <v>3520</v>
      </c>
      <c r="H720" s="32" t="str">
        <f ca="1">+IF(B720&gt;'sap nuevo'!$V$1,"cargar",IF(C720="","cargar","pagado"))</f>
        <v>cargar</v>
      </c>
      <c r="I720" s="32">
        <f t="shared" si="102"/>
        <v>2025</v>
      </c>
      <c r="J720" s="32">
        <f t="shared" si="103"/>
        <v>7</v>
      </c>
    </row>
    <row r="721" spans="1:10" x14ac:dyDescent="0.25">
      <c r="A721" t="s">
        <v>873</v>
      </c>
      <c r="B721" t="s">
        <v>191</v>
      </c>
      <c r="C721">
        <v>1548</v>
      </c>
      <c r="D721">
        <v>9999</v>
      </c>
      <c r="E721" s="4">
        <v>-7766457.1500000004</v>
      </c>
      <c r="F721" t="s">
        <v>1235</v>
      </c>
      <c r="G721">
        <v>3520</v>
      </c>
      <c r="H721" s="32" t="str">
        <f ca="1">+IF(B721&gt;'sap nuevo'!$V$1,"cargar",IF(C721="","cargar","pagado"))</f>
        <v>cargar</v>
      </c>
      <c r="I721" s="32">
        <f t="shared" si="102"/>
        <v>2025</v>
      </c>
      <c r="J721" s="32">
        <f t="shared" si="103"/>
        <v>7</v>
      </c>
    </row>
    <row r="722" spans="1:10" x14ac:dyDescent="0.25">
      <c r="A722" t="s">
        <v>877</v>
      </c>
      <c r="B722" t="s">
        <v>190</v>
      </c>
      <c r="C722">
        <v>1562</v>
      </c>
      <c r="D722">
        <v>9999</v>
      </c>
      <c r="E722" s="4">
        <v>-6217335.1100000003</v>
      </c>
      <c r="F722" t="s">
        <v>1236</v>
      </c>
      <c r="G722">
        <v>1385</v>
      </c>
      <c r="H722" s="32" t="str">
        <f ca="1">+IF(B722&gt;'sap nuevo'!$V$1,"cargar",IF(C722="","cargar","pagado"))</f>
        <v>cargar</v>
      </c>
      <c r="I722" s="32">
        <f t="shared" si="102"/>
        <v>2025</v>
      </c>
      <c r="J722" s="32">
        <f t="shared" si="103"/>
        <v>7</v>
      </c>
    </row>
    <row r="723" spans="1:10" x14ac:dyDescent="0.25">
      <c r="A723" t="s">
        <v>877</v>
      </c>
      <c r="B723" t="s">
        <v>190</v>
      </c>
      <c r="C723">
        <v>1551</v>
      </c>
      <c r="D723">
        <v>9999</v>
      </c>
      <c r="E723" s="4">
        <v>-6208715.3499999996</v>
      </c>
      <c r="F723" t="s">
        <v>1237</v>
      </c>
      <c r="G723">
        <v>1385</v>
      </c>
      <c r="H723" s="32" t="str">
        <f ca="1">+IF(B723&gt;'sap nuevo'!$V$1,"cargar",IF(C723="","cargar","pagado"))</f>
        <v>cargar</v>
      </c>
      <c r="I723" s="32">
        <f t="shared" ref="I723:I725" si="104">+YEAR(B723)</f>
        <v>2025</v>
      </c>
      <c r="J723" s="32">
        <f t="shared" ref="J723:J725" si="105">+MONTH(B723)</f>
        <v>7</v>
      </c>
    </row>
    <row r="724" spans="1:10" x14ac:dyDescent="0.25">
      <c r="A724" t="s">
        <v>877</v>
      </c>
      <c r="B724" t="s">
        <v>190</v>
      </c>
      <c r="C724">
        <v>1560</v>
      </c>
      <c r="D724">
        <v>9999</v>
      </c>
      <c r="E724" s="4">
        <v>-5633692.1699999999</v>
      </c>
      <c r="F724" t="s">
        <v>1238</v>
      </c>
      <c r="G724">
        <v>1385</v>
      </c>
      <c r="H724" s="32" t="str">
        <f ca="1">+IF(B724&gt;'sap nuevo'!$V$1,"cargar",IF(C724="","cargar","pagado"))</f>
        <v>cargar</v>
      </c>
      <c r="I724" s="32">
        <f t="shared" si="104"/>
        <v>2025</v>
      </c>
      <c r="J724" s="32">
        <f t="shared" si="105"/>
        <v>7</v>
      </c>
    </row>
    <row r="725" spans="1:10" x14ac:dyDescent="0.25">
      <c r="A725" t="s">
        <v>873</v>
      </c>
      <c r="B725" t="s">
        <v>191</v>
      </c>
      <c r="C725">
        <v>1512</v>
      </c>
      <c r="D725">
        <v>9999</v>
      </c>
      <c r="E725" s="4">
        <v>-3625000</v>
      </c>
      <c r="F725" t="s">
        <v>1239</v>
      </c>
      <c r="G725">
        <v>3520</v>
      </c>
      <c r="H725" s="32" t="str">
        <f ca="1">+IF(B725&gt;'sap nuevo'!$V$1,"cargar",IF(C725="","cargar","pagado"))</f>
        <v>cargar</v>
      </c>
      <c r="I725" s="32">
        <f t="shared" si="104"/>
        <v>2025</v>
      </c>
      <c r="J725" s="32">
        <f t="shared" si="105"/>
        <v>7</v>
      </c>
    </row>
    <row r="726" spans="1:10" x14ac:dyDescent="0.25">
      <c r="A726" t="s">
        <v>873</v>
      </c>
      <c r="B726" t="s">
        <v>191</v>
      </c>
      <c r="C726">
        <v>1507</v>
      </c>
      <c r="D726">
        <v>9999</v>
      </c>
      <c r="E726" s="4">
        <v>-2758609.5</v>
      </c>
      <c r="F726" t="s">
        <v>1240</v>
      </c>
      <c r="G726">
        <v>3520</v>
      </c>
      <c r="H726" s="32" t="str">
        <f ca="1">+IF(B726&gt;'sap nuevo'!$V$1,"cargar",IF(C726="","cargar","pagado"))</f>
        <v>cargar</v>
      </c>
      <c r="I726" s="32">
        <f t="shared" ref="I726:I744" si="106">+YEAR(B726)</f>
        <v>2025</v>
      </c>
      <c r="J726" s="32">
        <f t="shared" ref="J726:J744" si="107">+MONTH(B726)</f>
        <v>7</v>
      </c>
    </row>
    <row r="727" spans="1:10" x14ac:dyDescent="0.25">
      <c r="A727" t="s">
        <v>873</v>
      </c>
      <c r="B727" t="s">
        <v>191</v>
      </c>
      <c r="C727">
        <v>1517</v>
      </c>
      <c r="D727">
        <v>9999</v>
      </c>
      <c r="E727" s="4">
        <v>-866390.5</v>
      </c>
      <c r="F727" t="s">
        <v>1241</v>
      </c>
      <c r="G727">
        <v>3520</v>
      </c>
      <c r="H727" s="32" t="str">
        <f ca="1">+IF(B727&gt;'sap nuevo'!$V$1,"cargar",IF(C727="","cargar","pagado"))</f>
        <v>cargar</v>
      </c>
      <c r="I727" s="32">
        <f t="shared" si="106"/>
        <v>2025</v>
      </c>
      <c r="J727" s="32">
        <f t="shared" si="107"/>
        <v>7</v>
      </c>
    </row>
    <row r="728" spans="1:10" x14ac:dyDescent="0.25">
      <c r="A728" t="s">
        <v>877</v>
      </c>
      <c r="B728" t="s">
        <v>191</v>
      </c>
      <c r="C728">
        <v>1555</v>
      </c>
      <c r="D728">
        <v>9999</v>
      </c>
      <c r="E728" s="4">
        <v>-24680603.440000001</v>
      </c>
      <c r="F728" t="s">
        <v>1242</v>
      </c>
      <c r="G728">
        <v>1385</v>
      </c>
      <c r="H728" s="32" t="str">
        <f ca="1">+IF(B728&gt;'sap nuevo'!$V$1,"cargar",IF(C728="","cargar","pagado"))</f>
        <v>cargar</v>
      </c>
      <c r="I728" s="32">
        <f t="shared" si="106"/>
        <v>2025</v>
      </c>
      <c r="J728" s="32">
        <f t="shared" si="107"/>
        <v>7</v>
      </c>
    </row>
    <row r="729" spans="1:10" x14ac:dyDescent="0.25">
      <c r="A729" t="s">
        <v>877</v>
      </c>
      <c r="B729" t="s">
        <v>191</v>
      </c>
      <c r="C729">
        <v>1546</v>
      </c>
      <c r="D729">
        <v>9999</v>
      </c>
      <c r="E729" s="4">
        <v>-23499662.199999999</v>
      </c>
      <c r="F729" t="s">
        <v>1243</v>
      </c>
      <c r="G729">
        <v>1385</v>
      </c>
      <c r="H729" s="32" t="str">
        <f ca="1">+IF(B729&gt;'sap nuevo'!$V$1,"cargar",IF(C729="","cargar","pagado"))</f>
        <v>cargar</v>
      </c>
      <c r="I729" s="32">
        <f t="shared" si="106"/>
        <v>2025</v>
      </c>
      <c r="J729" s="32">
        <f t="shared" si="107"/>
        <v>7</v>
      </c>
    </row>
    <row r="730" spans="1:10" x14ac:dyDescent="0.25">
      <c r="A730" t="s">
        <v>877</v>
      </c>
      <c r="B730" t="s">
        <v>191</v>
      </c>
      <c r="C730">
        <v>1566</v>
      </c>
      <c r="D730">
        <v>9999</v>
      </c>
      <c r="E730" s="4">
        <v>-20944742.699999999</v>
      </c>
      <c r="F730" t="s">
        <v>1244</v>
      </c>
      <c r="G730">
        <v>1385</v>
      </c>
      <c r="H730" s="32" t="str">
        <f ca="1">+IF(B730&gt;'sap nuevo'!$V$1,"cargar",IF(C730="","cargar","pagado"))</f>
        <v>cargar</v>
      </c>
      <c r="I730" s="32">
        <f t="shared" si="106"/>
        <v>2025</v>
      </c>
      <c r="J730" s="32">
        <f t="shared" si="107"/>
        <v>7</v>
      </c>
    </row>
    <row r="731" spans="1:10" x14ac:dyDescent="0.25">
      <c r="A731" t="s">
        <v>877</v>
      </c>
      <c r="B731" t="s">
        <v>191</v>
      </c>
      <c r="C731">
        <v>1542</v>
      </c>
      <c r="D731">
        <v>9999</v>
      </c>
      <c r="E731" s="4">
        <v>-13230697.699999999</v>
      </c>
      <c r="F731" t="s">
        <v>1245</v>
      </c>
      <c r="G731">
        <v>1385</v>
      </c>
      <c r="H731" s="32" t="str">
        <f ca="1">+IF(B731&gt;'sap nuevo'!$V$1,"cargar",IF(C731="","cargar","pagado"))</f>
        <v>cargar</v>
      </c>
      <c r="I731" s="32">
        <f t="shared" si="106"/>
        <v>2025</v>
      </c>
      <c r="J731" s="32">
        <f t="shared" si="107"/>
        <v>7</v>
      </c>
    </row>
    <row r="732" spans="1:10" x14ac:dyDescent="0.25">
      <c r="A732" t="s">
        <v>877</v>
      </c>
      <c r="B732" t="s">
        <v>191</v>
      </c>
      <c r="C732">
        <v>1575</v>
      </c>
      <c r="D732">
        <v>9999</v>
      </c>
      <c r="E732" s="4">
        <v>-12752756.26</v>
      </c>
      <c r="F732" t="s">
        <v>1246</v>
      </c>
      <c r="G732">
        <v>1385</v>
      </c>
      <c r="H732" s="32" t="str">
        <f ca="1">+IF(B732&gt;'sap nuevo'!$V$1,"cargar",IF(C732="","cargar","pagado"))</f>
        <v>cargar</v>
      </c>
      <c r="I732" s="32">
        <f t="shared" si="106"/>
        <v>2025</v>
      </c>
      <c r="J732" s="32">
        <f t="shared" si="107"/>
        <v>7</v>
      </c>
    </row>
    <row r="733" spans="1:10" x14ac:dyDescent="0.25">
      <c r="A733" t="s">
        <v>877</v>
      </c>
      <c r="B733" t="s">
        <v>191</v>
      </c>
      <c r="C733">
        <v>1574</v>
      </c>
      <c r="D733">
        <v>9999</v>
      </c>
      <c r="E733" s="4">
        <v>-12332042.08</v>
      </c>
      <c r="F733" t="s">
        <v>1247</v>
      </c>
      <c r="G733">
        <v>1385</v>
      </c>
      <c r="H733" s="32" t="str">
        <f ca="1">+IF(B733&gt;'sap nuevo'!$V$1,"cargar",IF(C733="","cargar","pagado"))</f>
        <v>cargar</v>
      </c>
      <c r="I733" s="32">
        <f t="shared" si="106"/>
        <v>2025</v>
      </c>
      <c r="J733" s="32">
        <f t="shared" si="107"/>
        <v>7</v>
      </c>
    </row>
    <row r="734" spans="1:10" x14ac:dyDescent="0.25">
      <c r="A734" t="s">
        <v>877</v>
      </c>
      <c r="B734" t="s">
        <v>191</v>
      </c>
      <c r="C734">
        <v>1579</v>
      </c>
      <c r="D734">
        <v>9999</v>
      </c>
      <c r="E734" s="4">
        <v>-10000000</v>
      </c>
      <c r="F734" t="s">
        <v>1248</v>
      </c>
      <c r="G734">
        <v>1385</v>
      </c>
      <c r="H734" s="32" t="str">
        <f ca="1">+IF(B734&gt;'sap nuevo'!$V$1,"cargar",IF(C734="","cargar","pagado"))</f>
        <v>cargar</v>
      </c>
      <c r="I734" s="32">
        <f t="shared" si="106"/>
        <v>2025</v>
      </c>
      <c r="J734" s="32">
        <f t="shared" si="107"/>
        <v>7</v>
      </c>
    </row>
    <row r="735" spans="1:10" x14ac:dyDescent="0.25">
      <c r="A735" t="s">
        <v>877</v>
      </c>
      <c r="B735" t="s">
        <v>191</v>
      </c>
      <c r="C735">
        <v>1561</v>
      </c>
      <c r="D735">
        <v>9999</v>
      </c>
      <c r="E735" s="4">
        <v>-7658980</v>
      </c>
      <c r="F735" t="s">
        <v>1249</v>
      </c>
      <c r="G735">
        <v>1385</v>
      </c>
      <c r="H735" s="32" t="str">
        <f ca="1">+IF(B735&gt;'sap nuevo'!$V$1,"cargar",IF(C735="","cargar","pagado"))</f>
        <v>cargar</v>
      </c>
      <c r="I735" s="32">
        <f t="shared" si="106"/>
        <v>2025</v>
      </c>
      <c r="J735" s="32">
        <f t="shared" si="107"/>
        <v>7</v>
      </c>
    </row>
    <row r="736" spans="1:10" x14ac:dyDescent="0.25">
      <c r="A736" t="s">
        <v>877</v>
      </c>
      <c r="B736" t="s">
        <v>191</v>
      </c>
      <c r="C736">
        <v>1550</v>
      </c>
      <c r="D736">
        <v>9999</v>
      </c>
      <c r="E736" s="4">
        <v>-6764504.54</v>
      </c>
      <c r="F736" t="s">
        <v>1250</v>
      </c>
      <c r="G736">
        <v>1385</v>
      </c>
      <c r="H736" s="32" t="str">
        <f ca="1">+IF(B736&gt;'sap nuevo'!$V$1,"cargar",IF(C736="","cargar","pagado"))</f>
        <v>cargar</v>
      </c>
      <c r="I736" s="32">
        <f t="shared" si="106"/>
        <v>2025</v>
      </c>
      <c r="J736" s="32">
        <f t="shared" si="107"/>
        <v>7</v>
      </c>
    </row>
    <row r="737" spans="1:10" x14ac:dyDescent="0.25">
      <c r="A737" t="s">
        <v>877</v>
      </c>
      <c r="B737" t="s">
        <v>191</v>
      </c>
      <c r="C737">
        <v>1538</v>
      </c>
      <c r="D737">
        <v>9999</v>
      </c>
      <c r="E737" s="4">
        <v>-5758114.7300000004</v>
      </c>
      <c r="F737" t="s">
        <v>1251</v>
      </c>
      <c r="G737">
        <v>1385</v>
      </c>
      <c r="H737" s="32" t="str">
        <f ca="1">+IF(B737&gt;'sap nuevo'!$V$1,"cargar",IF(C737="","cargar","pagado"))</f>
        <v>cargar</v>
      </c>
      <c r="I737" s="32">
        <f t="shared" si="106"/>
        <v>2025</v>
      </c>
      <c r="J737" s="32">
        <f t="shared" si="107"/>
        <v>7</v>
      </c>
    </row>
    <row r="738" spans="1:10" x14ac:dyDescent="0.25">
      <c r="A738" s="105" t="s">
        <v>873</v>
      </c>
      <c r="B738" s="105" t="s">
        <v>192</v>
      </c>
      <c r="C738" s="105">
        <v>1572</v>
      </c>
      <c r="D738" s="105">
        <v>9999</v>
      </c>
      <c r="E738" s="106">
        <v>-18158856.329999998</v>
      </c>
      <c r="F738" s="105" t="s">
        <v>1252</v>
      </c>
      <c r="G738" s="105">
        <v>3520</v>
      </c>
      <c r="H738" s="32" t="str">
        <f ca="1">+IF(B738&gt;'sap nuevo'!$V$1,"cargar",IF(C738="","cargar","pagado"))</f>
        <v>cargar</v>
      </c>
      <c r="I738" s="32">
        <f t="shared" si="106"/>
        <v>2025</v>
      </c>
      <c r="J738" s="32">
        <f t="shared" si="107"/>
        <v>7</v>
      </c>
    </row>
    <row r="739" spans="1:10" x14ac:dyDescent="0.25">
      <c r="A739" s="105" t="s">
        <v>873</v>
      </c>
      <c r="B739" s="105" t="s">
        <v>192</v>
      </c>
      <c r="C739" s="105">
        <v>1563</v>
      </c>
      <c r="D739" s="105">
        <v>9999</v>
      </c>
      <c r="E739" s="106">
        <v>-10000000</v>
      </c>
      <c r="F739" s="105" t="s">
        <v>1253</v>
      </c>
      <c r="G739" s="105">
        <v>3520</v>
      </c>
      <c r="H739" s="32" t="str">
        <f ca="1">+IF(B739&gt;'sap nuevo'!$V$1,"cargar",IF(C739="","cargar","pagado"))</f>
        <v>cargar</v>
      </c>
      <c r="I739" s="32">
        <f t="shared" si="106"/>
        <v>2025</v>
      </c>
      <c r="J739" s="32">
        <f t="shared" si="107"/>
        <v>7</v>
      </c>
    </row>
    <row r="740" spans="1:10" x14ac:dyDescent="0.25">
      <c r="A740" s="105" t="s">
        <v>873</v>
      </c>
      <c r="B740" s="105" t="s">
        <v>192</v>
      </c>
      <c r="C740" s="105">
        <v>1564</v>
      </c>
      <c r="D740" s="105">
        <v>9999</v>
      </c>
      <c r="E740" s="106">
        <v>-9331743</v>
      </c>
      <c r="F740" s="105" t="s">
        <v>1254</v>
      </c>
      <c r="G740" s="105">
        <v>3520</v>
      </c>
      <c r="H740" s="32" t="str">
        <f ca="1">+IF(B740&gt;'sap nuevo'!$V$1,"cargar",IF(C740="","cargar","pagado"))</f>
        <v>cargar</v>
      </c>
      <c r="I740" s="32">
        <f t="shared" si="106"/>
        <v>2025</v>
      </c>
      <c r="J740" s="32">
        <f t="shared" si="107"/>
        <v>7</v>
      </c>
    </row>
    <row r="741" spans="1:10" x14ac:dyDescent="0.25">
      <c r="A741" t="s">
        <v>877</v>
      </c>
      <c r="B741" t="s">
        <v>192</v>
      </c>
      <c r="C741">
        <v>1570</v>
      </c>
      <c r="D741">
        <v>9999</v>
      </c>
      <c r="E741" s="4">
        <v>-30093588.199999999</v>
      </c>
      <c r="F741" t="s">
        <v>1255</v>
      </c>
      <c r="G741">
        <v>1385</v>
      </c>
      <c r="H741" s="32" t="str">
        <f ca="1">+IF(B741&gt;'sap nuevo'!$V$1,"cargar",IF(C741="","cargar","pagado"))</f>
        <v>cargar</v>
      </c>
      <c r="I741" s="32">
        <f t="shared" si="106"/>
        <v>2025</v>
      </c>
      <c r="J741" s="32">
        <f t="shared" si="107"/>
        <v>7</v>
      </c>
    </row>
    <row r="742" spans="1:10" x14ac:dyDescent="0.25">
      <c r="A742" t="s">
        <v>877</v>
      </c>
      <c r="B742" t="s">
        <v>192</v>
      </c>
      <c r="C742">
        <v>1581</v>
      </c>
      <c r="D742">
        <v>9999</v>
      </c>
      <c r="E742" s="4">
        <v>-23236134.239999998</v>
      </c>
      <c r="F742" t="s">
        <v>1256</v>
      </c>
      <c r="G742">
        <v>1385</v>
      </c>
      <c r="H742" s="32" t="str">
        <f ca="1">+IF(B742&gt;'sap nuevo'!$V$1,"cargar",IF(C742="","cargar","pagado"))</f>
        <v>cargar</v>
      </c>
      <c r="I742" s="32">
        <f t="shared" si="106"/>
        <v>2025</v>
      </c>
      <c r="J742" s="32">
        <f t="shared" si="107"/>
        <v>7</v>
      </c>
    </row>
    <row r="743" spans="1:10" x14ac:dyDescent="0.25">
      <c r="A743" t="s">
        <v>877</v>
      </c>
      <c r="B743" t="s">
        <v>192</v>
      </c>
      <c r="C743">
        <v>1587</v>
      </c>
      <c r="D743">
        <v>9999</v>
      </c>
      <c r="E743" s="4">
        <v>-20000000</v>
      </c>
      <c r="F743" t="s">
        <v>1257</v>
      </c>
      <c r="G743">
        <v>1385</v>
      </c>
      <c r="H743" s="32" t="str">
        <f ca="1">+IF(B743&gt;'sap nuevo'!$V$1,"cargar",IF(C743="","cargar","pagado"))</f>
        <v>cargar</v>
      </c>
      <c r="I743" s="32">
        <f t="shared" si="106"/>
        <v>2025</v>
      </c>
      <c r="J743" s="32">
        <f t="shared" si="107"/>
        <v>7</v>
      </c>
    </row>
    <row r="744" spans="1:10" x14ac:dyDescent="0.25">
      <c r="A744" t="s">
        <v>877</v>
      </c>
      <c r="B744" t="s">
        <v>192</v>
      </c>
      <c r="C744">
        <v>1580</v>
      </c>
      <c r="D744">
        <v>9999</v>
      </c>
      <c r="E744" s="4">
        <v>-20000000</v>
      </c>
      <c r="F744" t="s">
        <v>1258</v>
      </c>
      <c r="G744">
        <v>1385</v>
      </c>
      <c r="H744" s="32" t="str">
        <f ca="1">+IF(B744&gt;'sap nuevo'!$V$1,"cargar",IF(C744="","cargar","pagado"))</f>
        <v>cargar</v>
      </c>
      <c r="I744" s="32">
        <f t="shared" si="106"/>
        <v>2025</v>
      </c>
      <c r="J744" s="32">
        <f t="shared" si="107"/>
        <v>7</v>
      </c>
    </row>
    <row r="745" spans="1:10" x14ac:dyDescent="0.25">
      <c r="A745" t="s">
        <v>877</v>
      </c>
      <c r="B745" t="s">
        <v>192</v>
      </c>
      <c r="C745">
        <v>1586</v>
      </c>
      <c r="D745">
        <v>9999</v>
      </c>
      <c r="E745" s="4">
        <v>-17357672.760000002</v>
      </c>
      <c r="F745" t="s">
        <v>1259</v>
      </c>
      <c r="G745">
        <v>1385</v>
      </c>
      <c r="H745" s="32" t="str">
        <f ca="1">+IF(B745&gt;'sap nuevo'!$V$1,"cargar",IF(C745="","cargar","pagado"))</f>
        <v>cargar</v>
      </c>
      <c r="I745" s="32">
        <f t="shared" ref="I745:I759" si="108">+YEAR(B745)</f>
        <v>2025</v>
      </c>
      <c r="J745" s="32">
        <f t="shared" ref="J745:J759" si="109">+MONTH(B745)</f>
        <v>7</v>
      </c>
    </row>
    <row r="746" spans="1:10" x14ac:dyDescent="0.25">
      <c r="A746" t="s">
        <v>877</v>
      </c>
      <c r="B746" t="s">
        <v>192</v>
      </c>
      <c r="C746">
        <v>1559</v>
      </c>
      <c r="D746">
        <v>9999</v>
      </c>
      <c r="E746" s="4">
        <v>-15326630.699999999</v>
      </c>
      <c r="F746" t="s">
        <v>1260</v>
      </c>
      <c r="G746">
        <v>1385</v>
      </c>
      <c r="H746" s="32" t="str">
        <f ca="1">+IF(B746&gt;'sap nuevo'!$V$1,"cargar",IF(C746="","cargar","pagado"))</f>
        <v>cargar</v>
      </c>
      <c r="I746" s="32">
        <f t="shared" si="108"/>
        <v>2025</v>
      </c>
      <c r="J746" s="32">
        <f t="shared" si="109"/>
        <v>7</v>
      </c>
    </row>
    <row r="747" spans="1:10" x14ac:dyDescent="0.25">
      <c r="A747" t="s">
        <v>877</v>
      </c>
      <c r="B747" t="s">
        <v>192</v>
      </c>
      <c r="C747">
        <v>1558</v>
      </c>
      <c r="D747">
        <v>9999</v>
      </c>
      <c r="E747" s="4">
        <v>-15000000</v>
      </c>
      <c r="F747" t="s">
        <v>1261</v>
      </c>
      <c r="G747">
        <v>1385</v>
      </c>
      <c r="H747" s="32" t="str">
        <f ca="1">+IF(B747&gt;'sap nuevo'!$V$1,"cargar",IF(C747="","cargar","pagado"))</f>
        <v>cargar</v>
      </c>
      <c r="I747" s="32">
        <f t="shared" si="108"/>
        <v>2025</v>
      </c>
      <c r="J747" s="32">
        <f t="shared" si="109"/>
        <v>7</v>
      </c>
    </row>
    <row r="748" spans="1:10" x14ac:dyDescent="0.25">
      <c r="A748" t="s">
        <v>877</v>
      </c>
      <c r="B748" t="s">
        <v>192</v>
      </c>
      <c r="C748">
        <v>1588</v>
      </c>
      <c r="D748">
        <v>9999</v>
      </c>
      <c r="E748" s="4">
        <v>-14533641.789999999</v>
      </c>
      <c r="F748" t="s">
        <v>1262</v>
      </c>
      <c r="G748">
        <v>1385</v>
      </c>
      <c r="H748" s="32" t="str">
        <f ca="1">+IF(B748&gt;'sap nuevo'!$V$1,"cargar",IF(C748="","cargar","pagado"))</f>
        <v>cargar</v>
      </c>
      <c r="I748" s="32">
        <f t="shared" si="108"/>
        <v>2025</v>
      </c>
      <c r="J748" s="32">
        <f t="shared" si="109"/>
        <v>7</v>
      </c>
    </row>
    <row r="749" spans="1:10" x14ac:dyDescent="0.25">
      <c r="A749" t="s">
        <v>877</v>
      </c>
      <c r="B749" t="s">
        <v>192</v>
      </c>
      <c r="C749">
        <v>1595</v>
      </c>
      <c r="D749">
        <v>9999</v>
      </c>
      <c r="E749" s="4">
        <v>-8136224.2400000002</v>
      </c>
      <c r="F749" t="s">
        <v>1263</v>
      </c>
      <c r="G749">
        <v>1385</v>
      </c>
      <c r="H749" s="32" t="str">
        <f ca="1">+IF(B749&gt;'sap nuevo'!$V$1,"cargar",IF(C749="","cargar","pagado"))</f>
        <v>cargar</v>
      </c>
      <c r="I749" s="32">
        <f t="shared" si="108"/>
        <v>2025</v>
      </c>
      <c r="J749" s="32">
        <f t="shared" si="109"/>
        <v>7</v>
      </c>
    </row>
    <row r="750" spans="1:10" x14ac:dyDescent="0.25">
      <c r="A750" t="s">
        <v>873</v>
      </c>
      <c r="B750" t="s">
        <v>193</v>
      </c>
      <c r="C750">
        <v>1539</v>
      </c>
      <c r="D750">
        <v>9999</v>
      </c>
      <c r="E750" s="4">
        <v>-7476575.6299999999</v>
      </c>
      <c r="F750" t="s">
        <v>1264</v>
      </c>
      <c r="G750">
        <v>3520</v>
      </c>
      <c r="H750" s="32" t="str">
        <f ca="1">+IF(B750&gt;'sap nuevo'!$V$1,"cargar",IF(C750="","cargar","pagado"))</f>
        <v>cargar</v>
      </c>
      <c r="I750" s="32">
        <f t="shared" si="108"/>
        <v>2025</v>
      </c>
      <c r="J750" s="32">
        <f t="shared" si="109"/>
        <v>7</v>
      </c>
    </row>
    <row r="751" spans="1:10" x14ac:dyDescent="0.25">
      <c r="A751" t="s">
        <v>877</v>
      </c>
      <c r="B751" t="s">
        <v>192</v>
      </c>
      <c r="C751">
        <v>1584</v>
      </c>
      <c r="D751">
        <v>9999</v>
      </c>
      <c r="E751" s="4">
        <v>-6753755.9000000004</v>
      </c>
      <c r="F751" t="s">
        <v>1265</v>
      </c>
      <c r="G751">
        <v>1385</v>
      </c>
      <c r="H751" s="32" t="str">
        <f ca="1">+IF(B751&gt;'sap nuevo'!$V$1,"cargar",IF(C751="","cargar","pagado"))</f>
        <v>cargar</v>
      </c>
      <c r="I751" s="32">
        <f t="shared" si="108"/>
        <v>2025</v>
      </c>
      <c r="J751" s="32">
        <f t="shared" si="109"/>
        <v>7</v>
      </c>
    </row>
    <row r="752" spans="1:10" x14ac:dyDescent="0.25">
      <c r="A752" t="s">
        <v>877</v>
      </c>
      <c r="B752" t="s">
        <v>192</v>
      </c>
      <c r="C752">
        <v>1583</v>
      </c>
      <c r="D752">
        <v>9999</v>
      </c>
      <c r="E752" s="4">
        <v>-6710848.5599999996</v>
      </c>
      <c r="F752" t="s">
        <v>1266</v>
      </c>
      <c r="G752">
        <v>1385</v>
      </c>
      <c r="H752" s="32" t="str">
        <f ca="1">+IF(B752&gt;'sap nuevo'!$V$1,"cargar",IF(C752="","cargar","pagado"))</f>
        <v>cargar</v>
      </c>
      <c r="I752" s="32">
        <f t="shared" si="108"/>
        <v>2025</v>
      </c>
      <c r="J752" s="32">
        <f t="shared" si="109"/>
        <v>7</v>
      </c>
    </row>
    <row r="753" spans="1:10" x14ac:dyDescent="0.25">
      <c r="A753" t="s">
        <v>877</v>
      </c>
      <c r="B753" t="s">
        <v>192</v>
      </c>
      <c r="C753">
        <v>1540</v>
      </c>
      <c r="D753">
        <v>9999</v>
      </c>
      <c r="E753" s="4">
        <v>-5020319.4000000004</v>
      </c>
      <c r="F753" t="s">
        <v>1267</v>
      </c>
      <c r="G753">
        <v>1385</v>
      </c>
      <c r="H753" s="32" t="str">
        <f ca="1">+IF(B753&gt;'sap nuevo'!$V$1,"cargar",IF(C753="","cargar","pagado"))</f>
        <v>cargar</v>
      </c>
      <c r="I753" s="32">
        <f t="shared" si="108"/>
        <v>2025</v>
      </c>
      <c r="J753" s="32">
        <f t="shared" si="109"/>
        <v>7</v>
      </c>
    </row>
    <row r="754" spans="1:10" x14ac:dyDescent="0.25">
      <c r="A754" t="s">
        <v>877</v>
      </c>
      <c r="B754" t="s">
        <v>192</v>
      </c>
      <c r="C754">
        <v>1585</v>
      </c>
      <c r="D754">
        <v>9999</v>
      </c>
      <c r="E754" s="4">
        <v>-4831229.0199999996</v>
      </c>
      <c r="F754" t="s">
        <v>1268</v>
      </c>
      <c r="G754">
        <v>1385</v>
      </c>
      <c r="H754" s="32" t="str">
        <f ca="1">+IF(B754&gt;'sap nuevo'!$V$1,"cargar",IF(C754="","cargar","pagado"))</f>
        <v>cargar</v>
      </c>
      <c r="I754" s="32">
        <f t="shared" si="108"/>
        <v>2025</v>
      </c>
      <c r="J754" s="32">
        <f t="shared" si="109"/>
        <v>7</v>
      </c>
    </row>
    <row r="755" spans="1:10" x14ac:dyDescent="0.25">
      <c r="A755" t="s">
        <v>877</v>
      </c>
      <c r="B755" t="s">
        <v>192</v>
      </c>
      <c r="C755">
        <v>1591</v>
      </c>
      <c r="D755">
        <v>9999</v>
      </c>
      <c r="E755" s="4">
        <v>-4260111.08</v>
      </c>
      <c r="F755" t="s">
        <v>1269</v>
      </c>
      <c r="G755">
        <v>1385</v>
      </c>
      <c r="H755" s="32" t="str">
        <f ca="1">+IF(B755&gt;'sap nuevo'!$V$1,"cargar",IF(C755="","cargar","pagado"))</f>
        <v>cargar</v>
      </c>
      <c r="I755" s="32">
        <f t="shared" si="108"/>
        <v>2025</v>
      </c>
      <c r="J755" s="32">
        <f t="shared" si="109"/>
        <v>7</v>
      </c>
    </row>
    <row r="756" spans="1:10" x14ac:dyDescent="0.25">
      <c r="A756" t="s">
        <v>877</v>
      </c>
      <c r="B756" t="s">
        <v>192</v>
      </c>
      <c r="C756">
        <v>1462</v>
      </c>
      <c r="D756">
        <v>9999</v>
      </c>
      <c r="E756" s="4">
        <v>-1912648.4</v>
      </c>
      <c r="F756" t="s">
        <v>1270</v>
      </c>
      <c r="G756">
        <v>1385</v>
      </c>
      <c r="H756" s="32" t="str">
        <f ca="1">+IF(B756&gt;'sap nuevo'!$V$1,"cargar",IF(C756="","cargar","pagado"))</f>
        <v>cargar</v>
      </c>
      <c r="I756" s="32">
        <f t="shared" si="108"/>
        <v>2025</v>
      </c>
      <c r="J756" s="32">
        <f t="shared" si="109"/>
        <v>7</v>
      </c>
    </row>
    <row r="757" spans="1:10" x14ac:dyDescent="0.25">
      <c r="A757" t="s">
        <v>877</v>
      </c>
      <c r="B757" t="s">
        <v>193</v>
      </c>
      <c r="C757">
        <v>1502</v>
      </c>
      <c r="D757">
        <v>9999</v>
      </c>
      <c r="E757" s="4">
        <v>-9020002.0299999993</v>
      </c>
      <c r="F757" t="s">
        <v>1271</v>
      </c>
      <c r="G757">
        <v>1385</v>
      </c>
      <c r="H757" s="32" t="str">
        <f ca="1">+IF(B757&gt;'sap nuevo'!$V$1,"cargar",IF(C757="","cargar","pagado"))</f>
        <v>cargar</v>
      </c>
      <c r="I757" s="32">
        <f t="shared" si="108"/>
        <v>2025</v>
      </c>
      <c r="J757" s="32">
        <f t="shared" si="109"/>
        <v>7</v>
      </c>
    </row>
    <row r="758" spans="1:10" x14ac:dyDescent="0.25">
      <c r="A758" t="s">
        <v>877</v>
      </c>
      <c r="B758" t="s">
        <v>193</v>
      </c>
      <c r="C758">
        <v>1592</v>
      </c>
      <c r="D758">
        <v>9999</v>
      </c>
      <c r="E758" s="4">
        <v>-8466031.1600000001</v>
      </c>
      <c r="F758" t="s">
        <v>1272</v>
      </c>
      <c r="G758">
        <v>1385</v>
      </c>
      <c r="H758" s="32" t="str">
        <f ca="1">+IF(B758&gt;'sap nuevo'!$V$1,"cargar",IF(C758="","cargar","pagado"))</f>
        <v>cargar</v>
      </c>
      <c r="I758" s="32">
        <f t="shared" si="108"/>
        <v>2025</v>
      </c>
      <c r="J758" s="32">
        <f t="shared" si="109"/>
        <v>7</v>
      </c>
    </row>
    <row r="759" spans="1:10" x14ac:dyDescent="0.25">
      <c r="A759" t="s">
        <v>877</v>
      </c>
      <c r="B759" t="s">
        <v>193</v>
      </c>
      <c r="C759">
        <v>1594</v>
      </c>
      <c r="D759">
        <v>9999</v>
      </c>
      <c r="E759" s="4">
        <v>-7000000</v>
      </c>
      <c r="F759" t="s">
        <v>1273</v>
      </c>
      <c r="G759">
        <v>1385</v>
      </c>
      <c r="H759" s="32" t="str">
        <f ca="1">+IF(B759&gt;'sap nuevo'!$V$1,"cargar",IF(C759="","cargar","pagado"))</f>
        <v>cargar</v>
      </c>
      <c r="I759" s="32">
        <f t="shared" si="108"/>
        <v>2025</v>
      </c>
      <c r="J759" s="32">
        <f t="shared" si="109"/>
        <v>7</v>
      </c>
    </row>
    <row r="760" spans="1:10" x14ac:dyDescent="0.25">
      <c r="A760" t="s">
        <v>873</v>
      </c>
      <c r="B760" s="23" t="s">
        <v>194</v>
      </c>
      <c r="C760">
        <v>1602</v>
      </c>
      <c r="D760">
        <v>9999</v>
      </c>
      <c r="E760" s="4">
        <v>-13488459.039999999</v>
      </c>
      <c r="F760" t="s">
        <v>1274</v>
      </c>
      <c r="G760">
        <v>3520</v>
      </c>
      <c r="H760" s="32" t="str">
        <f ca="1">+IF(B760&gt;'sap nuevo'!$V$1,"cargar",IF(C760="","cargar","pagado"))</f>
        <v>cargar</v>
      </c>
      <c r="I760" s="32">
        <f t="shared" ref="I760:I773" si="110">+YEAR(B760)</f>
        <v>2025</v>
      </c>
      <c r="J760" s="32">
        <f t="shared" ref="J760:J773" si="111">+MONTH(B760)</f>
        <v>7</v>
      </c>
    </row>
    <row r="761" spans="1:10" x14ac:dyDescent="0.25">
      <c r="A761" t="s">
        <v>873</v>
      </c>
      <c r="B761" s="23" t="s">
        <v>194</v>
      </c>
      <c r="C761">
        <v>1576</v>
      </c>
      <c r="D761">
        <v>9999</v>
      </c>
      <c r="E761" s="4">
        <v>-10000000</v>
      </c>
      <c r="F761" t="s">
        <v>1275</v>
      </c>
      <c r="G761">
        <v>3520</v>
      </c>
      <c r="H761" s="32" t="str">
        <f ca="1">+IF(B761&gt;'sap nuevo'!$V$1,"cargar",IF(C761="","cargar","pagado"))</f>
        <v>cargar</v>
      </c>
      <c r="I761" s="32">
        <f t="shared" si="110"/>
        <v>2025</v>
      </c>
      <c r="J761" s="32">
        <f t="shared" si="111"/>
        <v>7</v>
      </c>
    </row>
    <row r="762" spans="1:10" x14ac:dyDescent="0.25">
      <c r="A762" t="s">
        <v>877</v>
      </c>
      <c r="B762" s="23" t="s">
        <v>194</v>
      </c>
      <c r="C762">
        <v>1597</v>
      </c>
      <c r="D762">
        <v>9999</v>
      </c>
      <c r="E762" s="4">
        <v>-30000000</v>
      </c>
      <c r="F762" t="s">
        <v>1276</v>
      </c>
      <c r="G762">
        <v>1385</v>
      </c>
      <c r="H762" s="32" t="str">
        <f ca="1">+IF(B762&gt;'sap nuevo'!$V$1,"cargar",IF(C762="","cargar","pagado"))</f>
        <v>cargar</v>
      </c>
      <c r="I762" s="32">
        <f t="shared" si="110"/>
        <v>2025</v>
      </c>
      <c r="J762" s="32">
        <f t="shared" si="111"/>
        <v>7</v>
      </c>
    </row>
    <row r="763" spans="1:10" x14ac:dyDescent="0.25">
      <c r="A763" t="s">
        <v>877</v>
      </c>
      <c r="B763" s="23" t="s">
        <v>194</v>
      </c>
      <c r="C763">
        <v>1536</v>
      </c>
      <c r="D763">
        <v>9999</v>
      </c>
      <c r="E763" s="4">
        <v>-14723343.4</v>
      </c>
      <c r="F763" t="s">
        <v>1277</v>
      </c>
      <c r="G763">
        <v>1385</v>
      </c>
      <c r="H763" s="32" t="str">
        <f ca="1">+IF(B763&gt;'sap nuevo'!$V$1,"cargar",IF(C763="","cargar","pagado"))</f>
        <v>cargar</v>
      </c>
      <c r="I763" s="32">
        <f t="shared" si="110"/>
        <v>2025</v>
      </c>
      <c r="J763" s="32">
        <f t="shared" si="111"/>
        <v>7</v>
      </c>
    </row>
    <row r="764" spans="1:10" x14ac:dyDescent="0.25">
      <c r="A764" t="s">
        <v>877</v>
      </c>
      <c r="B764" s="23" t="s">
        <v>194</v>
      </c>
      <c r="C764">
        <v>1606</v>
      </c>
      <c r="D764">
        <v>9999</v>
      </c>
      <c r="E764" s="4">
        <v>-12489750</v>
      </c>
      <c r="F764" t="s">
        <v>1278</v>
      </c>
      <c r="G764">
        <v>1385</v>
      </c>
      <c r="H764" s="32" t="str">
        <f ca="1">+IF(B764&gt;'sap nuevo'!$V$1,"cargar",IF(C764="","cargar","pagado"))</f>
        <v>cargar</v>
      </c>
      <c r="I764" s="32">
        <f t="shared" si="110"/>
        <v>2025</v>
      </c>
      <c r="J764" s="32">
        <f t="shared" si="111"/>
        <v>7</v>
      </c>
    </row>
    <row r="765" spans="1:10" x14ac:dyDescent="0.25">
      <c r="A765" t="s">
        <v>877</v>
      </c>
      <c r="B765" s="23" t="s">
        <v>194</v>
      </c>
      <c r="C765">
        <v>1596</v>
      </c>
      <c r="D765">
        <v>9999</v>
      </c>
      <c r="E765" s="4">
        <v>-10261641.91</v>
      </c>
      <c r="F765" t="s">
        <v>1279</v>
      </c>
      <c r="G765">
        <v>1385</v>
      </c>
      <c r="H765" s="32" t="str">
        <f ca="1">+IF(B765&gt;'sap nuevo'!$V$1,"cargar",IF(C765="","cargar","pagado"))</f>
        <v>cargar</v>
      </c>
      <c r="I765" s="32">
        <f t="shared" si="110"/>
        <v>2025</v>
      </c>
      <c r="J765" s="32">
        <f t="shared" si="111"/>
        <v>7</v>
      </c>
    </row>
    <row r="766" spans="1:10" x14ac:dyDescent="0.25">
      <c r="A766" t="s">
        <v>877</v>
      </c>
      <c r="B766" s="23" t="s">
        <v>194</v>
      </c>
      <c r="C766">
        <v>1607</v>
      </c>
      <c r="D766">
        <v>9999</v>
      </c>
      <c r="E766" s="4">
        <v>-6983753.46</v>
      </c>
      <c r="F766" t="s">
        <v>1280</v>
      </c>
      <c r="G766">
        <v>1385</v>
      </c>
      <c r="H766" s="32" t="str">
        <f ca="1">+IF(B766&gt;'sap nuevo'!$V$1,"cargar",IF(C766="","cargar","pagado"))</f>
        <v>cargar</v>
      </c>
      <c r="I766" s="32">
        <f t="shared" si="110"/>
        <v>2025</v>
      </c>
      <c r="J766" s="32">
        <f t="shared" si="111"/>
        <v>7</v>
      </c>
    </row>
    <row r="767" spans="1:10" x14ac:dyDescent="0.25">
      <c r="A767" t="s">
        <v>873</v>
      </c>
      <c r="B767" t="s">
        <v>195</v>
      </c>
      <c r="C767">
        <v>1612</v>
      </c>
      <c r="D767">
        <v>9999</v>
      </c>
      <c r="E767" s="4">
        <v>-12492016.390000001</v>
      </c>
      <c r="F767" t="s">
        <v>1281</v>
      </c>
      <c r="G767">
        <v>3520</v>
      </c>
      <c r="H767" s="32" t="str">
        <f ca="1">+IF(B767&gt;'sap nuevo'!$V$1,"cargar",IF(C767="","cargar","pagado"))</f>
        <v>cargar</v>
      </c>
      <c r="I767" s="32">
        <f t="shared" si="110"/>
        <v>2025</v>
      </c>
      <c r="J767" s="32">
        <f t="shared" si="111"/>
        <v>7</v>
      </c>
    </row>
    <row r="768" spans="1:10" x14ac:dyDescent="0.25">
      <c r="A768" t="s">
        <v>873</v>
      </c>
      <c r="B768" t="s">
        <v>195</v>
      </c>
      <c r="C768">
        <v>1610</v>
      </c>
      <c r="D768">
        <v>9999</v>
      </c>
      <c r="E768" s="4">
        <v>-10000000</v>
      </c>
      <c r="F768" t="s">
        <v>1282</v>
      </c>
      <c r="G768">
        <v>3520</v>
      </c>
      <c r="H768" s="32" t="str">
        <f ca="1">+IF(B768&gt;'sap nuevo'!$V$1,"cargar",IF(C768="","cargar","pagado"))</f>
        <v>cargar</v>
      </c>
      <c r="I768" s="32">
        <f t="shared" si="110"/>
        <v>2025</v>
      </c>
      <c r="J768" s="32">
        <f t="shared" si="111"/>
        <v>7</v>
      </c>
    </row>
    <row r="769" spans="1:10" x14ac:dyDescent="0.25">
      <c r="A769" t="s">
        <v>873</v>
      </c>
      <c r="B769" t="s">
        <v>195</v>
      </c>
      <c r="C769">
        <v>1477</v>
      </c>
      <c r="D769">
        <v>9999</v>
      </c>
      <c r="E769" s="4">
        <v>-6263730.8300000001</v>
      </c>
      <c r="F769" t="s">
        <v>1283</v>
      </c>
      <c r="G769">
        <v>3520</v>
      </c>
      <c r="H769" s="32" t="str">
        <f ca="1">+IF(B769&gt;'sap nuevo'!$V$1,"cargar",IF(C769="","cargar","pagado"))</f>
        <v>cargar</v>
      </c>
      <c r="I769" s="32">
        <f t="shared" si="110"/>
        <v>2025</v>
      </c>
      <c r="J769" s="32">
        <f t="shared" si="111"/>
        <v>7</v>
      </c>
    </row>
    <row r="770" spans="1:10" x14ac:dyDescent="0.25">
      <c r="A770" t="s">
        <v>873</v>
      </c>
      <c r="B770" t="s">
        <v>195</v>
      </c>
      <c r="C770">
        <v>1617</v>
      </c>
      <c r="D770">
        <v>9999</v>
      </c>
      <c r="E770" s="4">
        <v>-5801867.54</v>
      </c>
      <c r="F770" t="s">
        <v>1284</v>
      </c>
      <c r="G770">
        <v>3520</v>
      </c>
      <c r="H770" s="32" t="str">
        <f ca="1">+IF(B770&gt;'sap nuevo'!$V$1,"cargar",IF(C770="","cargar","pagado"))</f>
        <v>cargar</v>
      </c>
      <c r="I770" s="32">
        <f t="shared" si="110"/>
        <v>2025</v>
      </c>
      <c r="J770" s="32">
        <f t="shared" si="111"/>
        <v>7</v>
      </c>
    </row>
    <row r="771" spans="1:10" x14ac:dyDescent="0.25">
      <c r="A771" t="s">
        <v>873</v>
      </c>
      <c r="B771" t="s">
        <v>195</v>
      </c>
      <c r="C771">
        <v>1626</v>
      </c>
      <c r="D771">
        <v>9999</v>
      </c>
      <c r="E771" s="4">
        <v>-4521811.55</v>
      </c>
      <c r="F771" t="s">
        <v>1285</v>
      </c>
      <c r="G771">
        <v>3520</v>
      </c>
      <c r="H771" s="32" t="str">
        <f ca="1">+IF(B771&gt;'sap nuevo'!$V$1,"cargar",IF(C771="","cargar","pagado"))</f>
        <v>cargar</v>
      </c>
      <c r="I771" s="32">
        <f t="shared" si="110"/>
        <v>2025</v>
      </c>
      <c r="J771" s="32">
        <f t="shared" si="111"/>
        <v>7</v>
      </c>
    </row>
    <row r="772" spans="1:10" x14ac:dyDescent="0.25">
      <c r="A772" t="s">
        <v>873</v>
      </c>
      <c r="B772" t="s">
        <v>195</v>
      </c>
      <c r="C772">
        <v>1459</v>
      </c>
      <c r="D772">
        <v>9999</v>
      </c>
      <c r="E772" s="4">
        <v>-1117822.3400000001</v>
      </c>
      <c r="F772" t="s">
        <v>1286</v>
      </c>
      <c r="G772">
        <v>3520</v>
      </c>
      <c r="H772" s="32" t="str">
        <f ca="1">+IF(B772&gt;'sap nuevo'!$V$1,"cargar",IF(C772="","cargar","pagado"))</f>
        <v>cargar</v>
      </c>
      <c r="I772" s="32">
        <f t="shared" si="110"/>
        <v>2025</v>
      </c>
      <c r="J772" s="32">
        <f t="shared" si="111"/>
        <v>7</v>
      </c>
    </row>
    <row r="773" spans="1:10" x14ac:dyDescent="0.25">
      <c r="A773" t="s">
        <v>877</v>
      </c>
      <c r="B773" t="s">
        <v>195</v>
      </c>
      <c r="C773">
        <v>1615</v>
      </c>
      <c r="D773">
        <v>9999</v>
      </c>
      <c r="E773" s="4">
        <v>-25000000</v>
      </c>
      <c r="F773" t="s">
        <v>1287</v>
      </c>
      <c r="G773">
        <v>1385</v>
      </c>
      <c r="H773" s="32" t="str">
        <f ca="1">+IF(B773&gt;'sap nuevo'!$V$1,"cargar",IF(C773="","cargar","pagado"))</f>
        <v>cargar</v>
      </c>
      <c r="I773" s="32">
        <f t="shared" si="110"/>
        <v>2025</v>
      </c>
      <c r="J773" s="32">
        <f t="shared" si="111"/>
        <v>7</v>
      </c>
    </row>
    <row r="774" spans="1:10" x14ac:dyDescent="0.25">
      <c r="A774" t="s">
        <v>877</v>
      </c>
      <c r="B774" t="s">
        <v>195</v>
      </c>
      <c r="C774">
        <v>1598</v>
      </c>
      <c r="D774">
        <v>9999</v>
      </c>
      <c r="E774" s="4">
        <v>-22220964.949999999</v>
      </c>
      <c r="F774" t="s">
        <v>1288</v>
      </c>
      <c r="G774">
        <v>1385</v>
      </c>
      <c r="H774" s="32" t="str">
        <f ca="1">+IF(B774&gt;'sap nuevo'!$V$1,"cargar",IF(C774="","cargar","pagado"))</f>
        <v>cargar</v>
      </c>
      <c r="I774" s="32">
        <f t="shared" ref="I774:I817" si="112">+YEAR(B774)</f>
        <v>2025</v>
      </c>
      <c r="J774" s="32">
        <f t="shared" ref="J774:J817" si="113">+MONTH(B774)</f>
        <v>7</v>
      </c>
    </row>
    <row r="775" spans="1:10" x14ac:dyDescent="0.25">
      <c r="A775" t="s">
        <v>873</v>
      </c>
      <c r="B775" t="s">
        <v>196</v>
      </c>
      <c r="C775">
        <v>1599</v>
      </c>
      <c r="D775">
        <v>9999</v>
      </c>
      <c r="E775" s="4">
        <v>-13699381.84</v>
      </c>
      <c r="F775" t="s">
        <v>1289</v>
      </c>
      <c r="G775">
        <v>3520</v>
      </c>
      <c r="H775" s="32" t="str">
        <f ca="1">+IF(B775&gt;'sap nuevo'!$V$1,"cargar",IF(C775="","cargar","pagado"))</f>
        <v>cargar</v>
      </c>
      <c r="I775" s="32">
        <f t="shared" si="112"/>
        <v>2025</v>
      </c>
      <c r="J775" s="32">
        <f t="shared" si="113"/>
        <v>7</v>
      </c>
    </row>
    <row r="776" spans="1:10" x14ac:dyDescent="0.25">
      <c r="A776" t="s">
        <v>877</v>
      </c>
      <c r="B776" t="s">
        <v>195</v>
      </c>
      <c r="C776">
        <v>1624</v>
      </c>
      <c r="D776">
        <v>9999</v>
      </c>
      <c r="E776" s="4">
        <v>-10000000</v>
      </c>
      <c r="F776" t="s">
        <v>1290</v>
      </c>
      <c r="G776">
        <v>1385</v>
      </c>
      <c r="H776" s="32" t="str">
        <f ca="1">+IF(B776&gt;'sap nuevo'!$V$1,"cargar",IF(C776="","cargar","pagado"))</f>
        <v>cargar</v>
      </c>
      <c r="I776" s="32">
        <f t="shared" si="112"/>
        <v>2025</v>
      </c>
      <c r="J776" s="32">
        <f t="shared" si="113"/>
        <v>7</v>
      </c>
    </row>
    <row r="777" spans="1:10" x14ac:dyDescent="0.25">
      <c r="A777" t="s">
        <v>877</v>
      </c>
      <c r="B777" t="s">
        <v>195</v>
      </c>
      <c r="C777">
        <v>1620</v>
      </c>
      <c r="D777">
        <v>9999</v>
      </c>
      <c r="E777" s="4">
        <v>-10000000</v>
      </c>
      <c r="F777" t="s">
        <v>1291</v>
      </c>
      <c r="G777">
        <v>1385</v>
      </c>
      <c r="H777" s="32" t="str">
        <f ca="1">+IF(B777&gt;'sap nuevo'!$V$1,"cargar",IF(C777="","cargar","pagado"))</f>
        <v>cargar</v>
      </c>
      <c r="I777" s="32">
        <f t="shared" si="112"/>
        <v>2025</v>
      </c>
      <c r="J777" s="32">
        <f t="shared" si="113"/>
        <v>7</v>
      </c>
    </row>
    <row r="778" spans="1:10" x14ac:dyDescent="0.25">
      <c r="A778" t="s">
        <v>873</v>
      </c>
      <c r="B778" t="s">
        <v>196</v>
      </c>
      <c r="C778">
        <v>1611</v>
      </c>
      <c r="D778">
        <v>9999</v>
      </c>
      <c r="E778" s="4">
        <v>-8034755</v>
      </c>
      <c r="F778" t="s">
        <v>1292</v>
      </c>
      <c r="G778">
        <v>3520</v>
      </c>
      <c r="H778" s="32" t="str">
        <f ca="1">+IF(B778&gt;'sap nuevo'!$V$1,"cargar",IF(C778="","cargar","pagado"))</f>
        <v>cargar</v>
      </c>
      <c r="I778" s="32">
        <f t="shared" si="112"/>
        <v>2025</v>
      </c>
      <c r="J778" s="32">
        <f t="shared" si="113"/>
        <v>7</v>
      </c>
    </row>
    <row r="779" spans="1:10" x14ac:dyDescent="0.25">
      <c r="A779" t="s">
        <v>877</v>
      </c>
      <c r="B779" t="s">
        <v>195</v>
      </c>
      <c r="C779">
        <v>1627</v>
      </c>
      <c r="D779">
        <v>9999</v>
      </c>
      <c r="E779" s="4">
        <v>-7632102.7000000002</v>
      </c>
      <c r="F779" t="s">
        <v>1293</v>
      </c>
      <c r="G779">
        <v>1385</v>
      </c>
      <c r="H779" s="32" t="str">
        <f ca="1">+IF(B779&gt;'sap nuevo'!$V$1,"cargar",IF(C779="","cargar","pagado"))</f>
        <v>cargar</v>
      </c>
      <c r="I779" s="32">
        <f t="shared" si="112"/>
        <v>2025</v>
      </c>
      <c r="J779" s="32">
        <f t="shared" si="113"/>
        <v>7</v>
      </c>
    </row>
    <row r="780" spans="1:10" x14ac:dyDescent="0.25">
      <c r="A780" t="s">
        <v>877</v>
      </c>
      <c r="B780" t="s">
        <v>195</v>
      </c>
      <c r="C780">
        <v>1619</v>
      </c>
      <c r="D780">
        <v>9999</v>
      </c>
      <c r="E780" s="4">
        <v>-5061103.07</v>
      </c>
      <c r="F780" t="s">
        <v>1294</v>
      </c>
      <c r="G780">
        <v>1385</v>
      </c>
      <c r="H780" s="32" t="str">
        <f ca="1">+IF(B780&gt;'sap nuevo'!$V$1,"cargar",IF(C780="","cargar","pagado"))</f>
        <v>cargar</v>
      </c>
      <c r="I780" s="32">
        <f t="shared" si="112"/>
        <v>2025</v>
      </c>
      <c r="J780" s="32">
        <f t="shared" si="113"/>
        <v>7</v>
      </c>
    </row>
    <row r="781" spans="1:10" x14ac:dyDescent="0.25">
      <c r="A781" t="s">
        <v>877</v>
      </c>
      <c r="B781" t="s">
        <v>195</v>
      </c>
      <c r="C781">
        <v>1618</v>
      </c>
      <c r="D781">
        <v>9999</v>
      </c>
      <c r="E781" s="4">
        <v>-4491060.1900000004</v>
      </c>
      <c r="F781" t="s">
        <v>1295</v>
      </c>
      <c r="G781">
        <v>1385</v>
      </c>
      <c r="H781" s="32" t="str">
        <f ca="1">+IF(B781&gt;'sap nuevo'!$V$1,"cargar",IF(C781="","cargar","pagado"))</f>
        <v>cargar</v>
      </c>
      <c r="I781" s="32">
        <f t="shared" si="112"/>
        <v>2025</v>
      </c>
      <c r="J781" s="32">
        <f t="shared" si="113"/>
        <v>7</v>
      </c>
    </row>
    <row r="782" spans="1:10" x14ac:dyDescent="0.25">
      <c r="A782" t="s">
        <v>877</v>
      </c>
      <c r="B782" t="s">
        <v>195</v>
      </c>
      <c r="C782">
        <v>1601</v>
      </c>
      <c r="D782">
        <v>9999</v>
      </c>
      <c r="E782" s="4">
        <v>-4353141.97</v>
      </c>
      <c r="F782" t="s">
        <v>1296</v>
      </c>
      <c r="G782">
        <v>1385</v>
      </c>
      <c r="H782" s="32" t="str">
        <f ca="1">+IF(B782&gt;'sap nuevo'!$V$1,"cargar",IF(C782="","cargar","pagado"))</f>
        <v>cargar</v>
      </c>
      <c r="I782" s="32">
        <f t="shared" si="112"/>
        <v>2025</v>
      </c>
      <c r="J782" s="32">
        <f t="shared" si="113"/>
        <v>7</v>
      </c>
    </row>
    <row r="783" spans="1:10" x14ac:dyDescent="0.25">
      <c r="A783" t="s">
        <v>877</v>
      </c>
      <c r="B783" t="s">
        <v>196</v>
      </c>
      <c r="C783">
        <v>1616</v>
      </c>
      <c r="D783">
        <v>9999</v>
      </c>
      <c r="E783" s="4">
        <v>-21218891.469999999</v>
      </c>
      <c r="F783" t="s">
        <v>1297</v>
      </c>
      <c r="G783">
        <v>1385</v>
      </c>
      <c r="H783" s="32" t="str">
        <f ca="1">+IF(B783&gt;'sap nuevo'!$V$1,"cargar",IF(C783="","cargar","pagado"))</f>
        <v>cargar</v>
      </c>
      <c r="I783" s="32">
        <f t="shared" si="112"/>
        <v>2025</v>
      </c>
      <c r="J783" s="32">
        <f t="shared" si="113"/>
        <v>7</v>
      </c>
    </row>
    <row r="784" spans="1:10" x14ac:dyDescent="0.25">
      <c r="A784" t="s">
        <v>877</v>
      </c>
      <c r="B784" t="s">
        <v>196</v>
      </c>
      <c r="C784">
        <v>1623</v>
      </c>
      <c r="D784">
        <v>9999</v>
      </c>
      <c r="E784" s="4">
        <v>-10621473.99</v>
      </c>
      <c r="F784" t="s">
        <v>1298</v>
      </c>
      <c r="G784">
        <v>1385</v>
      </c>
      <c r="H784" s="32" t="str">
        <f ca="1">+IF(B784&gt;'sap nuevo'!$V$1,"cargar",IF(C784="","cargar","pagado"))</f>
        <v>cargar</v>
      </c>
      <c r="I784" s="32">
        <f t="shared" si="112"/>
        <v>2025</v>
      </c>
      <c r="J784" s="32">
        <f t="shared" si="113"/>
        <v>7</v>
      </c>
    </row>
    <row r="785" spans="1:10" x14ac:dyDescent="0.25">
      <c r="A785" t="s">
        <v>877</v>
      </c>
      <c r="B785" t="s">
        <v>196</v>
      </c>
      <c r="C785">
        <v>1600</v>
      </c>
      <c r="D785">
        <v>9999</v>
      </c>
      <c r="E785" s="4">
        <v>-7800000</v>
      </c>
      <c r="F785" t="s">
        <v>1299</v>
      </c>
      <c r="G785">
        <v>1385</v>
      </c>
      <c r="H785" s="32" t="str">
        <f ca="1">+IF(B785&gt;'sap nuevo'!$V$1,"cargar",IF(C785="","cargar","pagado"))</f>
        <v>cargar</v>
      </c>
      <c r="I785" s="32">
        <f t="shared" si="112"/>
        <v>2025</v>
      </c>
      <c r="J785" s="32">
        <f t="shared" si="113"/>
        <v>7</v>
      </c>
    </row>
    <row r="786" spans="1:10" x14ac:dyDescent="0.25">
      <c r="A786" t="s">
        <v>877</v>
      </c>
      <c r="B786" t="s">
        <v>196</v>
      </c>
      <c r="C786">
        <v>1625</v>
      </c>
      <c r="D786">
        <v>9999</v>
      </c>
      <c r="E786" s="4">
        <v>-6641609.0599999996</v>
      </c>
      <c r="F786" t="s">
        <v>1300</v>
      </c>
      <c r="G786">
        <v>1385</v>
      </c>
      <c r="H786" s="32" t="str">
        <f ca="1">+IF(B786&gt;'sap nuevo'!$V$1,"cargar",IF(C786="","cargar","pagado"))</f>
        <v>cargar</v>
      </c>
      <c r="I786" s="32">
        <f t="shared" si="112"/>
        <v>2025</v>
      </c>
      <c r="J786" s="32">
        <f t="shared" si="113"/>
        <v>7</v>
      </c>
    </row>
    <row r="787" spans="1:10" x14ac:dyDescent="0.25">
      <c r="A787" t="s">
        <v>877</v>
      </c>
      <c r="B787" t="s">
        <v>196</v>
      </c>
      <c r="C787">
        <v>1628</v>
      </c>
      <c r="D787">
        <v>9999</v>
      </c>
      <c r="E787" s="4">
        <v>-3955942.8</v>
      </c>
      <c r="F787" t="s">
        <v>1301</v>
      </c>
      <c r="G787">
        <v>1385</v>
      </c>
      <c r="H787" s="32" t="str">
        <f ca="1">+IF(B787&gt;'sap nuevo'!$V$1,"cargar",IF(C787="","cargar","pagado"))</f>
        <v>cargar</v>
      </c>
      <c r="I787" s="32">
        <f t="shared" si="112"/>
        <v>2025</v>
      </c>
      <c r="J787" s="32">
        <f t="shared" si="113"/>
        <v>7</v>
      </c>
    </row>
    <row r="788" spans="1:10" x14ac:dyDescent="0.25">
      <c r="A788" t="s">
        <v>21</v>
      </c>
      <c r="B788" t="s">
        <v>196</v>
      </c>
      <c r="C788">
        <v>40272964</v>
      </c>
      <c r="D788">
        <v>140</v>
      </c>
      <c r="E788" s="4">
        <v>-44511430</v>
      </c>
      <c r="F788" t="s">
        <v>80</v>
      </c>
      <c r="G788">
        <v>0</v>
      </c>
      <c r="H788" s="32" t="str">
        <f ca="1">+IF(B788&gt;'sap nuevo'!$V$1,"cargar",IF(C788="","cargar","pagado"))</f>
        <v>cargar</v>
      </c>
      <c r="I788" s="32">
        <f t="shared" si="112"/>
        <v>2025</v>
      </c>
      <c r="J788" s="32">
        <f t="shared" si="113"/>
        <v>7</v>
      </c>
    </row>
    <row r="789" spans="1:10" x14ac:dyDescent="0.25">
      <c r="A789" t="s">
        <v>21</v>
      </c>
      <c r="B789" t="s">
        <v>1302</v>
      </c>
      <c r="C789">
        <v>40272965</v>
      </c>
      <c r="D789">
        <v>140</v>
      </c>
      <c r="E789" s="4">
        <v>-48913640</v>
      </c>
      <c r="F789" t="s">
        <v>80</v>
      </c>
      <c r="G789">
        <v>0</v>
      </c>
      <c r="H789" s="32" t="str">
        <f ca="1">+IF(B789&gt;'sap nuevo'!$V$1,"cargar",IF(C789="","cargar","pagado"))</f>
        <v>cargar</v>
      </c>
      <c r="I789" s="32">
        <f t="shared" si="112"/>
        <v>2025</v>
      </c>
      <c r="J789" s="32">
        <f t="shared" si="113"/>
        <v>7</v>
      </c>
    </row>
    <row r="790" spans="1:10" x14ac:dyDescent="0.25">
      <c r="A790" t="s">
        <v>21</v>
      </c>
      <c r="B790" t="s">
        <v>1302</v>
      </c>
      <c r="C790">
        <v>40272963</v>
      </c>
      <c r="D790">
        <v>140</v>
      </c>
      <c r="E790" s="4">
        <v>-5113517.75</v>
      </c>
      <c r="F790" t="s">
        <v>80</v>
      </c>
      <c r="G790">
        <v>0</v>
      </c>
      <c r="H790" s="32" t="str">
        <f ca="1">+IF(B790&gt;'sap nuevo'!$V$1,"cargar",IF(C790="","cargar","pagado"))</f>
        <v>cargar</v>
      </c>
      <c r="I790" s="32">
        <f t="shared" si="112"/>
        <v>2025</v>
      </c>
      <c r="J790" s="32">
        <f t="shared" si="113"/>
        <v>7</v>
      </c>
    </row>
    <row r="791" spans="1:10" x14ac:dyDescent="0.25">
      <c r="A791" t="s">
        <v>873</v>
      </c>
      <c r="B791" t="s">
        <v>1302</v>
      </c>
      <c r="C791">
        <v>1609</v>
      </c>
      <c r="D791">
        <v>9999</v>
      </c>
      <c r="E791" s="4">
        <v>-10713128.49</v>
      </c>
      <c r="F791" t="s">
        <v>1303</v>
      </c>
      <c r="G791">
        <v>3520</v>
      </c>
      <c r="H791" s="32" t="str">
        <f ca="1">+IF(B791&gt;'sap nuevo'!$V$1,"cargar",IF(C791="","cargar","pagado"))</f>
        <v>cargar</v>
      </c>
      <c r="I791" s="32">
        <f t="shared" si="112"/>
        <v>2025</v>
      </c>
      <c r="J791" s="32">
        <f t="shared" si="113"/>
        <v>7</v>
      </c>
    </row>
    <row r="792" spans="1:10" x14ac:dyDescent="0.25">
      <c r="A792" t="s">
        <v>877</v>
      </c>
      <c r="B792" t="s">
        <v>196</v>
      </c>
      <c r="C792">
        <v>1623</v>
      </c>
      <c r="D792">
        <v>9999</v>
      </c>
      <c r="E792" s="4">
        <v>-10621473.99</v>
      </c>
      <c r="F792" t="s">
        <v>1298</v>
      </c>
      <c r="G792">
        <v>1385</v>
      </c>
      <c r="H792" s="32" t="str">
        <f ca="1">+IF(B792&gt;'sap nuevo'!$V$1,"cargar",IF(C792="","cargar","pagado"))</f>
        <v>cargar</v>
      </c>
      <c r="I792" s="32">
        <f t="shared" si="112"/>
        <v>2025</v>
      </c>
      <c r="J792" s="32">
        <f t="shared" si="113"/>
        <v>7</v>
      </c>
    </row>
    <row r="793" spans="1:10" x14ac:dyDescent="0.25">
      <c r="A793" t="s">
        <v>873</v>
      </c>
      <c r="B793" t="s">
        <v>1302</v>
      </c>
      <c r="C793">
        <v>1608</v>
      </c>
      <c r="D793">
        <v>9999</v>
      </c>
      <c r="E793" s="4">
        <v>-10000000</v>
      </c>
      <c r="F793" t="s">
        <v>1304</v>
      </c>
      <c r="G793">
        <v>3520</v>
      </c>
      <c r="H793" s="32" t="str">
        <f ca="1">+IF(B793&gt;'sap nuevo'!$V$1,"cargar",IF(C793="","cargar","pagado"))</f>
        <v>cargar</v>
      </c>
      <c r="I793" s="32">
        <f t="shared" si="112"/>
        <v>2025</v>
      </c>
      <c r="J793" s="32">
        <f t="shared" si="113"/>
        <v>7</v>
      </c>
    </row>
    <row r="794" spans="1:10" x14ac:dyDescent="0.25">
      <c r="A794" t="s">
        <v>877</v>
      </c>
      <c r="B794" t="s">
        <v>196</v>
      </c>
      <c r="C794">
        <v>1600</v>
      </c>
      <c r="D794">
        <v>9999</v>
      </c>
      <c r="E794" s="4">
        <v>-7800000</v>
      </c>
      <c r="F794" t="s">
        <v>1299</v>
      </c>
      <c r="G794">
        <v>1385</v>
      </c>
      <c r="H794" s="32" t="str">
        <f ca="1">+IF(B794&gt;'sap nuevo'!$V$1,"cargar",IF(C794="","cargar","pagado"))</f>
        <v>cargar</v>
      </c>
      <c r="I794" s="32">
        <f t="shared" si="112"/>
        <v>2025</v>
      </c>
      <c r="J794" s="32">
        <f t="shared" si="113"/>
        <v>7</v>
      </c>
    </row>
    <row r="795" spans="1:10" x14ac:dyDescent="0.25">
      <c r="A795" t="s">
        <v>877</v>
      </c>
      <c r="B795" t="s">
        <v>196</v>
      </c>
      <c r="C795">
        <v>1625</v>
      </c>
      <c r="D795">
        <v>9999</v>
      </c>
      <c r="E795" s="4">
        <v>-6641609.0599999996</v>
      </c>
      <c r="F795" t="s">
        <v>1300</v>
      </c>
      <c r="G795">
        <v>1385</v>
      </c>
      <c r="H795" s="32" t="str">
        <f ca="1">+IF(B795&gt;'sap nuevo'!$V$1,"cargar",IF(C795="","cargar","pagado"))</f>
        <v>cargar</v>
      </c>
      <c r="I795" s="32">
        <f t="shared" si="112"/>
        <v>2025</v>
      </c>
      <c r="J795" s="32">
        <f t="shared" si="113"/>
        <v>7</v>
      </c>
    </row>
    <row r="796" spans="1:10" x14ac:dyDescent="0.25">
      <c r="A796" t="s">
        <v>877</v>
      </c>
      <c r="B796" t="s">
        <v>196</v>
      </c>
      <c r="C796">
        <v>1628</v>
      </c>
      <c r="D796">
        <v>9999</v>
      </c>
      <c r="E796" s="4">
        <v>-3955942.8</v>
      </c>
      <c r="F796" t="s">
        <v>1301</v>
      </c>
      <c r="G796">
        <v>1385</v>
      </c>
      <c r="H796" s="32" t="str">
        <f ca="1">+IF(B796&gt;'sap nuevo'!$V$1,"cargar",IF(C796="","cargar","pagado"))</f>
        <v>cargar</v>
      </c>
      <c r="I796" s="32">
        <f t="shared" si="112"/>
        <v>2025</v>
      </c>
      <c r="J796" s="32">
        <f t="shared" si="113"/>
        <v>7</v>
      </c>
    </row>
    <row r="797" spans="1:10" x14ac:dyDescent="0.25">
      <c r="A797" t="s">
        <v>877</v>
      </c>
      <c r="B797" t="s">
        <v>1302</v>
      </c>
      <c r="C797">
        <v>1621</v>
      </c>
      <c r="D797">
        <v>9999</v>
      </c>
      <c r="E797" s="4">
        <v>-9550707.5500000007</v>
      </c>
      <c r="F797" t="s">
        <v>1305</v>
      </c>
      <c r="G797">
        <v>1385</v>
      </c>
      <c r="H797" s="32" t="str">
        <f ca="1">+IF(B797&gt;'sap nuevo'!$V$1,"cargar",IF(C797="","cargar","pagado"))</f>
        <v>cargar</v>
      </c>
      <c r="I797" s="32">
        <f t="shared" si="112"/>
        <v>2025</v>
      </c>
      <c r="J797" s="32">
        <f t="shared" si="113"/>
        <v>7</v>
      </c>
    </row>
    <row r="798" spans="1:10" x14ac:dyDescent="0.25">
      <c r="A798" t="s">
        <v>877</v>
      </c>
      <c r="B798" t="s">
        <v>1302</v>
      </c>
      <c r="C798">
        <v>1613</v>
      </c>
      <c r="D798">
        <v>9999</v>
      </c>
      <c r="E798" s="4">
        <v>-4233015.58</v>
      </c>
      <c r="F798" t="s">
        <v>1306</v>
      </c>
      <c r="G798">
        <v>1385</v>
      </c>
      <c r="H798" s="32" t="str">
        <f ca="1">+IF(B798&gt;'sap nuevo'!$V$1,"cargar",IF(C798="","cargar","pagado"))</f>
        <v>cargar</v>
      </c>
      <c r="I798" s="32">
        <f t="shared" si="112"/>
        <v>2025</v>
      </c>
      <c r="J798" s="32">
        <f t="shared" si="113"/>
        <v>7</v>
      </c>
    </row>
    <row r="799" spans="1:10" x14ac:dyDescent="0.25">
      <c r="A799" t="s">
        <v>877</v>
      </c>
      <c r="B799" t="s">
        <v>1302</v>
      </c>
      <c r="C799">
        <v>1484</v>
      </c>
      <c r="D799">
        <v>9999</v>
      </c>
      <c r="E799" s="4">
        <v>-3415405.07</v>
      </c>
      <c r="F799" t="s">
        <v>1307</v>
      </c>
      <c r="G799">
        <v>1385</v>
      </c>
      <c r="H799" s="32" t="str">
        <f ca="1">+IF(B799&gt;'sap nuevo'!$V$1,"cargar",IF(C799="","cargar","pagado"))</f>
        <v>cargar</v>
      </c>
      <c r="I799" s="32">
        <f t="shared" si="112"/>
        <v>2025</v>
      </c>
      <c r="J799" s="32">
        <f t="shared" si="113"/>
        <v>7</v>
      </c>
    </row>
    <row r="800" spans="1:10" x14ac:dyDescent="0.25">
      <c r="A800" t="s">
        <v>877</v>
      </c>
      <c r="B800" t="s">
        <v>1308</v>
      </c>
      <c r="C800">
        <v>1603</v>
      </c>
      <c r="D800">
        <v>9999</v>
      </c>
      <c r="E800" s="4">
        <v>-6569181.9100000001</v>
      </c>
      <c r="F800" t="s">
        <v>1309</v>
      </c>
      <c r="G800">
        <v>1385</v>
      </c>
      <c r="H800" s="32" t="str">
        <f ca="1">+IF(B800&gt;'sap nuevo'!$V$1,"cargar",IF(C800="","cargar","pagado"))</f>
        <v>cargar</v>
      </c>
      <c r="I800" s="32">
        <f t="shared" si="112"/>
        <v>2025</v>
      </c>
      <c r="J800" s="32">
        <f t="shared" si="113"/>
        <v>7</v>
      </c>
    </row>
    <row r="801" spans="1:10" x14ac:dyDescent="0.25">
      <c r="A801" t="s">
        <v>21</v>
      </c>
      <c r="B801" t="s">
        <v>197</v>
      </c>
      <c r="C801">
        <v>91002436</v>
      </c>
      <c r="D801">
        <v>140</v>
      </c>
      <c r="E801" s="4">
        <v>-25000000</v>
      </c>
      <c r="F801" t="s">
        <v>80</v>
      </c>
      <c r="G801">
        <v>0</v>
      </c>
      <c r="H801" s="32" t="str">
        <f ca="1">+IF(B801&gt;'sap nuevo'!$V$1,"cargar",IF(C801="","cargar","pagado"))</f>
        <v>cargar</v>
      </c>
      <c r="I801" s="32">
        <f t="shared" si="112"/>
        <v>2025</v>
      </c>
      <c r="J801" s="32">
        <f t="shared" si="113"/>
        <v>7</v>
      </c>
    </row>
    <row r="802" spans="1:10" x14ac:dyDescent="0.25">
      <c r="A802" t="s">
        <v>21</v>
      </c>
      <c r="B802" t="s">
        <v>197</v>
      </c>
      <c r="C802">
        <v>91002432</v>
      </c>
      <c r="D802">
        <v>140</v>
      </c>
      <c r="E802" s="4">
        <v>-18435105.66</v>
      </c>
      <c r="F802" t="s">
        <v>80</v>
      </c>
      <c r="G802">
        <v>0</v>
      </c>
      <c r="H802" s="32" t="str">
        <f ca="1">+IF(B802&gt;'sap nuevo'!$V$1,"cargar",IF(C802="","cargar","pagado"))</f>
        <v>cargar</v>
      </c>
      <c r="I802" s="32">
        <f t="shared" si="112"/>
        <v>2025</v>
      </c>
      <c r="J802" s="32">
        <f t="shared" si="113"/>
        <v>7</v>
      </c>
    </row>
    <row r="803" spans="1:10" x14ac:dyDescent="0.25">
      <c r="A803" t="s">
        <v>21</v>
      </c>
      <c r="B803" t="s">
        <v>197</v>
      </c>
      <c r="C803">
        <v>91002425</v>
      </c>
      <c r="D803">
        <v>140</v>
      </c>
      <c r="E803" s="4">
        <v>-15115990.58</v>
      </c>
      <c r="F803" t="s">
        <v>80</v>
      </c>
      <c r="G803">
        <v>0</v>
      </c>
      <c r="H803" s="32" t="str">
        <f ca="1">+IF(B803&gt;'sap nuevo'!$V$1,"cargar",IF(C803="","cargar","pagado"))</f>
        <v>cargar</v>
      </c>
      <c r="I803" s="32">
        <f t="shared" si="112"/>
        <v>2025</v>
      </c>
      <c r="J803" s="32">
        <f t="shared" si="113"/>
        <v>7</v>
      </c>
    </row>
    <row r="804" spans="1:10" x14ac:dyDescent="0.25">
      <c r="A804" t="s">
        <v>12</v>
      </c>
      <c r="B804" t="s">
        <v>197</v>
      </c>
      <c r="C804">
        <v>91002428</v>
      </c>
      <c r="D804">
        <v>140</v>
      </c>
      <c r="E804" s="4">
        <v>-13226597.09</v>
      </c>
      <c r="F804" t="s">
        <v>82</v>
      </c>
      <c r="G804">
        <v>0</v>
      </c>
      <c r="H804" s="32" t="str">
        <f ca="1">+IF(B804&gt;'sap nuevo'!$V$1,"cargar",IF(C804="","cargar","pagado"))</f>
        <v>cargar</v>
      </c>
      <c r="I804" s="32">
        <f t="shared" si="112"/>
        <v>2025</v>
      </c>
      <c r="J804" s="32">
        <f t="shared" si="113"/>
        <v>7</v>
      </c>
    </row>
    <row r="805" spans="1:10" x14ac:dyDescent="0.25">
      <c r="A805" t="s">
        <v>12</v>
      </c>
      <c r="B805" t="s">
        <v>197</v>
      </c>
      <c r="C805">
        <v>91002430</v>
      </c>
      <c r="D805">
        <v>140</v>
      </c>
      <c r="E805" s="4">
        <v>-7637657.4900000002</v>
      </c>
      <c r="F805" t="s">
        <v>82</v>
      </c>
      <c r="G805">
        <v>0</v>
      </c>
      <c r="H805" s="32" t="str">
        <f ca="1">+IF(B805&gt;'sap nuevo'!$V$1,"cargar",IF(C805="","cargar","pagado"))</f>
        <v>cargar</v>
      </c>
      <c r="I805" s="32">
        <f t="shared" si="112"/>
        <v>2025</v>
      </c>
      <c r="J805" s="32">
        <f t="shared" si="113"/>
        <v>7</v>
      </c>
    </row>
    <row r="806" spans="1:10" x14ac:dyDescent="0.25">
      <c r="A806" t="s">
        <v>12</v>
      </c>
      <c r="B806" t="s">
        <v>197</v>
      </c>
      <c r="C806">
        <v>91002435</v>
      </c>
      <c r="D806">
        <v>140</v>
      </c>
      <c r="E806" s="4">
        <v>-7196152.6200000001</v>
      </c>
      <c r="F806" t="s">
        <v>82</v>
      </c>
      <c r="G806">
        <v>0</v>
      </c>
      <c r="H806" s="32" t="str">
        <f ca="1">+IF(B806&gt;'sap nuevo'!$V$1,"cargar",IF(C806="","cargar","pagado"))</f>
        <v>cargar</v>
      </c>
      <c r="I806" s="32">
        <f t="shared" si="112"/>
        <v>2025</v>
      </c>
      <c r="J806" s="32">
        <f t="shared" si="113"/>
        <v>7</v>
      </c>
    </row>
    <row r="807" spans="1:10" x14ac:dyDescent="0.25">
      <c r="A807" t="s">
        <v>21</v>
      </c>
      <c r="B807" t="s">
        <v>197</v>
      </c>
      <c r="C807">
        <v>91002426</v>
      </c>
      <c r="D807">
        <v>140</v>
      </c>
      <c r="E807" s="4">
        <v>-5122469.21</v>
      </c>
      <c r="F807" t="s">
        <v>80</v>
      </c>
      <c r="G807">
        <v>0</v>
      </c>
      <c r="H807" s="32" t="str">
        <f ca="1">+IF(B807&gt;'sap nuevo'!$V$1,"cargar",IF(C807="","cargar","pagado"))</f>
        <v>cargar</v>
      </c>
      <c r="I807" s="32">
        <f t="shared" si="112"/>
        <v>2025</v>
      </c>
      <c r="J807" s="32">
        <f t="shared" si="113"/>
        <v>7</v>
      </c>
    </row>
    <row r="808" spans="1:10" x14ac:dyDescent="0.25">
      <c r="A808" t="s">
        <v>873</v>
      </c>
      <c r="B808" t="s">
        <v>199</v>
      </c>
      <c r="C808">
        <v>1642</v>
      </c>
      <c r="D808">
        <v>9999</v>
      </c>
      <c r="E808" s="4">
        <v>-20883015.079999998</v>
      </c>
      <c r="F808" t="s">
        <v>1310</v>
      </c>
      <c r="G808">
        <v>3520</v>
      </c>
      <c r="H808" s="32" t="str">
        <f ca="1">+IF(B808&gt;'sap nuevo'!$V$1,"cargar",IF(C808="","cargar","pagado"))</f>
        <v>cargar</v>
      </c>
      <c r="I808" s="32">
        <f t="shared" si="112"/>
        <v>2025</v>
      </c>
      <c r="J808" s="32">
        <f t="shared" si="113"/>
        <v>7</v>
      </c>
    </row>
    <row r="809" spans="1:10" x14ac:dyDescent="0.25">
      <c r="A809" t="s">
        <v>873</v>
      </c>
      <c r="B809" t="s">
        <v>199</v>
      </c>
      <c r="C809">
        <v>1495</v>
      </c>
      <c r="D809">
        <v>9999</v>
      </c>
      <c r="E809" s="4">
        <v>-8070083.9699999997</v>
      </c>
      <c r="F809" t="s">
        <v>1311</v>
      </c>
      <c r="G809">
        <v>3520</v>
      </c>
      <c r="H809" s="32" t="str">
        <f ca="1">+IF(B809&gt;'sap nuevo'!$V$1,"cargar",IF(C809="","cargar","pagado"))</f>
        <v>cargar</v>
      </c>
      <c r="I809" s="32">
        <f t="shared" si="112"/>
        <v>2025</v>
      </c>
      <c r="J809" s="32">
        <f t="shared" si="113"/>
        <v>7</v>
      </c>
    </row>
    <row r="810" spans="1:10" x14ac:dyDescent="0.25">
      <c r="A810" t="s">
        <v>877</v>
      </c>
      <c r="B810" t="s">
        <v>199</v>
      </c>
      <c r="C810">
        <v>1643</v>
      </c>
      <c r="D810">
        <v>9999</v>
      </c>
      <c r="E810" s="4">
        <v>-25000000</v>
      </c>
      <c r="F810" t="s">
        <v>1312</v>
      </c>
      <c r="G810">
        <v>1385</v>
      </c>
      <c r="H810" s="32" t="str">
        <f ca="1">+IF(B810&gt;'sap nuevo'!$V$1,"cargar",IF(C810="","cargar","pagado"))</f>
        <v>cargar</v>
      </c>
      <c r="I810" s="32">
        <f t="shared" si="112"/>
        <v>2025</v>
      </c>
      <c r="J810" s="32">
        <f t="shared" si="113"/>
        <v>7</v>
      </c>
    </row>
    <row r="811" spans="1:10" x14ac:dyDescent="0.25">
      <c r="A811" t="s">
        <v>877</v>
      </c>
      <c r="B811" t="s">
        <v>199</v>
      </c>
      <c r="C811">
        <v>1632</v>
      </c>
      <c r="D811">
        <v>9999</v>
      </c>
      <c r="E811" s="4">
        <v>-13101023.1</v>
      </c>
      <c r="F811" t="s">
        <v>1313</v>
      </c>
      <c r="G811">
        <v>1385</v>
      </c>
      <c r="H811" s="32" t="str">
        <f ca="1">+IF(B811&gt;'sap nuevo'!$V$1,"cargar",IF(C811="","cargar","pagado"))</f>
        <v>cargar</v>
      </c>
      <c r="I811" s="32">
        <f t="shared" si="112"/>
        <v>2025</v>
      </c>
      <c r="J811" s="32">
        <f t="shared" si="113"/>
        <v>7</v>
      </c>
    </row>
    <row r="812" spans="1:10" x14ac:dyDescent="0.25">
      <c r="A812" t="s">
        <v>877</v>
      </c>
      <c r="B812" t="s">
        <v>199</v>
      </c>
      <c r="C812">
        <v>1568</v>
      </c>
      <c r="D812">
        <v>9999</v>
      </c>
      <c r="E812" s="4">
        <v>-10211664</v>
      </c>
      <c r="F812" t="s">
        <v>1314</v>
      </c>
      <c r="G812">
        <v>1385</v>
      </c>
      <c r="H812" s="32" t="str">
        <f ca="1">+IF(B812&gt;'sap nuevo'!$V$1,"cargar",IF(C812="","cargar","pagado"))</f>
        <v>cargar</v>
      </c>
      <c r="I812" s="32">
        <f t="shared" si="112"/>
        <v>2025</v>
      </c>
      <c r="J812" s="32">
        <f t="shared" si="113"/>
        <v>7</v>
      </c>
    </row>
    <row r="813" spans="1:10" x14ac:dyDescent="0.25">
      <c r="A813" t="s">
        <v>877</v>
      </c>
      <c r="B813" t="s">
        <v>199</v>
      </c>
      <c r="C813">
        <v>1636</v>
      </c>
      <c r="D813">
        <v>9999</v>
      </c>
      <c r="E813" s="4">
        <v>-9394026.8300000001</v>
      </c>
      <c r="F813" t="s">
        <v>1315</v>
      </c>
      <c r="G813">
        <v>1385</v>
      </c>
      <c r="H813" s="32" t="str">
        <f ca="1">+IF(B813&gt;'sap nuevo'!$V$1,"cargar",IF(C813="","cargar","pagado"))</f>
        <v>cargar</v>
      </c>
      <c r="I813" s="32">
        <f t="shared" si="112"/>
        <v>2025</v>
      </c>
      <c r="J813" s="32">
        <f t="shared" si="113"/>
        <v>7</v>
      </c>
    </row>
    <row r="814" spans="1:10" x14ac:dyDescent="0.25">
      <c r="A814" t="s">
        <v>877</v>
      </c>
      <c r="B814" t="s">
        <v>199</v>
      </c>
      <c r="C814">
        <v>1637</v>
      </c>
      <c r="D814">
        <v>9999</v>
      </c>
      <c r="E814" s="4">
        <v>-7618149.7800000003</v>
      </c>
      <c r="F814" t="s">
        <v>1316</v>
      </c>
      <c r="G814">
        <v>1385</v>
      </c>
      <c r="H814" s="32" t="str">
        <f ca="1">+IF(B814&gt;'sap nuevo'!$V$1,"cargar",IF(C814="","cargar","pagado"))</f>
        <v>cargar</v>
      </c>
      <c r="I814" s="32">
        <f t="shared" si="112"/>
        <v>2025</v>
      </c>
      <c r="J814" s="32">
        <f t="shared" si="113"/>
        <v>7</v>
      </c>
    </row>
    <row r="815" spans="1:10" x14ac:dyDescent="0.25">
      <c r="A815" t="s">
        <v>877</v>
      </c>
      <c r="B815" t="s">
        <v>199</v>
      </c>
      <c r="C815">
        <v>1640</v>
      </c>
      <c r="D815">
        <v>9999</v>
      </c>
      <c r="E815" s="4">
        <v>-7439002.6100000003</v>
      </c>
      <c r="F815" t="s">
        <v>1317</v>
      </c>
      <c r="G815">
        <v>1385</v>
      </c>
      <c r="H815" s="32" t="str">
        <f ca="1">+IF(B815&gt;'sap nuevo'!$V$1,"cargar",IF(C815="","cargar","pagado"))</f>
        <v>cargar</v>
      </c>
      <c r="I815" s="32">
        <f t="shared" si="112"/>
        <v>2025</v>
      </c>
      <c r="J815" s="32">
        <f t="shared" si="113"/>
        <v>7</v>
      </c>
    </row>
    <row r="816" spans="1:10" x14ac:dyDescent="0.25">
      <c r="A816" t="s">
        <v>877</v>
      </c>
      <c r="B816" t="s">
        <v>199</v>
      </c>
      <c r="C816">
        <v>1630</v>
      </c>
      <c r="D816">
        <v>9999</v>
      </c>
      <c r="E816" s="4">
        <v>-7012480.2999999998</v>
      </c>
      <c r="F816" t="s">
        <v>1318</v>
      </c>
      <c r="G816">
        <v>1385</v>
      </c>
      <c r="H816" s="32" t="str">
        <f ca="1">+IF(B816&gt;'sap nuevo'!$V$1,"cargar",IF(C816="","cargar","pagado"))</f>
        <v>cargar</v>
      </c>
      <c r="I816" s="32">
        <f t="shared" si="112"/>
        <v>2025</v>
      </c>
      <c r="J816" s="32">
        <f t="shared" si="113"/>
        <v>7</v>
      </c>
    </row>
    <row r="817" spans="1:10" x14ac:dyDescent="0.25">
      <c r="A817" t="s">
        <v>877</v>
      </c>
      <c r="B817" t="s">
        <v>199</v>
      </c>
      <c r="C817">
        <v>1633</v>
      </c>
      <c r="D817">
        <v>9999</v>
      </c>
      <c r="E817" s="4">
        <v>-6259914.4400000004</v>
      </c>
      <c r="F817" t="s">
        <v>1319</v>
      </c>
      <c r="G817">
        <v>1385</v>
      </c>
      <c r="H817" s="32" t="str">
        <f ca="1">+IF(B817&gt;'sap nuevo'!$V$1,"cargar",IF(C817="","cargar","pagado"))</f>
        <v>cargar</v>
      </c>
      <c r="I817" s="32">
        <f t="shared" si="112"/>
        <v>2025</v>
      </c>
      <c r="J817" s="32">
        <f t="shared" si="113"/>
        <v>7</v>
      </c>
    </row>
    <row r="818" spans="1:10" x14ac:dyDescent="0.25">
      <c r="A818" t="s">
        <v>877</v>
      </c>
      <c r="B818" t="s">
        <v>199</v>
      </c>
      <c r="C818">
        <v>1635</v>
      </c>
      <c r="D818">
        <v>9999</v>
      </c>
      <c r="E818" s="4">
        <v>-5814069.0499999998</v>
      </c>
      <c r="F818" t="s">
        <v>1320</v>
      </c>
      <c r="G818">
        <v>1385</v>
      </c>
      <c r="H818" s="32" t="str">
        <f ca="1">+IF(B818&gt;'sap nuevo'!$V$1,"cargar",IF(C818="","cargar","pagado"))</f>
        <v>cargar</v>
      </c>
      <c r="I818" s="32">
        <f t="shared" ref="I818:I843" si="114">+YEAR(B818)</f>
        <v>2025</v>
      </c>
      <c r="J818" s="32">
        <f t="shared" ref="J818:J843" si="115">+MONTH(B818)</f>
        <v>7</v>
      </c>
    </row>
    <row r="819" spans="1:10" x14ac:dyDescent="0.25">
      <c r="A819" t="s">
        <v>877</v>
      </c>
      <c r="B819" t="s">
        <v>199</v>
      </c>
      <c r="C819">
        <v>1634</v>
      </c>
      <c r="D819">
        <v>9999</v>
      </c>
      <c r="E819" s="4">
        <v>-5690038.3399999999</v>
      </c>
      <c r="F819" t="s">
        <v>1321</v>
      </c>
      <c r="G819">
        <v>1385</v>
      </c>
      <c r="H819" s="32" t="str">
        <f ca="1">+IF(B819&gt;'sap nuevo'!$V$1,"cargar",IF(C819="","cargar","pagado"))</f>
        <v>cargar</v>
      </c>
      <c r="I819" s="32">
        <f t="shared" si="114"/>
        <v>2025</v>
      </c>
      <c r="J819" s="32">
        <f t="shared" si="115"/>
        <v>7</v>
      </c>
    </row>
    <row r="820" spans="1:10" x14ac:dyDescent="0.25">
      <c r="A820" t="s">
        <v>877</v>
      </c>
      <c r="B820" t="s">
        <v>199</v>
      </c>
      <c r="C820">
        <v>1486</v>
      </c>
      <c r="D820">
        <v>9999</v>
      </c>
      <c r="E820" s="4">
        <v>-3233798.57</v>
      </c>
      <c r="F820" t="s">
        <v>1322</v>
      </c>
      <c r="G820">
        <v>1385</v>
      </c>
      <c r="H820" s="32" t="str">
        <f ca="1">+IF(B820&gt;'sap nuevo'!$V$1,"cargar",IF(C820="","cargar","pagado"))</f>
        <v>cargar</v>
      </c>
      <c r="I820" s="32">
        <f t="shared" si="114"/>
        <v>2025</v>
      </c>
      <c r="J820" s="32">
        <f t="shared" si="115"/>
        <v>7</v>
      </c>
    </row>
    <row r="821" spans="1:10" x14ac:dyDescent="0.25">
      <c r="A821" t="s">
        <v>877</v>
      </c>
      <c r="B821" t="s">
        <v>200</v>
      </c>
      <c r="C821">
        <v>1644</v>
      </c>
      <c r="D821">
        <v>9999</v>
      </c>
      <c r="E821" s="4">
        <v>-24729825.289999999</v>
      </c>
      <c r="F821" t="s">
        <v>1323</v>
      </c>
      <c r="G821">
        <v>1385</v>
      </c>
      <c r="H821" s="32" t="str">
        <f ca="1">+IF(B821&gt;'sap nuevo'!$V$1,"cargar",IF(C821="","cargar","pagado"))</f>
        <v>cargar</v>
      </c>
      <c r="I821" s="32">
        <f t="shared" si="114"/>
        <v>2025</v>
      </c>
      <c r="J821" s="32">
        <f t="shared" si="115"/>
        <v>7</v>
      </c>
    </row>
    <row r="822" spans="1:10" x14ac:dyDescent="0.25">
      <c r="A822" t="s">
        <v>877</v>
      </c>
      <c r="B822" t="s">
        <v>200</v>
      </c>
      <c r="C822">
        <v>1649</v>
      </c>
      <c r="D822">
        <v>9999</v>
      </c>
      <c r="E822" s="4">
        <v>-20000000</v>
      </c>
      <c r="F822" t="s">
        <v>1324</v>
      </c>
      <c r="G822">
        <v>1385</v>
      </c>
      <c r="H822" s="32" t="str">
        <f ca="1">+IF(B822&gt;'sap nuevo'!$V$1,"cargar",IF(C822="","cargar","pagado"))</f>
        <v>cargar</v>
      </c>
      <c r="I822" s="32">
        <f t="shared" si="114"/>
        <v>2025</v>
      </c>
      <c r="J822" s="32">
        <f t="shared" si="115"/>
        <v>7</v>
      </c>
    </row>
    <row r="823" spans="1:10" x14ac:dyDescent="0.25">
      <c r="A823" t="s">
        <v>877</v>
      </c>
      <c r="B823" t="s">
        <v>200</v>
      </c>
      <c r="C823">
        <v>1631</v>
      </c>
      <c r="D823">
        <v>9999</v>
      </c>
      <c r="E823" s="4">
        <v>-11858051.880000001</v>
      </c>
      <c r="F823" t="s">
        <v>1325</v>
      </c>
      <c r="G823">
        <v>1385</v>
      </c>
      <c r="H823" s="32" t="str">
        <f ca="1">+IF(B823&gt;'sap nuevo'!$V$1,"cargar",IF(C823="","cargar","pagado"))</f>
        <v>cargar</v>
      </c>
      <c r="I823" s="32">
        <f t="shared" si="114"/>
        <v>2025</v>
      </c>
      <c r="J823" s="32">
        <f t="shared" si="115"/>
        <v>7</v>
      </c>
    </row>
    <row r="824" spans="1:10" x14ac:dyDescent="0.25">
      <c r="A824" t="s">
        <v>877</v>
      </c>
      <c r="B824" t="s">
        <v>200</v>
      </c>
      <c r="C824">
        <v>1647</v>
      </c>
      <c r="D824">
        <v>9999</v>
      </c>
      <c r="E824" s="4">
        <v>-11000000</v>
      </c>
      <c r="F824" t="s">
        <v>1326</v>
      </c>
      <c r="G824">
        <v>1385</v>
      </c>
      <c r="H824" s="32" t="str">
        <f ca="1">+IF(B824&gt;'sap nuevo'!$V$1,"cargar",IF(C824="","cargar","pagado"))</f>
        <v>cargar</v>
      </c>
      <c r="I824" s="32">
        <f t="shared" si="114"/>
        <v>2025</v>
      </c>
      <c r="J824" s="32">
        <f t="shared" si="115"/>
        <v>7</v>
      </c>
    </row>
    <row r="825" spans="1:10" x14ac:dyDescent="0.25">
      <c r="A825" t="s">
        <v>877</v>
      </c>
      <c r="B825" t="s">
        <v>200</v>
      </c>
      <c r="C825">
        <v>1629</v>
      </c>
      <c r="D825">
        <v>9999</v>
      </c>
      <c r="E825" s="4">
        <v>-7506500.5099999998</v>
      </c>
      <c r="F825" t="s">
        <v>1327</v>
      </c>
      <c r="G825">
        <v>1385</v>
      </c>
      <c r="H825" s="32" t="str">
        <f ca="1">+IF(B825&gt;'sap nuevo'!$V$1,"cargar",IF(C825="","cargar","pagado"))</f>
        <v>cargar</v>
      </c>
      <c r="I825" s="32">
        <f t="shared" si="114"/>
        <v>2025</v>
      </c>
      <c r="J825" s="32">
        <f t="shared" si="115"/>
        <v>7</v>
      </c>
    </row>
    <row r="826" spans="1:10" x14ac:dyDescent="0.25">
      <c r="A826" t="s">
        <v>877</v>
      </c>
      <c r="B826" t="s">
        <v>200</v>
      </c>
      <c r="C826">
        <v>1638</v>
      </c>
      <c r="D826">
        <v>9999</v>
      </c>
      <c r="E826" s="4">
        <v>-6489570</v>
      </c>
      <c r="F826" t="s">
        <v>1328</v>
      </c>
      <c r="G826">
        <v>1385</v>
      </c>
      <c r="H826" s="32" t="str">
        <f ca="1">+IF(B826&gt;'sap nuevo'!$V$1,"cargar",IF(C826="","cargar","pagado"))</f>
        <v>cargar</v>
      </c>
      <c r="I826" s="32">
        <f t="shared" si="114"/>
        <v>2025</v>
      </c>
      <c r="J826" s="32">
        <f t="shared" si="115"/>
        <v>7</v>
      </c>
    </row>
    <row r="827" spans="1:10" x14ac:dyDescent="0.25">
      <c r="A827" t="s">
        <v>21</v>
      </c>
      <c r="B827" t="s">
        <v>199</v>
      </c>
      <c r="C827">
        <v>40272966</v>
      </c>
      <c r="D827">
        <v>140</v>
      </c>
      <c r="E827" s="4">
        <v>-189261030</v>
      </c>
      <c r="F827" t="s">
        <v>80</v>
      </c>
      <c r="G827">
        <v>0</v>
      </c>
      <c r="H827" s="32" t="str">
        <f ca="1">+IF(B827&gt;'sap nuevo'!$V$1,"cargar",IF(C827="","cargar","pagado"))</f>
        <v>cargar</v>
      </c>
      <c r="I827" s="32">
        <f t="shared" si="114"/>
        <v>2025</v>
      </c>
      <c r="J827" s="32">
        <f t="shared" si="115"/>
        <v>7</v>
      </c>
    </row>
    <row r="828" spans="1:10" x14ac:dyDescent="0.25">
      <c r="A828" t="s">
        <v>21</v>
      </c>
      <c r="B828" t="s">
        <v>199</v>
      </c>
      <c r="C828">
        <v>91002437</v>
      </c>
      <c r="D828">
        <v>140</v>
      </c>
      <c r="E828" s="4">
        <v>-26192022.579999998</v>
      </c>
      <c r="F828" t="s">
        <v>80</v>
      </c>
      <c r="G828">
        <v>0</v>
      </c>
      <c r="H828" s="32" t="str">
        <f ca="1">+IF(B828&gt;'sap nuevo'!$V$1,"cargar",IF(C828="","cargar","pagado"))</f>
        <v>cargar</v>
      </c>
      <c r="I828" s="32">
        <f t="shared" si="114"/>
        <v>2025</v>
      </c>
      <c r="J828" s="32">
        <f t="shared" si="115"/>
        <v>7</v>
      </c>
    </row>
    <row r="829" spans="1:10" x14ac:dyDescent="0.25">
      <c r="A829" t="s">
        <v>21</v>
      </c>
      <c r="B829" t="s">
        <v>199</v>
      </c>
      <c r="C829">
        <v>91002427</v>
      </c>
      <c r="D829">
        <v>140</v>
      </c>
      <c r="E829" s="4">
        <v>-5121589.4400000004</v>
      </c>
      <c r="F829" t="s">
        <v>80</v>
      </c>
      <c r="G829">
        <v>0</v>
      </c>
      <c r="H829" s="32" t="str">
        <f ca="1">+IF(B829&gt;'sap nuevo'!$V$1,"cargar",IF(C829="","cargar","pagado"))</f>
        <v>cargar</v>
      </c>
      <c r="I829" s="32">
        <f t="shared" si="114"/>
        <v>2025</v>
      </c>
      <c r="J829" s="32">
        <f t="shared" si="115"/>
        <v>7</v>
      </c>
    </row>
    <row r="830" spans="1:10" x14ac:dyDescent="0.25">
      <c r="A830" t="s">
        <v>12</v>
      </c>
      <c r="B830" t="s">
        <v>200</v>
      </c>
      <c r="C830">
        <v>40272967</v>
      </c>
      <c r="D830">
        <v>140</v>
      </c>
      <c r="E830" s="4">
        <v>-11607857.279999999</v>
      </c>
      <c r="F830" t="s">
        <v>82</v>
      </c>
      <c r="G830">
        <v>0</v>
      </c>
      <c r="H830" s="32" t="str">
        <f ca="1">+IF(B830&gt;'sap nuevo'!$V$1,"cargar",IF(C830="","cargar","pagado"))</f>
        <v>cargar</v>
      </c>
      <c r="I830" s="32">
        <f t="shared" si="114"/>
        <v>2025</v>
      </c>
      <c r="J830" s="32">
        <f t="shared" si="115"/>
        <v>7</v>
      </c>
    </row>
    <row r="831" spans="1:10" x14ac:dyDescent="0.25">
      <c r="A831" t="s">
        <v>21</v>
      </c>
      <c r="B831" t="s">
        <v>200</v>
      </c>
      <c r="C831">
        <v>91002431</v>
      </c>
      <c r="D831">
        <v>140</v>
      </c>
      <c r="E831" s="4">
        <v>-5362448.92</v>
      </c>
      <c r="F831" t="s">
        <v>80</v>
      </c>
      <c r="G831">
        <v>0</v>
      </c>
      <c r="H831" s="32" t="str">
        <f ca="1">+IF(B831&gt;'sap nuevo'!$V$1,"cargar",IF(C831="","cargar","pagado"))</f>
        <v>cargar</v>
      </c>
      <c r="I831" s="32">
        <f t="shared" si="114"/>
        <v>2025</v>
      </c>
      <c r="J831" s="32">
        <f t="shared" si="115"/>
        <v>7</v>
      </c>
    </row>
    <row r="832" spans="1:10" x14ac:dyDescent="0.25">
      <c r="A832" t="s">
        <v>877</v>
      </c>
      <c r="B832" t="s">
        <v>201</v>
      </c>
      <c r="C832">
        <v>1651</v>
      </c>
      <c r="D832">
        <v>9999</v>
      </c>
      <c r="E832" s="4">
        <v>-50000000</v>
      </c>
      <c r="F832" t="s">
        <v>1329</v>
      </c>
      <c r="G832">
        <v>1385</v>
      </c>
      <c r="H832" s="32" t="str">
        <f ca="1">+IF(B832&gt;'sap nuevo'!$V$1,"cargar",IF(C832="","cargar","pagado"))</f>
        <v>cargar</v>
      </c>
      <c r="I832" s="32">
        <f t="shared" si="114"/>
        <v>2025</v>
      </c>
      <c r="J832" s="32">
        <f t="shared" si="115"/>
        <v>7</v>
      </c>
    </row>
    <row r="833" spans="1:10" x14ac:dyDescent="0.25">
      <c r="A833" t="s">
        <v>877</v>
      </c>
      <c r="B833" t="s">
        <v>201</v>
      </c>
      <c r="C833">
        <v>1654</v>
      </c>
      <c r="D833">
        <v>9999</v>
      </c>
      <c r="E833" s="4">
        <v>-20324226.940000001</v>
      </c>
      <c r="F833" t="s">
        <v>1330</v>
      </c>
      <c r="G833">
        <v>1385</v>
      </c>
      <c r="H833" s="32" t="str">
        <f ca="1">+IF(B833&gt;'sap nuevo'!$V$1,"cargar",IF(C833="","cargar","pagado"))</f>
        <v>cargar</v>
      </c>
      <c r="I833" s="32">
        <f t="shared" si="114"/>
        <v>2025</v>
      </c>
      <c r="J833" s="32">
        <f t="shared" si="115"/>
        <v>7</v>
      </c>
    </row>
    <row r="834" spans="1:10" x14ac:dyDescent="0.25">
      <c r="A834" t="s">
        <v>877</v>
      </c>
      <c r="B834" t="s">
        <v>201</v>
      </c>
      <c r="C834">
        <v>1650</v>
      </c>
      <c r="D834">
        <v>9999</v>
      </c>
      <c r="E834" s="4">
        <v>-18589587.239999998</v>
      </c>
      <c r="F834" t="s">
        <v>1331</v>
      </c>
      <c r="G834">
        <v>1385</v>
      </c>
      <c r="H834" s="32" t="str">
        <f ca="1">+IF(B834&gt;'sap nuevo'!$V$1,"cargar",IF(C834="","cargar","pagado"))</f>
        <v>cargar</v>
      </c>
      <c r="I834" s="32">
        <f t="shared" si="114"/>
        <v>2025</v>
      </c>
      <c r="J834" s="32">
        <f t="shared" si="115"/>
        <v>7</v>
      </c>
    </row>
    <row r="835" spans="1:10" x14ac:dyDescent="0.25">
      <c r="A835" t="s">
        <v>877</v>
      </c>
      <c r="B835" t="s">
        <v>201</v>
      </c>
      <c r="C835">
        <v>1646</v>
      </c>
      <c r="D835">
        <v>9999</v>
      </c>
      <c r="E835" s="4">
        <v>-16015964.869999999</v>
      </c>
      <c r="F835" t="s">
        <v>1332</v>
      </c>
      <c r="G835">
        <v>1385</v>
      </c>
      <c r="H835" s="32" t="str">
        <f ca="1">+IF(B835&gt;'sap nuevo'!$V$1,"cargar",IF(C835="","cargar","pagado"))</f>
        <v>cargar</v>
      </c>
      <c r="I835" s="32">
        <f t="shared" si="114"/>
        <v>2025</v>
      </c>
      <c r="J835" s="32">
        <f t="shared" si="115"/>
        <v>7</v>
      </c>
    </row>
    <row r="836" spans="1:10" x14ac:dyDescent="0.25">
      <c r="A836" t="s">
        <v>873</v>
      </c>
      <c r="B836" t="s">
        <v>202</v>
      </c>
      <c r="C836">
        <v>1622</v>
      </c>
      <c r="D836">
        <v>9999</v>
      </c>
      <c r="E836" s="4">
        <v>-13413612.02</v>
      </c>
      <c r="F836" t="s">
        <v>1333</v>
      </c>
      <c r="G836">
        <v>3520</v>
      </c>
      <c r="H836" s="32" t="str">
        <f ca="1">+IF(B836&gt;'sap nuevo'!$V$1,"cargar",IF(C836="","cargar","pagado"))</f>
        <v>cargar</v>
      </c>
      <c r="I836" s="32">
        <f t="shared" si="114"/>
        <v>2025</v>
      </c>
      <c r="J836" s="32">
        <f t="shared" si="115"/>
        <v>7</v>
      </c>
    </row>
    <row r="837" spans="1:10" x14ac:dyDescent="0.25">
      <c r="A837" t="s">
        <v>877</v>
      </c>
      <c r="B837" t="s">
        <v>201</v>
      </c>
      <c r="C837">
        <v>1652</v>
      </c>
      <c r="D837">
        <v>9999</v>
      </c>
      <c r="E837" s="4">
        <v>-12000000</v>
      </c>
      <c r="F837" t="s">
        <v>1334</v>
      </c>
      <c r="G837">
        <v>1385</v>
      </c>
      <c r="H837" s="32" t="str">
        <f ca="1">+IF(B837&gt;'sap nuevo'!$V$1,"cargar",IF(C837="","cargar","pagado"))</f>
        <v>cargar</v>
      </c>
      <c r="I837" s="32">
        <f t="shared" si="114"/>
        <v>2025</v>
      </c>
      <c r="J837" s="32">
        <f t="shared" si="115"/>
        <v>7</v>
      </c>
    </row>
    <row r="838" spans="1:10" x14ac:dyDescent="0.25">
      <c r="A838" t="s">
        <v>877</v>
      </c>
      <c r="B838" t="s">
        <v>201</v>
      </c>
      <c r="C838">
        <v>1639</v>
      </c>
      <c r="D838">
        <v>9999</v>
      </c>
      <c r="E838" s="4">
        <v>-10581942.369999999</v>
      </c>
      <c r="F838" t="s">
        <v>1335</v>
      </c>
      <c r="G838">
        <v>1385</v>
      </c>
      <c r="H838" s="32" t="str">
        <f ca="1">+IF(B838&gt;'sap nuevo'!$V$1,"cargar",IF(C838="","cargar","pagado"))</f>
        <v>cargar</v>
      </c>
      <c r="I838" s="32">
        <f t="shared" si="114"/>
        <v>2025</v>
      </c>
      <c r="J838" s="32">
        <f t="shared" si="115"/>
        <v>7</v>
      </c>
    </row>
    <row r="839" spans="1:10" x14ac:dyDescent="0.25">
      <c r="A839" t="s">
        <v>877</v>
      </c>
      <c r="B839" t="s">
        <v>201</v>
      </c>
      <c r="C839">
        <v>1648</v>
      </c>
      <c r="D839">
        <v>9999</v>
      </c>
      <c r="E839" s="4">
        <v>-10561784.689999999</v>
      </c>
      <c r="F839" t="s">
        <v>1336</v>
      </c>
      <c r="G839">
        <v>1385</v>
      </c>
      <c r="H839" s="32" t="str">
        <f ca="1">+IF(B839&gt;'sap nuevo'!$V$1,"cargar",IF(C839="","cargar","pagado"))</f>
        <v>cargar</v>
      </c>
      <c r="I839" s="32">
        <f t="shared" si="114"/>
        <v>2025</v>
      </c>
      <c r="J839" s="32">
        <f t="shared" si="115"/>
        <v>7</v>
      </c>
    </row>
    <row r="840" spans="1:10" x14ac:dyDescent="0.25">
      <c r="A840" t="s">
        <v>873</v>
      </c>
      <c r="B840" t="s">
        <v>202</v>
      </c>
      <c r="C840">
        <v>1645</v>
      </c>
      <c r="D840">
        <v>9999</v>
      </c>
      <c r="E840" s="4">
        <v>-9099778.7200000007</v>
      </c>
      <c r="F840" t="s">
        <v>1337</v>
      </c>
      <c r="G840">
        <v>3520</v>
      </c>
      <c r="H840" s="32" t="str">
        <f ca="1">+IF(B840&gt;'sap nuevo'!$V$1,"cargar",IF(C840="","cargar","pagado"))</f>
        <v>cargar</v>
      </c>
      <c r="I840" s="32">
        <f t="shared" si="114"/>
        <v>2025</v>
      </c>
      <c r="J840" s="32">
        <f t="shared" si="115"/>
        <v>7</v>
      </c>
    </row>
    <row r="841" spans="1:10" x14ac:dyDescent="0.25">
      <c r="A841" t="s">
        <v>873</v>
      </c>
      <c r="B841" t="s">
        <v>202</v>
      </c>
      <c r="C841">
        <v>1656</v>
      </c>
      <c r="D841">
        <v>9999</v>
      </c>
      <c r="E841" s="4">
        <v>-5293576.8</v>
      </c>
      <c r="F841" t="s">
        <v>1338</v>
      </c>
      <c r="G841">
        <v>3520</v>
      </c>
      <c r="H841" s="32" t="str">
        <f ca="1">+IF(B841&gt;'sap nuevo'!$V$1,"cargar",IF(C841="","cargar","pagado"))</f>
        <v>cargar</v>
      </c>
      <c r="I841" s="32">
        <f t="shared" si="114"/>
        <v>2025</v>
      </c>
      <c r="J841" s="32">
        <f t="shared" si="115"/>
        <v>7</v>
      </c>
    </row>
    <row r="842" spans="1:10" x14ac:dyDescent="0.25">
      <c r="A842" t="s">
        <v>877</v>
      </c>
      <c r="B842" t="s">
        <v>201</v>
      </c>
      <c r="C842">
        <v>1653</v>
      </c>
      <c r="D842">
        <v>9999</v>
      </c>
      <c r="E842" s="4">
        <v>-4000000</v>
      </c>
      <c r="F842" t="s">
        <v>1339</v>
      </c>
      <c r="G842">
        <v>1385</v>
      </c>
      <c r="H842" s="32" t="str">
        <f ca="1">+IF(B842&gt;'sap nuevo'!$V$1,"cargar",IF(C842="","cargar","pagado"))</f>
        <v>cargar</v>
      </c>
      <c r="I842" s="32">
        <f t="shared" si="114"/>
        <v>2025</v>
      </c>
      <c r="J842" s="32">
        <f t="shared" si="115"/>
        <v>7</v>
      </c>
    </row>
    <row r="843" spans="1:10" x14ac:dyDescent="0.25">
      <c r="A843" t="s">
        <v>21</v>
      </c>
      <c r="B843" t="s">
        <v>201</v>
      </c>
      <c r="C843">
        <v>91002433</v>
      </c>
      <c r="D843">
        <v>140</v>
      </c>
      <c r="E843" s="4">
        <v>-6240742.1100000003</v>
      </c>
      <c r="F843" t="s">
        <v>80</v>
      </c>
      <c r="G843">
        <v>0</v>
      </c>
      <c r="H843" s="32" t="str">
        <f ca="1">+IF(B843&gt;'sap nuevo'!$V$1,"cargar",IF(C843="","cargar","pagado"))</f>
        <v>cargar</v>
      </c>
      <c r="I843" s="32">
        <f t="shared" si="114"/>
        <v>2025</v>
      </c>
      <c r="J843" s="32">
        <f t="shared" si="115"/>
        <v>7</v>
      </c>
    </row>
    <row r="844" spans="1:10" x14ac:dyDescent="0.25">
      <c r="A844" t="s">
        <v>21</v>
      </c>
      <c r="B844" t="s">
        <v>202</v>
      </c>
      <c r="C844">
        <v>91002429</v>
      </c>
      <c r="D844">
        <v>140</v>
      </c>
      <c r="E844" s="4">
        <v>-38157945.75</v>
      </c>
      <c r="F844" t="s">
        <v>80</v>
      </c>
      <c r="G844">
        <v>0</v>
      </c>
      <c r="H844" s="32" t="str">
        <f ca="1">+IF(B844&gt;'sap nuevo'!$V$1,"cargar",IF(C844="","cargar","pagado"))</f>
        <v>cargar</v>
      </c>
      <c r="I844" s="32">
        <f t="shared" ref="I844:I856" si="116">+YEAR(B844)</f>
        <v>2025</v>
      </c>
      <c r="J844" s="32">
        <f t="shared" ref="J844:J856" si="117">+MONTH(B844)</f>
        <v>7</v>
      </c>
    </row>
    <row r="845" spans="1:10" x14ac:dyDescent="0.25">
      <c r="A845" t="s">
        <v>877</v>
      </c>
      <c r="B845" t="s">
        <v>203</v>
      </c>
      <c r="C845">
        <v>1658</v>
      </c>
      <c r="D845">
        <v>9999</v>
      </c>
      <c r="E845" s="4">
        <v>-27924624</v>
      </c>
      <c r="F845" t="s">
        <v>1340</v>
      </c>
      <c r="G845">
        <v>1385</v>
      </c>
      <c r="H845" s="32" t="str">
        <f ca="1">+IF(B845&gt;'sap nuevo'!$V$1,"cargar",IF(C845="","cargar","pagado"))</f>
        <v>cargar</v>
      </c>
      <c r="I845" s="32">
        <f t="shared" si="116"/>
        <v>2025</v>
      </c>
      <c r="J845" s="32">
        <f t="shared" si="117"/>
        <v>8</v>
      </c>
    </row>
    <row r="846" spans="1:10" x14ac:dyDescent="0.25">
      <c r="A846" t="s">
        <v>877</v>
      </c>
      <c r="B846" t="s">
        <v>203</v>
      </c>
      <c r="C846">
        <v>1665</v>
      </c>
      <c r="D846">
        <v>9999</v>
      </c>
      <c r="E846" s="4">
        <v>-13201996.35</v>
      </c>
      <c r="F846" t="s">
        <v>1341</v>
      </c>
      <c r="G846">
        <v>1385</v>
      </c>
      <c r="H846" s="32" t="str">
        <f ca="1">+IF(B846&gt;'sap nuevo'!$V$1,"cargar",IF(C846="","cargar","pagado"))</f>
        <v>cargar</v>
      </c>
      <c r="I846" s="32">
        <f t="shared" si="116"/>
        <v>2025</v>
      </c>
      <c r="J846" s="32">
        <f t="shared" si="117"/>
        <v>8</v>
      </c>
    </row>
    <row r="847" spans="1:10" x14ac:dyDescent="0.25">
      <c r="A847" t="s">
        <v>877</v>
      </c>
      <c r="B847" t="s">
        <v>203</v>
      </c>
      <c r="C847">
        <v>1590</v>
      </c>
      <c r="D847">
        <v>9999</v>
      </c>
      <c r="E847" s="4">
        <v>-10914260.119999999</v>
      </c>
      <c r="F847" t="s">
        <v>1342</v>
      </c>
      <c r="G847">
        <v>1385</v>
      </c>
      <c r="H847" s="32" t="str">
        <f ca="1">+IF(B847&gt;'sap nuevo'!$V$1,"cargar",IF(C847="","cargar","pagado"))</f>
        <v>cargar</v>
      </c>
      <c r="I847" s="32">
        <f t="shared" si="116"/>
        <v>2025</v>
      </c>
      <c r="J847" s="32">
        <f t="shared" si="117"/>
        <v>8</v>
      </c>
    </row>
    <row r="848" spans="1:10" x14ac:dyDescent="0.25">
      <c r="A848" t="s">
        <v>877</v>
      </c>
      <c r="B848" t="s">
        <v>203</v>
      </c>
      <c r="C848">
        <v>1663</v>
      </c>
      <c r="D848">
        <v>9999</v>
      </c>
      <c r="E848" s="4">
        <v>-8687860.3599999994</v>
      </c>
      <c r="F848" t="s">
        <v>1343</v>
      </c>
      <c r="G848">
        <v>1385</v>
      </c>
      <c r="H848" s="32" t="str">
        <f ca="1">+IF(B848&gt;'sap nuevo'!$V$1,"cargar",IF(C848="","cargar","pagado"))</f>
        <v>cargar</v>
      </c>
      <c r="I848" s="32">
        <f t="shared" si="116"/>
        <v>2025</v>
      </c>
      <c r="J848" s="32">
        <f t="shared" si="117"/>
        <v>8</v>
      </c>
    </row>
    <row r="849" spans="1:10" x14ac:dyDescent="0.25">
      <c r="A849" t="s">
        <v>877</v>
      </c>
      <c r="B849" t="s">
        <v>203</v>
      </c>
      <c r="C849">
        <v>1660</v>
      </c>
      <c r="D849">
        <v>9999</v>
      </c>
      <c r="E849" s="4">
        <v>-7719986.5199999996</v>
      </c>
      <c r="F849" t="s">
        <v>1344</v>
      </c>
      <c r="G849">
        <v>1385</v>
      </c>
      <c r="H849" s="32" t="str">
        <f ca="1">+IF(B849&gt;'sap nuevo'!$V$1,"cargar",IF(C849="","cargar","pagado"))</f>
        <v>cargar</v>
      </c>
      <c r="I849" s="32">
        <f t="shared" si="116"/>
        <v>2025</v>
      </c>
      <c r="J849" s="32">
        <f t="shared" si="117"/>
        <v>8</v>
      </c>
    </row>
    <row r="850" spans="1:10" x14ac:dyDescent="0.25">
      <c r="A850" t="s">
        <v>877</v>
      </c>
      <c r="B850" t="s">
        <v>203</v>
      </c>
      <c r="C850">
        <v>1662</v>
      </c>
      <c r="D850">
        <v>9999</v>
      </c>
      <c r="E850" s="4">
        <v>-6121182.0199999996</v>
      </c>
      <c r="F850" t="s">
        <v>1345</v>
      </c>
      <c r="G850">
        <v>1385</v>
      </c>
      <c r="H850" s="32" t="str">
        <f ca="1">+IF(B850&gt;'sap nuevo'!$V$1,"cargar",IF(C850="","cargar","pagado"))</f>
        <v>cargar</v>
      </c>
      <c r="I850" s="32">
        <f t="shared" si="116"/>
        <v>2025</v>
      </c>
      <c r="J850" s="32">
        <f t="shared" si="117"/>
        <v>8</v>
      </c>
    </row>
    <row r="851" spans="1:10" x14ac:dyDescent="0.25">
      <c r="A851" t="s">
        <v>877</v>
      </c>
      <c r="B851" t="s">
        <v>203</v>
      </c>
      <c r="C851">
        <v>1661</v>
      </c>
      <c r="D851">
        <v>9999</v>
      </c>
      <c r="E851" s="4">
        <v>-5717634.7599999998</v>
      </c>
      <c r="F851" t="s">
        <v>1346</v>
      </c>
      <c r="G851">
        <v>1385</v>
      </c>
      <c r="H851" s="32" t="str">
        <f ca="1">+IF(B851&gt;'sap nuevo'!$V$1,"cargar",IF(C851="","cargar","pagado"))</f>
        <v>cargar</v>
      </c>
      <c r="I851" s="32">
        <f t="shared" si="116"/>
        <v>2025</v>
      </c>
      <c r="J851" s="32">
        <f t="shared" si="117"/>
        <v>8</v>
      </c>
    </row>
    <row r="852" spans="1:10" x14ac:dyDescent="0.25">
      <c r="A852" t="s">
        <v>877</v>
      </c>
      <c r="B852" t="s">
        <v>203</v>
      </c>
      <c r="C852">
        <v>1664</v>
      </c>
      <c r="D852">
        <v>9999</v>
      </c>
      <c r="E852" s="4">
        <v>-4404313.99</v>
      </c>
      <c r="F852" t="s">
        <v>1347</v>
      </c>
      <c r="G852">
        <v>1385</v>
      </c>
      <c r="H852" s="32" t="str">
        <f ca="1">+IF(B852&gt;'sap nuevo'!$V$1,"cargar",IF(C852="","cargar","pagado"))</f>
        <v>cargar</v>
      </c>
      <c r="I852" s="32">
        <f t="shared" si="116"/>
        <v>2025</v>
      </c>
      <c r="J852" s="32">
        <f t="shared" si="117"/>
        <v>8</v>
      </c>
    </row>
    <row r="853" spans="1:10" x14ac:dyDescent="0.25">
      <c r="A853" t="s">
        <v>21</v>
      </c>
      <c r="B853" t="s">
        <v>1348</v>
      </c>
      <c r="C853">
        <v>40272968</v>
      </c>
      <c r="D853">
        <v>140</v>
      </c>
      <c r="E853" s="4">
        <v>-2916734.73</v>
      </c>
      <c r="F853" t="s">
        <v>80</v>
      </c>
      <c r="G853">
        <v>0</v>
      </c>
      <c r="H853" s="32" t="str">
        <f ca="1">+IF(B853&gt;'sap nuevo'!$V$1,"cargar",IF(C853="","cargar","pagado"))</f>
        <v>cargar</v>
      </c>
      <c r="I853" s="32">
        <f t="shared" si="116"/>
        <v>2025</v>
      </c>
      <c r="J853" s="32">
        <f t="shared" si="117"/>
        <v>8</v>
      </c>
    </row>
    <row r="854" spans="1:10" x14ac:dyDescent="0.25">
      <c r="A854" t="s">
        <v>21</v>
      </c>
      <c r="B854" t="s">
        <v>204</v>
      </c>
      <c r="C854">
        <v>40272969</v>
      </c>
      <c r="D854">
        <v>140</v>
      </c>
      <c r="E854" s="4">
        <v>-4350121.43</v>
      </c>
      <c r="F854" t="s">
        <v>80</v>
      </c>
      <c r="G854">
        <v>0</v>
      </c>
      <c r="H854" s="32" t="str">
        <f ca="1">+IF(B854&gt;'sap nuevo'!$V$1,"cargar",IF(C854="","cargar","pagado"))</f>
        <v>cargar</v>
      </c>
      <c r="I854" s="32">
        <f t="shared" si="116"/>
        <v>2025</v>
      </c>
      <c r="J854" s="32">
        <f t="shared" si="117"/>
        <v>8</v>
      </c>
    </row>
    <row r="855" spans="1:10" x14ac:dyDescent="0.25">
      <c r="A855" t="s">
        <v>873</v>
      </c>
      <c r="B855" t="s">
        <v>1348</v>
      </c>
      <c r="C855">
        <v>1688</v>
      </c>
      <c r="D855">
        <v>9999</v>
      </c>
      <c r="E855" s="4">
        <v>-24204600</v>
      </c>
      <c r="F855" t="s">
        <v>1349</v>
      </c>
      <c r="G855">
        <v>3520</v>
      </c>
      <c r="H855" s="32" t="str">
        <f ca="1">+IF(B855&gt;'sap nuevo'!$V$1,"cargar",IF(C855="","cargar","pagado"))</f>
        <v>cargar</v>
      </c>
      <c r="I855" s="32">
        <f t="shared" si="116"/>
        <v>2025</v>
      </c>
      <c r="J855" s="32">
        <f t="shared" si="117"/>
        <v>8</v>
      </c>
    </row>
    <row r="856" spans="1:10" x14ac:dyDescent="0.25">
      <c r="A856" t="s">
        <v>873</v>
      </c>
      <c r="B856" t="s">
        <v>1348</v>
      </c>
      <c r="C856">
        <v>1667</v>
      </c>
      <c r="D856">
        <v>9999</v>
      </c>
      <c r="E856" s="4">
        <v>-20046117.960000001</v>
      </c>
      <c r="F856" t="s">
        <v>1350</v>
      </c>
      <c r="G856">
        <v>3520</v>
      </c>
      <c r="H856" s="32" t="str">
        <f ca="1">+IF(B856&gt;'sap nuevo'!$V$1,"cargar",IF(C856="","cargar","pagado"))</f>
        <v>cargar</v>
      </c>
      <c r="I856" s="32">
        <f t="shared" si="116"/>
        <v>2025</v>
      </c>
      <c r="J856" s="32">
        <f t="shared" si="117"/>
        <v>8</v>
      </c>
    </row>
    <row r="857" spans="1:10" x14ac:dyDescent="0.25">
      <c r="A857" t="s">
        <v>873</v>
      </c>
      <c r="B857" t="s">
        <v>1348</v>
      </c>
      <c r="C857">
        <v>1683</v>
      </c>
      <c r="D857">
        <v>9999</v>
      </c>
      <c r="E857" s="4">
        <v>-8496549.0700000003</v>
      </c>
      <c r="F857" t="s">
        <v>1351</v>
      </c>
      <c r="G857">
        <v>3520</v>
      </c>
      <c r="H857" s="32" t="str">
        <f ca="1">+IF(B857&gt;'sap nuevo'!$V$1,"cargar",IF(C857="","cargar","pagado"))</f>
        <v>cargar</v>
      </c>
      <c r="I857" s="32">
        <f t="shared" ref="I857:I880" si="118">+YEAR(B857)</f>
        <v>2025</v>
      </c>
      <c r="J857" s="32">
        <f t="shared" ref="J857:J880" si="119">+MONTH(B857)</f>
        <v>8</v>
      </c>
    </row>
    <row r="858" spans="1:10" x14ac:dyDescent="0.25">
      <c r="A858" t="s">
        <v>877</v>
      </c>
      <c r="B858" t="s">
        <v>1348</v>
      </c>
      <c r="C858">
        <v>1689</v>
      </c>
      <c r="D858">
        <v>9999</v>
      </c>
      <c r="E858" s="4">
        <v>-28589441.109999999</v>
      </c>
      <c r="F858" t="s">
        <v>1352</v>
      </c>
      <c r="G858">
        <v>1385</v>
      </c>
      <c r="H858" s="32" t="str">
        <f ca="1">+IF(B858&gt;'sap nuevo'!$V$1,"cargar",IF(C858="","cargar","pagado"))</f>
        <v>cargar</v>
      </c>
      <c r="I858" s="32">
        <f t="shared" si="118"/>
        <v>2025</v>
      </c>
      <c r="J858" s="32">
        <f t="shared" si="119"/>
        <v>8</v>
      </c>
    </row>
    <row r="859" spans="1:10" x14ac:dyDescent="0.25">
      <c r="A859" t="s">
        <v>877</v>
      </c>
      <c r="B859" t="s">
        <v>1348</v>
      </c>
      <c r="C859">
        <v>1659</v>
      </c>
      <c r="D859">
        <v>9999</v>
      </c>
      <c r="E859" s="4">
        <v>-25346948.370000001</v>
      </c>
      <c r="F859" t="s">
        <v>1353</v>
      </c>
      <c r="G859">
        <v>1385</v>
      </c>
      <c r="H859" s="32" t="str">
        <f ca="1">+IF(B859&gt;'sap nuevo'!$V$1,"cargar",IF(C859="","cargar","pagado"))</f>
        <v>cargar</v>
      </c>
      <c r="I859" s="32">
        <f t="shared" si="118"/>
        <v>2025</v>
      </c>
      <c r="J859" s="32">
        <f t="shared" si="119"/>
        <v>8</v>
      </c>
    </row>
    <row r="860" spans="1:10" x14ac:dyDescent="0.25">
      <c r="A860" t="s">
        <v>877</v>
      </c>
      <c r="B860" t="s">
        <v>1348</v>
      </c>
      <c r="C860">
        <v>1681</v>
      </c>
      <c r="D860">
        <v>9999</v>
      </c>
      <c r="E860" s="4">
        <v>-25000000</v>
      </c>
      <c r="F860" t="s">
        <v>1354</v>
      </c>
      <c r="G860">
        <v>1385</v>
      </c>
      <c r="H860" s="32" t="str">
        <f ca="1">+IF(B860&gt;'sap nuevo'!$V$1,"cargar",IF(C860="","cargar","pagado"))</f>
        <v>cargar</v>
      </c>
      <c r="I860" s="32">
        <f t="shared" si="118"/>
        <v>2025</v>
      </c>
      <c r="J860" s="32">
        <f t="shared" si="119"/>
        <v>8</v>
      </c>
    </row>
    <row r="861" spans="1:10" x14ac:dyDescent="0.25">
      <c r="A861" t="s">
        <v>877</v>
      </c>
      <c r="B861" t="s">
        <v>1348</v>
      </c>
      <c r="C861">
        <v>1687</v>
      </c>
      <c r="D861">
        <v>9999</v>
      </c>
      <c r="E861" s="4">
        <v>-14878005.23</v>
      </c>
      <c r="F861" t="s">
        <v>1355</v>
      </c>
      <c r="G861">
        <v>1385</v>
      </c>
      <c r="H861" s="32" t="str">
        <f ca="1">+IF(B861&gt;'sap nuevo'!$V$1,"cargar",IF(C861="","cargar","pagado"))</f>
        <v>cargar</v>
      </c>
      <c r="I861" s="32">
        <f t="shared" si="118"/>
        <v>2025</v>
      </c>
      <c r="J861" s="32">
        <f t="shared" si="119"/>
        <v>8</v>
      </c>
    </row>
    <row r="862" spans="1:10" x14ac:dyDescent="0.25">
      <c r="A862" t="s">
        <v>877</v>
      </c>
      <c r="B862" t="s">
        <v>1348</v>
      </c>
      <c r="C862">
        <v>1690</v>
      </c>
      <c r="D862">
        <v>9999</v>
      </c>
      <c r="E862" s="4">
        <v>-10637000</v>
      </c>
      <c r="F862" t="s">
        <v>1356</v>
      </c>
      <c r="G862">
        <v>1385</v>
      </c>
      <c r="H862" s="32" t="str">
        <f ca="1">+IF(B862&gt;'sap nuevo'!$V$1,"cargar",IF(C862="","cargar","pagado"))</f>
        <v>cargar</v>
      </c>
      <c r="I862" s="32">
        <f t="shared" si="118"/>
        <v>2025</v>
      </c>
      <c r="J862" s="32">
        <f t="shared" si="119"/>
        <v>8</v>
      </c>
    </row>
    <row r="863" spans="1:10" x14ac:dyDescent="0.25">
      <c r="A863" t="s">
        <v>877</v>
      </c>
      <c r="B863" t="s">
        <v>1348</v>
      </c>
      <c r="C863">
        <v>1672</v>
      </c>
      <c r="D863">
        <v>9999</v>
      </c>
      <c r="E863" s="4">
        <v>-10522290.970000001</v>
      </c>
      <c r="F863" t="s">
        <v>1357</v>
      </c>
      <c r="G863">
        <v>1385</v>
      </c>
      <c r="H863" s="32" t="str">
        <f ca="1">+IF(B863&gt;'sap nuevo'!$V$1,"cargar",IF(C863="","cargar","pagado"))</f>
        <v>cargar</v>
      </c>
      <c r="I863" s="32">
        <f t="shared" si="118"/>
        <v>2025</v>
      </c>
      <c r="J863" s="32">
        <f t="shared" si="119"/>
        <v>8</v>
      </c>
    </row>
    <row r="864" spans="1:10" x14ac:dyDescent="0.25">
      <c r="A864" t="s">
        <v>877</v>
      </c>
      <c r="B864" t="s">
        <v>1348</v>
      </c>
      <c r="C864">
        <v>1669</v>
      </c>
      <c r="D864">
        <v>9999</v>
      </c>
      <c r="E864" s="4">
        <v>-7737056.5999999996</v>
      </c>
      <c r="F864" t="s">
        <v>1358</v>
      </c>
      <c r="G864">
        <v>1385</v>
      </c>
      <c r="H864" s="32" t="str">
        <f ca="1">+IF(B864&gt;'sap nuevo'!$V$1,"cargar",IF(C864="","cargar","pagado"))</f>
        <v>cargar</v>
      </c>
      <c r="I864" s="32">
        <f t="shared" si="118"/>
        <v>2025</v>
      </c>
      <c r="J864" s="32">
        <f t="shared" si="119"/>
        <v>8</v>
      </c>
    </row>
    <row r="865" spans="1:10" x14ac:dyDescent="0.25">
      <c r="A865" t="s">
        <v>877</v>
      </c>
      <c r="B865" t="s">
        <v>1348</v>
      </c>
      <c r="C865">
        <v>1657</v>
      </c>
      <c r="D865">
        <v>9999</v>
      </c>
      <c r="E865" s="4">
        <v>-6965375.6699999999</v>
      </c>
      <c r="F865" t="s">
        <v>1359</v>
      </c>
      <c r="G865">
        <v>1385</v>
      </c>
      <c r="H865" s="32" t="str">
        <f ca="1">+IF(B865&gt;'sap nuevo'!$V$1,"cargar",IF(C865="","cargar","pagado"))</f>
        <v>cargar</v>
      </c>
      <c r="I865" s="32">
        <f t="shared" si="118"/>
        <v>2025</v>
      </c>
      <c r="J865" s="32">
        <f t="shared" si="119"/>
        <v>8</v>
      </c>
    </row>
    <row r="866" spans="1:10" x14ac:dyDescent="0.25">
      <c r="A866" t="s">
        <v>873</v>
      </c>
      <c r="B866" t="s">
        <v>204</v>
      </c>
      <c r="C866">
        <v>1686</v>
      </c>
      <c r="D866">
        <v>9999</v>
      </c>
      <c r="E866" s="4">
        <v>-6349523.3700000001</v>
      </c>
      <c r="F866" t="s">
        <v>1360</v>
      </c>
      <c r="G866">
        <v>3520</v>
      </c>
      <c r="H866" s="32" t="str">
        <f ca="1">+IF(B866&gt;'sap nuevo'!$V$1,"cargar",IF(C866="","cargar","pagado"))</f>
        <v>cargar</v>
      </c>
      <c r="I866" s="32">
        <f t="shared" si="118"/>
        <v>2025</v>
      </c>
      <c r="J866" s="32">
        <f t="shared" si="119"/>
        <v>8</v>
      </c>
    </row>
    <row r="867" spans="1:10" x14ac:dyDescent="0.25">
      <c r="A867" t="s">
        <v>877</v>
      </c>
      <c r="B867" t="s">
        <v>1348</v>
      </c>
      <c r="C867">
        <v>1673</v>
      </c>
      <c r="D867">
        <v>9999</v>
      </c>
      <c r="E867" s="4">
        <v>-6055353.7800000003</v>
      </c>
      <c r="F867" t="s">
        <v>1361</v>
      </c>
      <c r="G867">
        <v>1385</v>
      </c>
      <c r="H867" s="32" t="str">
        <f ca="1">+IF(B867&gt;'sap nuevo'!$V$1,"cargar",IF(C867="","cargar","pagado"))</f>
        <v>cargar</v>
      </c>
      <c r="I867" s="32">
        <f t="shared" si="118"/>
        <v>2025</v>
      </c>
      <c r="J867" s="32">
        <f t="shared" si="119"/>
        <v>8</v>
      </c>
    </row>
    <row r="868" spans="1:10" x14ac:dyDescent="0.25">
      <c r="A868" t="s">
        <v>877</v>
      </c>
      <c r="B868" t="s">
        <v>1348</v>
      </c>
      <c r="C868">
        <v>1675</v>
      </c>
      <c r="D868">
        <v>9999</v>
      </c>
      <c r="E868" s="4">
        <v>-5468317.8399999999</v>
      </c>
      <c r="F868" t="s">
        <v>1362</v>
      </c>
      <c r="G868">
        <v>1385</v>
      </c>
      <c r="H868" s="32" t="str">
        <f ca="1">+IF(B868&gt;'sap nuevo'!$V$1,"cargar",IF(C868="","cargar","pagado"))</f>
        <v>cargar</v>
      </c>
      <c r="I868" s="32">
        <f t="shared" si="118"/>
        <v>2025</v>
      </c>
      <c r="J868" s="32">
        <f t="shared" si="119"/>
        <v>8</v>
      </c>
    </row>
    <row r="869" spans="1:10" x14ac:dyDescent="0.25">
      <c r="A869" t="s">
        <v>877</v>
      </c>
      <c r="B869" t="s">
        <v>1348</v>
      </c>
      <c r="C869">
        <v>1674</v>
      </c>
      <c r="D869">
        <v>9999</v>
      </c>
      <c r="E869" s="4">
        <v>-5302077.43</v>
      </c>
      <c r="F869" t="s">
        <v>1363</v>
      </c>
      <c r="G869">
        <v>1385</v>
      </c>
      <c r="H869" s="32" t="str">
        <f ca="1">+IF(B869&gt;'sap nuevo'!$V$1,"cargar",IF(C869="","cargar","pagado"))</f>
        <v>cargar</v>
      </c>
      <c r="I869" s="32">
        <f t="shared" si="118"/>
        <v>2025</v>
      </c>
      <c r="J869" s="32">
        <f t="shared" si="119"/>
        <v>8</v>
      </c>
    </row>
    <row r="870" spans="1:10" x14ac:dyDescent="0.25">
      <c r="A870" t="s">
        <v>877</v>
      </c>
      <c r="B870" t="s">
        <v>1348</v>
      </c>
      <c r="C870">
        <v>1685</v>
      </c>
      <c r="D870">
        <v>9999</v>
      </c>
      <c r="E870" s="4">
        <v>-4259943.16</v>
      </c>
      <c r="F870" t="s">
        <v>1364</v>
      </c>
      <c r="G870">
        <v>1385</v>
      </c>
      <c r="H870" s="32" t="str">
        <f ca="1">+IF(B870&gt;'sap nuevo'!$V$1,"cargar",IF(C870="","cargar","pagado"))</f>
        <v>cargar</v>
      </c>
      <c r="I870" s="32">
        <f t="shared" si="118"/>
        <v>2025</v>
      </c>
      <c r="J870" s="32">
        <f t="shared" si="119"/>
        <v>8</v>
      </c>
    </row>
    <row r="871" spans="1:10" x14ac:dyDescent="0.25">
      <c r="A871" t="s">
        <v>877</v>
      </c>
      <c r="B871" t="s">
        <v>1348</v>
      </c>
      <c r="C871">
        <v>1671</v>
      </c>
      <c r="D871">
        <v>9999</v>
      </c>
      <c r="E871" s="4">
        <v>-4027360.32</v>
      </c>
      <c r="F871" t="s">
        <v>1365</v>
      </c>
      <c r="G871">
        <v>1385</v>
      </c>
      <c r="H871" s="32" t="str">
        <f ca="1">+IF(B871&gt;'sap nuevo'!$V$1,"cargar",IF(C871="","cargar","pagado"))</f>
        <v>cargar</v>
      </c>
      <c r="I871" s="32">
        <f t="shared" si="118"/>
        <v>2025</v>
      </c>
      <c r="J871" s="32">
        <f t="shared" si="119"/>
        <v>8</v>
      </c>
    </row>
    <row r="872" spans="1:10" x14ac:dyDescent="0.25">
      <c r="A872" t="s">
        <v>873</v>
      </c>
      <c r="B872" t="s">
        <v>204</v>
      </c>
      <c r="C872">
        <v>1680</v>
      </c>
      <c r="D872">
        <v>9999</v>
      </c>
      <c r="E872" s="4">
        <v>-3113090.53</v>
      </c>
      <c r="F872" t="s">
        <v>1366</v>
      </c>
      <c r="G872">
        <v>3520</v>
      </c>
      <c r="H872" s="32" t="str">
        <f ca="1">+IF(B872&gt;'sap nuevo'!$V$1,"cargar",IF(C872="","cargar","pagado"))</f>
        <v>cargar</v>
      </c>
      <c r="I872" s="32">
        <f t="shared" si="118"/>
        <v>2025</v>
      </c>
      <c r="J872" s="32">
        <f t="shared" si="119"/>
        <v>8</v>
      </c>
    </row>
    <row r="873" spans="1:10" x14ac:dyDescent="0.25">
      <c r="A873" t="s">
        <v>877</v>
      </c>
      <c r="B873" t="s">
        <v>204</v>
      </c>
      <c r="C873">
        <v>1682</v>
      </c>
      <c r="D873">
        <v>9999</v>
      </c>
      <c r="E873" s="4">
        <v>-22086717.969999999</v>
      </c>
      <c r="F873" t="s">
        <v>1367</v>
      </c>
      <c r="G873">
        <v>1385</v>
      </c>
      <c r="H873" s="32" t="str">
        <f ca="1">+IF(B873&gt;'sap nuevo'!$V$1,"cargar",IF(C873="","cargar","pagado"))</f>
        <v>cargar</v>
      </c>
      <c r="I873" s="32">
        <f t="shared" si="118"/>
        <v>2025</v>
      </c>
      <c r="J873" s="32">
        <f t="shared" si="119"/>
        <v>8</v>
      </c>
    </row>
    <row r="874" spans="1:10" x14ac:dyDescent="0.25">
      <c r="A874" t="s">
        <v>877</v>
      </c>
      <c r="B874" t="s">
        <v>204</v>
      </c>
      <c r="C874">
        <v>1668</v>
      </c>
      <c r="D874">
        <v>9999</v>
      </c>
      <c r="E874" s="4">
        <v>-14250175.550000001</v>
      </c>
      <c r="F874" t="s">
        <v>1368</v>
      </c>
      <c r="G874">
        <v>1385</v>
      </c>
      <c r="H874" s="32" t="str">
        <f ca="1">+IF(B874&gt;'sap nuevo'!$V$1,"cargar",IF(C874="","cargar","pagado"))</f>
        <v>cargar</v>
      </c>
      <c r="I874" s="32">
        <f t="shared" si="118"/>
        <v>2025</v>
      </c>
      <c r="J874" s="32">
        <f t="shared" si="119"/>
        <v>8</v>
      </c>
    </row>
    <row r="875" spans="1:10" x14ac:dyDescent="0.25">
      <c r="A875" t="s">
        <v>877</v>
      </c>
      <c r="B875" t="s">
        <v>204</v>
      </c>
      <c r="C875">
        <v>1679</v>
      </c>
      <c r="D875">
        <v>9999</v>
      </c>
      <c r="E875" s="4">
        <v>-9064926.8800000008</v>
      </c>
      <c r="F875" t="s">
        <v>1369</v>
      </c>
      <c r="G875">
        <v>1385</v>
      </c>
      <c r="H875" s="32" t="str">
        <f ca="1">+IF(B875&gt;'sap nuevo'!$V$1,"cargar",IF(C875="","cargar","pagado"))</f>
        <v>cargar</v>
      </c>
      <c r="I875" s="32">
        <f t="shared" si="118"/>
        <v>2025</v>
      </c>
      <c r="J875" s="32">
        <f t="shared" si="119"/>
        <v>8</v>
      </c>
    </row>
    <row r="876" spans="1:10" x14ac:dyDescent="0.25">
      <c r="A876" t="s">
        <v>877</v>
      </c>
      <c r="B876" t="s">
        <v>204</v>
      </c>
      <c r="C876">
        <v>1678</v>
      </c>
      <c r="D876">
        <v>9999</v>
      </c>
      <c r="E876" s="4">
        <v>-8928263.0500000007</v>
      </c>
      <c r="F876" t="s">
        <v>1370</v>
      </c>
      <c r="G876">
        <v>1385</v>
      </c>
      <c r="H876" s="32" t="str">
        <f ca="1">+IF(B876&gt;'sap nuevo'!$V$1,"cargar",IF(C876="","cargar","pagado"))</f>
        <v>cargar</v>
      </c>
      <c r="I876" s="32">
        <f t="shared" si="118"/>
        <v>2025</v>
      </c>
      <c r="J876" s="32">
        <f t="shared" si="119"/>
        <v>8</v>
      </c>
    </row>
    <row r="877" spans="1:10" x14ac:dyDescent="0.25">
      <c r="A877" t="s">
        <v>877</v>
      </c>
      <c r="B877" t="s">
        <v>204</v>
      </c>
      <c r="C877">
        <v>1684</v>
      </c>
      <c r="D877">
        <v>9999</v>
      </c>
      <c r="E877" s="4">
        <v>-8466031.1500000004</v>
      </c>
      <c r="F877" t="s">
        <v>1371</v>
      </c>
      <c r="G877">
        <v>1385</v>
      </c>
      <c r="H877" s="32" t="str">
        <f ca="1">+IF(B877&gt;'sap nuevo'!$V$1,"cargar",IF(C877="","cargar","pagado"))</f>
        <v>cargar</v>
      </c>
      <c r="I877" s="32">
        <f t="shared" si="118"/>
        <v>2025</v>
      </c>
      <c r="J877" s="32">
        <f t="shared" si="119"/>
        <v>8</v>
      </c>
    </row>
    <row r="878" spans="1:10" x14ac:dyDescent="0.25">
      <c r="A878" t="s">
        <v>877</v>
      </c>
      <c r="B878" t="s">
        <v>204</v>
      </c>
      <c r="C878">
        <v>1677</v>
      </c>
      <c r="D878">
        <v>9999</v>
      </c>
      <c r="E878" s="4">
        <v>-5269400.38</v>
      </c>
      <c r="F878" t="s">
        <v>1372</v>
      </c>
      <c r="G878">
        <v>1385</v>
      </c>
      <c r="H878" s="32" t="str">
        <f ca="1">+IF(B878&gt;'sap nuevo'!$V$1,"cargar",IF(C878="","cargar","pagado"))</f>
        <v>cargar</v>
      </c>
      <c r="I878" s="32">
        <f t="shared" si="118"/>
        <v>2025</v>
      </c>
      <c r="J878" s="32">
        <f t="shared" si="119"/>
        <v>8</v>
      </c>
    </row>
    <row r="879" spans="1:10" x14ac:dyDescent="0.25">
      <c r="A879" t="s">
        <v>877</v>
      </c>
      <c r="B879" t="s">
        <v>204</v>
      </c>
      <c r="C879">
        <v>1666</v>
      </c>
      <c r="D879">
        <v>9999</v>
      </c>
      <c r="E879" s="4">
        <v>-4566260</v>
      </c>
      <c r="F879" t="s">
        <v>1373</v>
      </c>
      <c r="G879">
        <v>1385</v>
      </c>
      <c r="H879" s="32" t="str">
        <f ca="1">+IF(B879&gt;'sap nuevo'!$V$1,"cargar",IF(C879="","cargar","pagado"))</f>
        <v>cargar</v>
      </c>
      <c r="I879" s="32">
        <f t="shared" si="118"/>
        <v>2025</v>
      </c>
      <c r="J879" s="32">
        <f t="shared" si="119"/>
        <v>8</v>
      </c>
    </row>
    <row r="880" spans="1:10" x14ac:dyDescent="0.25">
      <c r="A880" t="s">
        <v>877</v>
      </c>
      <c r="B880" t="s">
        <v>204</v>
      </c>
      <c r="C880">
        <v>1676</v>
      </c>
      <c r="D880">
        <v>9999</v>
      </c>
      <c r="E880" s="4">
        <v>-3075986.31</v>
      </c>
      <c r="F880" t="s">
        <v>1374</v>
      </c>
      <c r="G880">
        <v>1385</v>
      </c>
      <c r="H880" s="32" t="str">
        <f ca="1">+IF(B880&gt;'sap nuevo'!$V$1,"cargar",IF(C880="","cargar","pagado"))</f>
        <v>cargar</v>
      </c>
      <c r="I880" s="32">
        <f t="shared" si="118"/>
        <v>2025</v>
      </c>
      <c r="J880" s="32">
        <f t="shared" si="119"/>
        <v>8</v>
      </c>
    </row>
    <row r="881" spans="1:10" x14ac:dyDescent="0.25">
      <c r="A881" t="s">
        <v>873</v>
      </c>
      <c r="B881" t="s">
        <v>1375</v>
      </c>
      <c r="C881">
        <v>1641</v>
      </c>
      <c r="D881">
        <v>9999</v>
      </c>
      <c r="E881" s="4">
        <v>-16760640.93</v>
      </c>
      <c r="F881" t="s">
        <v>1376</v>
      </c>
      <c r="G881">
        <v>3520</v>
      </c>
      <c r="H881" s="32" t="str">
        <f ca="1">+IF(B881&gt;'sap nuevo'!$V$1,"cargar",IF(C881="","cargar","pagado"))</f>
        <v>cargar</v>
      </c>
      <c r="I881" s="32">
        <f t="shared" ref="I881:I893" si="120">+YEAR(B881)</f>
        <v>2025</v>
      </c>
      <c r="J881" s="32">
        <f t="shared" ref="J881:J893" si="121">+MONTH(B881)</f>
        <v>8</v>
      </c>
    </row>
    <row r="882" spans="1:10" x14ac:dyDescent="0.25">
      <c r="A882" t="s">
        <v>877</v>
      </c>
      <c r="B882" t="s">
        <v>1375</v>
      </c>
      <c r="C882">
        <v>1655</v>
      </c>
      <c r="D882">
        <v>9999</v>
      </c>
      <c r="E882" s="4">
        <v>-15035698.949999999</v>
      </c>
      <c r="F882" t="s">
        <v>1377</v>
      </c>
      <c r="G882">
        <v>1385</v>
      </c>
      <c r="H882" s="32" t="str">
        <f ca="1">+IF(B882&gt;'sap nuevo'!$V$1,"cargar",IF(C882="","cargar","pagado"))</f>
        <v>cargar</v>
      </c>
      <c r="I882" s="32">
        <f t="shared" si="120"/>
        <v>2025</v>
      </c>
      <c r="J882" s="32">
        <f t="shared" si="121"/>
        <v>8</v>
      </c>
    </row>
    <row r="883" spans="1:10" x14ac:dyDescent="0.25">
      <c r="A883" t="s">
        <v>877</v>
      </c>
      <c r="B883" t="s">
        <v>205</v>
      </c>
      <c r="C883">
        <v>1696</v>
      </c>
      <c r="D883">
        <v>9999</v>
      </c>
      <c r="E883" s="4">
        <v>-5743027.8600000003</v>
      </c>
      <c r="F883" t="s">
        <v>1378</v>
      </c>
      <c r="G883">
        <v>1385</v>
      </c>
      <c r="H883" s="32" t="str">
        <f ca="1">+IF(B883&gt;'sap nuevo'!$V$1,"cargar",IF(C883="","cargar","pagado"))</f>
        <v>cargar</v>
      </c>
      <c r="I883" s="32">
        <f t="shared" si="120"/>
        <v>2025</v>
      </c>
      <c r="J883" s="32">
        <f t="shared" si="121"/>
        <v>8</v>
      </c>
    </row>
    <row r="884" spans="1:10" x14ac:dyDescent="0.25">
      <c r="A884" t="s">
        <v>877</v>
      </c>
      <c r="B884" t="s">
        <v>205</v>
      </c>
      <c r="C884">
        <v>1695</v>
      </c>
      <c r="D884">
        <v>9999</v>
      </c>
      <c r="E884" s="4">
        <v>-3940857.2</v>
      </c>
      <c r="F884" t="s">
        <v>1379</v>
      </c>
      <c r="G884">
        <v>1385</v>
      </c>
      <c r="H884" s="32" t="str">
        <f ca="1">+IF(B884&gt;'sap nuevo'!$V$1,"cargar",IF(C884="","cargar","pagado"))</f>
        <v>cargar</v>
      </c>
      <c r="I884" s="32">
        <f t="shared" si="120"/>
        <v>2025</v>
      </c>
      <c r="J884" s="32">
        <f t="shared" si="121"/>
        <v>8</v>
      </c>
    </row>
    <row r="885" spans="1:10" x14ac:dyDescent="0.25">
      <c r="A885" t="s">
        <v>877</v>
      </c>
      <c r="B885" t="s">
        <v>205</v>
      </c>
      <c r="C885">
        <v>1670</v>
      </c>
      <c r="D885">
        <v>9999</v>
      </c>
      <c r="E885" s="4">
        <v>-3829588.61</v>
      </c>
      <c r="F885" t="s">
        <v>1380</v>
      </c>
      <c r="G885">
        <v>1385</v>
      </c>
      <c r="H885" s="32" t="str">
        <f ca="1">+IF(B885&gt;'sap nuevo'!$V$1,"cargar",IF(C885="","cargar","pagado"))</f>
        <v>cargar</v>
      </c>
      <c r="I885" s="32">
        <f t="shared" si="120"/>
        <v>2025</v>
      </c>
      <c r="J885" s="32">
        <f t="shared" si="121"/>
        <v>8</v>
      </c>
    </row>
    <row r="886" spans="1:10" x14ac:dyDescent="0.25">
      <c r="A886" t="s">
        <v>877</v>
      </c>
      <c r="B886" t="s">
        <v>205</v>
      </c>
      <c r="C886">
        <v>1691</v>
      </c>
      <c r="D886">
        <v>9999</v>
      </c>
      <c r="E886" s="4">
        <v>-2000000</v>
      </c>
      <c r="F886" t="s">
        <v>1381</v>
      </c>
      <c r="G886">
        <v>1385</v>
      </c>
      <c r="H886" s="32" t="str">
        <f ca="1">+IF(B886&gt;'sap nuevo'!$V$1,"cargar",IF(C886="","cargar","pagado"))</f>
        <v>cargar</v>
      </c>
      <c r="I886" s="32">
        <f t="shared" si="120"/>
        <v>2025</v>
      </c>
      <c r="J886" s="32">
        <f t="shared" si="121"/>
        <v>8</v>
      </c>
    </row>
    <row r="887" spans="1:10" x14ac:dyDescent="0.25">
      <c r="A887" t="s">
        <v>21</v>
      </c>
      <c r="B887" t="s">
        <v>205</v>
      </c>
      <c r="C887">
        <v>91002434</v>
      </c>
      <c r="D887">
        <v>140</v>
      </c>
      <c r="E887" s="4">
        <v>-2189670.7400000002</v>
      </c>
      <c r="F887" t="s">
        <v>80</v>
      </c>
      <c r="G887">
        <v>0</v>
      </c>
      <c r="H887" s="32" t="str">
        <f ca="1">+IF(B887&gt;'sap nuevo'!$V$1,"cargar",IF(C887="","cargar","pagado"))</f>
        <v>cargar</v>
      </c>
      <c r="I887" s="32">
        <f t="shared" si="120"/>
        <v>2025</v>
      </c>
      <c r="J887" s="32">
        <f t="shared" si="121"/>
        <v>8</v>
      </c>
    </row>
    <row r="888" spans="1:10" x14ac:dyDescent="0.25">
      <c r="A888" t="s">
        <v>877</v>
      </c>
      <c r="B888" t="s">
        <v>206</v>
      </c>
      <c r="C888">
        <v>1698</v>
      </c>
      <c r="D888">
        <v>9999</v>
      </c>
      <c r="E888" s="4">
        <v>-14084891.720000001</v>
      </c>
      <c r="F888" t="s">
        <v>1382</v>
      </c>
      <c r="G888">
        <v>1385</v>
      </c>
      <c r="H888" s="32" t="str">
        <f ca="1">+IF(B888&gt;'sap nuevo'!$V$1,"cargar",IF(C888="","cargar","pagado"))</f>
        <v>cargar</v>
      </c>
      <c r="I888" s="32">
        <f t="shared" si="120"/>
        <v>2025</v>
      </c>
      <c r="J888" s="32">
        <f t="shared" si="121"/>
        <v>8</v>
      </c>
    </row>
    <row r="889" spans="1:10" x14ac:dyDescent="0.25">
      <c r="A889" t="s">
        <v>877</v>
      </c>
      <c r="B889" t="s">
        <v>206</v>
      </c>
      <c r="C889">
        <v>1697</v>
      </c>
      <c r="D889">
        <v>9999</v>
      </c>
      <c r="E889" s="4">
        <v>-4713247.1900000004</v>
      </c>
      <c r="F889" t="s">
        <v>1383</v>
      </c>
      <c r="G889">
        <v>1385</v>
      </c>
      <c r="H889" s="32" t="str">
        <f ca="1">+IF(B889&gt;'sap nuevo'!$V$1,"cargar",IF(C889="","cargar","pagado"))</f>
        <v>cargar</v>
      </c>
      <c r="I889" s="32">
        <f t="shared" si="120"/>
        <v>2025</v>
      </c>
      <c r="J889" s="32">
        <f t="shared" si="121"/>
        <v>8</v>
      </c>
    </row>
    <row r="890" spans="1:10" x14ac:dyDescent="0.25">
      <c r="A890" t="s">
        <v>873</v>
      </c>
      <c r="B890" t="s">
        <v>207</v>
      </c>
      <c r="C890">
        <v>1718</v>
      </c>
      <c r="D890">
        <v>9999</v>
      </c>
      <c r="E890" s="4">
        <v>-16993152.620000001</v>
      </c>
      <c r="F890" t="s">
        <v>1384</v>
      </c>
      <c r="G890">
        <v>3520</v>
      </c>
      <c r="H890" s="32" t="str">
        <f ca="1">+IF(B890&gt;'sap nuevo'!$V$1,"cargar",IF(C890="","cargar","pagado"))</f>
        <v>cargar</v>
      </c>
      <c r="I890" s="32">
        <f t="shared" si="120"/>
        <v>2025</v>
      </c>
      <c r="J890" s="32">
        <f t="shared" si="121"/>
        <v>8</v>
      </c>
    </row>
    <row r="891" spans="1:10" x14ac:dyDescent="0.25">
      <c r="A891" t="s">
        <v>873</v>
      </c>
      <c r="B891" t="s">
        <v>207</v>
      </c>
      <c r="C891">
        <v>1726</v>
      </c>
      <c r="D891">
        <v>9999</v>
      </c>
      <c r="E891" s="4">
        <v>-15161549.550000001</v>
      </c>
      <c r="F891" t="s">
        <v>1385</v>
      </c>
      <c r="G891">
        <v>3520</v>
      </c>
      <c r="H891" s="32" t="str">
        <f ca="1">+IF(B891&gt;'sap nuevo'!$V$1,"cargar",IF(C891="","cargar","pagado"))</f>
        <v>cargar</v>
      </c>
      <c r="I891" s="32">
        <f t="shared" si="120"/>
        <v>2025</v>
      </c>
      <c r="J891" s="32">
        <f t="shared" si="121"/>
        <v>8</v>
      </c>
    </row>
    <row r="892" spans="1:10" x14ac:dyDescent="0.25">
      <c r="A892" t="s">
        <v>877</v>
      </c>
      <c r="B892" t="s">
        <v>207</v>
      </c>
      <c r="C892">
        <v>1719</v>
      </c>
      <c r="D892">
        <v>9999</v>
      </c>
      <c r="E892" s="4">
        <v>-20000000</v>
      </c>
      <c r="F892" t="s">
        <v>1386</v>
      </c>
      <c r="G892">
        <v>1385</v>
      </c>
      <c r="H892" s="32" t="str">
        <f ca="1">+IF(B892&gt;'sap nuevo'!$V$1,"cargar",IF(C892="","cargar","pagado"))</f>
        <v>cargar</v>
      </c>
      <c r="I892" s="32">
        <f t="shared" si="120"/>
        <v>2025</v>
      </c>
      <c r="J892" s="32">
        <f t="shared" si="121"/>
        <v>8</v>
      </c>
    </row>
    <row r="893" spans="1:10" x14ac:dyDescent="0.25">
      <c r="A893" t="s">
        <v>873</v>
      </c>
      <c r="B893" t="s">
        <v>208</v>
      </c>
      <c r="C893">
        <v>1720</v>
      </c>
      <c r="D893">
        <v>9999</v>
      </c>
      <c r="E893" s="4">
        <v>-19009118.850000001</v>
      </c>
      <c r="F893" t="s">
        <v>1387</v>
      </c>
      <c r="G893">
        <v>3520</v>
      </c>
      <c r="H893" s="32" t="str">
        <f ca="1">+IF(B893&gt;'sap nuevo'!$V$1,"cargar",IF(C893="","cargar","pagado"))</f>
        <v>cargar</v>
      </c>
      <c r="I893" s="32">
        <f t="shared" si="120"/>
        <v>2025</v>
      </c>
      <c r="J893" s="32">
        <f t="shared" si="121"/>
        <v>8</v>
      </c>
    </row>
    <row r="894" spans="1:10" x14ac:dyDescent="0.25">
      <c r="A894" t="s">
        <v>873</v>
      </c>
      <c r="B894" t="s">
        <v>208</v>
      </c>
      <c r="C894">
        <v>1733</v>
      </c>
      <c r="D894">
        <v>9999</v>
      </c>
      <c r="E894" s="4">
        <v>-18834275.710000001</v>
      </c>
      <c r="F894" t="s">
        <v>1388</v>
      </c>
      <c r="G894">
        <v>3520</v>
      </c>
      <c r="H894" s="32" t="str">
        <f ca="1">+IF(B894&gt;'sap nuevo'!$V$1,"cargar",IF(C894="","cargar","pagado"))</f>
        <v>cargar</v>
      </c>
      <c r="I894" s="32">
        <f t="shared" ref="I894:I905" si="122">+YEAR(B894)</f>
        <v>2025</v>
      </c>
      <c r="J894" s="32">
        <f t="shared" ref="J894:J905" si="123">+MONTH(B894)</f>
        <v>8</v>
      </c>
    </row>
    <row r="895" spans="1:10" x14ac:dyDescent="0.25">
      <c r="A895" t="s">
        <v>877</v>
      </c>
      <c r="B895" t="s">
        <v>207</v>
      </c>
      <c r="C895">
        <v>1729</v>
      </c>
      <c r="D895">
        <v>9999</v>
      </c>
      <c r="E895" s="4">
        <v>-17000000</v>
      </c>
      <c r="F895" t="s">
        <v>1389</v>
      </c>
      <c r="G895">
        <v>1385</v>
      </c>
      <c r="H895" s="32" t="str">
        <f ca="1">+IF(B895&gt;'sap nuevo'!$V$1,"cargar",IF(C895="","cargar","pagado"))</f>
        <v>cargar</v>
      </c>
      <c r="I895" s="32">
        <f t="shared" si="122"/>
        <v>2025</v>
      </c>
      <c r="J895" s="32">
        <f t="shared" si="123"/>
        <v>8</v>
      </c>
    </row>
    <row r="896" spans="1:10" x14ac:dyDescent="0.25">
      <c r="A896" t="s">
        <v>873</v>
      </c>
      <c r="B896" t="s">
        <v>208</v>
      </c>
      <c r="C896">
        <v>1699</v>
      </c>
      <c r="D896">
        <v>9999</v>
      </c>
      <c r="E896" s="4">
        <v>-16044280</v>
      </c>
      <c r="F896" t="s">
        <v>1390</v>
      </c>
      <c r="G896">
        <v>3520</v>
      </c>
      <c r="H896" s="32" t="str">
        <f ca="1">+IF(B896&gt;'sap nuevo'!$V$1,"cargar",IF(C896="","cargar","pagado"))</f>
        <v>cargar</v>
      </c>
      <c r="I896" s="32">
        <f t="shared" si="122"/>
        <v>2025</v>
      </c>
      <c r="J896" s="32">
        <f t="shared" si="123"/>
        <v>8</v>
      </c>
    </row>
    <row r="897" spans="1:10" x14ac:dyDescent="0.25">
      <c r="A897" t="s">
        <v>877</v>
      </c>
      <c r="B897" t="s">
        <v>207</v>
      </c>
      <c r="C897">
        <v>1723</v>
      </c>
      <c r="D897">
        <v>9999</v>
      </c>
      <c r="E897" s="4">
        <v>-14878173.140000001</v>
      </c>
      <c r="F897" t="s">
        <v>1391</v>
      </c>
      <c r="G897">
        <v>1385</v>
      </c>
      <c r="H897" s="32" t="str">
        <f ca="1">+IF(B897&gt;'sap nuevo'!$V$1,"cargar",IF(C897="","cargar","pagado"))</f>
        <v>cargar</v>
      </c>
      <c r="I897" s="32">
        <f t="shared" si="122"/>
        <v>2025</v>
      </c>
      <c r="J897" s="32">
        <f t="shared" si="123"/>
        <v>8</v>
      </c>
    </row>
    <row r="898" spans="1:10" x14ac:dyDescent="0.25">
      <c r="A898" t="s">
        <v>877</v>
      </c>
      <c r="B898" t="s">
        <v>207</v>
      </c>
      <c r="C898">
        <v>1731</v>
      </c>
      <c r="D898">
        <v>9999</v>
      </c>
      <c r="E898" s="4">
        <v>-11721110.939999999</v>
      </c>
      <c r="F898" t="s">
        <v>1392</v>
      </c>
      <c r="G898">
        <v>1385</v>
      </c>
      <c r="H898" s="32" t="str">
        <f ca="1">+IF(B898&gt;'sap nuevo'!$V$1,"cargar",IF(C898="","cargar","pagado"))</f>
        <v>cargar</v>
      </c>
      <c r="I898" s="32">
        <f t="shared" si="122"/>
        <v>2025</v>
      </c>
      <c r="J898" s="32">
        <f t="shared" si="123"/>
        <v>8</v>
      </c>
    </row>
    <row r="899" spans="1:10" x14ac:dyDescent="0.25">
      <c r="A899" t="s">
        <v>877</v>
      </c>
      <c r="B899" t="s">
        <v>207</v>
      </c>
      <c r="C899">
        <v>1728</v>
      </c>
      <c r="D899">
        <v>9999</v>
      </c>
      <c r="E899" s="4">
        <v>-9357744.5800000001</v>
      </c>
      <c r="F899" t="s">
        <v>1393</v>
      </c>
      <c r="G899">
        <v>1385</v>
      </c>
      <c r="H899" s="32" t="str">
        <f ca="1">+IF(B899&gt;'sap nuevo'!$V$1,"cargar",IF(C899="","cargar","pagado"))</f>
        <v>cargar</v>
      </c>
      <c r="I899" s="32">
        <f t="shared" si="122"/>
        <v>2025</v>
      </c>
      <c r="J899" s="32">
        <f t="shared" si="123"/>
        <v>8</v>
      </c>
    </row>
    <row r="900" spans="1:10" x14ac:dyDescent="0.25">
      <c r="A900" t="s">
        <v>877</v>
      </c>
      <c r="B900" t="s">
        <v>207</v>
      </c>
      <c r="C900">
        <v>1700</v>
      </c>
      <c r="D900">
        <v>9999</v>
      </c>
      <c r="E900" s="4">
        <v>-8035282.5</v>
      </c>
      <c r="F900" t="s">
        <v>1394</v>
      </c>
      <c r="G900">
        <v>1385</v>
      </c>
      <c r="H900" s="32" t="str">
        <f ca="1">+IF(B900&gt;'sap nuevo'!$V$1,"cargar",IF(C900="","cargar","pagado"))</f>
        <v>cargar</v>
      </c>
      <c r="I900" s="32">
        <f t="shared" si="122"/>
        <v>2025</v>
      </c>
      <c r="J900" s="32">
        <f t="shared" si="123"/>
        <v>8</v>
      </c>
    </row>
    <row r="901" spans="1:10" x14ac:dyDescent="0.25">
      <c r="A901" t="s">
        <v>877</v>
      </c>
      <c r="B901" t="s">
        <v>207</v>
      </c>
      <c r="C901">
        <v>1724</v>
      </c>
      <c r="D901">
        <v>9999</v>
      </c>
      <c r="E901" s="4">
        <v>-6390082.6600000001</v>
      </c>
      <c r="F901" t="s">
        <v>1395</v>
      </c>
      <c r="G901">
        <v>1385</v>
      </c>
      <c r="H901" s="32" t="str">
        <f ca="1">+IF(B901&gt;'sap nuevo'!$V$1,"cargar",IF(C901="","cargar","pagado"))</f>
        <v>cargar</v>
      </c>
      <c r="I901" s="32">
        <f t="shared" si="122"/>
        <v>2025</v>
      </c>
      <c r="J901" s="32">
        <f t="shared" si="123"/>
        <v>8</v>
      </c>
    </row>
    <row r="902" spans="1:10" x14ac:dyDescent="0.25">
      <c r="A902" t="s">
        <v>877</v>
      </c>
      <c r="B902" t="s">
        <v>207</v>
      </c>
      <c r="C902">
        <v>1727</v>
      </c>
      <c r="D902">
        <v>9999</v>
      </c>
      <c r="E902" s="4">
        <v>-4416003.25</v>
      </c>
      <c r="F902" t="s">
        <v>1396</v>
      </c>
      <c r="G902">
        <v>1385</v>
      </c>
      <c r="H902" s="32" t="str">
        <f ca="1">+IF(B902&gt;'sap nuevo'!$V$1,"cargar",IF(C902="","cargar","pagado"))</f>
        <v>cargar</v>
      </c>
      <c r="I902" s="32">
        <f t="shared" si="122"/>
        <v>2025</v>
      </c>
      <c r="J902" s="32">
        <f t="shared" si="123"/>
        <v>8</v>
      </c>
    </row>
    <row r="903" spans="1:10" x14ac:dyDescent="0.25">
      <c r="A903" t="s">
        <v>877</v>
      </c>
      <c r="B903" t="s">
        <v>207</v>
      </c>
      <c r="C903">
        <v>1734</v>
      </c>
      <c r="D903">
        <v>9999</v>
      </c>
      <c r="E903" s="4">
        <v>-494932.56</v>
      </c>
      <c r="F903" t="s">
        <v>1397</v>
      </c>
      <c r="G903">
        <v>1385</v>
      </c>
      <c r="H903" s="32" t="str">
        <f ca="1">+IF(B903&gt;'sap nuevo'!$V$1,"cargar",IF(C903="","cargar","pagado"))</f>
        <v>cargar</v>
      </c>
      <c r="I903" s="32">
        <f t="shared" si="122"/>
        <v>2025</v>
      </c>
      <c r="J903" s="32">
        <f t="shared" si="123"/>
        <v>8</v>
      </c>
    </row>
    <row r="904" spans="1:10" x14ac:dyDescent="0.25">
      <c r="A904" t="s">
        <v>877</v>
      </c>
      <c r="B904" t="s">
        <v>208</v>
      </c>
      <c r="C904">
        <v>1730</v>
      </c>
      <c r="D904">
        <v>9999</v>
      </c>
      <c r="E904" s="4">
        <v>-16714517.289999999</v>
      </c>
      <c r="F904" t="s">
        <v>1398</v>
      </c>
      <c r="G904">
        <v>1385</v>
      </c>
      <c r="H904" s="32" t="str">
        <f ca="1">+IF(B904&gt;'sap nuevo'!$V$1,"cargar",IF(C904="","cargar","pagado"))</f>
        <v>cargar</v>
      </c>
      <c r="I904" s="32">
        <f t="shared" si="122"/>
        <v>2025</v>
      </c>
      <c r="J904" s="32">
        <f t="shared" si="123"/>
        <v>8</v>
      </c>
    </row>
    <row r="905" spans="1:10" x14ac:dyDescent="0.25">
      <c r="A905" t="s">
        <v>877</v>
      </c>
      <c r="B905" t="s">
        <v>208</v>
      </c>
      <c r="C905">
        <v>1722</v>
      </c>
      <c r="D905">
        <v>9999</v>
      </c>
      <c r="E905" s="4">
        <v>-4269086.9400000004</v>
      </c>
      <c r="F905" t="s">
        <v>1399</v>
      </c>
      <c r="G905">
        <v>1385</v>
      </c>
      <c r="H905" s="32" t="str">
        <f ca="1">+IF(B905&gt;'sap nuevo'!$V$1,"cargar",IF(C905="","cargar","pagado"))</f>
        <v>cargar</v>
      </c>
      <c r="I905" s="32">
        <f t="shared" si="122"/>
        <v>2025</v>
      </c>
      <c r="J905" s="32">
        <f t="shared" si="123"/>
        <v>8</v>
      </c>
    </row>
    <row r="906" spans="1:10" x14ac:dyDescent="0.25">
      <c r="A906" t="s">
        <v>873</v>
      </c>
      <c r="B906" t="s">
        <v>209</v>
      </c>
      <c r="C906">
        <v>1748</v>
      </c>
      <c r="D906">
        <v>9999</v>
      </c>
      <c r="E906" s="4">
        <v>-12494485.41</v>
      </c>
      <c r="F906" t="s">
        <v>1400</v>
      </c>
      <c r="G906">
        <v>3520</v>
      </c>
      <c r="H906" s="32" t="str">
        <f ca="1">+IF(B906&gt;'sap nuevo'!$V$1,"cargar",IF(C906="","cargar","pagado"))</f>
        <v>cargar</v>
      </c>
      <c r="I906" s="32">
        <f t="shared" ref="I906:I926" si="124">+YEAR(B906)</f>
        <v>2025</v>
      </c>
      <c r="J906" s="32">
        <f t="shared" ref="J906:J926" si="125">+MONTH(B906)</f>
        <v>8</v>
      </c>
    </row>
    <row r="907" spans="1:10" x14ac:dyDescent="0.25">
      <c r="A907" t="s">
        <v>873</v>
      </c>
      <c r="B907" t="s">
        <v>209</v>
      </c>
      <c r="C907">
        <v>1744</v>
      </c>
      <c r="D907">
        <v>9999</v>
      </c>
      <c r="E907" s="4">
        <v>-10000000</v>
      </c>
      <c r="F907" t="s">
        <v>1401</v>
      </c>
      <c r="G907">
        <v>3520</v>
      </c>
      <c r="H907" s="32" t="str">
        <f ca="1">+IF(B907&gt;'sap nuevo'!$V$1,"cargar",IF(C907="","cargar","pagado"))</f>
        <v>cargar</v>
      </c>
      <c r="I907" s="32">
        <f t="shared" si="124"/>
        <v>2025</v>
      </c>
      <c r="J907" s="32">
        <f t="shared" si="125"/>
        <v>8</v>
      </c>
    </row>
    <row r="908" spans="1:10" x14ac:dyDescent="0.25">
      <c r="A908" t="s">
        <v>873</v>
      </c>
      <c r="B908" t="s">
        <v>209</v>
      </c>
      <c r="C908">
        <v>1742</v>
      </c>
      <c r="D908">
        <v>9999</v>
      </c>
      <c r="E908" s="4">
        <v>-10000000</v>
      </c>
      <c r="F908" t="s">
        <v>1402</v>
      </c>
      <c r="G908">
        <v>3520</v>
      </c>
      <c r="H908" s="32" t="str">
        <f ca="1">+IF(B908&gt;'sap nuevo'!$V$1,"cargar",IF(C908="","cargar","pagado"))</f>
        <v>cargar</v>
      </c>
      <c r="I908" s="32">
        <f t="shared" si="124"/>
        <v>2025</v>
      </c>
      <c r="J908" s="32">
        <f t="shared" si="125"/>
        <v>8</v>
      </c>
    </row>
    <row r="909" spans="1:10" x14ac:dyDescent="0.25">
      <c r="A909" t="s">
        <v>873</v>
      </c>
      <c r="B909" t="s">
        <v>209</v>
      </c>
      <c r="C909">
        <v>1750</v>
      </c>
      <c r="D909">
        <v>9999</v>
      </c>
      <c r="E909" s="4">
        <v>-7049695.46</v>
      </c>
      <c r="F909" t="s">
        <v>1403</v>
      </c>
      <c r="G909">
        <v>3520</v>
      </c>
      <c r="H909" s="32" t="str">
        <f ca="1">+IF(B909&gt;'sap nuevo'!$V$1,"cargar",IF(C909="","cargar","pagado"))</f>
        <v>cargar</v>
      </c>
      <c r="I909" s="32">
        <f t="shared" si="124"/>
        <v>2025</v>
      </c>
      <c r="J909" s="32">
        <f t="shared" si="125"/>
        <v>8</v>
      </c>
    </row>
    <row r="910" spans="1:10" x14ac:dyDescent="0.25">
      <c r="A910" t="s">
        <v>873</v>
      </c>
      <c r="B910" t="s">
        <v>209</v>
      </c>
      <c r="C910">
        <v>1757</v>
      </c>
      <c r="D910">
        <v>9999</v>
      </c>
      <c r="E910" s="4">
        <v>-6624227</v>
      </c>
      <c r="F910" t="s">
        <v>1404</v>
      </c>
      <c r="G910">
        <v>3520</v>
      </c>
      <c r="H910" s="32" t="str">
        <f ca="1">+IF(B910&gt;'sap nuevo'!$V$1,"cargar",IF(C910="","cargar","pagado"))</f>
        <v>cargar</v>
      </c>
      <c r="I910" s="32">
        <f t="shared" si="124"/>
        <v>2025</v>
      </c>
      <c r="J910" s="32">
        <f t="shared" si="125"/>
        <v>8</v>
      </c>
    </row>
    <row r="911" spans="1:10" x14ac:dyDescent="0.25">
      <c r="A911" t="s">
        <v>873</v>
      </c>
      <c r="B911" t="s">
        <v>209</v>
      </c>
      <c r="C911">
        <v>1751</v>
      </c>
      <c r="D911">
        <v>9999</v>
      </c>
      <c r="E911" s="4">
        <v>-3946929</v>
      </c>
      <c r="F911" t="s">
        <v>1405</v>
      </c>
      <c r="G911">
        <v>3520</v>
      </c>
      <c r="H911" s="32" t="str">
        <f ca="1">+IF(B911&gt;'sap nuevo'!$V$1,"cargar",IF(C911="","cargar","pagado"))</f>
        <v>cargar</v>
      </c>
      <c r="I911" s="32">
        <f t="shared" si="124"/>
        <v>2025</v>
      </c>
      <c r="J911" s="32">
        <f t="shared" si="125"/>
        <v>8</v>
      </c>
    </row>
    <row r="912" spans="1:10" x14ac:dyDescent="0.25">
      <c r="A912" t="s">
        <v>877</v>
      </c>
      <c r="B912" t="s">
        <v>209</v>
      </c>
      <c r="C912">
        <v>1735</v>
      </c>
      <c r="D912">
        <v>9999</v>
      </c>
      <c r="E912" s="4">
        <v>-56179595.159999996</v>
      </c>
      <c r="F912" t="s">
        <v>1406</v>
      </c>
      <c r="G912">
        <v>1385</v>
      </c>
      <c r="H912" s="32" t="str">
        <f ca="1">+IF(B912&gt;'sap nuevo'!$V$1,"cargar",IF(C912="","cargar","pagado"))</f>
        <v>cargar</v>
      </c>
      <c r="I912" s="32">
        <f t="shared" si="124"/>
        <v>2025</v>
      </c>
      <c r="J912" s="32">
        <f t="shared" si="125"/>
        <v>8</v>
      </c>
    </row>
    <row r="913" spans="1:10" x14ac:dyDescent="0.25">
      <c r="A913" t="s">
        <v>877</v>
      </c>
      <c r="B913" t="s">
        <v>209</v>
      </c>
      <c r="C913">
        <v>1736</v>
      </c>
      <c r="D913">
        <v>9999</v>
      </c>
      <c r="E913" s="4">
        <v>-25000000</v>
      </c>
      <c r="F913" t="s">
        <v>1407</v>
      </c>
      <c r="G913">
        <v>1385</v>
      </c>
      <c r="H913" s="32" t="str">
        <f ca="1">+IF(B913&gt;'sap nuevo'!$V$1,"cargar",IF(C913="","cargar","pagado"))</f>
        <v>cargar</v>
      </c>
      <c r="I913" s="32">
        <f t="shared" si="124"/>
        <v>2025</v>
      </c>
      <c r="J913" s="32">
        <f t="shared" si="125"/>
        <v>8</v>
      </c>
    </row>
    <row r="914" spans="1:10" x14ac:dyDescent="0.25">
      <c r="A914" t="s">
        <v>877</v>
      </c>
      <c r="B914" t="s">
        <v>209</v>
      </c>
      <c r="C914">
        <v>1740</v>
      </c>
      <c r="D914">
        <v>9999</v>
      </c>
      <c r="E914" s="4">
        <v>-20000000</v>
      </c>
      <c r="F914" t="s">
        <v>1408</v>
      </c>
      <c r="G914">
        <v>1385</v>
      </c>
      <c r="H914" s="32" t="str">
        <f ca="1">+IF(B914&gt;'sap nuevo'!$V$1,"cargar",IF(C914="","cargar","pagado"))</f>
        <v>cargar</v>
      </c>
      <c r="I914" s="32">
        <f t="shared" si="124"/>
        <v>2025</v>
      </c>
      <c r="J914" s="32">
        <f t="shared" si="125"/>
        <v>8</v>
      </c>
    </row>
    <row r="915" spans="1:10" x14ac:dyDescent="0.25">
      <c r="A915" t="s">
        <v>877</v>
      </c>
      <c r="B915" t="s">
        <v>209</v>
      </c>
      <c r="C915">
        <v>1764</v>
      </c>
      <c r="D915">
        <v>9999</v>
      </c>
      <c r="E915" s="4">
        <v>-17000000</v>
      </c>
      <c r="F915" t="s">
        <v>1409</v>
      </c>
      <c r="G915">
        <v>1385</v>
      </c>
      <c r="H915" s="32" t="str">
        <f ca="1">+IF(B915&gt;'sap nuevo'!$V$1,"cargar",IF(C915="","cargar","pagado"))</f>
        <v>cargar</v>
      </c>
      <c r="I915" s="32">
        <f t="shared" si="124"/>
        <v>2025</v>
      </c>
      <c r="J915" s="32">
        <f t="shared" si="125"/>
        <v>8</v>
      </c>
    </row>
    <row r="916" spans="1:10" x14ac:dyDescent="0.25">
      <c r="A916" t="s">
        <v>877</v>
      </c>
      <c r="B916" t="s">
        <v>209</v>
      </c>
      <c r="C916">
        <v>1725</v>
      </c>
      <c r="D916">
        <v>9999</v>
      </c>
      <c r="E916" s="4">
        <v>-14163345.369999999</v>
      </c>
      <c r="F916" t="s">
        <v>1410</v>
      </c>
      <c r="G916">
        <v>1385</v>
      </c>
      <c r="H916" s="32" t="str">
        <f ca="1">+IF(B916&gt;'sap nuevo'!$V$1,"cargar",IF(C916="","cargar","pagado"))</f>
        <v>cargar</v>
      </c>
      <c r="I916" s="32">
        <f t="shared" si="124"/>
        <v>2025</v>
      </c>
      <c r="J916" s="32">
        <f t="shared" si="125"/>
        <v>8</v>
      </c>
    </row>
    <row r="917" spans="1:10" x14ac:dyDescent="0.25">
      <c r="A917" t="s">
        <v>877</v>
      </c>
      <c r="B917" t="s">
        <v>209</v>
      </c>
      <c r="C917">
        <v>1738</v>
      </c>
      <c r="D917">
        <v>9999</v>
      </c>
      <c r="E917" s="4">
        <v>-11000000</v>
      </c>
      <c r="F917" t="s">
        <v>1411</v>
      </c>
      <c r="G917">
        <v>1385</v>
      </c>
      <c r="H917" s="32" t="str">
        <f ca="1">+IF(B917&gt;'sap nuevo'!$V$1,"cargar",IF(C917="","cargar","pagado"))</f>
        <v>cargar</v>
      </c>
      <c r="I917" s="32">
        <f t="shared" si="124"/>
        <v>2025</v>
      </c>
      <c r="J917" s="32">
        <f t="shared" si="125"/>
        <v>8</v>
      </c>
    </row>
    <row r="918" spans="1:10" x14ac:dyDescent="0.25">
      <c r="A918" t="s">
        <v>877</v>
      </c>
      <c r="B918" t="s">
        <v>209</v>
      </c>
      <c r="C918">
        <v>1758</v>
      </c>
      <c r="D918">
        <v>9999</v>
      </c>
      <c r="E918" s="4">
        <v>-10000000</v>
      </c>
      <c r="F918" t="s">
        <v>1412</v>
      </c>
      <c r="G918">
        <v>1385</v>
      </c>
      <c r="H918" s="32" t="str">
        <f ca="1">+IF(B918&gt;'sap nuevo'!$V$1,"cargar",IF(C918="","cargar","pagado"))</f>
        <v>cargar</v>
      </c>
      <c r="I918" s="32">
        <f t="shared" si="124"/>
        <v>2025</v>
      </c>
      <c r="J918" s="32">
        <f t="shared" si="125"/>
        <v>8</v>
      </c>
    </row>
    <row r="919" spans="1:10" x14ac:dyDescent="0.25">
      <c r="A919" t="s">
        <v>877</v>
      </c>
      <c r="B919" t="s">
        <v>209</v>
      </c>
      <c r="C919">
        <v>1749</v>
      </c>
      <c r="D919">
        <v>9999</v>
      </c>
      <c r="E919" s="4">
        <v>-9873360.3100000005</v>
      </c>
      <c r="F919" t="s">
        <v>1413</v>
      </c>
      <c r="G919">
        <v>1385</v>
      </c>
      <c r="H919" s="32" t="str">
        <f ca="1">+IF(B919&gt;'sap nuevo'!$V$1,"cargar",IF(C919="","cargar","pagado"))</f>
        <v>cargar</v>
      </c>
      <c r="I919" s="32">
        <f t="shared" si="124"/>
        <v>2025</v>
      </c>
      <c r="J919" s="32">
        <f t="shared" si="125"/>
        <v>8</v>
      </c>
    </row>
    <row r="920" spans="1:10" x14ac:dyDescent="0.25">
      <c r="A920" t="s">
        <v>877</v>
      </c>
      <c r="B920" t="s">
        <v>209</v>
      </c>
      <c r="C920">
        <v>1762</v>
      </c>
      <c r="D920">
        <v>9999</v>
      </c>
      <c r="E920" s="4">
        <v>-8426925.8499999996</v>
      </c>
      <c r="F920" t="s">
        <v>1414</v>
      </c>
      <c r="G920">
        <v>1385</v>
      </c>
      <c r="H920" s="32" t="str">
        <f ca="1">+IF(B920&gt;'sap nuevo'!$V$1,"cargar",IF(C920="","cargar","pagado"))</f>
        <v>cargar</v>
      </c>
      <c r="I920" s="32">
        <f t="shared" si="124"/>
        <v>2025</v>
      </c>
      <c r="J920" s="32">
        <f t="shared" si="125"/>
        <v>8</v>
      </c>
    </row>
    <row r="921" spans="1:10" x14ac:dyDescent="0.25">
      <c r="A921" t="s">
        <v>873</v>
      </c>
      <c r="B921" t="s">
        <v>210</v>
      </c>
      <c r="C921">
        <v>1743</v>
      </c>
      <c r="D921">
        <v>9999</v>
      </c>
      <c r="E921" s="4">
        <v>-7123598.3499999996</v>
      </c>
      <c r="F921" t="s">
        <v>1415</v>
      </c>
      <c r="G921">
        <v>3520</v>
      </c>
      <c r="H921" s="32" t="str">
        <f ca="1">+IF(B921&gt;'sap nuevo'!$V$1,"cargar",IF(C921="","cargar","pagado"))</f>
        <v>cargar</v>
      </c>
      <c r="I921" s="32">
        <f t="shared" si="124"/>
        <v>2025</v>
      </c>
      <c r="J921" s="32">
        <f t="shared" si="125"/>
        <v>8</v>
      </c>
    </row>
    <row r="922" spans="1:10" x14ac:dyDescent="0.25">
      <c r="A922" t="s">
        <v>877</v>
      </c>
      <c r="B922" t="s">
        <v>209</v>
      </c>
      <c r="C922">
        <v>1761</v>
      </c>
      <c r="D922">
        <v>9999</v>
      </c>
      <c r="E922" s="4">
        <v>-5662656.8099999996</v>
      </c>
      <c r="F922" t="s">
        <v>1416</v>
      </c>
      <c r="G922">
        <v>1385</v>
      </c>
      <c r="H922" s="32" t="str">
        <f ca="1">+IF(B922&gt;'sap nuevo'!$V$1,"cargar",IF(C922="","cargar","pagado"))</f>
        <v>cargar</v>
      </c>
      <c r="I922" s="32">
        <f t="shared" si="124"/>
        <v>2025</v>
      </c>
      <c r="J922" s="32">
        <f t="shared" si="125"/>
        <v>8</v>
      </c>
    </row>
    <row r="923" spans="1:10" x14ac:dyDescent="0.25">
      <c r="A923" t="s">
        <v>877</v>
      </c>
      <c r="B923" t="s">
        <v>209</v>
      </c>
      <c r="C923">
        <v>1763</v>
      </c>
      <c r="D923">
        <v>9999</v>
      </c>
      <c r="E923" s="4">
        <v>-5062829.5</v>
      </c>
      <c r="F923" t="s">
        <v>1417</v>
      </c>
      <c r="G923">
        <v>1385</v>
      </c>
      <c r="H923" s="32" t="str">
        <f ca="1">+IF(B923&gt;'sap nuevo'!$V$1,"cargar",IF(C923="","cargar","pagado"))</f>
        <v>cargar</v>
      </c>
      <c r="I923" s="32">
        <f t="shared" si="124"/>
        <v>2025</v>
      </c>
      <c r="J923" s="32">
        <f t="shared" si="125"/>
        <v>8</v>
      </c>
    </row>
    <row r="924" spans="1:10" x14ac:dyDescent="0.25">
      <c r="A924" t="s">
        <v>877</v>
      </c>
      <c r="B924" t="s">
        <v>209</v>
      </c>
      <c r="C924">
        <v>1753</v>
      </c>
      <c r="D924">
        <v>9999</v>
      </c>
      <c r="E924" s="4">
        <v>-5000000</v>
      </c>
      <c r="F924" t="s">
        <v>1418</v>
      </c>
      <c r="G924">
        <v>1385</v>
      </c>
      <c r="H924" s="32" t="str">
        <f ca="1">+IF(B924&gt;'sap nuevo'!$V$1,"cargar",IF(C924="","cargar","pagado"))</f>
        <v>cargar</v>
      </c>
      <c r="I924" s="32">
        <f t="shared" si="124"/>
        <v>2025</v>
      </c>
      <c r="J924" s="32">
        <f t="shared" si="125"/>
        <v>8</v>
      </c>
    </row>
    <row r="925" spans="1:10" x14ac:dyDescent="0.25">
      <c r="A925" t="s">
        <v>877</v>
      </c>
      <c r="B925" t="s">
        <v>209</v>
      </c>
      <c r="C925">
        <v>1754</v>
      </c>
      <c r="D925">
        <v>9999</v>
      </c>
      <c r="E925" s="4">
        <v>-3000000</v>
      </c>
      <c r="F925" t="s">
        <v>1419</v>
      </c>
      <c r="G925">
        <v>1385</v>
      </c>
      <c r="H925" s="32" t="str">
        <f ca="1">+IF(B925&gt;'sap nuevo'!$V$1,"cargar",IF(C925="","cargar","pagado"))</f>
        <v>cargar</v>
      </c>
      <c r="I925" s="32">
        <f t="shared" si="124"/>
        <v>2025</v>
      </c>
      <c r="J925" s="32">
        <f t="shared" si="125"/>
        <v>8</v>
      </c>
    </row>
    <row r="926" spans="1:10" x14ac:dyDescent="0.25">
      <c r="A926" t="s">
        <v>877</v>
      </c>
      <c r="B926" t="s">
        <v>210</v>
      </c>
      <c r="C926">
        <v>1755</v>
      </c>
      <c r="D926">
        <v>9999</v>
      </c>
      <c r="E926" s="4">
        <v>-40000000</v>
      </c>
      <c r="F926" t="s">
        <v>1420</v>
      </c>
      <c r="G926">
        <v>1385</v>
      </c>
      <c r="H926" s="32" t="str">
        <f ca="1">+IF(B926&gt;'sap nuevo'!$V$1,"cargar",IF(C926="","cargar","pagado"))</f>
        <v>cargar</v>
      </c>
      <c r="I926" s="32">
        <f t="shared" si="124"/>
        <v>2025</v>
      </c>
      <c r="J926" s="32">
        <f t="shared" si="125"/>
        <v>8</v>
      </c>
    </row>
    <row r="927" spans="1:10" x14ac:dyDescent="0.25">
      <c r="A927" t="s">
        <v>877</v>
      </c>
      <c r="B927" t="s">
        <v>210</v>
      </c>
      <c r="C927">
        <v>1737</v>
      </c>
      <c r="D927">
        <v>9999</v>
      </c>
      <c r="E927" s="4">
        <v>-23343278.77</v>
      </c>
      <c r="F927" t="s">
        <v>1421</v>
      </c>
      <c r="G927">
        <v>1385</v>
      </c>
      <c r="H927" s="32" t="str">
        <f ca="1">+IF(B927&gt;'sap nuevo'!$V$1,"cargar",IF(C927="","cargar","pagado"))</f>
        <v>cargar</v>
      </c>
      <c r="I927" s="32">
        <f t="shared" ref="I927:I935" si="126">+YEAR(B927)</f>
        <v>2025</v>
      </c>
      <c r="J927" s="32">
        <f t="shared" ref="J927:J935" si="127">+MONTH(B927)</f>
        <v>8</v>
      </c>
    </row>
    <row r="928" spans="1:10" x14ac:dyDescent="0.25">
      <c r="A928" t="s">
        <v>877</v>
      </c>
      <c r="B928" t="s">
        <v>210</v>
      </c>
      <c r="C928">
        <v>1765</v>
      </c>
      <c r="D928">
        <v>9999</v>
      </c>
      <c r="E928" s="4">
        <v>-12000000</v>
      </c>
      <c r="F928" t="s">
        <v>1422</v>
      </c>
      <c r="G928">
        <v>1385</v>
      </c>
      <c r="H928" s="32" t="str">
        <f ca="1">+IF(B928&gt;'sap nuevo'!$V$1,"cargar",IF(C928="","cargar","pagado"))</f>
        <v>cargar</v>
      </c>
      <c r="I928" s="32">
        <f t="shared" si="126"/>
        <v>2025</v>
      </c>
      <c r="J928" s="32">
        <f t="shared" si="127"/>
        <v>8</v>
      </c>
    </row>
    <row r="929" spans="1:10" x14ac:dyDescent="0.25">
      <c r="A929" t="s">
        <v>877</v>
      </c>
      <c r="B929" t="s">
        <v>210</v>
      </c>
      <c r="C929">
        <v>1745</v>
      </c>
      <c r="D929">
        <v>9999</v>
      </c>
      <c r="E929" s="4">
        <v>-11482137.98</v>
      </c>
      <c r="F929" t="s">
        <v>1423</v>
      </c>
      <c r="G929">
        <v>1385</v>
      </c>
      <c r="H929" s="32" t="str">
        <f ca="1">+IF(B929&gt;'sap nuevo'!$V$1,"cargar",IF(C929="","cargar","pagado"))</f>
        <v>cargar</v>
      </c>
      <c r="I929" s="32">
        <f t="shared" si="126"/>
        <v>2025</v>
      </c>
      <c r="J929" s="32">
        <f t="shared" si="127"/>
        <v>8</v>
      </c>
    </row>
    <row r="930" spans="1:10" x14ac:dyDescent="0.25">
      <c r="A930" t="s">
        <v>877</v>
      </c>
      <c r="B930" t="s">
        <v>210</v>
      </c>
      <c r="C930">
        <v>1739</v>
      </c>
      <c r="D930">
        <v>9999</v>
      </c>
      <c r="E930" s="4">
        <v>-10034812.949999999</v>
      </c>
      <c r="F930" t="s">
        <v>1424</v>
      </c>
      <c r="G930">
        <v>1385</v>
      </c>
      <c r="H930" s="32" t="str">
        <f ca="1">+IF(B930&gt;'sap nuevo'!$V$1,"cargar",IF(C930="","cargar","pagado"))</f>
        <v>cargar</v>
      </c>
      <c r="I930" s="32">
        <f t="shared" si="126"/>
        <v>2025</v>
      </c>
      <c r="J930" s="32">
        <f t="shared" si="127"/>
        <v>8</v>
      </c>
    </row>
    <row r="931" spans="1:10" x14ac:dyDescent="0.25">
      <c r="A931" t="s">
        <v>877</v>
      </c>
      <c r="B931" t="s">
        <v>210</v>
      </c>
      <c r="C931">
        <v>1759</v>
      </c>
      <c r="D931">
        <v>9999</v>
      </c>
      <c r="E931" s="4">
        <v>-9804474.1300000008</v>
      </c>
      <c r="F931" t="s">
        <v>1425</v>
      </c>
      <c r="G931">
        <v>1385</v>
      </c>
      <c r="H931" s="32" t="str">
        <f ca="1">+IF(B931&gt;'sap nuevo'!$V$1,"cargar",IF(C931="","cargar","pagado"))</f>
        <v>cargar</v>
      </c>
      <c r="I931" s="32">
        <f t="shared" si="126"/>
        <v>2025</v>
      </c>
      <c r="J931" s="32">
        <f t="shared" si="127"/>
        <v>8</v>
      </c>
    </row>
    <row r="932" spans="1:10" x14ac:dyDescent="0.25">
      <c r="A932" t="s">
        <v>877</v>
      </c>
      <c r="B932" t="s">
        <v>210</v>
      </c>
      <c r="C932">
        <v>1746</v>
      </c>
      <c r="D932">
        <v>9999</v>
      </c>
      <c r="E932" s="4">
        <v>-8203044.7800000003</v>
      </c>
      <c r="F932" t="s">
        <v>1426</v>
      </c>
      <c r="G932">
        <v>1385</v>
      </c>
      <c r="H932" s="32" t="str">
        <f ca="1">+IF(B932&gt;'sap nuevo'!$V$1,"cargar",IF(C932="","cargar","pagado"))</f>
        <v>cargar</v>
      </c>
      <c r="I932" s="32">
        <f t="shared" si="126"/>
        <v>2025</v>
      </c>
      <c r="J932" s="32">
        <f t="shared" si="127"/>
        <v>8</v>
      </c>
    </row>
    <row r="933" spans="1:10" x14ac:dyDescent="0.25">
      <c r="A933" t="s">
        <v>21</v>
      </c>
      <c r="B933" t="s">
        <v>210</v>
      </c>
      <c r="C933">
        <v>40272970</v>
      </c>
      <c r="D933">
        <v>140</v>
      </c>
      <c r="E933" s="4">
        <v>-46240760</v>
      </c>
      <c r="F933" t="s">
        <v>80</v>
      </c>
      <c r="G933">
        <v>0</v>
      </c>
      <c r="H933" s="32" t="str">
        <f ca="1">+IF(B933&gt;'sap nuevo'!$V$1,"cargar",IF(C933="","cargar","pagado"))</f>
        <v>cargar</v>
      </c>
      <c r="I933" s="32">
        <f t="shared" si="126"/>
        <v>2025</v>
      </c>
      <c r="J933" s="32">
        <f t="shared" si="127"/>
        <v>8</v>
      </c>
    </row>
    <row r="934" spans="1:10" x14ac:dyDescent="0.25">
      <c r="A934" t="s">
        <v>877</v>
      </c>
      <c r="B934" t="s">
        <v>212</v>
      </c>
      <c r="C934">
        <v>1766</v>
      </c>
      <c r="D934">
        <v>9999</v>
      </c>
      <c r="E934" s="4">
        <v>-40000000</v>
      </c>
      <c r="F934" t="s">
        <v>1427</v>
      </c>
      <c r="G934">
        <v>1385</v>
      </c>
      <c r="H934" s="32" t="str">
        <f ca="1">+IF(B934&gt;'sap nuevo'!$V$1,"cargar",IF(C934="","cargar","pagado"))</f>
        <v>cargar</v>
      </c>
      <c r="I934" s="32">
        <f t="shared" si="126"/>
        <v>2025</v>
      </c>
      <c r="J934" s="32">
        <f t="shared" si="127"/>
        <v>8</v>
      </c>
    </row>
    <row r="935" spans="1:10" x14ac:dyDescent="0.25">
      <c r="A935" t="s">
        <v>877</v>
      </c>
      <c r="B935" t="s">
        <v>212</v>
      </c>
      <c r="C935">
        <v>1756</v>
      </c>
      <c r="D935">
        <v>9999</v>
      </c>
      <c r="E935" s="4">
        <v>-38130377.240000002</v>
      </c>
      <c r="F935" t="s">
        <v>1428</v>
      </c>
      <c r="G935">
        <v>1385</v>
      </c>
      <c r="H935" s="32" t="str">
        <f ca="1">+IF(B935&gt;'sap nuevo'!$V$1,"cargar",IF(C935="","cargar","pagado"))</f>
        <v>cargar</v>
      </c>
      <c r="I935" s="32">
        <f t="shared" si="126"/>
        <v>2025</v>
      </c>
      <c r="J935" s="32">
        <f t="shared" si="127"/>
        <v>8</v>
      </c>
    </row>
    <row r="936" spans="1:10" x14ac:dyDescent="0.25">
      <c r="A936" t="s">
        <v>877</v>
      </c>
      <c r="B936" t="s">
        <v>212</v>
      </c>
      <c r="C936">
        <v>1760</v>
      </c>
      <c r="D936">
        <v>9999</v>
      </c>
      <c r="E936" s="4">
        <v>-14426000.24</v>
      </c>
      <c r="F936" t="s">
        <v>1429</v>
      </c>
      <c r="G936">
        <v>1385</v>
      </c>
      <c r="H936" s="32" t="str">
        <f ca="1">+IF(B936&gt;'sap nuevo'!$V$1,"cargar",IF(C936="","cargar","pagado"))</f>
        <v>cargar</v>
      </c>
      <c r="I936" s="32">
        <f t="shared" ref="I936:I957" si="128">+YEAR(B936)</f>
        <v>2025</v>
      </c>
      <c r="J936" s="32">
        <f t="shared" ref="J936:J957" si="129">+MONTH(B936)</f>
        <v>8</v>
      </c>
    </row>
    <row r="937" spans="1:10" x14ac:dyDescent="0.25">
      <c r="A937" t="s">
        <v>877</v>
      </c>
      <c r="B937" t="s">
        <v>212</v>
      </c>
      <c r="C937">
        <v>1747</v>
      </c>
      <c r="D937">
        <v>9999</v>
      </c>
      <c r="E937" s="4">
        <v>-7764115.8499999996</v>
      </c>
      <c r="F937" t="s">
        <v>1430</v>
      </c>
      <c r="G937">
        <v>1385</v>
      </c>
      <c r="H937" s="32" t="str">
        <f ca="1">+IF(B937&gt;'sap nuevo'!$V$1,"cargar",IF(C937="","cargar","pagado"))</f>
        <v>cargar</v>
      </c>
      <c r="I937" s="32">
        <f t="shared" si="128"/>
        <v>2025</v>
      </c>
      <c r="J937" s="32">
        <f t="shared" si="129"/>
        <v>8</v>
      </c>
    </row>
    <row r="938" spans="1:10" x14ac:dyDescent="0.25">
      <c r="A938" t="s">
        <v>877</v>
      </c>
      <c r="B938" t="s">
        <v>212</v>
      </c>
      <c r="C938">
        <v>1732</v>
      </c>
      <c r="D938">
        <v>9999</v>
      </c>
      <c r="E938" s="4">
        <v>-5802448.8200000003</v>
      </c>
      <c r="F938" t="s">
        <v>1431</v>
      </c>
      <c r="G938">
        <v>1385</v>
      </c>
      <c r="H938" s="32" t="str">
        <f ca="1">+IF(B938&gt;'sap nuevo'!$V$1,"cargar",IF(C938="","cargar","pagado"))</f>
        <v>cargar</v>
      </c>
      <c r="I938" s="32">
        <f t="shared" si="128"/>
        <v>2025</v>
      </c>
      <c r="J938" s="32">
        <f t="shared" si="129"/>
        <v>8</v>
      </c>
    </row>
    <row r="939" spans="1:10" x14ac:dyDescent="0.25">
      <c r="A939" t="s">
        <v>877</v>
      </c>
      <c r="B939" t="s">
        <v>213</v>
      </c>
      <c r="C939">
        <v>1767</v>
      </c>
      <c r="D939">
        <v>9999</v>
      </c>
      <c r="E939" s="4">
        <v>-32950998.350000001</v>
      </c>
      <c r="F939" t="s">
        <v>1432</v>
      </c>
      <c r="G939">
        <v>1385</v>
      </c>
      <c r="H939" s="32" t="str">
        <f ca="1">+IF(B939&gt;'sap nuevo'!$V$1,"cargar",IF(C939="","cargar","pagado"))</f>
        <v>cargar</v>
      </c>
      <c r="I939" s="32">
        <f t="shared" si="128"/>
        <v>2025</v>
      </c>
      <c r="J939" s="32">
        <f t="shared" si="129"/>
        <v>8</v>
      </c>
    </row>
    <row r="940" spans="1:10" x14ac:dyDescent="0.25">
      <c r="A940" t="s">
        <v>877</v>
      </c>
      <c r="B940" t="s">
        <v>213</v>
      </c>
      <c r="C940">
        <v>1741</v>
      </c>
      <c r="D940">
        <v>9999</v>
      </c>
      <c r="E940" s="4">
        <v>-17423293.870000001</v>
      </c>
      <c r="F940" t="s">
        <v>1433</v>
      </c>
      <c r="G940">
        <v>1385</v>
      </c>
      <c r="H940" s="32" t="str">
        <f ca="1">+IF(B940&gt;'sap nuevo'!$V$1,"cargar",IF(C940="","cargar","pagado"))</f>
        <v>cargar</v>
      </c>
      <c r="I940" s="32">
        <f t="shared" si="128"/>
        <v>2025</v>
      </c>
      <c r="J940" s="32">
        <f t="shared" si="129"/>
        <v>8</v>
      </c>
    </row>
    <row r="941" spans="1:10" x14ac:dyDescent="0.25">
      <c r="A941" t="s">
        <v>21</v>
      </c>
      <c r="B941" t="s">
        <v>212</v>
      </c>
      <c r="C941">
        <v>91002444</v>
      </c>
      <c r="D941">
        <v>140</v>
      </c>
      <c r="E941" s="4">
        <v>-24000000</v>
      </c>
      <c r="F941" t="s">
        <v>80</v>
      </c>
      <c r="G941">
        <v>0</v>
      </c>
      <c r="H941" s="32" t="str">
        <f ca="1">+IF(B941&gt;'sap nuevo'!$V$1,"cargar",IF(C941="","cargar","pagado"))</f>
        <v>cargar</v>
      </c>
      <c r="I941" s="32">
        <f t="shared" si="128"/>
        <v>2025</v>
      </c>
      <c r="J941" s="32">
        <f t="shared" si="129"/>
        <v>8</v>
      </c>
    </row>
    <row r="942" spans="1:10" x14ac:dyDescent="0.25">
      <c r="A942" t="s">
        <v>21</v>
      </c>
      <c r="B942" t="s">
        <v>212</v>
      </c>
      <c r="C942">
        <v>91002442</v>
      </c>
      <c r="D942">
        <v>140</v>
      </c>
      <c r="E942" s="4">
        <v>-14863126.57</v>
      </c>
      <c r="F942" t="s">
        <v>80</v>
      </c>
      <c r="G942">
        <v>0</v>
      </c>
      <c r="H942" s="32" t="str">
        <f ca="1">+IF(B942&gt;'sap nuevo'!$V$1,"cargar",IF(C942="","cargar","pagado"))</f>
        <v>cargar</v>
      </c>
      <c r="I942" s="32">
        <f t="shared" si="128"/>
        <v>2025</v>
      </c>
      <c r="J942" s="32">
        <f t="shared" si="129"/>
        <v>8</v>
      </c>
    </row>
    <row r="943" spans="1:10" x14ac:dyDescent="0.25">
      <c r="A943" t="s">
        <v>21</v>
      </c>
      <c r="B943" t="s">
        <v>212</v>
      </c>
      <c r="C943">
        <v>91002443</v>
      </c>
      <c r="D943">
        <v>140</v>
      </c>
      <c r="E943" s="4">
        <v>-14783241.43</v>
      </c>
      <c r="F943" t="s">
        <v>80</v>
      </c>
      <c r="G943">
        <v>0</v>
      </c>
      <c r="H943" s="32" t="str">
        <f ca="1">+IF(B943&gt;'sap nuevo'!$V$1,"cargar",IF(C943="","cargar","pagado"))</f>
        <v>cargar</v>
      </c>
      <c r="I943" s="32">
        <f t="shared" si="128"/>
        <v>2025</v>
      </c>
      <c r="J943" s="32">
        <f t="shared" si="129"/>
        <v>8</v>
      </c>
    </row>
    <row r="944" spans="1:10" x14ac:dyDescent="0.25">
      <c r="A944" t="s">
        <v>21</v>
      </c>
      <c r="B944" t="s">
        <v>212</v>
      </c>
      <c r="C944">
        <v>91002447</v>
      </c>
      <c r="D944">
        <v>140</v>
      </c>
      <c r="E944" s="4">
        <v>-13791313.82</v>
      </c>
      <c r="F944" t="s">
        <v>80</v>
      </c>
      <c r="G944">
        <v>0</v>
      </c>
      <c r="H944" s="32" t="str">
        <f ca="1">+IF(B944&gt;'sap nuevo'!$V$1,"cargar",IF(C944="","cargar","pagado"))</f>
        <v>cargar</v>
      </c>
      <c r="I944" s="32">
        <f t="shared" si="128"/>
        <v>2025</v>
      </c>
      <c r="J944" s="32">
        <f t="shared" si="129"/>
        <v>8</v>
      </c>
    </row>
    <row r="945" spans="1:10" x14ac:dyDescent="0.25">
      <c r="A945" t="s">
        <v>21</v>
      </c>
      <c r="B945" t="s">
        <v>212</v>
      </c>
      <c r="C945">
        <v>91002440</v>
      </c>
      <c r="D945">
        <v>140</v>
      </c>
      <c r="E945" s="4">
        <v>-11077878.75</v>
      </c>
      <c r="F945" t="s">
        <v>80</v>
      </c>
      <c r="G945">
        <v>0</v>
      </c>
      <c r="H945" s="32" t="str">
        <f ca="1">+IF(B945&gt;'sap nuevo'!$V$1,"cargar",IF(C945="","cargar","pagado"))</f>
        <v>cargar</v>
      </c>
      <c r="I945" s="32">
        <f t="shared" si="128"/>
        <v>2025</v>
      </c>
      <c r="J945" s="32">
        <f t="shared" si="129"/>
        <v>8</v>
      </c>
    </row>
    <row r="946" spans="1:10" x14ac:dyDescent="0.25">
      <c r="A946" t="s">
        <v>21</v>
      </c>
      <c r="B946" t="s">
        <v>212</v>
      </c>
      <c r="C946">
        <v>91002438</v>
      </c>
      <c r="D946">
        <v>140</v>
      </c>
      <c r="E946" s="4">
        <v>-8344187.6699999999</v>
      </c>
      <c r="F946" t="s">
        <v>80</v>
      </c>
      <c r="G946">
        <v>0</v>
      </c>
      <c r="H946" s="32" t="str">
        <f ca="1">+IF(B946&gt;'sap nuevo'!$V$1,"cargar",IF(C946="","cargar","pagado"))</f>
        <v>cargar</v>
      </c>
      <c r="I946" s="32">
        <f t="shared" si="128"/>
        <v>2025</v>
      </c>
      <c r="J946" s="32">
        <f t="shared" si="129"/>
        <v>8</v>
      </c>
    </row>
    <row r="947" spans="1:10" x14ac:dyDescent="0.25">
      <c r="A947" t="s">
        <v>21</v>
      </c>
      <c r="B947" t="s">
        <v>212</v>
      </c>
      <c r="C947">
        <v>91002449</v>
      </c>
      <c r="D947">
        <v>140</v>
      </c>
      <c r="E947" s="4">
        <v>-6805702.7400000002</v>
      </c>
      <c r="F947" t="s">
        <v>80</v>
      </c>
      <c r="G947">
        <v>0</v>
      </c>
      <c r="H947" s="32" t="str">
        <f ca="1">+IF(B947&gt;'sap nuevo'!$V$1,"cargar",IF(C947="","cargar","pagado"))</f>
        <v>cargar</v>
      </c>
      <c r="I947" s="32">
        <f t="shared" si="128"/>
        <v>2025</v>
      </c>
      <c r="J947" s="32">
        <f t="shared" si="129"/>
        <v>8</v>
      </c>
    </row>
    <row r="948" spans="1:10" x14ac:dyDescent="0.25">
      <c r="A948" t="s">
        <v>21</v>
      </c>
      <c r="B948" t="s">
        <v>212</v>
      </c>
      <c r="C948">
        <v>91002446</v>
      </c>
      <c r="D948">
        <v>140</v>
      </c>
      <c r="E948" s="4">
        <v>-6716918.2800000003</v>
      </c>
      <c r="F948" t="s">
        <v>80</v>
      </c>
      <c r="G948">
        <v>0</v>
      </c>
      <c r="H948" s="32" t="str">
        <f ca="1">+IF(B948&gt;'sap nuevo'!$V$1,"cargar",IF(C948="","cargar","pagado"))</f>
        <v>cargar</v>
      </c>
      <c r="I948" s="32">
        <f t="shared" si="128"/>
        <v>2025</v>
      </c>
      <c r="J948" s="32">
        <f t="shared" si="129"/>
        <v>8</v>
      </c>
    </row>
    <row r="949" spans="1:10" x14ac:dyDescent="0.25">
      <c r="A949" t="s">
        <v>21</v>
      </c>
      <c r="B949" t="s">
        <v>212</v>
      </c>
      <c r="C949">
        <v>91002448</v>
      </c>
      <c r="D949">
        <v>140</v>
      </c>
      <c r="E949" s="4">
        <v>-6672488.6699999999</v>
      </c>
      <c r="F949" t="s">
        <v>80</v>
      </c>
      <c r="G949">
        <v>0</v>
      </c>
      <c r="H949" s="32" t="str">
        <f ca="1">+IF(B949&gt;'sap nuevo'!$V$1,"cargar",IF(C949="","cargar","pagado"))</f>
        <v>cargar</v>
      </c>
      <c r="I949" s="32">
        <f t="shared" si="128"/>
        <v>2025</v>
      </c>
      <c r="J949" s="32">
        <f t="shared" si="129"/>
        <v>8</v>
      </c>
    </row>
    <row r="950" spans="1:10" x14ac:dyDescent="0.25">
      <c r="A950" t="s">
        <v>21</v>
      </c>
      <c r="B950" t="s">
        <v>212</v>
      </c>
      <c r="C950">
        <v>91002441</v>
      </c>
      <c r="D950">
        <v>140</v>
      </c>
      <c r="E950" s="4">
        <v>-6389914.7400000002</v>
      </c>
      <c r="F950" t="s">
        <v>80</v>
      </c>
      <c r="G950">
        <v>0</v>
      </c>
      <c r="H950" s="32" t="str">
        <f ca="1">+IF(B950&gt;'sap nuevo'!$V$1,"cargar",IF(C950="","cargar","pagado"))</f>
        <v>cargar</v>
      </c>
      <c r="I950" s="32">
        <f t="shared" si="128"/>
        <v>2025</v>
      </c>
      <c r="J950" s="32">
        <f t="shared" si="129"/>
        <v>8</v>
      </c>
    </row>
    <row r="951" spans="1:10" x14ac:dyDescent="0.25">
      <c r="A951" t="s">
        <v>12</v>
      </c>
      <c r="B951" t="s">
        <v>212</v>
      </c>
      <c r="C951">
        <v>91002439</v>
      </c>
      <c r="D951">
        <v>140</v>
      </c>
      <c r="E951" s="4">
        <v>-3573850.16</v>
      </c>
      <c r="F951" t="s">
        <v>82</v>
      </c>
      <c r="G951">
        <v>0</v>
      </c>
      <c r="H951" s="32" t="str">
        <f ca="1">+IF(B951&gt;'sap nuevo'!$V$1,"cargar",IF(C951="","cargar","pagado"))</f>
        <v>cargar</v>
      </c>
      <c r="I951" s="32">
        <f t="shared" si="128"/>
        <v>2025</v>
      </c>
      <c r="J951" s="32">
        <f t="shared" si="129"/>
        <v>8</v>
      </c>
    </row>
    <row r="952" spans="1:10" x14ac:dyDescent="0.25">
      <c r="A952" t="s">
        <v>21</v>
      </c>
      <c r="B952" t="s">
        <v>213</v>
      </c>
      <c r="C952">
        <v>91002445</v>
      </c>
      <c r="D952">
        <v>140</v>
      </c>
      <c r="E952" s="4">
        <v>-20791336.559999999</v>
      </c>
      <c r="F952" t="s">
        <v>80</v>
      </c>
      <c r="G952">
        <v>0</v>
      </c>
      <c r="H952" s="32" t="str">
        <f ca="1">+IF(B952&gt;'sap nuevo'!$V$1,"cargar",IF(C952="","cargar","pagado"))</f>
        <v>cargar</v>
      </c>
      <c r="I952" s="32">
        <f t="shared" si="128"/>
        <v>2025</v>
      </c>
      <c r="J952" s="32">
        <f t="shared" si="129"/>
        <v>8</v>
      </c>
    </row>
    <row r="953" spans="1:10" x14ac:dyDescent="0.25">
      <c r="A953" t="s">
        <v>873</v>
      </c>
      <c r="B953" t="s">
        <v>214</v>
      </c>
      <c r="C953">
        <v>1815</v>
      </c>
      <c r="D953">
        <v>9999</v>
      </c>
      <c r="E953" s="4">
        <v>-12699046.73</v>
      </c>
      <c r="F953" t="s">
        <v>1434</v>
      </c>
      <c r="G953">
        <v>3520</v>
      </c>
      <c r="H953" s="32" t="str">
        <f ca="1">+IF(B953&gt;'sap nuevo'!$V$1,"cargar",IF(C953="","cargar","pagado"))</f>
        <v>cargar</v>
      </c>
      <c r="I953" s="32">
        <f t="shared" si="128"/>
        <v>2025</v>
      </c>
      <c r="J953" s="32">
        <f t="shared" si="129"/>
        <v>8</v>
      </c>
    </row>
    <row r="954" spans="1:10" x14ac:dyDescent="0.25">
      <c r="A954" t="s">
        <v>873</v>
      </c>
      <c r="B954" t="s">
        <v>214</v>
      </c>
      <c r="C954">
        <v>1816</v>
      </c>
      <c r="D954">
        <v>9999</v>
      </c>
      <c r="E954" s="4">
        <v>-6389914.7400000002</v>
      </c>
      <c r="F954" t="s">
        <v>1435</v>
      </c>
      <c r="G954">
        <v>3520</v>
      </c>
      <c r="H954" s="32" t="str">
        <f ca="1">+IF(B954&gt;'sap nuevo'!$V$1,"cargar",IF(C954="","cargar","pagado"))</f>
        <v>cargar</v>
      </c>
      <c r="I954" s="32">
        <f t="shared" si="128"/>
        <v>2025</v>
      </c>
      <c r="J954" s="32">
        <f t="shared" si="129"/>
        <v>8</v>
      </c>
    </row>
    <row r="955" spans="1:10" x14ac:dyDescent="0.25">
      <c r="A955" t="s">
        <v>873</v>
      </c>
      <c r="B955" t="s">
        <v>214</v>
      </c>
      <c r="C955">
        <v>1826</v>
      </c>
      <c r="D955">
        <v>9999</v>
      </c>
      <c r="E955" s="4">
        <v>-2400997.89</v>
      </c>
      <c r="F955" t="s">
        <v>1436</v>
      </c>
      <c r="G955">
        <v>3520</v>
      </c>
      <c r="H955" s="32" t="str">
        <f ca="1">+IF(B955&gt;'sap nuevo'!$V$1,"cargar",IF(C955="","cargar","pagado"))</f>
        <v>cargar</v>
      </c>
      <c r="I955" s="32">
        <f t="shared" si="128"/>
        <v>2025</v>
      </c>
      <c r="J955" s="32">
        <f t="shared" si="129"/>
        <v>8</v>
      </c>
    </row>
    <row r="956" spans="1:10" x14ac:dyDescent="0.25">
      <c r="A956" t="s">
        <v>873</v>
      </c>
      <c r="B956" t="s">
        <v>214</v>
      </c>
      <c r="C956">
        <v>1812</v>
      </c>
      <c r="D956">
        <v>9999</v>
      </c>
      <c r="E956" s="4">
        <v>-2139990.64</v>
      </c>
      <c r="F956" t="s">
        <v>1437</v>
      </c>
      <c r="G956">
        <v>3520</v>
      </c>
      <c r="H956" s="32" t="str">
        <f ca="1">+IF(B956&gt;'sap nuevo'!$V$1,"cargar",IF(C956="","cargar","pagado"))</f>
        <v>cargar</v>
      </c>
      <c r="I956" s="32">
        <f t="shared" si="128"/>
        <v>2025</v>
      </c>
      <c r="J956" s="32">
        <f t="shared" si="129"/>
        <v>8</v>
      </c>
    </row>
    <row r="957" spans="1:10" x14ac:dyDescent="0.25">
      <c r="A957" t="s">
        <v>873</v>
      </c>
      <c r="B957" t="s">
        <v>215</v>
      </c>
      <c r="C957">
        <v>1833</v>
      </c>
      <c r="D957">
        <v>9999</v>
      </c>
      <c r="E957" s="4">
        <v>-225840410</v>
      </c>
      <c r="F957" t="s">
        <v>1438</v>
      </c>
      <c r="G957">
        <v>3520</v>
      </c>
      <c r="H957" s="32" t="str">
        <f ca="1">+IF(B957&gt;'sap nuevo'!$V$1,"cargar",IF(C957="","cargar","pagado"))</f>
        <v>cargar</v>
      </c>
      <c r="I957" s="32">
        <f t="shared" si="128"/>
        <v>2025</v>
      </c>
      <c r="J957" s="32">
        <f t="shared" si="129"/>
        <v>8</v>
      </c>
    </row>
    <row r="958" spans="1:10" x14ac:dyDescent="0.25">
      <c r="A958" t="s">
        <v>873</v>
      </c>
      <c r="B958" t="s">
        <v>215</v>
      </c>
      <c r="C958">
        <v>1810</v>
      </c>
      <c r="D958">
        <v>9999</v>
      </c>
      <c r="E958" s="4">
        <v>-15694378.41</v>
      </c>
      <c r="F958" t="s">
        <v>1439</v>
      </c>
      <c r="G958">
        <v>3520</v>
      </c>
      <c r="H958" s="32" t="str">
        <f ca="1">+IF(B958&gt;'sap nuevo'!$V$1,"cargar",IF(C958="","cargar","pagado"))</f>
        <v>cargar</v>
      </c>
      <c r="I958" s="32">
        <f t="shared" ref="I958:I982" si="130">+YEAR(B958)</f>
        <v>2025</v>
      </c>
      <c r="J958" s="32">
        <f t="shared" ref="J958:J982" si="131">+MONTH(B958)</f>
        <v>8</v>
      </c>
    </row>
    <row r="959" spans="1:10" x14ac:dyDescent="0.25">
      <c r="A959" t="s">
        <v>877</v>
      </c>
      <c r="B959" t="s">
        <v>214</v>
      </c>
      <c r="C959">
        <v>1813</v>
      </c>
      <c r="D959">
        <v>9999</v>
      </c>
      <c r="E959" s="4">
        <v>-14941216.560000001</v>
      </c>
      <c r="F959" t="s">
        <v>1440</v>
      </c>
      <c r="G959">
        <v>1385</v>
      </c>
      <c r="H959" s="32" t="str">
        <f ca="1">+IF(B959&gt;'sap nuevo'!$V$1,"cargar",IF(C959="","cargar","pagado"))</f>
        <v>cargar</v>
      </c>
      <c r="I959" s="32">
        <f t="shared" si="130"/>
        <v>2025</v>
      </c>
      <c r="J959" s="32">
        <f t="shared" si="131"/>
        <v>8</v>
      </c>
    </row>
    <row r="960" spans="1:10" x14ac:dyDescent="0.25">
      <c r="A960" t="s">
        <v>877</v>
      </c>
      <c r="B960" t="s">
        <v>214</v>
      </c>
      <c r="C960">
        <v>1807</v>
      </c>
      <c r="D960">
        <v>9999</v>
      </c>
      <c r="E960" s="4">
        <v>-14280133.869999999</v>
      </c>
      <c r="F960" t="s">
        <v>1441</v>
      </c>
      <c r="G960">
        <v>1385</v>
      </c>
      <c r="H960" s="32" t="str">
        <f ca="1">+IF(B960&gt;'sap nuevo'!$V$1,"cargar",IF(C960="","cargar","pagado"))</f>
        <v>cargar</v>
      </c>
      <c r="I960" s="32">
        <f t="shared" si="130"/>
        <v>2025</v>
      </c>
      <c r="J960" s="32">
        <f t="shared" si="131"/>
        <v>8</v>
      </c>
    </row>
    <row r="961" spans="1:10" x14ac:dyDescent="0.25">
      <c r="A961" t="s">
        <v>877</v>
      </c>
      <c r="B961" t="s">
        <v>214</v>
      </c>
      <c r="C961">
        <v>1804</v>
      </c>
      <c r="D961">
        <v>9999</v>
      </c>
      <c r="E961" s="4">
        <v>-13000000</v>
      </c>
      <c r="F961" t="s">
        <v>1442</v>
      </c>
      <c r="G961">
        <v>1385</v>
      </c>
      <c r="H961" s="32" t="str">
        <f ca="1">+IF(B961&gt;'sap nuevo'!$V$1,"cargar",IF(C961="","cargar","pagado"))</f>
        <v>cargar</v>
      </c>
      <c r="I961" s="32">
        <f t="shared" si="130"/>
        <v>2025</v>
      </c>
      <c r="J961" s="32">
        <f t="shared" si="131"/>
        <v>8</v>
      </c>
    </row>
    <row r="962" spans="1:10" x14ac:dyDescent="0.25">
      <c r="A962" t="s">
        <v>873</v>
      </c>
      <c r="B962" t="s">
        <v>215</v>
      </c>
      <c r="C962">
        <v>1829</v>
      </c>
      <c r="D962">
        <v>9999</v>
      </c>
      <c r="E962" s="4">
        <v>-12774443.960000001</v>
      </c>
      <c r="F962" t="s">
        <v>1443</v>
      </c>
      <c r="G962">
        <v>3520</v>
      </c>
      <c r="H962" s="32" t="str">
        <f ca="1">+IF(B962&gt;'sap nuevo'!$V$1,"cargar",IF(C962="","cargar","pagado"))</f>
        <v>cargar</v>
      </c>
      <c r="I962" s="32">
        <f t="shared" si="130"/>
        <v>2025</v>
      </c>
      <c r="J962" s="32">
        <f t="shared" si="131"/>
        <v>8</v>
      </c>
    </row>
    <row r="963" spans="1:10" x14ac:dyDescent="0.25">
      <c r="A963" t="s">
        <v>873</v>
      </c>
      <c r="B963" t="s">
        <v>215</v>
      </c>
      <c r="C963">
        <v>1802</v>
      </c>
      <c r="D963">
        <v>9999</v>
      </c>
      <c r="E963" s="4">
        <v>-12029850</v>
      </c>
      <c r="F963" t="s">
        <v>1444</v>
      </c>
      <c r="G963">
        <v>3520</v>
      </c>
      <c r="H963" s="32" t="str">
        <f ca="1">+IF(B963&gt;'sap nuevo'!$V$1,"cargar",IF(C963="","cargar","pagado"))</f>
        <v>cargar</v>
      </c>
      <c r="I963" s="32">
        <f t="shared" si="130"/>
        <v>2025</v>
      </c>
      <c r="J963" s="32">
        <f t="shared" si="131"/>
        <v>8</v>
      </c>
    </row>
    <row r="964" spans="1:10" x14ac:dyDescent="0.25">
      <c r="A964" t="s">
        <v>877</v>
      </c>
      <c r="B964" t="s">
        <v>214</v>
      </c>
      <c r="C964">
        <v>1808</v>
      </c>
      <c r="D964">
        <v>9999</v>
      </c>
      <c r="E964" s="4">
        <v>-12000000</v>
      </c>
      <c r="F964" t="s">
        <v>1445</v>
      </c>
      <c r="G964">
        <v>1385</v>
      </c>
      <c r="H964" s="32" t="str">
        <f ca="1">+IF(B964&gt;'sap nuevo'!$V$1,"cargar",IF(C964="","cargar","pagado"))</f>
        <v>cargar</v>
      </c>
      <c r="I964" s="32">
        <f t="shared" si="130"/>
        <v>2025</v>
      </c>
      <c r="J964" s="32">
        <f t="shared" si="131"/>
        <v>8</v>
      </c>
    </row>
    <row r="965" spans="1:10" x14ac:dyDescent="0.25">
      <c r="A965" t="s">
        <v>877</v>
      </c>
      <c r="B965" t="s">
        <v>214</v>
      </c>
      <c r="C965">
        <v>1828</v>
      </c>
      <c r="D965">
        <v>9999</v>
      </c>
      <c r="E965" s="4">
        <v>-11721546.68</v>
      </c>
      <c r="F965" t="s">
        <v>1446</v>
      </c>
      <c r="G965">
        <v>1385</v>
      </c>
      <c r="H965" s="32" t="str">
        <f ca="1">+IF(B965&gt;'sap nuevo'!$V$1,"cargar",IF(C965="","cargar","pagado"))</f>
        <v>cargar</v>
      </c>
      <c r="I965" s="32">
        <f t="shared" si="130"/>
        <v>2025</v>
      </c>
      <c r="J965" s="32">
        <f t="shared" si="131"/>
        <v>8</v>
      </c>
    </row>
    <row r="966" spans="1:10" x14ac:dyDescent="0.25">
      <c r="A966" t="s">
        <v>877</v>
      </c>
      <c r="B966" t="s">
        <v>214</v>
      </c>
      <c r="C966">
        <v>1822</v>
      </c>
      <c r="D966">
        <v>9999</v>
      </c>
      <c r="E966" s="4">
        <v>-11157973.68</v>
      </c>
      <c r="F966" t="s">
        <v>1447</v>
      </c>
      <c r="G966">
        <v>1385</v>
      </c>
      <c r="H966" s="32" t="str">
        <f ca="1">+IF(B966&gt;'sap nuevo'!$V$1,"cargar",IF(C966="","cargar","pagado"))</f>
        <v>cargar</v>
      </c>
      <c r="I966" s="32">
        <f t="shared" si="130"/>
        <v>2025</v>
      </c>
      <c r="J966" s="32">
        <f t="shared" si="131"/>
        <v>8</v>
      </c>
    </row>
    <row r="967" spans="1:10" x14ac:dyDescent="0.25">
      <c r="A967" t="s">
        <v>877</v>
      </c>
      <c r="B967" t="s">
        <v>214</v>
      </c>
      <c r="C967">
        <v>1803</v>
      </c>
      <c r="D967">
        <v>9999</v>
      </c>
      <c r="E967" s="4">
        <v>-10803100</v>
      </c>
      <c r="F967" t="s">
        <v>1448</v>
      </c>
      <c r="G967">
        <v>1385</v>
      </c>
      <c r="H967" s="32" t="str">
        <f ca="1">+IF(B967&gt;'sap nuevo'!$V$1,"cargar",IF(C967="","cargar","pagado"))</f>
        <v>cargar</v>
      </c>
      <c r="I967" s="32">
        <f t="shared" si="130"/>
        <v>2025</v>
      </c>
      <c r="J967" s="32">
        <f t="shared" si="131"/>
        <v>8</v>
      </c>
    </row>
    <row r="968" spans="1:10" x14ac:dyDescent="0.25">
      <c r="A968" t="s">
        <v>877</v>
      </c>
      <c r="B968" t="s">
        <v>214</v>
      </c>
      <c r="C968">
        <v>1806</v>
      </c>
      <c r="D968">
        <v>9999</v>
      </c>
      <c r="E968" s="4">
        <v>-9867424</v>
      </c>
      <c r="F968" t="s">
        <v>1449</v>
      </c>
      <c r="G968">
        <v>1385</v>
      </c>
      <c r="H968" s="32" t="str">
        <f ca="1">+IF(B968&gt;'sap nuevo'!$V$1,"cargar",IF(C968="","cargar","pagado"))</f>
        <v>cargar</v>
      </c>
      <c r="I968" s="32">
        <f t="shared" si="130"/>
        <v>2025</v>
      </c>
      <c r="J968" s="32">
        <f t="shared" si="131"/>
        <v>8</v>
      </c>
    </row>
    <row r="969" spans="1:10" x14ac:dyDescent="0.25">
      <c r="A969" t="s">
        <v>877</v>
      </c>
      <c r="B969" t="s">
        <v>214</v>
      </c>
      <c r="C969">
        <v>1820</v>
      </c>
      <c r="D969">
        <v>9999</v>
      </c>
      <c r="E969" s="4">
        <v>-8848360.9199999999</v>
      </c>
      <c r="F969" t="s">
        <v>1450</v>
      </c>
      <c r="G969">
        <v>1385</v>
      </c>
      <c r="H969" s="32" t="str">
        <f ca="1">+IF(B969&gt;'sap nuevo'!$V$1,"cargar",IF(C969="","cargar","pagado"))</f>
        <v>cargar</v>
      </c>
      <c r="I969" s="32">
        <f t="shared" si="130"/>
        <v>2025</v>
      </c>
      <c r="J969" s="32">
        <f t="shared" si="131"/>
        <v>8</v>
      </c>
    </row>
    <row r="970" spans="1:10" x14ac:dyDescent="0.25">
      <c r="A970" t="s">
        <v>877</v>
      </c>
      <c r="B970" t="s">
        <v>214</v>
      </c>
      <c r="C970">
        <v>1811</v>
      </c>
      <c r="D970">
        <v>9999</v>
      </c>
      <c r="E970" s="4">
        <v>-8305667.9199999999</v>
      </c>
      <c r="F970" t="s">
        <v>1451</v>
      </c>
      <c r="G970">
        <v>1385</v>
      </c>
      <c r="H970" s="32" t="str">
        <f ca="1">+IF(B970&gt;'sap nuevo'!$V$1,"cargar",IF(C970="","cargar","pagado"))</f>
        <v>cargar</v>
      </c>
      <c r="I970" s="32">
        <f t="shared" si="130"/>
        <v>2025</v>
      </c>
      <c r="J970" s="32">
        <f t="shared" si="131"/>
        <v>8</v>
      </c>
    </row>
    <row r="971" spans="1:10" x14ac:dyDescent="0.25">
      <c r="A971" t="s">
        <v>877</v>
      </c>
      <c r="B971" t="s">
        <v>214</v>
      </c>
      <c r="C971">
        <v>1821</v>
      </c>
      <c r="D971">
        <v>9999</v>
      </c>
      <c r="E971" s="4">
        <v>-7216832.25</v>
      </c>
      <c r="F971" t="s">
        <v>1452</v>
      </c>
      <c r="G971">
        <v>1385</v>
      </c>
      <c r="H971" s="32" t="str">
        <f ca="1">+IF(B971&gt;'sap nuevo'!$V$1,"cargar",IF(C971="","cargar","pagado"))</f>
        <v>cargar</v>
      </c>
      <c r="I971" s="32">
        <f t="shared" si="130"/>
        <v>2025</v>
      </c>
      <c r="J971" s="32">
        <f t="shared" si="131"/>
        <v>8</v>
      </c>
    </row>
    <row r="972" spans="1:10" x14ac:dyDescent="0.25">
      <c r="A972" t="s">
        <v>877</v>
      </c>
      <c r="B972" t="s">
        <v>214</v>
      </c>
      <c r="C972">
        <v>1818</v>
      </c>
      <c r="D972">
        <v>9999</v>
      </c>
      <c r="E972" s="4">
        <v>-7155216.3899999997</v>
      </c>
      <c r="F972" t="s">
        <v>1453</v>
      </c>
      <c r="G972">
        <v>1385</v>
      </c>
      <c r="H972" s="32" t="str">
        <f ca="1">+IF(B972&gt;'sap nuevo'!$V$1,"cargar",IF(C972="","cargar","pagado"))</f>
        <v>cargar</v>
      </c>
      <c r="I972" s="32">
        <f t="shared" si="130"/>
        <v>2025</v>
      </c>
      <c r="J972" s="32">
        <f t="shared" si="131"/>
        <v>8</v>
      </c>
    </row>
    <row r="973" spans="1:10" x14ac:dyDescent="0.25">
      <c r="A973" t="s">
        <v>877</v>
      </c>
      <c r="B973" t="s">
        <v>214</v>
      </c>
      <c r="C973">
        <v>1800</v>
      </c>
      <c r="D973">
        <v>9999</v>
      </c>
      <c r="E973" s="4">
        <v>-5716762.7199999997</v>
      </c>
      <c r="F973" t="s">
        <v>1454</v>
      </c>
      <c r="G973">
        <v>1385</v>
      </c>
      <c r="H973" s="32" t="str">
        <f ca="1">+IF(B973&gt;'sap nuevo'!$V$1,"cargar",IF(C973="","cargar","pagado"))</f>
        <v>cargar</v>
      </c>
      <c r="I973" s="32">
        <f t="shared" si="130"/>
        <v>2025</v>
      </c>
      <c r="J973" s="32">
        <f t="shared" si="131"/>
        <v>8</v>
      </c>
    </row>
    <row r="974" spans="1:10" x14ac:dyDescent="0.25">
      <c r="A974" t="s">
        <v>877</v>
      </c>
      <c r="B974" t="s">
        <v>214</v>
      </c>
      <c r="C974">
        <v>1825</v>
      </c>
      <c r="D974">
        <v>9999</v>
      </c>
      <c r="E974" s="4">
        <v>-3767936.24</v>
      </c>
      <c r="F974" t="s">
        <v>1455</v>
      </c>
      <c r="G974">
        <v>1385</v>
      </c>
      <c r="H974" s="32" t="str">
        <f ca="1">+IF(B974&gt;'sap nuevo'!$V$1,"cargar",IF(C974="","cargar","pagado"))</f>
        <v>cargar</v>
      </c>
      <c r="I974" s="32">
        <f t="shared" si="130"/>
        <v>2025</v>
      </c>
      <c r="J974" s="32">
        <f t="shared" si="131"/>
        <v>8</v>
      </c>
    </row>
    <row r="975" spans="1:10" x14ac:dyDescent="0.25">
      <c r="A975" t="s">
        <v>877</v>
      </c>
      <c r="B975" t="s">
        <v>214</v>
      </c>
      <c r="C975">
        <v>1814</v>
      </c>
      <c r="D975">
        <v>9999</v>
      </c>
      <c r="E975" s="4">
        <v>-2129971.58</v>
      </c>
      <c r="F975" t="s">
        <v>1456</v>
      </c>
      <c r="G975">
        <v>1385</v>
      </c>
      <c r="H975" s="32" t="str">
        <f ca="1">+IF(B975&gt;'sap nuevo'!$V$1,"cargar",IF(C975="","cargar","pagado"))</f>
        <v>cargar</v>
      </c>
      <c r="I975" s="32">
        <f t="shared" si="130"/>
        <v>2025</v>
      </c>
      <c r="J975" s="32">
        <f t="shared" si="131"/>
        <v>8</v>
      </c>
    </row>
    <row r="976" spans="1:10" x14ac:dyDescent="0.25">
      <c r="A976" t="s">
        <v>877</v>
      </c>
      <c r="B976" t="s">
        <v>214</v>
      </c>
      <c r="C976">
        <v>1692</v>
      </c>
      <c r="D976">
        <v>9999</v>
      </c>
      <c r="E976" s="4">
        <v>-1500000</v>
      </c>
      <c r="F976" t="s">
        <v>1457</v>
      </c>
      <c r="G976">
        <v>1385</v>
      </c>
      <c r="H976" s="32" t="str">
        <f ca="1">+IF(B976&gt;'sap nuevo'!$V$1,"cargar",IF(C976="","cargar","pagado"))</f>
        <v>cargar</v>
      </c>
      <c r="I976" s="32">
        <f t="shared" si="130"/>
        <v>2025</v>
      </c>
      <c r="J976" s="32">
        <f t="shared" si="131"/>
        <v>8</v>
      </c>
    </row>
    <row r="977" spans="1:10" x14ac:dyDescent="0.25">
      <c r="A977" t="s">
        <v>877</v>
      </c>
      <c r="B977" t="s">
        <v>215</v>
      </c>
      <c r="C977">
        <v>1799</v>
      </c>
      <c r="D977">
        <v>9999</v>
      </c>
      <c r="E977" s="4">
        <v>-16325371.470000001</v>
      </c>
      <c r="F977" t="s">
        <v>1458</v>
      </c>
      <c r="G977">
        <v>1385</v>
      </c>
      <c r="H977" s="32" t="str">
        <f ca="1">+IF(B977&gt;'sap nuevo'!$V$1,"cargar",IF(C977="","cargar","pagado"))</f>
        <v>cargar</v>
      </c>
      <c r="I977" s="32">
        <f t="shared" si="130"/>
        <v>2025</v>
      </c>
      <c r="J977" s="32">
        <f t="shared" si="131"/>
        <v>8</v>
      </c>
    </row>
    <row r="978" spans="1:10" x14ac:dyDescent="0.25">
      <c r="A978" t="s">
        <v>877</v>
      </c>
      <c r="B978" t="s">
        <v>215</v>
      </c>
      <c r="C978">
        <v>1805</v>
      </c>
      <c r="D978">
        <v>9999</v>
      </c>
      <c r="E978" s="4">
        <v>-13497240.32</v>
      </c>
      <c r="F978" t="s">
        <v>1459</v>
      </c>
      <c r="G978">
        <v>1385</v>
      </c>
      <c r="H978" s="32" t="str">
        <f ca="1">+IF(B978&gt;'sap nuevo'!$V$1,"cargar",IF(C978="","cargar","pagado"))</f>
        <v>cargar</v>
      </c>
      <c r="I978" s="32">
        <f t="shared" si="130"/>
        <v>2025</v>
      </c>
      <c r="J978" s="32">
        <f t="shared" si="131"/>
        <v>8</v>
      </c>
    </row>
    <row r="979" spans="1:10" x14ac:dyDescent="0.25">
      <c r="A979" t="s">
        <v>877</v>
      </c>
      <c r="B979" t="s">
        <v>215</v>
      </c>
      <c r="C979">
        <v>1809</v>
      </c>
      <c r="D979">
        <v>9999</v>
      </c>
      <c r="E979" s="4">
        <v>-12475857.77</v>
      </c>
      <c r="F979" t="s">
        <v>1460</v>
      </c>
      <c r="G979">
        <v>1385</v>
      </c>
      <c r="H979" s="32" t="str">
        <f ca="1">+IF(B979&gt;'sap nuevo'!$V$1,"cargar",IF(C979="","cargar","pagado"))</f>
        <v>cargar</v>
      </c>
      <c r="I979" s="32">
        <f t="shared" si="130"/>
        <v>2025</v>
      </c>
      <c r="J979" s="32">
        <f t="shared" si="131"/>
        <v>8</v>
      </c>
    </row>
    <row r="980" spans="1:10" x14ac:dyDescent="0.25">
      <c r="A980" t="s">
        <v>877</v>
      </c>
      <c r="B980" t="s">
        <v>215</v>
      </c>
      <c r="C980">
        <v>1694</v>
      </c>
      <c r="D980">
        <v>9999</v>
      </c>
      <c r="E980" s="4">
        <v>-11024516.85</v>
      </c>
      <c r="F980" t="s">
        <v>1461</v>
      </c>
      <c r="G980">
        <v>1385</v>
      </c>
      <c r="H980" s="32" t="str">
        <f ca="1">+IF(B980&gt;'sap nuevo'!$V$1,"cargar",IF(C980="","cargar","pagado"))</f>
        <v>cargar</v>
      </c>
      <c r="I980" s="32">
        <f t="shared" si="130"/>
        <v>2025</v>
      </c>
      <c r="J980" s="32">
        <f t="shared" si="131"/>
        <v>8</v>
      </c>
    </row>
    <row r="981" spans="1:10" x14ac:dyDescent="0.25">
      <c r="A981" t="s">
        <v>877</v>
      </c>
      <c r="B981" t="s">
        <v>215</v>
      </c>
      <c r="C981">
        <v>1801</v>
      </c>
      <c r="D981">
        <v>9999</v>
      </c>
      <c r="E981" s="4">
        <v>-4991502.8499999996</v>
      </c>
      <c r="F981" t="s">
        <v>1462</v>
      </c>
      <c r="G981">
        <v>1385</v>
      </c>
      <c r="H981" s="32" t="str">
        <f ca="1">+IF(B981&gt;'sap nuevo'!$V$1,"cargar",IF(C981="","cargar","pagado"))</f>
        <v>cargar</v>
      </c>
      <c r="I981" s="32">
        <f t="shared" si="130"/>
        <v>2025</v>
      </c>
      <c r="J981" s="32">
        <f t="shared" si="131"/>
        <v>8</v>
      </c>
    </row>
    <row r="982" spans="1:10" x14ac:dyDescent="0.25">
      <c r="A982" t="s">
        <v>877</v>
      </c>
      <c r="B982" t="s">
        <v>215</v>
      </c>
      <c r="C982">
        <v>1827</v>
      </c>
      <c r="D982">
        <v>9999</v>
      </c>
      <c r="E982" s="4">
        <v>-2776610.24</v>
      </c>
      <c r="F982" t="s">
        <v>1463</v>
      </c>
      <c r="G982">
        <v>1385</v>
      </c>
      <c r="H982" s="32" t="str">
        <f ca="1">+IF(B982&gt;'sap nuevo'!$V$1,"cargar",IF(C982="","cargar","pagado"))</f>
        <v>cargar</v>
      </c>
      <c r="I982" s="32">
        <f t="shared" si="130"/>
        <v>2025</v>
      </c>
      <c r="J982" s="32">
        <f t="shared" si="131"/>
        <v>8</v>
      </c>
    </row>
    <row r="983" spans="1:10" x14ac:dyDescent="0.25">
      <c r="A983" t="s">
        <v>12</v>
      </c>
      <c r="B983" t="s">
        <v>215</v>
      </c>
      <c r="C983">
        <v>40272972</v>
      </c>
      <c r="D983">
        <v>140</v>
      </c>
      <c r="E983" s="4">
        <v>-15620310.99</v>
      </c>
      <c r="F983" t="s">
        <v>82</v>
      </c>
      <c r="G983">
        <v>0</v>
      </c>
      <c r="H983" s="32" t="str">
        <f ca="1">+IF(B983&gt;'sap nuevo'!$V$1,"cargar",IF(C983="","cargar","pagado"))</f>
        <v>cargar</v>
      </c>
      <c r="I983" s="32">
        <f t="shared" ref="I983" si="132">+YEAR(B983)</f>
        <v>2025</v>
      </c>
      <c r="J983" s="32">
        <f t="shared" ref="J983" si="133">+MONTH(B983)</f>
        <v>8</v>
      </c>
    </row>
    <row r="984" spans="1:10" x14ac:dyDescent="0.25">
      <c r="A984" t="s">
        <v>873</v>
      </c>
      <c r="B984" t="s">
        <v>216</v>
      </c>
      <c r="C984">
        <v>1831</v>
      </c>
      <c r="D984">
        <v>9999</v>
      </c>
      <c r="E984" s="4">
        <v>-10000000</v>
      </c>
      <c r="F984" t="s">
        <v>1464</v>
      </c>
      <c r="G984">
        <v>3520</v>
      </c>
      <c r="H984" s="32" t="str">
        <f ca="1">+IF(B984&gt;'sap nuevo'!$V$1,"cargar",IF(C984="","cargar","pagado"))</f>
        <v>cargar</v>
      </c>
      <c r="I984" s="32">
        <f t="shared" ref="I984:I1009" si="134">+YEAR(B984)</f>
        <v>2025</v>
      </c>
      <c r="J984" s="32">
        <f t="shared" ref="J984:J1009" si="135">+MONTH(B984)</f>
        <v>8</v>
      </c>
    </row>
    <row r="985" spans="1:10" x14ac:dyDescent="0.25">
      <c r="A985" t="s">
        <v>873</v>
      </c>
      <c r="B985" t="s">
        <v>216</v>
      </c>
      <c r="C985">
        <v>1721</v>
      </c>
      <c r="D985">
        <v>9999</v>
      </c>
      <c r="E985" s="4">
        <v>-4359541.6399999997</v>
      </c>
      <c r="F985" t="s">
        <v>1465</v>
      </c>
      <c r="G985">
        <v>3520</v>
      </c>
      <c r="H985" s="32" t="str">
        <f ca="1">+IF(B985&gt;'sap nuevo'!$V$1,"cargar",IF(C985="","cargar","pagado"))</f>
        <v>cargar</v>
      </c>
      <c r="I985" s="32">
        <f t="shared" si="134"/>
        <v>2025</v>
      </c>
      <c r="J985" s="32">
        <f t="shared" si="135"/>
        <v>8</v>
      </c>
    </row>
    <row r="986" spans="1:10" x14ac:dyDescent="0.25">
      <c r="A986" t="s">
        <v>877</v>
      </c>
      <c r="B986" t="s">
        <v>217</v>
      </c>
      <c r="C986">
        <v>1752</v>
      </c>
      <c r="D986">
        <v>9999</v>
      </c>
      <c r="E986" s="4">
        <v>-4104639.91</v>
      </c>
      <c r="F986" t="s">
        <v>1466</v>
      </c>
      <c r="G986">
        <v>1385</v>
      </c>
      <c r="H986" s="32" t="str">
        <f ca="1">+IF(B986&gt;'sap nuevo'!$V$1,"cargar",IF(C986="","cargar","pagado"))</f>
        <v>cargar</v>
      </c>
      <c r="I986" s="32">
        <f t="shared" si="134"/>
        <v>2025</v>
      </c>
      <c r="J986" s="32">
        <f t="shared" si="135"/>
        <v>8</v>
      </c>
    </row>
    <row r="987" spans="1:10" x14ac:dyDescent="0.25">
      <c r="A987" t="s">
        <v>21</v>
      </c>
      <c r="B987" t="s">
        <v>218</v>
      </c>
      <c r="C987">
        <v>40272979</v>
      </c>
      <c r="D987">
        <v>140</v>
      </c>
      <c r="E987" s="4">
        <v>-1500000</v>
      </c>
      <c r="F987" t="s">
        <v>80</v>
      </c>
      <c r="G987">
        <v>0</v>
      </c>
      <c r="H987" s="32" t="str">
        <f ca="1">+IF(B987&gt;'sap nuevo'!$V$1,"cargar",IF(C987="","cargar","pagado"))</f>
        <v>cargar</v>
      </c>
      <c r="I987" s="32">
        <f t="shared" si="134"/>
        <v>2025</v>
      </c>
      <c r="J987" s="32">
        <f t="shared" si="135"/>
        <v>8</v>
      </c>
    </row>
    <row r="988" spans="1:10" x14ac:dyDescent="0.25">
      <c r="A988" t="s">
        <v>873</v>
      </c>
      <c r="B988" t="s">
        <v>219</v>
      </c>
      <c r="C988">
        <v>1830</v>
      </c>
      <c r="D988">
        <v>9999</v>
      </c>
      <c r="E988" s="4">
        <v>-8343246.1399999997</v>
      </c>
      <c r="F988" t="s">
        <v>1467</v>
      </c>
      <c r="G988">
        <v>3520</v>
      </c>
      <c r="H988" s="32" t="str">
        <f ca="1">+IF(B988&gt;'sap nuevo'!$V$1,"cargar",IF(C988="","cargar","pagado"))</f>
        <v>cargar</v>
      </c>
      <c r="I988" s="32">
        <f t="shared" si="134"/>
        <v>2025</v>
      </c>
      <c r="J988" s="32">
        <f t="shared" si="135"/>
        <v>9</v>
      </c>
    </row>
    <row r="989" spans="1:10" x14ac:dyDescent="0.25">
      <c r="A989" t="s">
        <v>877</v>
      </c>
      <c r="B989" t="s">
        <v>219</v>
      </c>
      <c r="C989">
        <v>1836</v>
      </c>
      <c r="D989">
        <v>9999</v>
      </c>
      <c r="E989" s="4">
        <v>-17008921.050000001</v>
      </c>
      <c r="F989" t="s">
        <v>1468</v>
      </c>
      <c r="G989">
        <v>1385</v>
      </c>
      <c r="H989" s="32" t="str">
        <f ca="1">+IF(B989&gt;'sap nuevo'!$V$1,"cargar",IF(C989="","cargar","pagado"))</f>
        <v>cargar</v>
      </c>
      <c r="I989" s="32">
        <f t="shared" si="134"/>
        <v>2025</v>
      </c>
      <c r="J989" s="32">
        <f t="shared" si="135"/>
        <v>9</v>
      </c>
    </row>
    <row r="990" spans="1:10" x14ac:dyDescent="0.25">
      <c r="A990" t="s">
        <v>873</v>
      </c>
      <c r="B990" t="s">
        <v>220</v>
      </c>
      <c r="C990">
        <v>1838</v>
      </c>
      <c r="D990">
        <v>9999</v>
      </c>
      <c r="E990" s="4">
        <v>-13635360</v>
      </c>
      <c r="F990" t="s">
        <v>1469</v>
      </c>
      <c r="G990">
        <v>3520</v>
      </c>
      <c r="H990" s="32" t="str">
        <f ca="1">+IF(B990&gt;'sap nuevo'!$V$1,"cargar",IF(C990="","cargar","pagado"))</f>
        <v>cargar</v>
      </c>
      <c r="I990" s="32">
        <f t="shared" si="134"/>
        <v>2025</v>
      </c>
      <c r="J990" s="32">
        <f t="shared" si="135"/>
        <v>9</v>
      </c>
    </row>
    <row r="991" spans="1:10" x14ac:dyDescent="0.25">
      <c r="A991" t="s">
        <v>877</v>
      </c>
      <c r="B991" t="s">
        <v>219</v>
      </c>
      <c r="C991">
        <v>1835</v>
      </c>
      <c r="D991">
        <v>9999</v>
      </c>
      <c r="E991" s="4">
        <v>-12449144.41</v>
      </c>
      <c r="F991" t="s">
        <v>1470</v>
      </c>
      <c r="G991">
        <v>1385</v>
      </c>
      <c r="H991" s="32" t="str">
        <f ca="1">+IF(B991&gt;'sap nuevo'!$V$1,"cargar",IF(C991="","cargar","pagado"))</f>
        <v>cargar</v>
      </c>
      <c r="I991" s="32">
        <f t="shared" si="134"/>
        <v>2025</v>
      </c>
      <c r="J991" s="32">
        <f t="shared" si="135"/>
        <v>9</v>
      </c>
    </row>
    <row r="992" spans="1:10" x14ac:dyDescent="0.25">
      <c r="A992" t="s">
        <v>873</v>
      </c>
      <c r="B992" t="s">
        <v>220</v>
      </c>
      <c r="C992">
        <v>1823</v>
      </c>
      <c r="D992">
        <v>9999</v>
      </c>
      <c r="E992" s="4">
        <v>-5170276.4800000004</v>
      </c>
      <c r="F992" t="s">
        <v>1471</v>
      </c>
      <c r="G992">
        <v>3520</v>
      </c>
      <c r="H992" s="32" t="str">
        <f ca="1">+IF(B992&gt;'sap nuevo'!$V$1,"cargar",IF(C992="","cargar","pagado"))</f>
        <v>cargar</v>
      </c>
      <c r="I992" s="32">
        <f t="shared" si="134"/>
        <v>2025</v>
      </c>
      <c r="J992" s="32">
        <f t="shared" si="135"/>
        <v>9</v>
      </c>
    </row>
    <row r="993" spans="1:10" x14ac:dyDescent="0.25">
      <c r="A993" t="s">
        <v>877</v>
      </c>
      <c r="B993" t="s">
        <v>220</v>
      </c>
      <c r="C993">
        <v>1837</v>
      </c>
      <c r="D993">
        <v>9999</v>
      </c>
      <c r="E993" s="4">
        <v>-15000000</v>
      </c>
      <c r="F993" t="s">
        <v>1472</v>
      </c>
      <c r="G993">
        <v>1385</v>
      </c>
      <c r="H993" s="32" t="str">
        <f ca="1">+IF(B993&gt;'sap nuevo'!$V$1,"cargar",IF(C993="","cargar","pagado"))</f>
        <v>cargar</v>
      </c>
      <c r="I993" s="32">
        <f t="shared" si="134"/>
        <v>2025</v>
      </c>
      <c r="J993" s="32">
        <f t="shared" si="135"/>
        <v>9</v>
      </c>
    </row>
    <row r="994" spans="1:10" x14ac:dyDescent="0.25">
      <c r="A994" t="s">
        <v>877</v>
      </c>
      <c r="B994" t="s">
        <v>220</v>
      </c>
      <c r="C994">
        <v>1824</v>
      </c>
      <c r="D994">
        <v>9999</v>
      </c>
      <c r="E994" s="4">
        <v>-1968921.02</v>
      </c>
      <c r="F994" t="s">
        <v>1473</v>
      </c>
      <c r="G994">
        <v>1385</v>
      </c>
      <c r="H994" s="32" t="str">
        <f ca="1">+IF(B994&gt;'sap nuevo'!$V$1,"cargar",IF(C994="","cargar","pagado"))</f>
        <v>cargar</v>
      </c>
      <c r="I994" s="32">
        <f t="shared" si="134"/>
        <v>2025</v>
      </c>
      <c r="J994" s="32">
        <f t="shared" si="135"/>
        <v>9</v>
      </c>
    </row>
    <row r="995" spans="1:10" x14ac:dyDescent="0.25">
      <c r="A995" t="s">
        <v>21</v>
      </c>
      <c r="B995" t="s">
        <v>219</v>
      </c>
      <c r="C995">
        <v>91002473</v>
      </c>
      <c r="D995">
        <v>140</v>
      </c>
      <c r="E995" s="4">
        <v>-25000000</v>
      </c>
      <c r="F995" t="s">
        <v>80</v>
      </c>
      <c r="G995">
        <v>0</v>
      </c>
      <c r="H995" s="32" t="str">
        <f ca="1">+IF(B995&gt;'sap nuevo'!$V$1,"cargar",IF(C995="","cargar","pagado"))</f>
        <v>cargar</v>
      </c>
      <c r="I995" s="32">
        <f t="shared" si="134"/>
        <v>2025</v>
      </c>
      <c r="J995" s="32">
        <f t="shared" si="135"/>
        <v>9</v>
      </c>
    </row>
    <row r="996" spans="1:10" x14ac:dyDescent="0.25">
      <c r="A996" t="s">
        <v>21</v>
      </c>
      <c r="B996" t="s">
        <v>219</v>
      </c>
      <c r="C996">
        <v>91002489</v>
      </c>
      <c r="D996">
        <v>140</v>
      </c>
      <c r="E996" s="4">
        <v>-20000000</v>
      </c>
      <c r="F996" t="s">
        <v>80</v>
      </c>
      <c r="G996">
        <v>0</v>
      </c>
      <c r="H996" s="32" t="str">
        <f ca="1">+IF(B996&gt;'sap nuevo'!$V$1,"cargar",IF(C996="","cargar","pagado"))</f>
        <v>cargar</v>
      </c>
      <c r="I996" s="32">
        <f t="shared" si="134"/>
        <v>2025</v>
      </c>
      <c r="J996" s="32">
        <f t="shared" si="135"/>
        <v>9</v>
      </c>
    </row>
    <row r="997" spans="1:10" x14ac:dyDescent="0.25">
      <c r="A997" t="s">
        <v>21</v>
      </c>
      <c r="B997" t="s">
        <v>219</v>
      </c>
      <c r="C997">
        <v>91002490</v>
      </c>
      <c r="D997">
        <v>140</v>
      </c>
      <c r="E997" s="4">
        <v>-18339488.41</v>
      </c>
      <c r="F997" t="s">
        <v>80</v>
      </c>
      <c r="G997">
        <v>0</v>
      </c>
      <c r="H997" s="32" t="str">
        <f ca="1">+IF(B997&gt;'sap nuevo'!$V$1,"cargar",IF(C997="","cargar","pagado"))</f>
        <v>cargar</v>
      </c>
      <c r="I997" s="32">
        <f t="shared" si="134"/>
        <v>2025</v>
      </c>
      <c r="J997" s="32">
        <f t="shared" si="135"/>
        <v>9</v>
      </c>
    </row>
    <row r="998" spans="1:10" x14ac:dyDescent="0.25">
      <c r="A998" t="s">
        <v>12</v>
      </c>
      <c r="B998" t="s">
        <v>219</v>
      </c>
      <c r="C998">
        <v>91002462</v>
      </c>
      <c r="D998">
        <v>140</v>
      </c>
      <c r="E998" s="4">
        <v>-15844400.58</v>
      </c>
      <c r="F998" t="s">
        <v>82</v>
      </c>
      <c r="G998">
        <v>0</v>
      </c>
      <c r="H998" s="32" t="str">
        <f ca="1">+IF(B998&gt;'sap nuevo'!$V$1,"cargar",IF(C998="","cargar","pagado"))</f>
        <v>cargar</v>
      </c>
      <c r="I998" s="32">
        <f t="shared" si="134"/>
        <v>2025</v>
      </c>
      <c r="J998" s="32">
        <f t="shared" si="135"/>
        <v>9</v>
      </c>
    </row>
    <row r="999" spans="1:10" x14ac:dyDescent="0.25">
      <c r="A999" t="s">
        <v>21</v>
      </c>
      <c r="B999" t="s">
        <v>219</v>
      </c>
      <c r="C999">
        <v>91002470</v>
      </c>
      <c r="D999">
        <v>140</v>
      </c>
      <c r="E999" s="4">
        <v>-15000000</v>
      </c>
      <c r="F999" t="s">
        <v>80</v>
      </c>
      <c r="G999">
        <v>0</v>
      </c>
      <c r="H999" s="32" t="str">
        <f ca="1">+IF(B999&gt;'sap nuevo'!$V$1,"cargar",IF(C999="","cargar","pagado"))</f>
        <v>cargar</v>
      </c>
      <c r="I999" s="32">
        <f t="shared" si="134"/>
        <v>2025</v>
      </c>
      <c r="J999" s="32">
        <f t="shared" si="135"/>
        <v>9</v>
      </c>
    </row>
    <row r="1000" spans="1:10" x14ac:dyDescent="0.25">
      <c r="A1000" t="s">
        <v>21</v>
      </c>
      <c r="B1000" t="s">
        <v>219</v>
      </c>
      <c r="C1000">
        <v>91002481</v>
      </c>
      <c r="D1000">
        <v>140</v>
      </c>
      <c r="E1000" s="4">
        <v>-15000000</v>
      </c>
      <c r="F1000" t="s">
        <v>80</v>
      </c>
      <c r="G1000">
        <v>0</v>
      </c>
      <c r="H1000" s="32" t="str">
        <f ca="1">+IF(B1000&gt;'sap nuevo'!$V$1,"cargar",IF(C1000="","cargar","pagado"))</f>
        <v>cargar</v>
      </c>
      <c r="I1000" s="32">
        <f t="shared" si="134"/>
        <v>2025</v>
      </c>
      <c r="J1000" s="32">
        <f t="shared" si="135"/>
        <v>9</v>
      </c>
    </row>
    <row r="1001" spans="1:10" x14ac:dyDescent="0.25">
      <c r="A1001" t="s">
        <v>21</v>
      </c>
      <c r="B1001" t="s">
        <v>219</v>
      </c>
      <c r="C1001">
        <v>91002465</v>
      </c>
      <c r="D1001">
        <v>140</v>
      </c>
      <c r="E1001" s="4">
        <v>-13789931.4</v>
      </c>
      <c r="F1001" t="s">
        <v>80</v>
      </c>
      <c r="G1001">
        <v>0</v>
      </c>
      <c r="H1001" s="32" t="str">
        <f ca="1">+IF(B1001&gt;'sap nuevo'!$V$1,"cargar",IF(C1001="","cargar","pagado"))</f>
        <v>cargar</v>
      </c>
      <c r="I1001" s="32">
        <f t="shared" si="134"/>
        <v>2025</v>
      </c>
      <c r="J1001" s="32">
        <f t="shared" si="135"/>
        <v>9</v>
      </c>
    </row>
    <row r="1002" spans="1:10" x14ac:dyDescent="0.25">
      <c r="A1002" t="s">
        <v>12</v>
      </c>
      <c r="B1002" t="s">
        <v>219</v>
      </c>
      <c r="C1002">
        <v>91002491</v>
      </c>
      <c r="D1002">
        <v>140</v>
      </c>
      <c r="E1002" s="4">
        <v>-12000000</v>
      </c>
      <c r="F1002" t="s">
        <v>82</v>
      </c>
      <c r="G1002">
        <v>0</v>
      </c>
      <c r="H1002" s="32" t="str">
        <f ca="1">+IF(B1002&gt;'sap nuevo'!$V$1,"cargar",IF(C1002="","cargar","pagado"))</f>
        <v>cargar</v>
      </c>
      <c r="I1002" s="32">
        <f t="shared" si="134"/>
        <v>2025</v>
      </c>
      <c r="J1002" s="32">
        <f t="shared" si="135"/>
        <v>9</v>
      </c>
    </row>
    <row r="1003" spans="1:10" x14ac:dyDescent="0.25">
      <c r="A1003" t="s">
        <v>21</v>
      </c>
      <c r="B1003" t="s">
        <v>219</v>
      </c>
      <c r="C1003">
        <v>91002454</v>
      </c>
      <c r="D1003">
        <v>140</v>
      </c>
      <c r="E1003" s="4">
        <v>-11000000</v>
      </c>
      <c r="F1003" t="s">
        <v>80</v>
      </c>
      <c r="G1003">
        <v>0</v>
      </c>
      <c r="H1003" s="32" t="str">
        <f ca="1">+IF(B1003&gt;'sap nuevo'!$V$1,"cargar",IF(C1003="","cargar","pagado"))</f>
        <v>cargar</v>
      </c>
      <c r="I1003" s="32">
        <f t="shared" si="134"/>
        <v>2025</v>
      </c>
      <c r="J1003" s="32">
        <f t="shared" si="135"/>
        <v>9</v>
      </c>
    </row>
    <row r="1004" spans="1:10" x14ac:dyDescent="0.25">
      <c r="A1004" t="s">
        <v>21</v>
      </c>
      <c r="B1004" t="s">
        <v>219</v>
      </c>
      <c r="C1004">
        <v>91002493</v>
      </c>
      <c r="D1004">
        <v>140</v>
      </c>
      <c r="E1004" s="4">
        <v>-11000000</v>
      </c>
      <c r="F1004" t="s">
        <v>80</v>
      </c>
      <c r="G1004">
        <v>0</v>
      </c>
      <c r="H1004" s="32" t="str">
        <f ca="1">+IF(B1004&gt;'sap nuevo'!$V$1,"cargar",IF(C1004="","cargar","pagado"))</f>
        <v>cargar</v>
      </c>
      <c r="I1004" s="32">
        <f t="shared" si="134"/>
        <v>2025</v>
      </c>
      <c r="J1004" s="32">
        <f t="shared" si="135"/>
        <v>9</v>
      </c>
    </row>
    <row r="1005" spans="1:10" x14ac:dyDescent="0.25">
      <c r="A1005" t="s">
        <v>12</v>
      </c>
      <c r="B1005" t="s">
        <v>219</v>
      </c>
      <c r="C1005">
        <v>91002450</v>
      </c>
      <c r="D1005">
        <v>140</v>
      </c>
      <c r="E1005" s="4">
        <v>-10000000</v>
      </c>
      <c r="F1005" t="s">
        <v>82</v>
      </c>
      <c r="G1005">
        <v>0</v>
      </c>
      <c r="H1005" s="32" t="str">
        <f ca="1">+IF(B1005&gt;'sap nuevo'!$V$1,"cargar",IF(C1005="","cargar","pagado"))</f>
        <v>cargar</v>
      </c>
      <c r="I1005" s="32">
        <f t="shared" si="134"/>
        <v>2025</v>
      </c>
      <c r="J1005" s="32">
        <f t="shared" si="135"/>
        <v>9</v>
      </c>
    </row>
    <row r="1006" spans="1:10" x14ac:dyDescent="0.25">
      <c r="A1006" t="s">
        <v>21</v>
      </c>
      <c r="B1006" t="s">
        <v>219</v>
      </c>
      <c r="C1006">
        <v>91002495</v>
      </c>
      <c r="D1006">
        <v>140</v>
      </c>
      <c r="E1006" s="4">
        <v>-10000000</v>
      </c>
      <c r="F1006" t="s">
        <v>80</v>
      </c>
      <c r="G1006">
        <v>0</v>
      </c>
      <c r="H1006" s="32" t="str">
        <f ca="1">+IF(B1006&gt;'sap nuevo'!$V$1,"cargar",IF(C1006="","cargar","pagado"))</f>
        <v>cargar</v>
      </c>
      <c r="I1006" s="32">
        <f t="shared" si="134"/>
        <v>2025</v>
      </c>
      <c r="J1006" s="32">
        <f t="shared" si="135"/>
        <v>9</v>
      </c>
    </row>
    <row r="1007" spans="1:10" x14ac:dyDescent="0.25">
      <c r="A1007" t="s">
        <v>21</v>
      </c>
      <c r="B1007" t="s">
        <v>219</v>
      </c>
      <c r="C1007">
        <v>91002497</v>
      </c>
      <c r="D1007">
        <v>140</v>
      </c>
      <c r="E1007" s="4">
        <v>-10000000</v>
      </c>
      <c r="F1007" t="s">
        <v>80</v>
      </c>
      <c r="G1007">
        <v>0</v>
      </c>
      <c r="H1007" s="32" t="str">
        <f ca="1">+IF(B1007&gt;'sap nuevo'!$V$1,"cargar",IF(C1007="","cargar","pagado"))</f>
        <v>cargar</v>
      </c>
      <c r="I1007" s="32">
        <f t="shared" si="134"/>
        <v>2025</v>
      </c>
      <c r="J1007" s="32">
        <f t="shared" si="135"/>
        <v>9</v>
      </c>
    </row>
    <row r="1008" spans="1:10" x14ac:dyDescent="0.25">
      <c r="A1008" t="s">
        <v>21</v>
      </c>
      <c r="B1008" t="s">
        <v>219</v>
      </c>
      <c r="C1008">
        <v>91002475</v>
      </c>
      <c r="D1008">
        <v>140</v>
      </c>
      <c r="E1008" s="4">
        <v>-9950499.9800000004</v>
      </c>
      <c r="F1008" t="s">
        <v>80</v>
      </c>
      <c r="G1008">
        <v>0</v>
      </c>
      <c r="H1008" s="32" t="str">
        <f ca="1">+IF(B1008&gt;'sap nuevo'!$V$1,"cargar",IF(C1008="","cargar","pagado"))</f>
        <v>cargar</v>
      </c>
      <c r="I1008" s="32">
        <f t="shared" si="134"/>
        <v>2025</v>
      </c>
      <c r="J1008" s="32">
        <f t="shared" si="135"/>
        <v>9</v>
      </c>
    </row>
    <row r="1009" spans="1:10" x14ac:dyDescent="0.25">
      <c r="A1009" t="s">
        <v>12</v>
      </c>
      <c r="B1009" t="s">
        <v>219</v>
      </c>
      <c r="C1009">
        <v>91002467</v>
      </c>
      <c r="D1009">
        <v>140</v>
      </c>
      <c r="E1009" s="4">
        <v>-9870000</v>
      </c>
      <c r="F1009" t="s">
        <v>82</v>
      </c>
      <c r="G1009">
        <v>0</v>
      </c>
      <c r="H1009" s="32" t="str">
        <f ca="1">+IF(B1009&gt;'sap nuevo'!$V$1,"cargar",IF(C1009="","cargar","pagado"))</f>
        <v>cargar</v>
      </c>
      <c r="I1009" s="32">
        <f t="shared" si="134"/>
        <v>2025</v>
      </c>
      <c r="J1009" s="32">
        <f t="shared" si="135"/>
        <v>9</v>
      </c>
    </row>
    <row r="1010" spans="1:10" x14ac:dyDescent="0.25">
      <c r="A1010" t="s">
        <v>21</v>
      </c>
      <c r="B1010" t="s">
        <v>219</v>
      </c>
      <c r="C1010">
        <v>91002461</v>
      </c>
      <c r="D1010">
        <v>140</v>
      </c>
      <c r="E1010" s="4">
        <v>-9008164.7100000009</v>
      </c>
      <c r="F1010" t="s">
        <v>80</v>
      </c>
      <c r="G1010">
        <v>0</v>
      </c>
      <c r="H1010" s="32" t="str">
        <f ca="1">+IF(B1010&gt;'sap nuevo'!$V$1,"cargar",IF(C1010="","cargar","pagado"))</f>
        <v>cargar</v>
      </c>
      <c r="I1010" s="32">
        <f t="shared" ref="I1010:I1032" si="136">+YEAR(B1010)</f>
        <v>2025</v>
      </c>
      <c r="J1010" s="32">
        <f t="shared" ref="J1010:J1032" si="137">+MONTH(B1010)</f>
        <v>9</v>
      </c>
    </row>
    <row r="1011" spans="1:10" x14ac:dyDescent="0.25">
      <c r="A1011" t="s">
        <v>21</v>
      </c>
      <c r="B1011" t="s">
        <v>219</v>
      </c>
      <c r="C1011">
        <v>91002472</v>
      </c>
      <c r="D1011">
        <v>140</v>
      </c>
      <c r="E1011" s="4">
        <v>-8266467.2000000002</v>
      </c>
      <c r="F1011" t="s">
        <v>80</v>
      </c>
      <c r="G1011">
        <v>0</v>
      </c>
      <c r="H1011" s="32" t="str">
        <f ca="1">+IF(B1011&gt;'sap nuevo'!$V$1,"cargar",IF(C1011="","cargar","pagado"))</f>
        <v>cargar</v>
      </c>
      <c r="I1011" s="32">
        <f t="shared" si="136"/>
        <v>2025</v>
      </c>
      <c r="J1011" s="32">
        <f t="shared" si="137"/>
        <v>9</v>
      </c>
    </row>
    <row r="1012" spans="1:10" x14ac:dyDescent="0.25">
      <c r="A1012" t="s">
        <v>12</v>
      </c>
      <c r="B1012" t="s">
        <v>219</v>
      </c>
      <c r="C1012">
        <v>91002464</v>
      </c>
      <c r="D1012">
        <v>140</v>
      </c>
      <c r="E1012" s="4">
        <v>-7460417.5599999996</v>
      </c>
      <c r="F1012" t="s">
        <v>82</v>
      </c>
      <c r="G1012">
        <v>0</v>
      </c>
      <c r="H1012" s="32" t="str">
        <f ca="1">+IF(B1012&gt;'sap nuevo'!$V$1,"cargar",IF(C1012="","cargar","pagado"))</f>
        <v>cargar</v>
      </c>
      <c r="I1012" s="32">
        <f t="shared" si="136"/>
        <v>2025</v>
      </c>
      <c r="J1012" s="32">
        <f t="shared" si="137"/>
        <v>9</v>
      </c>
    </row>
    <row r="1013" spans="1:10" x14ac:dyDescent="0.25">
      <c r="A1013" t="s">
        <v>21</v>
      </c>
      <c r="B1013" t="s">
        <v>219</v>
      </c>
      <c r="C1013">
        <v>91002485</v>
      </c>
      <c r="D1013">
        <v>140</v>
      </c>
      <c r="E1013" s="4">
        <v>-6349523.3700000001</v>
      </c>
      <c r="F1013" t="s">
        <v>80</v>
      </c>
      <c r="G1013">
        <v>0</v>
      </c>
      <c r="H1013" s="32" t="str">
        <f ca="1">+IF(B1013&gt;'sap nuevo'!$V$1,"cargar",IF(C1013="","cargar","pagado"))</f>
        <v>cargar</v>
      </c>
      <c r="I1013" s="32">
        <f t="shared" si="136"/>
        <v>2025</v>
      </c>
      <c r="J1013" s="32">
        <f t="shared" si="137"/>
        <v>9</v>
      </c>
    </row>
    <row r="1014" spans="1:10" x14ac:dyDescent="0.25">
      <c r="A1014" t="s">
        <v>12</v>
      </c>
      <c r="B1014" t="s">
        <v>219</v>
      </c>
      <c r="C1014">
        <v>91002476</v>
      </c>
      <c r="D1014">
        <v>140</v>
      </c>
      <c r="E1014" s="4">
        <v>-6286667.6699999999</v>
      </c>
      <c r="F1014" t="s">
        <v>82</v>
      </c>
      <c r="G1014">
        <v>0</v>
      </c>
      <c r="H1014" s="32" t="str">
        <f ca="1">+IF(B1014&gt;'sap nuevo'!$V$1,"cargar",IF(C1014="","cargar","pagado"))</f>
        <v>cargar</v>
      </c>
      <c r="I1014" s="32">
        <f t="shared" si="136"/>
        <v>2025</v>
      </c>
      <c r="J1014" s="32">
        <f t="shared" si="137"/>
        <v>9</v>
      </c>
    </row>
    <row r="1015" spans="1:10" x14ac:dyDescent="0.25">
      <c r="A1015" t="s">
        <v>21</v>
      </c>
      <c r="B1015" t="s">
        <v>219</v>
      </c>
      <c r="C1015">
        <v>91002486</v>
      </c>
      <c r="D1015">
        <v>140</v>
      </c>
      <c r="E1015" s="4">
        <v>-6000000</v>
      </c>
      <c r="F1015" t="s">
        <v>80</v>
      </c>
      <c r="G1015">
        <v>0</v>
      </c>
      <c r="H1015" s="32" t="str">
        <f ca="1">+IF(B1015&gt;'sap nuevo'!$V$1,"cargar",IF(C1015="","cargar","pagado"))</f>
        <v>cargar</v>
      </c>
      <c r="I1015" s="32">
        <f t="shared" si="136"/>
        <v>2025</v>
      </c>
      <c r="J1015" s="32">
        <f t="shared" si="137"/>
        <v>9</v>
      </c>
    </row>
    <row r="1016" spans="1:10" x14ac:dyDescent="0.25">
      <c r="A1016" t="s">
        <v>21</v>
      </c>
      <c r="B1016" t="s">
        <v>219</v>
      </c>
      <c r="C1016">
        <v>91002453</v>
      </c>
      <c r="D1016">
        <v>140</v>
      </c>
      <c r="E1016" s="4">
        <v>-5156858.4000000004</v>
      </c>
      <c r="F1016" t="s">
        <v>80</v>
      </c>
      <c r="G1016">
        <v>0</v>
      </c>
      <c r="H1016" s="32" t="str">
        <f ca="1">+IF(B1016&gt;'sap nuevo'!$V$1,"cargar",IF(C1016="","cargar","pagado"))</f>
        <v>cargar</v>
      </c>
      <c r="I1016" s="32">
        <f t="shared" si="136"/>
        <v>2025</v>
      </c>
      <c r="J1016" s="32">
        <f t="shared" si="137"/>
        <v>9</v>
      </c>
    </row>
    <row r="1017" spans="1:10" x14ac:dyDescent="0.25">
      <c r="A1017" t="s">
        <v>21</v>
      </c>
      <c r="B1017" t="s">
        <v>219</v>
      </c>
      <c r="C1017">
        <v>91002480</v>
      </c>
      <c r="D1017">
        <v>140</v>
      </c>
      <c r="E1017" s="4">
        <v>-4641089.26</v>
      </c>
      <c r="F1017" t="s">
        <v>80</v>
      </c>
      <c r="G1017">
        <v>0</v>
      </c>
      <c r="H1017" s="32" t="str">
        <f ca="1">+IF(B1017&gt;'sap nuevo'!$V$1,"cargar",IF(C1017="","cargar","pagado"))</f>
        <v>cargar</v>
      </c>
      <c r="I1017" s="32">
        <f t="shared" si="136"/>
        <v>2025</v>
      </c>
      <c r="J1017" s="32">
        <f t="shared" si="137"/>
        <v>9</v>
      </c>
    </row>
    <row r="1018" spans="1:10" x14ac:dyDescent="0.25">
      <c r="A1018" t="s">
        <v>21</v>
      </c>
      <c r="B1018" t="s">
        <v>219</v>
      </c>
      <c r="C1018">
        <v>91002484</v>
      </c>
      <c r="D1018">
        <v>140</v>
      </c>
      <c r="E1018" s="4">
        <v>-4259943.16</v>
      </c>
      <c r="F1018" t="s">
        <v>80</v>
      </c>
      <c r="G1018">
        <v>0</v>
      </c>
      <c r="H1018" s="32" t="str">
        <f ca="1">+IF(B1018&gt;'sap nuevo'!$V$1,"cargar",IF(C1018="","cargar","pagado"))</f>
        <v>cargar</v>
      </c>
      <c r="I1018" s="32">
        <f t="shared" si="136"/>
        <v>2025</v>
      </c>
      <c r="J1018" s="32">
        <f t="shared" si="137"/>
        <v>9</v>
      </c>
    </row>
    <row r="1019" spans="1:10" x14ac:dyDescent="0.25">
      <c r="A1019" t="s">
        <v>21</v>
      </c>
      <c r="B1019" t="s">
        <v>219</v>
      </c>
      <c r="C1019">
        <v>91002477</v>
      </c>
      <c r="D1019">
        <v>140</v>
      </c>
      <c r="E1019" s="4">
        <v>-3463468.43</v>
      </c>
      <c r="F1019" t="s">
        <v>80</v>
      </c>
      <c r="G1019">
        <v>0</v>
      </c>
      <c r="H1019" s="32" t="str">
        <f ca="1">+IF(B1019&gt;'sap nuevo'!$V$1,"cargar",IF(C1019="","cargar","pagado"))</f>
        <v>cargar</v>
      </c>
      <c r="I1019" s="32">
        <f t="shared" si="136"/>
        <v>2025</v>
      </c>
      <c r="J1019" s="32">
        <f t="shared" si="137"/>
        <v>9</v>
      </c>
    </row>
    <row r="1020" spans="1:10" x14ac:dyDescent="0.25">
      <c r="A1020" t="s">
        <v>21</v>
      </c>
      <c r="B1020" t="s">
        <v>220</v>
      </c>
      <c r="C1020">
        <v>91002474</v>
      </c>
      <c r="D1020">
        <v>140</v>
      </c>
      <c r="E1020" s="4">
        <v>-24833000</v>
      </c>
      <c r="F1020" t="s">
        <v>80</v>
      </c>
      <c r="G1020">
        <v>0</v>
      </c>
      <c r="H1020" s="32" t="str">
        <f ca="1">+IF(B1020&gt;'sap nuevo'!$V$1,"cargar",IF(C1020="","cargar","pagado"))</f>
        <v>cargar</v>
      </c>
      <c r="I1020" s="32">
        <f t="shared" si="136"/>
        <v>2025</v>
      </c>
      <c r="J1020" s="32">
        <f t="shared" si="137"/>
        <v>9</v>
      </c>
    </row>
    <row r="1021" spans="1:10" x14ac:dyDescent="0.25">
      <c r="A1021" t="s">
        <v>21</v>
      </c>
      <c r="B1021" t="s">
        <v>220</v>
      </c>
      <c r="C1021">
        <v>91002468</v>
      </c>
      <c r="D1021">
        <v>140</v>
      </c>
      <c r="E1021" s="4">
        <v>-16000000</v>
      </c>
      <c r="F1021" t="s">
        <v>80</v>
      </c>
      <c r="G1021">
        <v>0</v>
      </c>
      <c r="H1021" s="32" t="str">
        <f ca="1">+IF(B1021&gt;'sap nuevo'!$V$1,"cargar",IF(C1021="","cargar","pagado"))</f>
        <v>cargar</v>
      </c>
      <c r="I1021" s="32">
        <f t="shared" si="136"/>
        <v>2025</v>
      </c>
      <c r="J1021" s="32">
        <f t="shared" si="137"/>
        <v>9</v>
      </c>
    </row>
    <row r="1022" spans="1:10" x14ac:dyDescent="0.25">
      <c r="A1022" t="s">
        <v>21</v>
      </c>
      <c r="B1022" t="s">
        <v>220</v>
      </c>
      <c r="C1022">
        <v>91002469</v>
      </c>
      <c r="D1022">
        <v>140</v>
      </c>
      <c r="E1022" s="4">
        <v>-15608527.07</v>
      </c>
      <c r="F1022" t="s">
        <v>80</v>
      </c>
      <c r="G1022">
        <v>0</v>
      </c>
      <c r="H1022" s="32" t="str">
        <f ca="1">+IF(B1022&gt;'sap nuevo'!$V$1,"cargar",IF(C1022="","cargar","pagado"))</f>
        <v>cargar</v>
      </c>
      <c r="I1022" s="32">
        <f t="shared" si="136"/>
        <v>2025</v>
      </c>
      <c r="J1022" s="32">
        <f t="shared" si="137"/>
        <v>9</v>
      </c>
    </row>
    <row r="1023" spans="1:10" x14ac:dyDescent="0.25">
      <c r="A1023" t="s">
        <v>21</v>
      </c>
      <c r="B1023" t="s">
        <v>220</v>
      </c>
      <c r="C1023">
        <v>91002482</v>
      </c>
      <c r="D1023">
        <v>140</v>
      </c>
      <c r="E1023" s="4">
        <v>-14895880.23</v>
      </c>
      <c r="F1023" t="s">
        <v>80</v>
      </c>
      <c r="G1023">
        <v>0</v>
      </c>
      <c r="H1023" s="32" t="str">
        <f ca="1">+IF(B1023&gt;'sap nuevo'!$V$1,"cargar",IF(C1023="","cargar","pagado"))</f>
        <v>cargar</v>
      </c>
      <c r="I1023" s="32">
        <f t="shared" si="136"/>
        <v>2025</v>
      </c>
      <c r="J1023" s="32">
        <f t="shared" si="137"/>
        <v>9</v>
      </c>
    </row>
    <row r="1024" spans="1:10" x14ac:dyDescent="0.25">
      <c r="A1024" t="s">
        <v>21</v>
      </c>
      <c r="B1024" t="s">
        <v>220</v>
      </c>
      <c r="C1024">
        <v>91002471</v>
      </c>
      <c r="D1024">
        <v>140</v>
      </c>
      <c r="E1024" s="4">
        <v>-14838594.6</v>
      </c>
      <c r="F1024" t="s">
        <v>80</v>
      </c>
      <c r="G1024">
        <v>0</v>
      </c>
      <c r="H1024" s="32" t="str">
        <f ca="1">+IF(B1024&gt;'sap nuevo'!$V$1,"cargar",IF(C1024="","cargar","pagado"))</f>
        <v>cargar</v>
      </c>
      <c r="I1024" s="32">
        <f t="shared" si="136"/>
        <v>2025</v>
      </c>
      <c r="J1024" s="32">
        <f t="shared" si="137"/>
        <v>9</v>
      </c>
    </row>
    <row r="1025" spans="1:10" x14ac:dyDescent="0.25">
      <c r="A1025" t="s">
        <v>21</v>
      </c>
      <c r="B1025" t="s">
        <v>220</v>
      </c>
      <c r="C1025">
        <v>91002492</v>
      </c>
      <c r="D1025">
        <v>140</v>
      </c>
      <c r="E1025" s="4">
        <v>-12916500</v>
      </c>
      <c r="F1025" t="s">
        <v>80</v>
      </c>
      <c r="G1025">
        <v>0</v>
      </c>
      <c r="H1025" s="32" t="str">
        <f ca="1">+IF(B1025&gt;'sap nuevo'!$V$1,"cargar",IF(C1025="","cargar","pagado"))</f>
        <v>cargar</v>
      </c>
      <c r="I1025" s="32">
        <f t="shared" si="136"/>
        <v>2025</v>
      </c>
      <c r="J1025" s="32">
        <f t="shared" si="137"/>
        <v>9</v>
      </c>
    </row>
    <row r="1026" spans="1:10" x14ac:dyDescent="0.25">
      <c r="A1026" t="s">
        <v>21</v>
      </c>
      <c r="B1026" t="s">
        <v>220</v>
      </c>
      <c r="C1026">
        <v>91002494</v>
      </c>
      <c r="D1026">
        <v>140</v>
      </c>
      <c r="E1026" s="4">
        <v>-11644543.4</v>
      </c>
      <c r="F1026" t="s">
        <v>80</v>
      </c>
      <c r="G1026">
        <v>0</v>
      </c>
      <c r="H1026" s="32" t="str">
        <f ca="1">+IF(B1026&gt;'sap nuevo'!$V$1,"cargar",IF(C1026="","cargar","pagado"))</f>
        <v>cargar</v>
      </c>
      <c r="I1026" s="32">
        <f t="shared" si="136"/>
        <v>2025</v>
      </c>
      <c r="J1026" s="32">
        <f t="shared" si="137"/>
        <v>9</v>
      </c>
    </row>
    <row r="1027" spans="1:10" x14ac:dyDescent="0.25">
      <c r="A1027" t="s">
        <v>12</v>
      </c>
      <c r="B1027" t="s">
        <v>220</v>
      </c>
      <c r="C1027">
        <v>91002455</v>
      </c>
      <c r="D1027">
        <v>140</v>
      </c>
      <c r="E1027" s="4">
        <v>-10705170.15</v>
      </c>
      <c r="F1027" t="s">
        <v>82</v>
      </c>
      <c r="G1027">
        <v>0</v>
      </c>
      <c r="H1027" s="32" t="str">
        <f ca="1">+IF(B1027&gt;'sap nuevo'!$V$1,"cargar",IF(C1027="","cargar","pagado"))</f>
        <v>cargar</v>
      </c>
      <c r="I1027" s="32">
        <f t="shared" si="136"/>
        <v>2025</v>
      </c>
      <c r="J1027" s="32">
        <f t="shared" si="137"/>
        <v>9</v>
      </c>
    </row>
    <row r="1028" spans="1:10" x14ac:dyDescent="0.25">
      <c r="A1028" t="s">
        <v>21</v>
      </c>
      <c r="B1028" t="s">
        <v>220</v>
      </c>
      <c r="C1028">
        <v>91002483</v>
      </c>
      <c r="D1028">
        <v>140</v>
      </c>
      <c r="E1028" s="4">
        <v>-8519886.3100000005</v>
      </c>
      <c r="F1028" t="s">
        <v>80</v>
      </c>
      <c r="G1028">
        <v>0</v>
      </c>
      <c r="H1028" s="32" t="str">
        <f ca="1">+IF(B1028&gt;'sap nuevo'!$V$1,"cargar",IF(C1028="","cargar","pagado"))</f>
        <v>cargar</v>
      </c>
      <c r="I1028" s="32">
        <f t="shared" si="136"/>
        <v>2025</v>
      </c>
      <c r="J1028" s="32">
        <f t="shared" si="137"/>
        <v>9</v>
      </c>
    </row>
    <row r="1029" spans="1:10" x14ac:dyDescent="0.25">
      <c r="A1029" t="s">
        <v>21</v>
      </c>
      <c r="B1029" t="s">
        <v>220</v>
      </c>
      <c r="C1029">
        <v>91002466</v>
      </c>
      <c r="D1029">
        <v>140</v>
      </c>
      <c r="E1029" s="4">
        <v>-6127680</v>
      </c>
      <c r="F1029" t="s">
        <v>80</v>
      </c>
      <c r="G1029">
        <v>0</v>
      </c>
      <c r="H1029" s="32" t="str">
        <f ca="1">+IF(B1029&gt;'sap nuevo'!$V$1,"cargar",IF(C1029="","cargar","pagado"))</f>
        <v>cargar</v>
      </c>
      <c r="I1029" s="32">
        <f t="shared" si="136"/>
        <v>2025</v>
      </c>
      <c r="J1029" s="32">
        <f t="shared" si="137"/>
        <v>9</v>
      </c>
    </row>
    <row r="1030" spans="1:10" x14ac:dyDescent="0.25">
      <c r="A1030" t="s">
        <v>21</v>
      </c>
      <c r="B1030" t="s">
        <v>220</v>
      </c>
      <c r="C1030">
        <v>91002498</v>
      </c>
      <c r="D1030">
        <v>140</v>
      </c>
      <c r="E1030" s="4">
        <v>-5446984.3099999996</v>
      </c>
      <c r="F1030" t="s">
        <v>80</v>
      </c>
      <c r="G1030">
        <v>0</v>
      </c>
      <c r="H1030" s="32" t="str">
        <f ca="1">+IF(B1030&gt;'sap nuevo'!$V$1,"cargar",IF(C1030="","cargar","pagado"))</f>
        <v>cargar</v>
      </c>
      <c r="I1030" s="32">
        <f t="shared" si="136"/>
        <v>2025</v>
      </c>
      <c r="J1030" s="32">
        <f t="shared" si="137"/>
        <v>9</v>
      </c>
    </row>
    <row r="1031" spans="1:10" x14ac:dyDescent="0.25">
      <c r="A1031" t="s">
        <v>21</v>
      </c>
      <c r="B1031" t="s">
        <v>220</v>
      </c>
      <c r="C1031">
        <v>91002496</v>
      </c>
      <c r="D1031">
        <v>140</v>
      </c>
      <c r="E1031" s="4">
        <v>-5186559.84</v>
      </c>
      <c r="F1031" t="s">
        <v>80</v>
      </c>
      <c r="G1031">
        <v>0</v>
      </c>
      <c r="H1031" s="32" t="str">
        <f ca="1">+IF(B1031&gt;'sap nuevo'!$V$1,"cargar",IF(C1031="","cargar","pagado"))</f>
        <v>cargar</v>
      </c>
      <c r="I1031" s="32">
        <f t="shared" si="136"/>
        <v>2025</v>
      </c>
      <c r="J1031" s="32">
        <f t="shared" si="137"/>
        <v>9</v>
      </c>
    </row>
    <row r="1032" spans="1:10" x14ac:dyDescent="0.25">
      <c r="A1032" t="s">
        <v>21</v>
      </c>
      <c r="B1032" t="s">
        <v>220</v>
      </c>
      <c r="C1032">
        <v>91002479</v>
      </c>
      <c r="D1032">
        <v>140</v>
      </c>
      <c r="E1032" s="4">
        <v>-2404308.73</v>
      </c>
      <c r="F1032" t="s">
        <v>80</v>
      </c>
      <c r="G1032">
        <v>0</v>
      </c>
      <c r="H1032" s="32" t="str">
        <f ca="1">+IF(B1032&gt;'sap nuevo'!$V$1,"cargar",IF(C1032="","cargar","pagado"))</f>
        <v>cargar</v>
      </c>
      <c r="I1032" s="32">
        <f t="shared" si="136"/>
        <v>2025</v>
      </c>
      <c r="J1032" s="32">
        <f t="shared" si="137"/>
        <v>9</v>
      </c>
    </row>
    <row r="1033" spans="1:10" x14ac:dyDescent="0.25">
      <c r="A1033" t="s">
        <v>877</v>
      </c>
      <c r="B1033" t="s">
        <v>220</v>
      </c>
      <c r="C1033">
        <v>1837</v>
      </c>
      <c r="D1033">
        <v>9999</v>
      </c>
      <c r="E1033" s="4">
        <v>-15000000</v>
      </c>
      <c r="F1033" t="s">
        <v>1472</v>
      </c>
      <c r="G1033">
        <v>1385</v>
      </c>
      <c r="H1033" s="32" t="str">
        <f ca="1">+IF(B1033&gt;'sap nuevo'!$V$1,"cargar",IF(C1033="","cargar","pagado"))</f>
        <v>cargar</v>
      </c>
      <c r="I1033" s="32">
        <f t="shared" ref="I1033:I1048" si="138">+YEAR(B1033)</f>
        <v>2025</v>
      </c>
      <c r="J1033" s="32">
        <f t="shared" ref="J1033:J1048" si="139">+MONTH(B1033)</f>
        <v>9</v>
      </c>
    </row>
    <row r="1034" spans="1:10" x14ac:dyDescent="0.25">
      <c r="A1034" t="s">
        <v>877</v>
      </c>
      <c r="B1034" t="s">
        <v>220</v>
      </c>
      <c r="C1034">
        <v>1824</v>
      </c>
      <c r="D1034">
        <v>9999</v>
      </c>
      <c r="E1034" s="4">
        <v>-1968921.02</v>
      </c>
      <c r="F1034" t="s">
        <v>1473</v>
      </c>
      <c r="G1034">
        <v>1385</v>
      </c>
      <c r="H1034" s="32" t="str">
        <f ca="1">+IF(B1034&gt;'sap nuevo'!$V$1,"cargar",IF(C1034="","cargar","pagado"))</f>
        <v>cargar</v>
      </c>
      <c r="I1034" s="32">
        <f t="shared" si="138"/>
        <v>2025</v>
      </c>
      <c r="J1034" s="32">
        <f t="shared" si="139"/>
        <v>9</v>
      </c>
    </row>
    <row r="1035" spans="1:10" x14ac:dyDescent="0.25">
      <c r="A1035" t="s">
        <v>873</v>
      </c>
      <c r="B1035" t="s">
        <v>221</v>
      </c>
      <c r="C1035">
        <v>1858</v>
      </c>
      <c r="D1035">
        <v>9999</v>
      </c>
      <c r="E1035" s="4">
        <v>-7278248.4199999999</v>
      </c>
      <c r="F1035" t="s">
        <v>1474</v>
      </c>
      <c r="G1035">
        <v>3520</v>
      </c>
      <c r="H1035" s="32" t="str">
        <f ca="1">+IF(B1035&gt;'sap nuevo'!$V$1,"cargar",IF(C1035="","cargar","pagado"))</f>
        <v>cargar</v>
      </c>
      <c r="I1035" s="32">
        <f t="shared" si="138"/>
        <v>2025</v>
      </c>
      <c r="J1035" s="32">
        <f t="shared" si="139"/>
        <v>9</v>
      </c>
    </row>
    <row r="1036" spans="1:10" x14ac:dyDescent="0.25">
      <c r="A1036" t="s">
        <v>877</v>
      </c>
      <c r="B1036" t="s">
        <v>221</v>
      </c>
      <c r="C1036">
        <v>1856</v>
      </c>
      <c r="D1036">
        <v>9999</v>
      </c>
      <c r="E1036" s="4">
        <v>-13679155</v>
      </c>
      <c r="F1036" t="s">
        <v>1475</v>
      </c>
      <c r="G1036">
        <v>1385</v>
      </c>
      <c r="H1036" s="32" t="str">
        <f ca="1">+IF(B1036&gt;'sap nuevo'!$V$1,"cargar",IF(C1036="","cargar","pagado"))</f>
        <v>cargar</v>
      </c>
      <c r="I1036" s="32">
        <f t="shared" si="138"/>
        <v>2025</v>
      </c>
      <c r="J1036" s="32">
        <f t="shared" si="139"/>
        <v>9</v>
      </c>
    </row>
    <row r="1037" spans="1:10" x14ac:dyDescent="0.25">
      <c r="A1037" t="s">
        <v>877</v>
      </c>
      <c r="B1037" t="s">
        <v>221</v>
      </c>
      <c r="C1037">
        <v>1857</v>
      </c>
      <c r="D1037">
        <v>9999</v>
      </c>
      <c r="E1037" s="4">
        <v>-6141982.2999999998</v>
      </c>
      <c r="F1037" t="s">
        <v>1476</v>
      </c>
      <c r="G1037">
        <v>1385</v>
      </c>
      <c r="H1037" s="32" t="str">
        <f ca="1">+IF(B1037&gt;'sap nuevo'!$V$1,"cargar",IF(C1037="","cargar","pagado"))</f>
        <v>cargar</v>
      </c>
      <c r="I1037" s="32">
        <f t="shared" si="138"/>
        <v>2025</v>
      </c>
      <c r="J1037" s="32">
        <f t="shared" si="139"/>
        <v>9</v>
      </c>
    </row>
    <row r="1038" spans="1:10" x14ac:dyDescent="0.25">
      <c r="A1038" t="s">
        <v>21</v>
      </c>
      <c r="B1038" t="s">
        <v>1477</v>
      </c>
      <c r="C1038">
        <v>91002456</v>
      </c>
      <c r="D1038">
        <v>140</v>
      </c>
      <c r="E1038" s="4">
        <v>-24000000</v>
      </c>
      <c r="F1038" t="s">
        <v>80</v>
      </c>
      <c r="G1038">
        <v>0</v>
      </c>
      <c r="H1038" s="32" t="str">
        <f ca="1">+IF(B1038&gt;'sap nuevo'!$V$1,"cargar",IF(C1038="","cargar","pagado"))</f>
        <v>cargar</v>
      </c>
      <c r="I1038" s="32">
        <f t="shared" si="138"/>
        <v>2025</v>
      </c>
      <c r="J1038" s="32">
        <f t="shared" si="139"/>
        <v>9</v>
      </c>
    </row>
    <row r="1039" spans="1:10" x14ac:dyDescent="0.25">
      <c r="A1039" t="s">
        <v>21</v>
      </c>
      <c r="B1039" t="s">
        <v>1477</v>
      </c>
      <c r="C1039">
        <v>91002459</v>
      </c>
      <c r="D1039">
        <v>140</v>
      </c>
      <c r="E1039" s="4">
        <v>-23637958.870000001</v>
      </c>
      <c r="F1039" t="s">
        <v>80</v>
      </c>
      <c r="G1039">
        <v>0</v>
      </c>
      <c r="H1039" s="32" t="str">
        <f ca="1">+IF(B1039&gt;'sap nuevo'!$V$1,"cargar",IF(C1039="","cargar","pagado"))</f>
        <v>cargar</v>
      </c>
      <c r="I1039" s="32">
        <f t="shared" si="138"/>
        <v>2025</v>
      </c>
      <c r="J1039" s="32">
        <f t="shared" si="139"/>
        <v>9</v>
      </c>
    </row>
    <row r="1040" spans="1:10" x14ac:dyDescent="0.25">
      <c r="A1040" t="s">
        <v>21</v>
      </c>
      <c r="B1040" t="s">
        <v>1477</v>
      </c>
      <c r="C1040">
        <v>91002457</v>
      </c>
      <c r="D1040">
        <v>140</v>
      </c>
      <c r="E1040" s="4">
        <v>-23526178.670000002</v>
      </c>
      <c r="F1040" t="s">
        <v>80</v>
      </c>
      <c r="G1040">
        <v>0</v>
      </c>
      <c r="H1040" s="32" t="str">
        <f ca="1">+IF(B1040&gt;'sap nuevo'!$V$1,"cargar",IF(C1040="","cargar","pagado"))</f>
        <v>cargar</v>
      </c>
      <c r="I1040" s="32">
        <f t="shared" si="138"/>
        <v>2025</v>
      </c>
      <c r="J1040" s="32">
        <f t="shared" si="139"/>
        <v>9</v>
      </c>
    </row>
    <row r="1041" spans="1:10" x14ac:dyDescent="0.25">
      <c r="A1041" t="s">
        <v>21</v>
      </c>
      <c r="B1041" t="s">
        <v>1477</v>
      </c>
      <c r="C1041">
        <v>91002458</v>
      </c>
      <c r="D1041">
        <v>140</v>
      </c>
      <c r="E1041" s="4">
        <v>-23000000</v>
      </c>
      <c r="F1041" t="s">
        <v>80</v>
      </c>
      <c r="G1041">
        <v>0</v>
      </c>
      <c r="H1041" s="32" t="str">
        <f ca="1">+IF(B1041&gt;'sap nuevo'!$V$1,"cargar",IF(C1041="","cargar","pagado"))</f>
        <v>cargar</v>
      </c>
      <c r="I1041" s="32">
        <f t="shared" si="138"/>
        <v>2025</v>
      </c>
      <c r="J1041" s="32">
        <f t="shared" si="139"/>
        <v>9</v>
      </c>
    </row>
    <row r="1042" spans="1:10" x14ac:dyDescent="0.25">
      <c r="A1042" t="s">
        <v>21</v>
      </c>
      <c r="B1042" t="s">
        <v>1477</v>
      </c>
      <c r="C1042">
        <v>91002487</v>
      </c>
      <c r="D1042">
        <v>140</v>
      </c>
      <c r="E1042" s="4">
        <v>-6650577.0800000001</v>
      </c>
      <c r="F1042" t="s">
        <v>80</v>
      </c>
      <c r="G1042">
        <v>0</v>
      </c>
      <c r="H1042" s="32" t="str">
        <f ca="1">+IF(B1042&gt;'sap nuevo'!$V$1,"cargar",IF(C1042="","cargar","pagado"))</f>
        <v>cargar</v>
      </c>
      <c r="I1042" s="32">
        <f t="shared" si="138"/>
        <v>2025</v>
      </c>
      <c r="J1042" s="32">
        <f t="shared" si="139"/>
        <v>9</v>
      </c>
    </row>
    <row r="1043" spans="1:10" x14ac:dyDescent="0.25">
      <c r="A1043" t="s">
        <v>21</v>
      </c>
      <c r="B1043" t="s">
        <v>221</v>
      </c>
      <c r="C1043">
        <v>40272981</v>
      </c>
      <c r="D1043">
        <v>140</v>
      </c>
      <c r="E1043" s="4">
        <v>-6710000</v>
      </c>
      <c r="F1043" t="s">
        <v>80</v>
      </c>
      <c r="G1043">
        <v>0</v>
      </c>
      <c r="H1043" s="32" t="str">
        <f ca="1">+IF(B1043&gt;'sap nuevo'!$V$1,"cargar",IF(C1043="","cargar","pagado"))</f>
        <v>cargar</v>
      </c>
      <c r="I1043" s="32">
        <f t="shared" si="138"/>
        <v>2025</v>
      </c>
      <c r="J1043" s="32">
        <f t="shared" si="139"/>
        <v>9</v>
      </c>
    </row>
    <row r="1044" spans="1:10" x14ac:dyDescent="0.25">
      <c r="A1044" t="s">
        <v>21</v>
      </c>
      <c r="B1044" t="s">
        <v>221</v>
      </c>
      <c r="C1044">
        <v>40272973</v>
      </c>
      <c r="D1044">
        <v>140</v>
      </c>
      <c r="E1044" s="4">
        <v>-2500000</v>
      </c>
      <c r="F1044" t="s">
        <v>80</v>
      </c>
      <c r="G1044">
        <v>0</v>
      </c>
      <c r="H1044" s="32" t="str">
        <f ca="1">+IF(B1044&gt;'sap nuevo'!$V$1,"cargar",IF(C1044="","cargar","pagado"))</f>
        <v>cargar</v>
      </c>
      <c r="I1044" s="32">
        <f t="shared" si="138"/>
        <v>2025</v>
      </c>
      <c r="J1044" s="32">
        <f t="shared" si="139"/>
        <v>9</v>
      </c>
    </row>
    <row r="1045" spans="1:10" x14ac:dyDescent="0.25">
      <c r="A1045" t="s">
        <v>21</v>
      </c>
      <c r="B1045" t="s">
        <v>221</v>
      </c>
      <c r="C1045">
        <v>40272974</v>
      </c>
      <c r="D1045">
        <v>140</v>
      </c>
      <c r="E1045" s="4">
        <v>-2500000</v>
      </c>
      <c r="F1045" t="s">
        <v>80</v>
      </c>
      <c r="G1045">
        <v>0</v>
      </c>
      <c r="H1045" s="32" t="str">
        <f ca="1">+IF(B1045&gt;'sap nuevo'!$V$1,"cargar",IF(C1045="","cargar","pagado"))</f>
        <v>cargar</v>
      </c>
      <c r="I1045" s="32">
        <f t="shared" si="138"/>
        <v>2025</v>
      </c>
      <c r="J1045" s="32">
        <f t="shared" si="139"/>
        <v>9</v>
      </c>
    </row>
    <row r="1046" spans="1:10" x14ac:dyDescent="0.25">
      <c r="A1046" t="s">
        <v>21</v>
      </c>
      <c r="B1046" t="s">
        <v>221</v>
      </c>
      <c r="C1046">
        <v>40272975</v>
      </c>
      <c r="D1046">
        <v>140</v>
      </c>
      <c r="E1046" s="4">
        <v>-2500000</v>
      </c>
      <c r="F1046" t="s">
        <v>80</v>
      </c>
      <c r="G1046">
        <v>0</v>
      </c>
      <c r="H1046" s="32" t="str">
        <f ca="1">+IF(B1046&gt;'sap nuevo'!$V$1,"cargar",IF(C1046="","cargar","pagado"))</f>
        <v>cargar</v>
      </c>
      <c r="I1046" s="32">
        <f t="shared" si="138"/>
        <v>2025</v>
      </c>
      <c r="J1046" s="32">
        <f t="shared" si="139"/>
        <v>9</v>
      </c>
    </row>
    <row r="1047" spans="1:10" x14ac:dyDescent="0.25">
      <c r="A1047" t="s">
        <v>21</v>
      </c>
      <c r="B1047" t="s">
        <v>221</v>
      </c>
      <c r="C1047">
        <v>40272976</v>
      </c>
      <c r="D1047">
        <v>140</v>
      </c>
      <c r="E1047" s="4">
        <v>-2500000</v>
      </c>
      <c r="F1047" t="s">
        <v>80</v>
      </c>
      <c r="G1047">
        <v>0</v>
      </c>
      <c r="H1047" s="32" t="str">
        <f ca="1">+IF(B1047&gt;'sap nuevo'!$V$1,"cargar",IF(C1047="","cargar","pagado"))</f>
        <v>cargar</v>
      </c>
      <c r="I1047" s="32">
        <f t="shared" si="138"/>
        <v>2025</v>
      </c>
      <c r="J1047" s="32">
        <f t="shared" si="139"/>
        <v>9</v>
      </c>
    </row>
    <row r="1048" spans="1:10" x14ac:dyDescent="0.25">
      <c r="A1048" t="s">
        <v>21</v>
      </c>
      <c r="B1048" t="s">
        <v>221</v>
      </c>
      <c r="C1048">
        <v>40272977</v>
      </c>
      <c r="D1048">
        <v>140</v>
      </c>
      <c r="E1048" s="4">
        <v>-2500000</v>
      </c>
      <c r="F1048" t="s">
        <v>80</v>
      </c>
      <c r="G1048">
        <v>0</v>
      </c>
      <c r="H1048" s="32" t="str">
        <f ca="1">+IF(B1048&gt;'sap nuevo'!$V$1,"cargar",IF(C1048="","cargar","pagado"))</f>
        <v>cargar</v>
      </c>
      <c r="I1048" s="32">
        <f t="shared" si="138"/>
        <v>2025</v>
      </c>
      <c r="J1048" s="32">
        <f t="shared" si="139"/>
        <v>9</v>
      </c>
    </row>
    <row r="1049" spans="1:10" x14ac:dyDescent="0.25">
      <c r="A1049" t="s">
        <v>877</v>
      </c>
      <c r="B1049" t="s">
        <v>222</v>
      </c>
      <c r="C1049">
        <v>1841</v>
      </c>
      <c r="D1049">
        <v>9999</v>
      </c>
      <c r="E1049" s="4">
        <v>-31829454.129999999</v>
      </c>
      <c r="F1049" t="s">
        <v>1478</v>
      </c>
      <c r="G1049">
        <v>1385</v>
      </c>
      <c r="H1049" s="32" t="str">
        <f ca="1">+IF(B1049&gt;'sap nuevo'!$V$1,"cargar",IF(C1049="","cargar","pagado"))</f>
        <v>cargar</v>
      </c>
      <c r="I1049" s="32">
        <f t="shared" ref="I1049:I1060" si="140">+YEAR(B1049)</f>
        <v>2025</v>
      </c>
      <c r="J1049" s="32">
        <f t="shared" ref="J1049:J1060" si="141">+MONTH(B1049)</f>
        <v>9</v>
      </c>
    </row>
    <row r="1050" spans="1:10" x14ac:dyDescent="0.25">
      <c r="A1050" t="s">
        <v>877</v>
      </c>
      <c r="B1050" t="s">
        <v>222</v>
      </c>
      <c r="C1050">
        <v>1840</v>
      </c>
      <c r="D1050">
        <v>9999</v>
      </c>
      <c r="E1050" s="4">
        <v>-25000000</v>
      </c>
      <c r="F1050" t="s">
        <v>1479</v>
      </c>
      <c r="G1050">
        <v>1385</v>
      </c>
      <c r="H1050" s="32" t="str">
        <f ca="1">+IF(B1050&gt;'sap nuevo'!$V$1,"cargar",IF(C1050="","cargar","pagado"))</f>
        <v>cargar</v>
      </c>
      <c r="I1050" s="32">
        <f t="shared" si="140"/>
        <v>2025</v>
      </c>
      <c r="J1050" s="32">
        <f t="shared" si="141"/>
        <v>9</v>
      </c>
    </row>
    <row r="1051" spans="1:10" x14ac:dyDescent="0.25">
      <c r="A1051" t="s">
        <v>877</v>
      </c>
      <c r="B1051" t="s">
        <v>222</v>
      </c>
      <c r="C1051">
        <v>1855</v>
      </c>
      <c r="D1051">
        <v>9999</v>
      </c>
      <c r="E1051" s="4">
        <v>-4187334.65</v>
      </c>
      <c r="F1051" t="s">
        <v>1480</v>
      </c>
      <c r="G1051">
        <v>1385</v>
      </c>
      <c r="H1051" s="32" t="str">
        <f ca="1">+IF(B1051&gt;'sap nuevo'!$V$1,"cargar",IF(C1051="","cargar","pagado"))</f>
        <v>cargar</v>
      </c>
      <c r="I1051" s="32">
        <f t="shared" si="140"/>
        <v>2025</v>
      </c>
      <c r="J1051" s="32">
        <f t="shared" si="141"/>
        <v>9</v>
      </c>
    </row>
    <row r="1052" spans="1:10" x14ac:dyDescent="0.25">
      <c r="A1052" t="s">
        <v>877</v>
      </c>
      <c r="B1052" t="s">
        <v>223</v>
      </c>
      <c r="C1052">
        <v>1859</v>
      </c>
      <c r="D1052">
        <v>9999</v>
      </c>
      <c r="E1052" s="4">
        <v>-27496492.34</v>
      </c>
      <c r="F1052" t="s">
        <v>1481</v>
      </c>
      <c r="G1052">
        <v>1385</v>
      </c>
      <c r="H1052" s="32" t="str">
        <f ca="1">+IF(B1052&gt;'sap nuevo'!$V$1,"cargar",IF(C1052="","cargar","pagado"))</f>
        <v>cargar</v>
      </c>
      <c r="I1052" s="32">
        <f t="shared" si="140"/>
        <v>2025</v>
      </c>
      <c r="J1052" s="32">
        <f t="shared" si="141"/>
        <v>9</v>
      </c>
    </row>
    <row r="1053" spans="1:10" x14ac:dyDescent="0.25">
      <c r="A1053" t="s">
        <v>873</v>
      </c>
      <c r="B1053" t="s">
        <v>1482</v>
      </c>
      <c r="C1053">
        <v>1834</v>
      </c>
      <c r="D1053">
        <v>9999</v>
      </c>
      <c r="E1053" s="4">
        <v>-15784765.289999999</v>
      </c>
      <c r="F1053" t="s">
        <v>1483</v>
      </c>
      <c r="G1053">
        <v>3520</v>
      </c>
      <c r="H1053" s="32" t="str">
        <f ca="1">+IF(B1053&gt;'sap nuevo'!$V$1,"cargar",IF(C1053="","cargar","pagado"))</f>
        <v>cargar</v>
      </c>
      <c r="I1053" s="32">
        <f t="shared" si="140"/>
        <v>2025</v>
      </c>
      <c r="J1053" s="32">
        <f t="shared" si="141"/>
        <v>9</v>
      </c>
    </row>
    <row r="1054" spans="1:10" x14ac:dyDescent="0.25">
      <c r="A1054" t="s">
        <v>877</v>
      </c>
      <c r="B1054" t="s">
        <v>1482</v>
      </c>
      <c r="C1054">
        <v>1819</v>
      </c>
      <c r="D1054">
        <v>9999</v>
      </c>
      <c r="E1054" s="4">
        <v>-3981049.7</v>
      </c>
      <c r="F1054" t="s">
        <v>1484</v>
      </c>
      <c r="G1054">
        <v>1385</v>
      </c>
      <c r="H1054" s="32" t="str">
        <f ca="1">+IF(B1054&gt;'sap nuevo'!$V$1,"cargar",IF(C1054="","cargar","pagado"))</f>
        <v>cargar</v>
      </c>
      <c r="I1054" s="32">
        <f t="shared" si="140"/>
        <v>2025</v>
      </c>
      <c r="J1054" s="32">
        <f t="shared" si="141"/>
        <v>9</v>
      </c>
    </row>
    <row r="1055" spans="1:10" x14ac:dyDescent="0.25">
      <c r="A1055" t="s">
        <v>877</v>
      </c>
      <c r="B1055" t="s">
        <v>1482</v>
      </c>
      <c r="C1055">
        <v>1832</v>
      </c>
      <c r="D1055">
        <v>9999</v>
      </c>
      <c r="E1055" s="4">
        <v>-3895201.33</v>
      </c>
      <c r="F1055" t="s">
        <v>1485</v>
      </c>
      <c r="G1055">
        <v>1385</v>
      </c>
      <c r="H1055" s="32" t="str">
        <f ca="1">+IF(B1055&gt;'sap nuevo'!$V$1,"cargar",IF(C1055="","cargar","pagado"))</f>
        <v>cargar</v>
      </c>
      <c r="I1055" s="32">
        <f t="shared" si="140"/>
        <v>2025</v>
      </c>
      <c r="J1055" s="32">
        <f t="shared" si="141"/>
        <v>9</v>
      </c>
    </row>
    <row r="1056" spans="1:10" x14ac:dyDescent="0.25">
      <c r="A1056" t="s">
        <v>21</v>
      </c>
      <c r="B1056" t="s">
        <v>1482</v>
      </c>
      <c r="C1056">
        <v>91002507</v>
      </c>
      <c r="D1056">
        <v>140</v>
      </c>
      <c r="E1056" s="4">
        <v>-27731984.98</v>
      </c>
      <c r="F1056" t="s">
        <v>80</v>
      </c>
      <c r="G1056">
        <v>0</v>
      </c>
      <c r="H1056" s="32" t="str">
        <f ca="1">+IF(B1056&gt;'sap nuevo'!$V$1,"cargar",IF(C1056="","cargar","pagado"))</f>
        <v>cargar</v>
      </c>
      <c r="I1056" s="32">
        <f t="shared" si="140"/>
        <v>2025</v>
      </c>
      <c r="J1056" s="32">
        <f t="shared" si="141"/>
        <v>9</v>
      </c>
    </row>
    <row r="1057" spans="1:10" x14ac:dyDescent="0.25">
      <c r="A1057" t="s">
        <v>21</v>
      </c>
      <c r="B1057" t="s">
        <v>1482</v>
      </c>
      <c r="C1057">
        <v>91002514</v>
      </c>
      <c r="D1057">
        <v>140</v>
      </c>
      <c r="E1057" s="4">
        <v>-24916667.920000002</v>
      </c>
      <c r="F1057" t="s">
        <v>80</v>
      </c>
      <c r="G1057">
        <v>0</v>
      </c>
      <c r="H1057" s="32" t="str">
        <f ca="1">+IF(B1057&gt;'sap nuevo'!$V$1,"cargar",IF(C1057="","cargar","pagado"))</f>
        <v>cargar</v>
      </c>
      <c r="I1057" s="32">
        <f t="shared" si="140"/>
        <v>2025</v>
      </c>
      <c r="J1057" s="32">
        <f t="shared" si="141"/>
        <v>9</v>
      </c>
    </row>
    <row r="1058" spans="1:10" x14ac:dyDescent="0.25">
      <c r="A1058" t="s">
        <v>21</v>
      </c>
      <c r="B1058" t="s">
        <v>1482</v>
      </c>
      <c r="C1058">
        <v>91002499</v>
      </c>
      <c r="D1058">
        <v>140</v>
      </c>
      <c r="E1058" s="4">
        <v>-21440381.739999998</v>
      </c>
      <c r="F1058" t="s">
        <v>80</v>
      </c>
      <c r="G1058">
        <v>0</v>
      </c>
      <c r="H1058" s="32" t="str">
        <f ca="1">+IF(B1058&gt;'sap nuevo'!$V$1,"cargar",IF(C1058="","cargar","pagado"))</f>
        <v>cargar</v>
      </c>
      <c r="I1058" s="32">
        <f t="shared" si="140"/>
        <v>2025</v>
      </c>
      <c r="J1058" s="32">
        <f t="shared" si="141"/>
        <v>9</v>
      </c>
    </row>
    <row r="1059" spans="1:10" x14ac:dyDescent="0.25">
      <c r="A1059" t="s">
        <v>21</v>
      </c>
      <c r="B1059" t="s">
        <v>1482</v>
      </c>
      <c r="C1059">
        <v>91002516</v>
      </c>
      <c r="D1059">
        <v>140</v>
      </c>
      <c r="E1059" s="4">
        <v>-17312014.640000001</v>
      </c>
      <c r="F1059" t="s">
        <v>80</v>
      </c>
      <c r="G1059">
        <v>0</v>
      </c>
      <c r="H1059" s="32" t="str">
        <f ca="1">+IF(B1059&gt;'sap nuevo'!$V$1,"cargar",IF(C1059="","cargar","pagado"))</f>
        <v>cargar</v>
      </c>
      <c r="I1059" s="32">
        <f t="shared" si="140"/>
        <v>2025</v>
      </c>
      <c r="J1059" s="32">
        <f t="shared" si="141"/>
        <v>9</v>
      </c>
    </row>
    <row r="1060" spans="1:10" x14ac:dyDescent="0.25">
      <c r="A1060" t="s">
        <v>12</v>
      </c>
      <c r="B1060" t="s">
        <v>1482</v>
      </c>
      <c r="C1060">
        <v>91002515</v>
      </c>
      <c r="D1060">
        <v>140</v>
      </c>
      <c r="E1060" s="4">
        <v>-15214656.74</v>
      </c>
      <c r="F1060" t="s">
        <v>82</v>
      </c>
      <c r="G1060">
        <v>0</v>
      </c>
      <c r="H1060" s="32" t="str">
        <f ca="1">+IF(B1060&gt;'sap nuevo'!$V$1,"cargar",IF(C1060="","cargar","pagado"))</f>
        <v>cargar</v>
      </c>
      <c r="I1060" s="32">
        <f t="shared" si="140"/>
        <v>2025</v>
      </c>
      <c r="J1060" s="32">
        <f t="shared" si="141"/>
        <v>9</v>
      </c>
    </row>
    <row r="1061" spans="1:10" x14ac:dyDescent="0.25">
      <c r="A1061" t="s">
        <v>21</v>
      </c>
      <c r="B1061" t="s">
        <v>1482</v>
      </c>
      <c r="C1061">
        <v>91002460</v>
      </c>
      <c r="D1061">
        <v>140</v>
      </c>
      <c r="E1061" s="4">
        <v>-15136442.539999999</v>
      </c>
      <c r="F1061" t="s">
        <v>80</v>
      </c>
      <c r="G1061">
        <v>0</v>
      </c>
      <c r="H1061" s="32" t="str">
        <f ca="1">+IF(B1061&gt;'sap nuevo'!$V$1,"cargar",IF(C1061="","cargar","pagado"))</f>
        <v>cargar</v>
      </c>
      <c r="I1061" s="32">
        <f t="shared" ref="I1061:I1077" si="142">+YEAR(B1061)</f>
        <v>2025</v>
      </c>
      <c r="J1061" s="32">
        <f t="shared" ref="J1061:J1077" si="143">+MONTH(B1061)</f>
        <v>9</v>
      </c>
    </row>
    <row r="1062" spans="1:10" x14ac:dyDescent="0.25">
      <c r="A1062" t="s">
        <v>21</v>
      </c>
      <c r="B1062" t="s">
        <v>1482</v>
      </c>
      <c r="C1062">
        <v>91002500</v>
      </c>
      <c r="D1062">
        <v>140</v>
      </c>
      <c r="E1062" s="4">
        <v>-9928694.3200000003</v>
      </c>
      <c r="F1062" t="s">
        <v>80</v>
      </c>
      <c r="G1062">
        <v>0</v>
      </c>
      <c r="H1062" s="32" t="str">
        <f ca="1">+IF(B1062&gt;'sap nuevo'!$V$1,"cargar",IF(C1062="","cargar","pagado"))</f>
        <v>cargar</v>
      </c>
      <c r="I1062" s="32">
        <f t="shared" si="142"/>
        <v>2025</v>
      </c>
      <c r="J1062" s="32">
        <f t="shared" si="143"/>
        <v>9</v>
      </c>
    </row>
    <row r="1063" spans="1:10" x14ac:dyDescent="0.25">
      <c r="A1063" t="s">
        <v>12</v>
      </c>
      <c r="B1063" t="s">
        <v>1482</v>
      </c>
      <c r="C1063">
        <v>91002505</v>
      </c>
      <c r="D1063">
        <v>140</v>
      </c>
      <c r="E1063" s="4">
        <v>-9806709.6999999993</v>
      </c>
      <c r="F1063" t="s">
        <v>82</v>
      </c>
      <c r="G1063">
        <v>0</v>
      </c>
      <c r="H1063" s="32" t="str">
        <f ca="1">+IF(B1063&gt;'sap nuevo'!$V$1,"cargar",IF(C1063="","cargar","pagado"))</f>
        <v>cargar</v>
      </c>
      <c r="I1063" s="32">
        <f t="shared" si="142"/>
        <v>2025</v>
      </c>
      <c r="J1063" s="32">
        <f t="shared" si="143"/>
        <v>9</v>
      </c>
    </row>
    <row r="1064" spans="1:10" x14ac:dyDescent="0.25">
      <c r="A1064" t="s">
        <v>21</v>
      </c>
      <c r="B1064" t="s">
        <v>1482</v>
      </c>
      <c r="C1064">
        <v>91002511</v>
      </c>
      <c r="D1064">
        <v>140</v>
      </c>
      <c r="E1064" s="4">
        <v>-9099752.5800000001</v>
      </c>
      <c r="F1064" t="s">
        <v>80</v>
      </c>
      <c r="G1064">
        <v>0</v>
      </c>
      <c r="H1064" s="32" t="str">
        <f ca="1">+IF(B1064&gt;'sap nuevo'!$V$1,"cargar",IF(C1064="","cargar","pagado"))</f>
        <v>cargar</v>
      </c>
      <c r="I1064" s="32">
        <f t="shared" si="142"/>
        <v>2025</v>
      </c>
      <c r="J1064" s="32">
        <f t="shared" si="143"/>
        <v>9</v>
      </c>
    </row>
    <row r="1065" spans="1:10" x14ac:dyDescent="0.25">
      <c r="A1065" t="s">
        <v>21</v>
      </c>
      <c r="B1065" t="s">
        <v>1482</v>
      </c>
      <c r="C1065">
        <v>91002503</v>
      </c>
      <c r="D1065">
        <v>140</v>
      </c>
      <c r="E1065" s="4">
        <v>-8183368.6900000004</v>
      </c>
      <c r="F1065" t="s">
        <v>80</v>
      </c>
      <c r="G1065">
        <v>0</v>
      </c>
      <c r="H1065" s="32" t="str">
        <f ca="1">+IF(B1065&gt;'sap nuevo'!$V$1,"cargar",IF(C1065="","cargar","pagado"))</f>
        <v>cargar</v>
      </c>
      <c r="I1065" s="32">
        <f t="shared" si="142"/>
        <v>2025</v>
      </c>
      <c r="J1065" s="32">
        <f t="shared" si="143"/>
        <v>9</v>
      </c>
    </row>
    <row r="1066" spans="1:10" x14ac:dyDescent="0.25">
      <c r="A1066" t="s">
        <v>21</v>
      </c>
      <c r="B1066" t="s">
        <v>1482</v>
      </c>
      <c r="C1066">
        <v>91002509</v>
      </c>
      <c r="D1066">
        <v>140</v>
      </c>
      <c r="E1066" s="4">
        <v>-7723981.6500000004</v>
      </c>
      <c r="F1066" t="s">
        <v>80</v>
      </c>
      <c r="G1066">
        <v>0</v>
      </c>
      <c r="H1066" s="32" t="str">
        <f ca="1">+IF(B1066&gt;'sap nuevo'!$V$1,"cargar",IF(C1066="","cargar","pagado"))</f>
        <v>cargar</v>
      </c>
      <c r="I1066" s="32">
        <f t="shared" si="142"/>
        <v>2025</v>
      </c>
      <c r="J1066" s="32">
        <f t="shared" si="143"/>
        <v>9</v>
      </c>
    </row>
    <row r="1067" spans="1:10" x14ac:dyDescent="0.25">
      <c r="A1067" t="s">
        <v>21</v>
      </c>
      <c r="B1067" t="s">
        <v>1482</v>
      </c>
      <c r="C1067">
        <v>91002513</v>
      </c>
      <c r="D1067">
        <v>140</v>
      </c>
      <c r="E1067" s="4">
        <v>-7074694.2000000002</v>
      </c>
      <c r="F1067" t="s">
        <v>80</v>
      </c>
      <c r="G1067">
        <v>0</v>
      </c>
      <c r="H1067" s="32" t="str">
        <f ca="1">+IF(B1067&gt;'sap nuevo'!$V$1,"cargar",IF(C1067="","cargar","pagado"))</f>
        <v>cargar</v>
      </c>
      <c r="I1067" s="32">
        <f t="shared" si="142"/>
        <v>2025</v>
      </c>
      <c r="J1067" s="32">
        <f t="shared" si="143"/>
        <v>9</v>
      </c>
    </row>
    <row r="1068" spans="1:10" x14ac:dyDescent="0.25">
      <c r="A1068" t="s">
        <v>21</v>
      </c>
      <c r="B1068" t="s">
        <v>1482</v>
      </c>
      <c r="C1068">
        <v>91002508</v>
      </c>
      <c r="D1068">
        <v>140</v>
      </c>
      <c r="E1068" s="4">
        <v>-6045685.4299999997</v>
      </c>
      <c r="F1068" t="s">
        <v>80</v>
      </c>
      <c r="G1068">
        <v>0</v>
      </c>
      <c r="H1068" s="32" t="str">
        <f ca="1">+IF(B1068&gt;'sap nuevo'!$V$1,"cargar",IF(C1068="","cargar","pagado"))</f>
        <v>cargar</v>
      </c>
      <c r="I1068" s="32">
        <f t="shared" si="142"/>
        <v>2025</v>
      </c>
      <c r="J1068" s="32">
        <f t="shared" si="143"/>
        <v>9</v>
      </c>
    </row>
    <row r="1069" spans="1:10" x14ac:dyDescent="0.25">
      <c r="A1069" t="s">
        <v>12</v>
      </c>
      <c r="B1069" t="s">
        <v>1482</v>
      </c>
      <c r="C1069">
        <v>91002504</v>
      </c>
      <c r="D1069">
        <v>140</v>
      </c>
      <c r="E1069" s="4">
        <v>-5891793.7699999996</v>
      </c>
      <c r="F1069" t="s">
        <v>82</v>
      </c>
      <c r="G1069">
        <v>0</v>
      </c>
      <c r="H1069" s="32" t="str">
        <f ca="1">+IF(B1069&gt;'sap nuevo'!$V$1,"cargar",IF(C1069="","cargar","pagado"))</f>
        <v>cargar</v>
      </c>
      <c r="I1069" s="32">
        <f t="shared" si="142"/>
        <v>2025</v>
      </c>
      <c r="J1069" s="32">
        <f t="shared" si="143"/>
        <v>9</v>
      </c>
    </row>
    <row r="1070" spans="1:10" x14ac:dyDescent="0.25">
      <c r="A1070" t="s">
        <v>21</v>
      </c>
      <c r="B1070" t="s">
        <v>1482</v>
      </c>
      <c r="C1070">
        <v>91002510</v>
      </c>
      <c r="D1070">
        <v>140</v>
      </c>
      <c r="E1070" s="4">
        <v>-5624994.2000000002</v>
      </c>
      <c r="F1070" t="s">
        <v>80</v>
      </c>
      <c r="G1070">
        <v>0</v>
      </c>
      <c r="H1070" s="32" t="str">
        <f ca="1">+IF(B1070&gt;'sap nuevo'!$V$1,"cargar",IF(C1070="","cargar","pagado"))</f>
        <v>cargar</v>
      </c>
      <c r="I1070" s="32">
        <f t="shared" si="142"/>
        <v>2025</v>
      </c>
      <c r="J1070" s="32">
        <f t="shared" si="143"/>
        <v>9</v>
      </c>
    </row>
    <row r="1071" spans="1:10" x14ac:dyDescent="0.25">
      <c r="A1071" t="s">
        <v>21</v>
      </c>
      <c r="B1071" t="s">
        <v>1482</v>
      </c>
      <c r="C1071">
        <v>40272984</v>
      </c>
      <c r="D1071">
        <v>140</v>
      </c>
      <c r="E1071" s="4">
        <v>-5065682.33</v>
      </c>
      <c r="F1071" t="s">
        <v>80</v>
      </c>
      <c r="G1071">
        <v>0</v>
      </c>
      <c r="H1071" s="32" t="str">
        <f ca="1">+IF(B1071&gt;'sap nuevo'!$V$1,"cargar",IF(C1071="","cargar","pagado"))</f>
        <v>cargar</v>
      </c>
      <c r="I1071" s="32">
        <f t="shared" si="142"/>
        <v>2025</v>
      </c>
      <c r="J1071" s="32">
        <f t="shared" si="143"/>
        <v>9</v>
      </c>
    </row>
    <row r="1072" spans="1:10" x14ac:dyDescent="0.25">
      <c r="A1072" t="s">
        <v>21</v>
      </c>
      <c r="B1072" t="s">
        <v>1482</v>
      </c>
      <c r="C1072">
        <v>40272982</v>
      </c>
      <c r="D1072">
        <v>140</v>
      </c>
      <c r="E1072" s="4">
        <v>-2090000.1</v>
      </c>
      <c r="F1072" t="s">
        <v>80</v>
      </c>
      <c r="G1072">
        <v>0</v>
      </c>
      <c r="H1072" s="32" t="str">
        <f ca="1">+IF(B1072&gt;'sap nuevo'!$V$1,"cargar",IF(C1072="","cargar","pagado"))</f>
        <v>cargar</v>
      </c>
      <c r="I1072" s="32">
        <f t="shared" si="142"/>
        <v>2025</v>
      </c>
      <c r="J1072" s="32">
        <f t="shared" si="143"/>
        <v>9</v>
      </c>
    </row>
    <row r="1073" spans="1:10" x14ac:dyDescent="0.25">
      <c r="A1073" t="s">
        <v>21</v>
      </c>
      <c r="B1073" t="s">
        <v>1482</v>
      </c>
      <c r="C1073">
        <v>40272985</v>
      </c>
      <c r="D1073">
        <v>140</v>
      </c>
      <c r="E1073" s="4">
        <v>-1500000</v>
      </c>
      <c r="F1073" t="s">
        <v>80</v>
      </c>
      <c r="G1073">
        <v>0</v>
      </c>
      <c r="H1073" s="32" t="str">
        <f ca="1">+IF(B1073&gt;'sap nuevo'!$V$1,"cargar",IF(C1073="","cargar","pagado"))</f>
        <v>cargar</v>
      </c>
      <c r="I1073" s="32">
        <f t="shared" si="142"/>
        <v>2025</v>
      </c>
      <c r="J1073" s="32">
        <f t="shared" si="143"/>
        <v>9</v>
      </c>
    </row>
    <row r="1074" spans="1:10" x14ac:dyDescent="0.25">
      <c r="A1074" t="s">
        <v>21</v>
      </c>
      <c r="B1074" t="s">
        <v>224</v>
      </c>
      <c r="C1074">
        <v>91002501</v>
      </c>
      <c r="D1074">
        <v>140</v>
      </c>
      <c r="E1074" s="4">
        <v>-21311510.899999999</v>
      </c>
      <c r="F1074" t="s">
        <v>80</v>
      </c>
      <c r="G1074">
        <v>0</v>
      </c>
      <c r="H1074" s="32" t="str">
        <f ca="1">+IF(B1074&gt;'sap nuevo'!$V$1,"cargar",IF(C1074="","cargar","pagado"))</f>
        <v>cargar</v>
      </c>
      <c r="I1074" s="32">
        <f t="shared" si="142"/>
        <v>2025</v>
      </c>
      <c r="J1074" s="32">
        <f t="shared" si="143"/>
        <v>9</v>
      </c>
    </row>
    <row r="1075" spans="1:10" x14ac:dyDescent="0.25">
      <c r="A1075" t="s">
        <v>21</v>
      </c>
      <c r="B1075" t="s">
        <v>224</v>
      </c>
      <c r="C1075">
        <v>91002506</v>
      </c>
      <c r="D1075">
        <v>140</v>
      </c>
      <c r="E1075" s="4">
        <v>-7439170.54</v>
      </c>
      <c r="F1075" t="s">
        <v>80</v>
      </c>
      <c r="G1075">
        <v>0</v>
      </c>
      <c r="H1075" s="32" t="str">
        <f ca="1">+IF(B1075&gt;'sap nuevo'!$V$1,"cargar",IF(C1075="","cargar","pagado"))</f>
        <v>cargar</v>
      </c>
      <c r="I1075" s="32">
        <f t="shared" si="142"/>
        <v>2025</v>
      </c>
      <c r="J1075" s="32">
        <f t="shared" si="143"/>
        <v>9</v>
      </c>
    </row>
    <row r="1076" spans="1:10" x14ac:dyDescent="0.25">
      <c r="A1076" t="s">
        <v>21</v>
      </c>
      <c r="B1076" t="s">
        <v>224</v>
      </c>
      <c r="C1076">
        <v>91002502</v>
      </c>
      <c r="D1076">
        <v>140</v>
      </c>
      <c r="E1076" s="4">
        <v>-6333274.7800000003</v>
      </c>
      <c r="F1076" t="s">
        <v>80</v>
      </c>
      <c r="G1076">
        <v>0</v>
      </c>
      <c r="H1076" s="32" t="str">
        <f ca="1">+IF(B1076&gt;'sap nuevo'!$V$1,"cargar",IF(C1076="","cargar","pagado"))</f>
        <v>cargar</v>
      </c>
      <c r="I1076" s="32">
        <f t="shared" si="142"/>
        <v>2025</v>
      </c>
      <c r="J1076" s="32">
        <f t="shared" si="143"/>
        <v>9</v>
      </c>
    </row>
    <row r="1077" spans="1:10" x14ac:dyDescent="0.25">
      <c r="A1077" t="s">
        <v>21</v>
      </c>
      <c r="B1077" t="s">
        <v>224</v>
      </c>
      <c r="C1077">
        <v>91002512</v>
      </c>
      <c r="D1077">
        <v>140</v>
      </c>
      <c r="E1077" s="4">
        <v>-5032785.34</v>
      </c>
      <c r="F1077" t="s">
        <v>80</v>
      </c>
      <c r="G1077">
        <v>0</v>
      </c>
      <c r="H1077" s="32" t="str">
        <f ca="1">+IF(B1077&gt;'sap nuevo'!$V$1,"cargar",IF(C1077="","cargar","pagado"))</f>
        <v>cargar</v>
      </c>
      <c r="I1077" s="32">
        <f t="shared" si="142"/>
        <v>2025</v>
      </c>
      <c r="J1077" s="32">
        <f t="shared" si="143"/>
        <v>9</v>
      </c>
    </row>
    <row r="1078" spans="1:10" x14ac:dyDescent="0.25">
      <c r="A1078" t="s">
        <v>21</v>
      </c>
      <c r="B1078" t="s">
        <v>225</v>
      </c>
      <c r="C1078">
        <v>40272983</v>
      </c>
      <c r="D1078">
        <v>140</v>
      </c>
      <c r="E1078" s="4">
        <v>-3802164.91</v>
      </c>
      <c r="F1078" t="s">
        <v>80</v>
      </c>
      <c r="G1078">
        <v>0</v>
      </c>
      <c r="H1078" s="32" t="str">
        <f ca="1">+IF(B1078&gt;'sap nuevo'!$V$1,"cargar",IF(C1078="","cargar","pagado"))</f>
        <v>cargar</v>
      </c>
      <c r="I1078" s="32">
        <f t="shared" ref="I1078:I1093" si="144">+YEAR(B1078)</f>
        <v>2025</v>
      </c>
      <c r="J1078" s="32">
        <f t="shared" ref="J1078:J1093" si="145">+MONTH(B1078)</f>
        <v>9</v>
      </c>
    </row>
    <row r="1079" spans="1:10" x14ac:dyDescent="0.25">
      <c r="A1079" t="s">
        <v>873</v>
      </c>
      <c r="B1079" t="s">
        <v>226</v>
      </c>
      <c r="C1079">
        <v>1868</v>
      </c>
      <c r="D1079">
        <v>9999</v>
      </c>
      <c r="E1079" s="4">
        <v>-7734103.5899999999</v>
      </c>
      <c r="F1079" t="s">
        <v>1486</v>
      </c>
      <c r="G1079">
        <v>3520</v>
      </c>
      <c r="H1079" s="32" t="str">
        <f ca="1">+IF(B1079&gt;'sap nuevo'!$V$1,"cargar",IF(C1079="","cargar","pagado"))</f>
        <v>cargar</v>
      </c>
      <c r="I1079" s="32">
        <f t="shared" si="144"/>
        <v>2025</v>
      </c>
      <c r="J1079" s="32">
        <f t="shared" si="145"/>
        <v>9</v>
      </c>
    </row>
    <row r="1080" spans="1:10" x14ac:dyDescent="0.25">
      <c r="A1080" t="s">
        <v>877</v>
      </c>
      <c r="B1080" t="s">
        <v>226</v>
      </c>
      <c r="C1080">
        <v>1863</v>
      </c>
      <c r="D1080">
        <v>9999</v>
      </c>
      <c r="E1080" s="4">
        <v>-6086794.8200000003</v>
      </c>
      <c r="F1080" t="s">
        <v>1487</v>
      </c>
      <c r="G1080">
        <v>1385</v>
      </c>
      <c r="H1080" s="32" t="str">
        <f ca="1">+IF(B1080&gt;'sap nuevo'!$V$1,"cargar",IF(C1080="","cargar","pagado"))</f>
        <v>cargar</v>
      </c>
      <c r="I1080" s="32">
        <f t="shared" si="144"/>
        <v>2025</v>
      </c>
      <c r="J1080" s="32">
        <f t="shared" si="145"/>
        <v>9</v>
      </c>
    </row>
    <row r="1081" spans="1:10" x14ac:dyDescent="0.25">
      <c r="A1081" t="s">
        <v>877</v>
      </c>
      <c r="B1081" t="s">
        <v>226</v>
      </c>
      <c r="C1081">
        <v>1864</v>
      </c>
      <c r="D1081">
        <v>9999</v>
      </c>
      <c r="E1081" s="4">
        <v>-4570689.91</v>
      </c>
      <c r="F1081" t="s">
        <v>1488</v>
      </c>
      <c r="G1081">
        <v>1385</v>
      </c>
      <c r="H1081" s="32" t="str">
        <f ca="1">+IF(B1081&gt;'sap nuevo'!$V$1,"cargar",IF(C1081="","cargar","pagado"))</f>
        <v>cargar</v>
      </c>
      <c r="I1081" s="32">
        <f t="shared" si="144"/>
        <v>2025</v>
      </c>
      <c r="J1081" s="32">
        <f t="shared" si="145"/>
        <v>9</v>
      </c>
    </row>
    <row r="1082" spans="1:10" x14ac:dyDescent="0.25">
      <c r="A1082" t="s">
        <v>877</v>
      </c>
      <c r="B1082" t="s">
        <v>226</v>
      </c>
      <c r="C1082">
        <v>1873</v>
      </c>
      <c r="D1082">
        <v>9999</v>
      </c>
      <c r="E1082" s="4">
        <v>-4260111.08</v>
      </c>
      <c r="F1082" t="s">
        <v>1489</v>
      </c>
      <c r="G1082">
        <v>1385</v>
      </c>
      <c r="H1082" s="32" t="str">
        <f ca="1">+IF(B1082&gt;'sap nuevo'!$V$1,"cargar",IF(C1082="","cargar","pagado"))</f>
        <v>cargar</v>
      </c>
      <c r="I1082" s="32">
        <f t="shared" si="144"/>
        <v>2025</v>
      </c>
      <c r="J1082" s="32">
        <f t="shared" si="145"/>
        <v>9</v>
      </c>
    </row>
    <row r="1083" spans="1:10" x14ac:dyDescent="0.25">
      <c r="A1083" t="s">
        <v>21</v>
      </c>
      <c r="B1083" t="s">
        <v>226</v>
      </c>
      <c r="C1083">
        <v>91002519</v>
      </c>
      <c r="D1083">
        <v>140</v>
      </c>
      <c r="E1083" s="4">
        <v>-21000000</v>
      </c>
      <c r="F1083" t="s">
        <v>80</v>
      </c>
      <c r="G1083">
        <v>0</v>
      </c>
      <c r="H1083" s="32" t="str">
        <f ca="1">+IF(B1083&gt;'sap nuevo'!$V$1,"cargar",IF(C1083="","cargar","pagado"))</f>
        <v>cargar</v>
      </c>
      <c r="I1083" s="32">
        <f t="shared" si="144"/>
        <v>2025</v>
      </c>
      <c r="J1083" s="32">
        <f t="shared" si="145"/>
        <v>9</v>
      </c>
    </row>
    <row r="1084" spans="1:10" x14ac:dyDescent="0.25">
      <c r="A1084" t="s">
        <v>21</v>
      </c>
      <c r="B1084" t="s">
        <v>226</v>
      </c>
      <c r="C1084">
        <v>91002525</v>
      </c>
      <c r="D1084">
        <v>140</v>
      </c>
      <c r="E1084" s="4">
        <v>-20000000</v>
      </c>
      <c r="F1084" t="s">
        <v>80</v>
      </c>
      <c r="G1084">
        <v>0</v>
      </c>
      <c r="H1084" s="32" t="str">
        <f ca="1">+IF(B1084&gt;'sap nuevo'!$V$1,"cargar",IF(C1084="","cargar","pagado"))</f>
        <v>cargar</v>
      </c>
      <c r="I1084" s="32">
        <f t="shared" si="144"/>
        <v>2025</v>
      </c>
      <c r="J1084" s="32">
        <f t="shared" si="145"/>
        <v>9</v>
      </c>
    </row>
    <row r="1085" spans="1:10" x14ac:dyDescent="0.25">
      <c r="A1085" t="s">
        <v>21</v>
      </c>
      <c r="B1085" t="s">
        <v>226</v>
      </c>
      <c r="C1085">
        <v>91002530</v>
      </c>
      <c r="D1085">
        <v>140</v>
      </c>
      <c r="E1085" s="4">
        <v>-20000000</v>
      </c>
      <c r="F1085" t="s">
        <v>80</v>
      </c>
      <c r="G1085">
        <v>0</v>
      </c>
      <c r="H1085" s="32" t="str">
        <f ca="1">+IF(B1085&gt;'sap nuevo'!$V$1,"cargar",IF(C1085="","cargar","pagado"))</f>
        <v>cargar</v>
      </c>
      <c r="I1085" s="32">
        <f t="shared" si="144"/>
        <v>2025</v>
      </c>
      <c r="J1085" s="32">
        <f t="shared" si="145"/>
        <v>9</v>
      </c>
    </row>
    <row r="1086" spans="1:10" x14ac:dyDescent="0.25">
      <c r="A1086" t="s">
        <v>21</v>
      </c>
      <c r="B1086" t="s">
        <v>226</v>
      </c>
      <c r="C1086">
        <v>91002533</v>
      </c>
      <c r="D1086">
        <v>140</v>
      </c>
      <c r="E1086" s="4">
        <v>-16000000</v>
      </c>
      <c r="F1086" t="s">
        <v>80</v>
      </c>
      <c r="G1086">
        <v>0</v>
      </c>
      <c r="H1086" s="32" t="str">
        <f ca="1">+IF(B1086&gt;'sap nuevo'!$V$1,"cargar",IF(C1086="","cargar","pagado"))</f>
        <v>cargar</v>
      </c>
      <c r="I1086" s="32">
        <f t="shared" si="144"/>
        <v>2025</v>
      </c>
      <c r="J1086" s="32">
        <f t="shared" si="145"/>
        <v>9</v>
      </c>
    </row>
    <row r="1087" spans="1:10" x14ac:dyDescent="0.25">
      <c r="A1087" t="s">
        <v>21</v>
      </c>
      <c r="B1087" t="s">
        <v>226</v>
      </c>
      <c r="C1087">
        <v>91002535</v>
      </c>
      <c r="D1087">
        <v>140</v>
      </c>
      <c r="E1087" s="4">
        <v>-15975394.789999999</v>
      </c>
      <c r="F1087" t="s">
        <v>80</v>
      </c>
      <c r="G1087">
        <v>0</v>
      </c>
      <c r="H1087" s="32" t="str">
        <f ca="1">+IF(B1087&gt;'sap nuevo'!$V$1,"cargar",IF(C1087="","cargar","pagado"))</f>
        <v>cargar</v>
      </c>
      <c r="I1087" s="32">
        <f t="shared" si="144"/>
        <v>2025</v>
      </c>
      <c r="J1087" s="32">
        <f t="shared" si="145"/>
        <v>9</v>
      </c>
    </row>
    <row r="1088" spans="1:10" x14ac:dyDescent="0.25">
      <c r="A1088" t="s">
        <v>21</v>
      </c>
      <c r="B1088" t="s">
        <v>226</v>
      </c>
      <c r="C1088">
        <v>91002542</v>
      </c>
      <c r="D1088">
        <v>140</v>
      </c>
      <c r="E1088" s="4">
        <v>-15910960.800000001</v>
      </c>
      <c r="F1088" t="s">
        <v>80</v>
      </c>
      <c r="G1088">
        <v>0</v>
      </c>
      <c r="H1088" s="32" t="str">
        <f ca="1">+IF(B1088&gt;'sap nuevo'!$V$1,"cargar",IF(C1088="","cargar","pagado"))</f>
        <v>cargar</v>
      </c>
      <c r="I1088" s="32">
        <f t="shared" si="144"/>
        <v>2025</v>
      </c>
      <c r="J1088" s="32">
        <f t="shared" si="145"/>
        <v>9</v>
      </c>
    </row>
    <row r="1089" spans="1:10" x14ac:dyDescent="0.25">
      <c r="A1089" t="s">
        <v>21</v>
      </c>
      <c r="B1089" t="s">
        <v>226</v>
      </c>
      <c r="C1089">
        <v>91002549</v>
      </c>
      <c r="D1089">
        <v>140</v>
      </c>
      <c r="E1089" s="4">
        <v>-15000000</v>
      </c>
      <c r="F1089" t="s">
        <v>80</v>
      </c>
      <c r="G1089">
        <v>0</v>
      </c>
      <c r="H1089" s="32" t="str">
        <f ca="1">+IF(B1089&gt;'sap nuevo'!$V$1,"cargar",IF(C1089="","cargar","pagado"))</f>
        <v>cargar</v>
      </c>
      <c r="I1089" s="32">
        <f t="shared" si="144"/>
        <v>2025</v>
      </c>
      <c r="J1089" s="32">
        <f t="shared" si="145"/>
        <v>9</v>
      </c>
    </row>
    <row r="1090" spans="1:10" x14ac:dyDescent="0.25">
      <c r="A1090" t="s">
        <v>21</v>
      </c>
      <c r="B1090" t="s">
        <v>226</v>
      </c>
      <c r="C1090">
        <v>91002518</v>
      </c>
      <c r="D1090">
        <v>140</v>
      </c>
      <c r="E1090" s="4">
        <v>-11573870.220000001</v>
      </c>
      <c r="F1090" t="s">
        <v>80</v>
      </c>
      <c r="G1090">
        <v>0</v>
      </c>
      <c r="H1090" s="32" t="str">
        <f ca="1">+IF(B1090&gt;'sap nuevo'!$V$1,"cargar",IF(C1090="","cargar","pagado"))</f>
        <v>cargar</v>
      </c>
      <c r="I1090" s="32">
        <f t="shared" si="144"/>
        <v>2025</v>
      </c>
      <c r="J1090" s="32">
        <f t="shared" si="145"/>
        <v>9</v>
      </c>
    </row>
    <row r="1091" spans="1:10" x14ac:dyDescent="0.25">
      <c r="A1091" t="s">
        <v>21</v>
      </c>
      <c r="B1091" t="s">
        <v>226</v>
      </c>
      <c r="C1091">
        <v>91002544</v>
      </c>
      <c r="D1091">
        <v>140</v>
      </c>
      <c r="E1091" s="4">
        <v>-11000000</v>
      </c>
      <c r="F1091" t="s">
        <v>80</v>
      </c>
      <c r="G1091">
        <v>0</v>
      </c>
      <c r="H1091" s="32" t="str">
        <f ca="1">+IF(B1091&gt;'sap nuevo'!$V$1,"cargar",IF(C1091="","cargar","pagado"))</f>
        <v>cargar</v>
      </c>
      <c r="I1091" s="32">
        <f t="shared" si="144"/>
        <v>2025</v>
      </c>
      <c r="J1091" s="32">
        <f t="shared" si="145"/>
        <v>9</v>
      </c>
    </row>
    <row r="1092" spans="1:10" x14ac:dyDescent="0.25">
      <c r="A1092" t="s">
        <v>12</v>
      </c>
      <c r="B1092" t="s">
        <v>226</v>
      </c>
      <c r="C1092">
        <v>91002521</v>
      </c>
      <c r="D1092">
        <v>140</v>
      </c>
      <c r="E1092" s="4">
        <v>-10000000</v>
      </c>
      <c r="F1092" t="s">
        <v>82</v>
      </c>
      <c r="G1092">
        <v>0</v>
      </c>
      <c r="H1092" s="32" t="str">
        <f ca="1">+IF(B1092&gt;'sap nuevo'!$V$1,"cargar",IF(C1092="","cargar","pagado"))</f>
        <v>cargar</v>
      </c>
      <c r="I1092" s="32">
        <f t="shared" si="144"/>
        <v>2025</v>
      </c>
      <c r="J1092" s="32">
        <f t="shared" si="145"/>
        <v>9</v>
      </c>
    </row>
    <row r="1093" spans="1:10" x14ac:dyDescent="0.25">
      <c r="A1093" t="s">
        <v>21</v>
      </c>
      <c r="B1093" t="s">
        <v>226</v>
      </c>
      <c r="C1093">
        <v>91002523</v>
      </c>
      <c r="D1093">
        <v>140</v>
      </c>
      <c r="E1093" s="4">
        <v>-10000000</v>
      </c>
      <c r="F1093" t="s">
        <v>80</v>
      </c>
      <c r="G1093">
        <v>0</v>
      </c>
      <c r="H1093" s="32" t="str">
        <f ca="1">+IF(B1093&gt;'sap nuevo'!$V$1,"cargar",IF(C1093="","cargar","pagado"))</f>
        <v>cargar</v>
      </c>
      <c r="I1093" s="32">
        <f t="shared" si="144"/>
        <v>2025</v>
      </c>
      <c r="J1093" s="32">
        <f t="shared" si="145"/>
        <v>9</v>
      </c>
    </row>
    <row r="1094" spans="1:10" x14ac:dyDescent="0.25">
      <c r="A1094" t="s">
        <v>21</v>
      </c>
      <c r="B1094" t="s">
        <v>226</v>
      </c>
      <c r="C1094">
        <v>91002540</v>
      </c>
      <c r="D1094">
        <v>140</v>
      </c>
      <c r="E1094" s="4">
        <v>-10000000</v>
      </c>
      <c r="F1094" t="s">
        <v>80</v>
      </c>
      <c r="G1094">
        <v>0</v>
      </c>
      <c r="H1094" s="32" t="str">
        <f ca="1">+IF(B1094&gt;'sap nuevo'!$V$1,"cargar",IF(C1094="","cargar","pagado"))</f>
        <v>cargar</v>
      </c>
      <c r="I1094" s="32">
        <f t="shared" ref="I1094:I1117" si="146">+YEAR(B1094)</f>
        <v>2025</v>
      </c>
      <c r="J1094" s="32">
        <f t="shared" ref="J1094:J1117" si="147">+MONTH(B1094)</f>
        <v>9</v>
      </c>
    </row>
    <row r="1095" spans="1:10" x14ac:dyDescent="0.25">
      <c r="A1095" t="s">
        <v>21</v>
      </c>
      <c r="B1095" t="s">
        <v>226</v>
      </c>
      <c r="C1095">
        <v>91002536</v>
      </c>
      <c r="D1095">
        <v>140</v>
      </c>
      <c r="E1095" s="4">
        <v>-9984661.5600000005</v>
      </c>
      <c r="F1095" t="s">
        <v>80</v>
      </c>
      <c r="G1095">
        <v>0</v>
      </c>
      <c r="H1095" s="32" t="str">
        <f ca="1">+IF(B1095&gt;'sap nuevo'!$V$1,"cargar",IF(C1095="","cargar","pagado"))</f>
        <v>cargar</v>
      </c>
      <c r="I1095" s="32">
        <f t="shared" si="146"/>
        <v>2025</v>
      </c>
      <c r="J1095" s="32">
        <f t="shared" si="147"/>
        <v>9</v>
      </c>
    </row>
    <row r="1096" spans="1:10" x14ac:dyDescent="0.25">
      <c r="A1096" t="s">
        <v>12</v>
      </c>
      <c r="B1096" t="s">
        <v>226</v>
      </c>
      <c r="C1096">
        <v>91002532</v>
      </c>
      <c r="D1096">
        <v>140</v>
      </c>
      <c r="E1096" s="4">
        <v>-7983579.1900000004</v>
      </c>
      <c r="F1096" t="s">
        <v>82</v>
      </c>
      <c r="G1096">
        <v>0</v>
      </c>
      <c r="H1096" s="32" t="str">
        <f ca="1">+IF(B1096&gt;'sap nuevo'!$V$1,"cargar",IF(C1096="","cargar","pagado"))</f>
        <v>cargar</v>
      </c>
      <c r="I1096" s="32">
        <f t="shared" si="146"/>
        <v>2025</v>
      </c>
      <c r="J1096" s="32">
        <f t="shared" si="147"/>
        <v>9</v>
      </c>
    </row>
    <row r="1097" spans="1:10" x14ac:dyDescent="0.25">
      <c r="A1097" t="s">
        <v>21</v>
      </c>
      <c r="B1097" t="s">
        <v>226</v>
      </c>
      <c r="C1097">
        <v>91002551</v>
      </c>
      <c r="D1097">
        <v>140</v>
      </c>
      <c r="E1097" s="4">
        <v>-4000000</v>
      </c>
      <c r="F1097" t="s">
        <v>80</v>
      </c>
      <c r="G1097">
        <v>0</v>
      </c>
      <c r="H1097" s="32" t="str">
        <f ca="1">+IF(B1097&gt;'sap nuevo'!$V$1,"cargar",IF(C1097="","cargar","pagado"))</f>
        <v>cargar</v>
      </c>
      <c r="I1097" s="32">
        <f t="shared" si="146"/>
        <v>2025</v>
      </c>
      <c r="J1097" s="32">
        <f t="shared" si="147"/>
        <v>9</v>
      </c>
    </row>
    <row r="1098" spans="1:10" x14ac:dyDescent="0.25">
      <c r="A1098" t="s">
        <v>21</v>
      </c>
      <c r="B1098" t="s">
        <v>226</v>
      </c>
      <c r="C1098">
        <v>91002548</v>
      </c>
      <c r="D1098">
        <v>140</v>
      </c>
      <c r="E1098" s="4">
        <v>-3926843</v>
      </c>
      <c r="F1098" t="s">
        <v>80</v>
      </c>
      <c r="G1098">
        <v>0</v>
      </c>
      <c r="H1098" s="32" t="str">
        <f ca="1">+IF(B1098&gt;'sap nuevo'!$V$1,"cargar",IF(C1098="","cargar","pagado"))</f>
        <v>cargar</v>
      </c>
      <c r="I1098" s="32">
        <f t="shared" si="146"/>
        <v>2025</v>
      </c>
      <c r="J1098" s="32">
        <f t="shared" si="147"/>
        <v>9</v>
      </c>
    </row>
    <row r="1099" spans="1:10" x14ac:dyDescent="0.25">
      <c r="A1099" t="s">
        <v>21</v>
      </c>
      <c r="B1099" t="s">
        <v>226</v>
      </c>
      <c r="C1099">
        <v>91002463</v>
      </c>
      <c r="D1099">
        <v>140</v>
      </c>
      <c r="E1099" s="4">
        <v>-3497234.05</v>
      </c>
      <c r="F1099" t="s">
        <v>80</v>
      </c>
      <c r="G1099">
        <v>0</v>
      </c>
      <c r="H1099" s="32" t="str">
        <f ca="1">+IF(B1099&gt;'sap nuevo'!$V$1,"cargar",IF(C1099="","cargar","pagado"))</f>
        <v>cargar</v>
      </c>
      <c r="I1099" s="32">
        <f t="shared" si="146"/>
        <v>2025</v>
      </c>
      <c r="J1099" s="32">
        <f t="shared" si="147"/>
        <v>9</v>
      </c>
    </row>
    <row r="1100" spans="1:10" x14ac:dyDescent="0.25">
      <c r="A1100" t="s">
        <v>12</v>
      </c>
      <c r="B1100" t="s">
        <v>226</v>
      </c>
      <c r="C1100">
        <v>91002557</v>
      </c>
      <c r="D1100">
        <v>140</v>
      </c>
      <c r="E1100" s="4">
        <v>-2800000</v>
      </c>
      <c r="F1100" t="s">
        <v>82</v>
      </c>
      <c r="G1100">
        <v>0</v>
      </c>
      <c r="H1100" s="32" t="str">
        <f ca="1">+IF(B1100&gt;'sap nuevo'!$V$1,"cargar",IF(C1100="","cargar","pagado"))</f>
        <v>cargar</v>
      </c>
      <c r="I1100" s="32">
        <f t="shared" si="146"/>
        <v>2025</v>
      </c>
      <c r="J1100" s="32">
        <f t="shared" si="147"/>
        <v>9</v>
      </c>
    </row>
    <row r="1101" spans="1:10" x14ac:dyDescent="0.25">
      <c r="A1101" t="s">
        <v>12</v>
      </c>
      <c r="B1101" t="s">
        <v>226</v>
      </c>
      <c r="C1101">
        <v>91002559</v>
      </c>
      <c r="D1101">
        <v>140</v>
      </c>
      <c r="E1101" s="4">
        <v>-1200000</v>
      </c>
      <c r="F1101" t="s">
        <v>82</v>
      </c>
      <c r="G1101">
        <v>0</v>
      </c>
      <c r="H1101" s="32" t="str">
        <f ca="1">+IF(B1101&gt;'sap nuevo'!$V$1,"cargar",IF(C1101="","cargar","pagado"))</f>
        <v>cargar</v>
      </c>
      <c r="I1101" s="32">
        <f t="shared" si="146"/>
        <v>2025</v>
      </c>
      <c r="J1101" s="32">
        <f t="shared" si="147"/>
        <v>9</v>
      </c>
    </row>
    <row r="1102" spans="1:10" x14ac:dyDescent="0.25">
      <c r="A1102" t="s">
        <v>21</v>
      </c>
      <c r="B1102" t="s">
        <v>226</v>
      </c>
      <c r="C1102">
        <v>91002543</v>
      </c>
      <c r="D1102">
        <v>140</v>
      </c>
      <c r="E1102" s="4">
        <v>-1084986.3999999999</v>
      </c>
      <c r="F1102" t="s">
        <v>80</v>
      </c>
      <c r="G1102">
        <v>0</v>
      </c>
      <c r="H1102" s="32" t="str">
        <f ca="1">+IF(B1102&gt;'sap nuevo'!$V$1,"cargar",IF(C1102="","cargar","pagado"))</f>
        <v>cargar</v>
      </c>
      <c r="I1102" s="32">
        <f t="shared" si="146"/>
        <v>2025</v>
      </c>
      <c r="J1102" s="32">
        <f t="shared" si="147"/>
        <v>9</v>
      </c>
    </row>
    <row r="1103" spans="1:10" x14ac:dyDescent="0.25">
      <c r="A1103" t="s">
        <v>873</v>
      </c>
      <c r="B1103" t="s">
        <v>227</v>
      </c>
      <c r="C1103">
        <v>1872</v>
      </c>
      <c r="D1103">
        <v>9999</v>
      </c>
      <c r="E1103" s="4">
        <v>-10649857.890000001</v>
      </c>
      <c r="F1103" t="s">
        <v>1490</v>
      </c>
      <c r="G1103">
        <v>3520</v>
      </c>
      <c r="H1103" s="32" t="str">
        <f ca="1">+IF(B1103&gt;'sap nuevo'!$V$1,"cargar",IF(C1103="","cargar","pagado"))</f>
        <v>cargar</v>
      </c>
      <c r="I1103" s="32">
        <f t="shared" si="146"/>
        <v>2025</v>
      </c>
      <c r="J1103" s="32">
        <f t="shared" si="147"/>
        <v>9</v>
      </c>
    </row>
    <row r="1104" spans="1:10" x14ac:dyDescent="0.25">
      <c r="A1104" t="s">
        <v>873</v>
      </c>
      <c r="B1104" t="s">
        <v>227</v>
      </c>
      <c r="C1104">
        <v>1862</v>
      </c>
      <c r="D1104">
        <v>9999</v>
      </c>
      <c r="E1104" s="4">
        <v>-9673396.3699999992</v>
      </c>
      <c r="F1104" t="s">
        <v>1491</v>
      </c>
      <c r="G1104">
        <v>3520</v>
      </c>
      <c r="H1104" s="32" t="str">
        <f ca="1">+IF(B1104&gt;'sap nuevo'!$V$1,"cargar",IF(C1104="","cargar","pagado"))</f>
        <v>cargar</v>
      </c>
      <c r="I1104" s="32">
        <f t="shared" si="146"/>
        <v>2025</v>
      </c>
      <c r="J1104" s="32">
        <f t="shared" si="147"/>
        <v>9</v>
      </c>
    </row>
    <row r="1105" spans="1:10" x14ac:dyDescent="0.25">
      <c r="A1105" t="s">
        <v>873</v>
      </c>
      <c r="B1105" t="s">
        <v>227</v>
      </c>
      <c r="C1105">
        <v>1860</v>
      </c>
      <c r="D1105">
        <v>9999</v>
      </c>
      <c r="E1105" s="4">
        <v>-8617127.2300000004</v>
      </c>
      <c r="F1105" t="s">
        <v>1492</v>
      </c>
      <c r="G1105">
        <v>3520</v>
      </c>
      <c r="H1105" s="32" t="str">
        <f ca="1">+IF(B1105&gt;'sap nuevo'!$V$1,"cargar",IF(C1105="","cargar","pagado"))</f>
        <v>cargar</v>
      </c>
      <c r="I1105" s="32">
        <f t="shared" si="146"/>
        <v>2025</v>
      </c>
      <c r="J1105" s="32">
        <f t="shared" si="147"/>
        <v>9</v>
      </c>
    </row>
    <row r="1106" spans="1:10" x14ac:dyDescent="0.25">
      <c r="A1106" t="s">
        <v>877</v>
      </c>
      <c r="B1106" t="s">
        <v>227</v>
      </c>
      <c r="C1106">
        <v>1870</v>
      </c>
      <c r="D1106">
        <v>9999</v>
      </c>
      <c r="E1106" s="4">
        <v>-34715345.520000003</v>
      </c>
      <c r="F1106" t="s">
        <v>1493</v>
      </c>
      <c r="G1106">
        <v>1385</v>
      </c>
      <c r="H1106" s="32" t="str">
        <f ca="1">+IF(B1106&gt;'sap nuevo'!$V$1,"cargar",IF(C1106="","cargar","pagado"))</f>
        <v>cargar</v>
      </c>
      <c r="I1106" s="32">
        <f t="shared" si="146"/>
        <v>2025</v>
      </c>
      <c r="J1106" s="32">
        <f t="shared" si="147"/>
        <v>9</v>
      </c>
    </row>
    <row r="1107" spans="1:10" x14ac:dyDescent="0.25">
      <c r="A1107" t="s">
        <v>877</v>
      </c>
      <c r="B1107" t="s">
        <v>227</v>
      </c>
      <c r="C1107">
        <v>1877</v>
      </c>
      <c r="D1107">
        <v>9999</v>
      </c>
      <c r="E1107" s="4">
        <v>-31800379.420000002</v>
      </c>
      <c r="F1107" t="s">
        <v>1494</v>
      </c>
      <c r="G1107">
        <v>1385</v>
      </c>
      <c r="H1107" s="32" t="str">
        <f ca="1">+IF(B1107&gt;'sap nuevo'!$V$1,"cargar",IF(C1107="","cargar","pagado"))</f>
        <v>cargar</v>
      </c>
      <c r="I1107" s="32">
        <f t="shared" si="146"/>
        <v>2025</v>
      </c>
      <c r="J1107" s="32">
        <f t="shared" si="147"/>
        <v>9</v>
      </c>
    </row>
    <row r="1108" spans="1:10" x14ac:dyDescent="0.25">
      <c r="A1108" t="s">
        <v>877</v>
      </c>
      <c r="B1108" t="s">
        <v>227</v>
      </c>
      <c r="C1108">
        <v>1869</v>
      </c>
      <c r="D1108">
        <v>9999</v>
      </c>
      <c r="E1108" s="4">
        <v>-26312486.77</v>
      </c>
      <c r="F1108" t="s">
        <v>1495</v>
      </c>
      <c r="G1108">
        <v>1385</v>
      </c>
      <c r="H1108" s="32" t="str">
        <f ca="1">+IF(B1108&gt;'sap nuevo'!$V$1,"cargar",IF(C1108="","cargar","pagado"))</f>
        <v>cargar</v>
      </c>
      <c r="I1108" s="32">
        <f t="shared" si="146"/>
        <v>2025</v>
      </c>
      <c r="J1108" s="32">
        <f t="shared" si="147"/>
        <v>9</v>
      </c>
    </row>
    <row r="1109" spans="1:10" x14ac:dyDescent="0.25">
      <c r="A1109" t="s">
        <v>877</v>
      </c>
      <c r="B1109" t="s">
        <v>227</v>
      </c>
      <c r="C1109">
        <v>1867</v>
      </c>
      <c r="D1109">
        <v>9999</v>
      </c>
      <c r="E1109" s="4">
        <v>-16235350.359999999</v>
      </c>
      <c r="F1109" t="s">
        <v>1496</v>
      </c>
      <c r="G1109">
        <v>1385</v>
      </c>
      <c r="H1109" s="32" t="str">
        <f ca="1">+IF(B1109&gt;'sap nuevo'!$V$1,"cargar",IF(C1109="","cargar","pagado"))</f>
        <v>cargar</v>
      </c>
      <c r="I1109" s="32">
        <f t="shared" si="146"/>
        <v>2025</v>
      </c>
      <c r="J1109" s="32">
        <f t="shared" si="147"/>
        <v>9</v>
      </c>
    </row>
    <row r="1110" spans="1:10" x14ac:dyDescent="0.25">
      <c r="A1110" t="s">
        <v>877</v>
      </c>
      <c r="B1110" t="s">
        <v>227</v>
      </c>
      <c r="C1110">
        <v>1861</v>
      </c>
      <c r="D1110">
        <v>9999</v>
      </c>
      <c r="E1110" s="4">
        <v>-13682367.92</v>
      </c>
      <c r="F1110" t="s">
        <v>1497</v>
      </c>
      <c r="G1110">
        <v>1385</v>
      </c>
      <c r="H1110" s="32" t="str">
        <f ca="1">+IF(B1110&gt;'sap nuevo'!$V$1,"cargar",IF(C1110="","cargar","pagado"))</f>
        <v>cargar</v>
      </c>
      <c r="I1110" s="32">
        <f t="shared" si="146"/>
        <v>2025</v>
      </c>
      <c r="J1110" s="32">
        <f t="shared" si="147"/>
        <v>9</v>
      </c>
    </row>
    <row r="1111" spans="1:10" x14ac:dyDescent="0.25">
      <c r="A1111" t="s">
        <v>877</v>
      </c>
      <c r="B1111" t="s">
        <v>227</v>
      </c>
      <c r="C1111">
        <v>1875</v>
      </c>
      <c r="D1111">
        <v>9999</v>
      </c>
      <c r="E1111" s="4">
        <v>-11721787.52</v>
      </c>
      <c r="F1111" t="s">
        <v>1498</v>
      </c>
      <c r="G1111">
        <v>1385</v>
      </c>
      <c r="H1111" s="32" t="str">
        <f ca="1">+IF(B1111&gt;'sap nuevo'!$V$1,"cargar",IF(C1111="","cargar","pagado"))</f>
        <v>cargar</v>
      </c>
      <c r="I1111" s="32">
        <f t="shared" si="146"/>
        <v>2025</v>
      </c>
      <c r="J1111" s="32">
        <f t="shared" si="147"/>
        <v>9</v>
      </c>
    </row>
    <row r="1112" spans="1:10" x14ac:dyDescent="0.25">
      <c r="A1112" t="s">
        <v>877</v>
      </c>
      <c r="B1112" t="s">
        <v>227</v>
      </c>
      <c r="C1112">
        <v>1865</v>
      </c>
      <c r="D1112">
        <v>9999</v>
      </c>
      <c r="E1112" s="4">
        <v>-4513341.7699999996</v>
      </c>
      <c r="F1112" t="s">
        <v>1499</v>
      </c>
      <c r="G1112">
        <v>1385</v>
      </c>
      <c r="H1112" s="32" t="str">
        <f ca="1">+IF(B1112&gt;'sap nuevo'!$V$1,"cargar",IF(C1112="","cargar","pagado"))</f>
        <v>cargar</v>
      </c>
      <c r="I1112" s="32">
        <f t="shared" si="146"/>
        <v>2025</v>
      </c>
      <c r="J1112" s="32">
        <f t="shared" si="147"/>
        <v>9</v>
      </c>
    </row>
    <row r="1113" spans="1:10" x14ac:dyDescent="0.25">
      <c r="A1113" t="s">
        <v>877</v>
      </c>
      <c r="B1113" t="s">
        <v>227</v>
      </c>
      <c r="C1113">
        <v>1871</v>
      </c>
      <c r="D1113">
        <v>9999</v>
      </c>
      <c r="E1113" s="4">
        <v>-4233183.5</v>
      </c>
      <c r="F1113" t="s">
        <v>1500</v>
      </c>
      <c r="G1113">
        <v>1385</v>
      </c>
      <c r="H1113" s="32" t="str">
        <f ca="1">+IF(B1113&gt;'sap nuevo'!$V$1,"cargar",IF(C1113="","cargar","pagado"))</f>
        <v>cargar</v>
      </c>
      <c r="I1113" s="32">
        <f t="shared" si="146"/>
        <v>2025</v>
      </c>
      <c r="J1113" s="32">
        <f t="shared" si="147"/>
        <v>9</v>
      </c>
    </row>
    <row r="1114" spans="1:10" x14ac:dyDescent="0.25">
      <c r="A1114" t="s">
        <v>877</v>
      </c>
      <c r="B1114" t="s">
        <v>228</v>
      </c>
      <c r="C1114">
        <v>1866</v>
      </c>
      <c r="D1114">
        <v>9999</v>
      </c>
      <c r="E1114" s="4">
        <v>-14020968.210000001</v>
      </c>
      <c r="F1114" t="s">
        <v>1501</v>
      </c>
      <c r="G1114">
        <v>1385</v>
      </c>
      <c r="H1114" s="32" t="str">
        <f ca="1">+IF(B1114&gt;'sap nuevo'!$V$1,"cargar",IF(C1114="","cargar","pagado"))</f>
        <v>cargar</v>
      </c>
      <c r="I1114" s="32">
        <f t="shared" si="146"/>
        <v>2025</v>
      </c>
      <c r="J1114" s="32">
        <f t="shared" si="147"/>
        <v>9</v>
      </c>
    </row>
    <row r="1115" spans="1:10" x14ac:dyDescent="0.25">
      <c r="A1115" t="s">
        <v>877</v>
      </c>
      <c r="B1115" t="s">
        <v>228</v>
      </c>
      <c r="C1115">
        <v>1693</v>
      </c>
      <c r="D1115">
        <v>9999</v>
      </c>
      <c r="E1115" s="4">
        <v>-1633105</v>
      </c>
      <c r="F1115" t="s">
        <v>1502</v>
      </c>
      <c r="G1115">
        <v>1385</v>
      </c>
      <c r="H1115" s="32" t="str">
        <f ca="1">+IF(B1115&gt;'sap nuevo'!$V$1,"cargar",IF(C1115="","cargar","pagado"))</f>
        <v>cargar</v>
      </c>
      <c r="I1115" s="32">
        <f t="shared" si="146"/>
        <v>2025</v>
      </c>
      <c r="J1115" s="32">
        <f t="shared" si="147"/>
        <v>9</v>
      </c>
    </row>
    <row r="1116" spans="1:10" x14ac:dyDescent="0.25">
      <c r="A1116" t="s">
        <v>21</v>
      </c>
      <c r="B1116" t="s">
        <v>227</v>
      </c>
      <c r="C1116">
        <v>91002560</v>
      </c>
      <c r="D1116">
        <v>140</v>
      </c>
      <c r="E1116" s="4">
        <v>-40000000</v>
      </c>
      <c r="F1116" t="s">
        <v>80</v>
      </c>
      <c r="G1116">
        <v>0</v>
      </c>
      <c r="H1116" s="32" t="str">
        <f ca="1">+IF(B1116&gt;'sap nuevo'!$V$1,"cargar",IF(C1116="","cargar","pagado"))</f>
        <v>cargar</v>
      </c>
      <c r="I1116" s="32">
        <f t="shared" si="146"/>
        <v>2025</v>
      </c>
      <c r="J1116" s="32">
        <f t="shared" si="147"/>
        <v>9</v>
      </c>
    </row>
    <row r="1117" spans="1:10" x14ac:dyDescent="0.25">
      <c r="A1117" t="s">
        <v>21</v>
      </c>
      <c r="B1117" t="s">
        <v>227</v>
      </c>
      <c r="C1117">
        <v>91002553</v>
      </c>
      <c r="D1117">
        <v>140</v>
      </c>
      <c r="E1117" s="4">
        <v>-35000000</v>
      </c>
      <c r="F1117" t="s">
        <v>80</v>
      </c>
      <c r="G1117">
        <v>0</v>
      </c>
      <c r="H1117" s="32" t="str">
        <f ca="1">+IF(B1117&gt;'sap nuevo'!$V$1,"cargar",IF(C1117="","cargar","pagado"))</f>
        <v>cargar</v>
      </c>
      <c r="I1117" s="32">
        <f t="shared" si="146"/>
        <v>2025</v>
      </c>
      <c r="J1117" s="32">
        <f t="shared" si="147"/>
        <v>9</v>
      </c>
    </row>
    <row r="1118" spans="1:10" x14ac:dyDescent="0.25">
      <c r="A1118" t="s">
        <v>21</v>
      </c>
      <c r="B1118" t="s">
        <v>227</v>
      </c>
      <c r="C1118">
        <v>91002520</v>
      </c>
      <c r="D1118">
        <v>140</v>
      </c>
      <c r="E1118" s="4">
        <v>-20057852.82</v>
      </c>
      <c r="F1118" t="s">
        <v>80</v>
      </c>
      <c r="G1118">
        <v>0</v>
      </c>
      <c r="H1118" s="32" t="str">
        <f ca="1">+IF(B1118&gt;'sap nuevo'!$V$1,"cargar",IF(C1118="","cargar","pagado"))</f>
        <v>cargar</v>
      </c>
      <c r="I1118" s="32">
        <f t="shared" ref="I1118:I1137" si="148">+YEAR(B1118)</f>
        <v>2025</v>
      </c>
      <c r="J1118" s="32">
        <f t="shared" ref="J1118:J1137" si="149">+MONTH(B1118)</f>
        <v>9</v>
      </c>
    </row>
    <row r="1119" spans="1:10" x14ac:dyDescent="0.25">
      <c r="A1119" t="s">
        <v>21</v>
      </c>
      <c r="B1119" t="s">
        <v>227</v>
      </c>
      <c r="C1119">
        <v>91002526</v>
      </c>
      <c r="D1119">
        <v>140</v>
      </c>
      <c r="E1119" s="4">
        <v>-19545843.399999999</v>
      </c>
      <c r="F1119" t="s">
        <v>80</v>
      </c>
      <c r="G1119">
        <v>0</v>
      </c>
      <c r="H1119" s="32" t="str">
        <f ca="1">+IF(B1119&gt;'sap nuevo'!$V$1,"cargar",IF(C1119="","cargar","pagado"))</f>
        <v>cargar</v>
      </c>
      <c r="I1119" s="32">
        <f t="shared" si="148"/>
        <v>2025</v>
      </c>
      <c r="J1119" s="32">
        <f t="shared" si="149"/>
        <v>9</v>
      </c>
    </row>
    <row r="1120" spans="1:10" x14ac:dyDescent="0.25">
      <c r="A1120" t="s">
        <v>12</v>
      </c>
      <c r="B1120" t="s">
        <v>227</v>
      </c>
      <c r="C1120">
        <v>40272987</v>
      </c>
      <c r="D1120">
        <v>140</v>
      </c>
      <c r="E1120" s="4">
        <v>-18773007.870000001</v>
      </c>
      <c r="F1120" t="s">
        <v>82</v>
      </c>
      <c r="G1120">
        <v>0</v>
      </c>
      <c r="H1120" s="32" t="str">
        <f ca="1">+IF(B1120&gt;'sap nuevo'!$V$1,"cargar",IF(C1120="","cargar","pagado"))</f>
        <v>cargar</v>
      </c>
      <c r="I1120" s="32">
        <f t="shared" si="148"/>
        <v>2025</v>
      </c>
      <c r="J1120" s="32">
        <f t="shared" si="149"/>
        <v>9</v>
      </c>
    </row>
    <row r="1121" spans="1:10" x14ac:dyDescent="0.25">
      <c r="A1121" t="s">
        <v>21</v>
      </c>
      <c r="B1121" t="s">
        <v>227</v>
      </c>
      <c r="C1121">
        <v>91002531</v>
      </c>
      <c r="D1121">
        <v>140</v>
      </c>
      <c r="E1121" s="4">
        <v>-17275610.27</v>
      </c>
      <c r="F1121" t="s">
        <v>80</v>
      </c>
      <c r="G1121">
        <v>0</v>
      </c>
      <c r="H1121" s="32" t="str">
        <f ca="1">+IF(B1121&gt;'sap nuevo'!$V$1,"cargar",IF(C1121="","cargar","pagado"))</f>
        <v>cargar</v>
      </c>
      <c r="I1121" s="32">
        <f t="shared" si="148"/>
        <v>2025</v>
      </c>
      <c r="J1121" s="32">
        <f t="shared" si="149"/>
        <v>9</v>
      </c>
    </row>
    <row r="1122" spans="1:10" x14ac:dyDescent="0.25">
      <c r="A1122" t="s">
        <v>12</v>
      </c>
      <c r="B1122" t="s">
        <v>227</v>
      </c>
      <c r="C1122">
        <v>91002539</v>
      </c>
      <c r="D1122">
        <v>140</v>
      </c>
      <c r="E1122" s="4">
        <v>-16506264</v>
      </c>
      <c r="F1122" t="s">
        <v>82</v>
      </c>
      <c r="G1122">
        <v>0</v>
      </c>
      <c r="H1122" s="32" t="str">
        <f ca="1">+IF(B1122&gt;'sap nuevo'!$V$1,"cargar",IF(C1122="","cargar","pagado"))</f>
        <v>cargar</v>
      </c>
      <c r="I1122" s="32">
        <f t="shared" si="148"/>
        <v>2025</v>
      </c>
      <c r="J1122" s="32">
        <f t="shared" si="149"/>
        <v>9</v>
      </c>
    </row>
    <row r="1123" spans="1:10" x14ac:dyDescent="0.25">
      <c r="A1123" t="s">
        <v>21</v>
      </c>
      <c r="B1123" t="s">
        <v>227</v>
      </c>
      <c r="C1123">
        <v>91002534</v>
      </c>
      <c r="D1123">
        <v>140</v>
      </c>
      <c r="E1123" s="4">
        <v>-16174974.5</v>
      </c>
      <c r="F1123" t="s">
        <v>80</v>
      </c>
      <c r="G1123">
        <v>0</v>
      </c>
      <c r="H1123" s="32" t="str">
        <f ca="1">+IF(B1123&gt;'sap nuevo'!$V$1,"cargar",IF(C1123="","cargar","pagado"))</f>
        <v>cargar</v>
      </c>
      <c r="I1123" s="32">
        <f t="shared" si="148"/>
        <v>2025</v>
      </c>
      <c r="J1123" s="32">
        <f t="shared" si="149"/>
        <v>9</v>
      </c>
    </row>
    <row r="1124" spans="1:10" x14ac:dyDescent="0.25">
      <c r="A1124" t="s">
        <v>12</v>
      </c>
      <c r="B1124" t="s">
        <v>227</v>
      </c>
      <c r="C1124">
        <v>91002538</v>
      </c>
      <c r="D1124">
        <v>140</v>
      </c>
      <c r="E1124" s="4">
        <v>-16000000</v>
      </c>
      <c r="F1124" t="s">
        <v>82</v>
      </c>
      <c r="G1124">
        <v>0</v>
      </c>
      <c r="H1124" s="32" t="str">
        <f ca="1">+IF(B1124&gt;'sap nuevo'!$V$1,"cargar",IF(C1124="","cargar","pagado"))</f>
        <v>cargar</v>
      </c>
      <c r="I1124" s="32">
        <f t="shared" si="148"/>
        <v>2025</v>
      </c>
      <c r="J1124" s="32">
        <f t="shared" si="149"/>
        <v>9</v>
      </c>
    </row>
    <row r="1125" spans="1:10" x14ac:dyDescent="0.25">
      <c r="A1125" t="s">
        <v>12</v>
      </c>
      <c r="B1125" t="s">
        <v>227</v>
      </c>
      <c r="C1125">
        <v>91002527</v>
      </c>
      <c r="D1125">
        <v>140</v>
      </c>
      <c r="E1125" s="4">
        <v>-11503132</v>
      </c>
      <c r="F1125" t="s">
        <v>82</v>
      </c>
      <c r="G1125">
        <v>0</v>
      </c>
      <c r="H1125" s="32" t="str">
        <f ca="1">+IF(B1125&gt;'sap nuevo'!$V$1,"cargar",IF(C1125="","cargar","pagado"))</f>
        <v>cargar</v>
      </c>
      <c r="I1125" s="32">
        <f t="shared" si="148"/>
        <v>2025</v>
      </c>
      <c r="J1125" s="32">
        <f t="shared" si="149"/>
        <v>9</v>
      </c>
    </row>
    <row r="1126" spans="1:10" x14ac:dyDescent="0.25">
      <c r="A1126" t="s">
        <v>21</v>
      </c>
      <c r="B1126" t="s">
        <v>227</v>
      </c>
      <c r="C1126">
        <v>91002545</v>
      </c>
      <c r="D1126">
        <v>140</v>
      </c>
      <c r="E1126" s="4">
        <v>-10053777.210000001</v>
      </c>
      <c r="F1126" t="s">
        <v>80</v>
      </c>
      <c r="G1126">
        <v>0</v>
      </c>
      <c r="H1126" s="32" t="str">
        <f ca="1">+IF(B1126&gt;'sap nuevo'!$V$1,"cargar",IF(C1126="","cargar","pagado"))</f>
        <v>cargar</v>
      </c>
      <c r="I1126" s="32">
        <f t="shared" si="148"/>
        <v>2025</v>
      </c>
      <c r="J1126" s="32">
        <f t="shared" si="149"/>
        <v>9</v>
      </c>
    </row>
    <row r="1127" spans="1:10" x14ac:dyDescent="0.25">
      <c r="A1127" t="s">
        <v>21</v>
      </c>
      <c r="B1127" t="s">
        <v>227</v>
      </c>
      <c r="C1127">
        <v>91002524</v>
      </c>
      <c r="D1127">
        <v>140</v>
      </c>
      <c r="E1127" s="4">
        <v>-8363150.1799999997</v>
      </c>
      <c r="F1127" t="s">
        <v>80</v>
      </c>
      <c r="G1127">
        <v>0</v>
      </c>
      <c r="H1127" s="32" t="str">
        <f ca="1">+IF(B1127&gt;'sap nuevo'!$V$1,"cargar",IF(C1127="","cargar","pagado"))</f>
        <v>cargar</v>
      </c>
      <c r="I1127" s="32">
        <f t="shared" si="148"/>
        <v>2025</v>
      </c>
      <c r="J1127" s="32">
        <f t="shared" si="149"/>
        <v>9</v>
      </c>
    </row>
    <row r="1128" spans="1:10" x14ac:dyDescent="0.25">
      <c r="A1128" t="s">
        <v>21</v>
      </c>
      <c r="B1128" t="s">
        <v>227</v>
      </c>
      <c r="C1128">
        <v>91002550</v>
      </c>
      <c r="D1128">
        <v>140</v>
      </c>
      <c r="E1128" s="4">
        <v>-7000000</v>
      </c>
      <c r="F1128" t="s">
        <v>80</v>
      </c>
      <c r="G1128">
        <v>0</v>
      </c>
      <c r="H1128" s="32" t="str">
        <f ca="1">+IF(B1128&gt;'sap nuevo'!$V$1,"cargar",IF(C1128="","cargar","pagado"))</f>
        <v>cargar</v>
      </c>
      <c r="I1128" s="32">
        <f t="shared" si="148"/>
        <v>2025</v>
      </c>
      <c r="J1128" s="32">
        <f t="shared" si="149"/>
        <v>9</v>
      </c>
    </row>
    <row r="1129" spans="1:10" x14ac:dyDescent="0.25">
      <c r="A1129" t="s">
        <v>21</v>
      </c>
      <c r="B1129" t="s">
        <v>227</v>
      </c>
      <c r="C1129">
        <v>91002541</v>
      </c>
      <c r="D1129">
        <v>140</v>
      </c>
      <c r="E1129" s="4">
        <v>-6253132</v>
      </c>
      <c r="F1129" t="s">
        <v>80</v>
      </c>
      <c r="G1129">
        <v>0</v>
      </c>
      <c r="H1129" s="32" t="str">
        <f ca="1">+IF(B1129&gt;'sap nuevo'!$V$1,"cargar",IF(C1129="","cargar","pagado"))</f>
        <v>cargar</v>
      </c>
      <c r="I1129" s="32">
        <f t="shared" si="148"/>
        <v>2025</v>
      </c>
      <c r="J1129" s="32">
        <f t="shared" si="149"/>
        <v>9</v>
      </c>
    </row>
    <row r="1130" spans="1:10" x14ac:dyDescent="0.25">
      <c r="A1130" t="s">
        <v>21</v>
      </c>
      <c r="B1130" t="s">
        <v>227</v>
      </c>
      <c r="C1130">
        <v>91002555</v>
      </c>
      <c r="D1130">
        <v>140</v>
      </c>
      <c r="E1130" s="4">
        <v>-4000000</v>
      </c>
      <c r="F1130" t="s">
        <v>80</v>
      </c>
      <c r="G1130">
        <v>0</v>
      </c>
      <c r="H1130" s="32" t="str">
        <f ca="1">+IF(B1130&gt;'sap nuevo'!$V$1,"cargar",IF(C1130="","cargar","pagado"))</f>
        <v>cargar</v>
      </c>
      <c r="I1130" s="32">
        <f t="shared" si="148"/>
        <v>2025</v>
      </c>
      <c r="J1130" s="32">
        <f t="shared" si="149"/>
        <v>9</v>
      </c>
    </row>
    <row r="1131" spans="1:10" x14ac:dyDescent="0.25">
      <c r="A1131" t="s">
        <v>21</v>
      </c>
      <c r="B1131" t="s">
        <v>227</v>
      </c>
      <c r="C1131">
        <v>91002488</v>
      </c>
      <c r="D1131">
        <v>140</v>
      </c>
      <c r="E1131" s="4">
        <v>-3491157.76</v>
      </c>
      <c r="F1131" t="s">
        <v>80</v>
      </c>
      <c r="G1131">
        <v>0</v>
      </c>
      <c r="H1131" s="32" t="str">
        <f ca="1">+IF(B1131&gt;'sap nuevo'!$V$1,"cargar",IF(C1131="","cargar","pagado"))</f>
        <v>cargar</v>
      </c>
      <c r="I1131" s="32">
        <f t="shared" si="148"/>
        <v>2025</v>
      </c>
      <c r="J1131" s="32">
        <f t="shared" si="149"/>
        <v>9</v>
      </c>
    </row>
    <row r="1132" spans="1:10" x14ac:dyDescent="0.25">
      <c r="A1132" t="s">
        <v>12</v>
      </c>
      <c r="B1132" t="s">
        <v>227</v>
      </c>
      <c r="C1132">
        <v>40272971</v>
      </c>
      <c r="D1132">
        <v>140</v>
      </c>
      <c r="E1132" s="4">
        <v>-1362379.94</v>
      </c>
      <c r="F1132" t="s">
        <v>82</v>
      </c>
      <c r="G1132">
        <v>0</v>
      </c>
      <c r="H1132" s="32" t="str">
        <f ca="1">+IF(B1132&gt;'sap nuevo'!$V$1,"cargar",IF(C1132="","cargar","pagado"))</f>
        <v>cargar</v>
      </c>
      <c r="I1132" s="32">
        <f t="shared" si="148"/>
        <v>2025</v>
      </c>
      <c r="J1132" s="32">
        <f t="shared" si="149"/>
        <v>9</v>
      </c>
    </row>
    <row r="1133" spans="1:10" x14ac:dyDescent="0.25">
      <c r="A1133" t="s">
        <v>21</v>
      </c>
      <c r="B1133" t="s">
        <v>228</v>
      </c>
      <c r="C1133">
        <v>91002554</v>
      </c>
      <c r="D1133">
        <v>140</v>
      </c>
      <c r="E1133" s="4">
        <v>-42579298.479999997</v>
      </c>
      <c r="F1133" t="s">
        <v>80</v>
      </c>
      <c r="G1133">
        <v>0</v>
      </c>
      <c r="H1133" s="32" t="str">
        <f ca="1">+IF(B1133&gt;'sap nuevo'!$V$1,"cargar",IF(C1133="","cargar","pagado"))</f>
        <v>cargar</v>
      </c>
      <c r="I1133" s="32">
        <f t="shared" si="148"/>
        <v>2025</v>
      </c>
      <c r="J1133" s="32">
        <f t="shared" si="149"/>
        <v>9</v>
      </c>
    </row>
    <row r="1134" spans="1:10" x14ac:dyDescent="0.25">
      <c r="A1134" t="s">
        <v>21</v>
      </c>
      <c r="B1134" t="s">
        <v>228</v>
      </c>
      <c r="C1134">
        <v>91002561</v>
      </c>
      <c r="D1134">
        <v>140</v>
      </c>
      <c r="E1134" s="4">
        <v>-34653027.520000003</v>
      </c>
      <c r="F1134" t="s">
        <v>80</v>
      </c>
      <c r="G1134">
        <v>0</v>
      </c>
      <c r="H1134" s="32" t="str">
        <f ca="1">+IF(B1134&gt;'sap nuevo'!$V$1,"cargar",IF(C1134="","cargar","pagado"))</f>
        <v>cargar</v>
      </c>
      <c r="I1134" s="32">
        <f t="shared" si="148"/>
        <v>2025</v>
      </c>
      <c r="J1134" s="32">
        <f t="shared" si="149"/>
        <v>9</v>
      </c>
    </row>
    <row r="1135" spans="1:10" x14ac:dyDescent="0.25">
      <c r="A1135" t="s">
        <v>12</v>
      </c>
      <c r="B1135" t="s">
        <v>228</v>
      </c>
      <c r="C1135">
        <v>91002522</v>
      </c>
      <c r="D1135">
        <v>140</v>
      </c>
      <c r="E1135" s="4">
        <v>-8559089.25</v>
      </c>
      <c r="F1135" t="s">
        <v>82</v>
      </c>
      <c r="G1135">
        <v>0</v>
      </c>
      <c r="H1135" s="32" t="str">
        <f ca="1">+IF(B1135&gt;'sap nuevo'!$V$1,"cargar",IF(C1135="","cargar","pagado"))</f>
        <v>cargar</v>
      </c>
      <c r="I1135" s="32">
        <f t="shared" si="148"/>
        <v>2025</v>
      </c>
      <c r="J1135" s="32">
        <f t="shared" si="149"/>
        <v>9</v>
      </c>
    </row>
    <row r="1136" spans="1:10" x14ac:dyDescent="0.25">
      <c r="A1136" t="s">
        <v>21</v>
      </c>
      <c r="B1136" t="s">
        <v>228</v>
      </c>
      <c r="C1136">
        <v>91002547</v>
      </c>
      <c r="D1136">
        <v>140</v>
      </c>
      <c r="E1136" s="4">
        <v>-7859452.5499999998</v>
      </c>
      <c r="F1136" t="s">
        <v>80</v>
      </c>
      <c r="G1136">
        <v>0</v>
      </c>
      <c r="H1136" s="32" t="str">
        <f ca="1">+IF(B1136&gt;'sap nuevo'!$V$1,"cargar",IF(C1136="","cargar","pagado"))</f>
        <v>cargar</v>
      </c>
      <c r="I1136" s="32">
        <f t="shared" si="148"/>
        <v>2025</v>
      </c>
      <c r="J1136" s="32">
        <f t="shared" si="149"/>
        <v>9</v>
      </c>
    </row>
    <row r="1137" spans="1:10" x14ac:dyDescent="0.25">
      <c r="A1137" t="s">
        <v>21</v>
      </c>
      <c r="B1137" t="s">
        <v>228</v>
      </c>
      <c r="C1137">
        <v>91002537</v>
      </c>
      <c r="D1137">
        <v>140</v>
      </c>
      <c r="E1137" s="4">
        <v>-5944942.2699999996</v>
      </c>
      <c r="F1137" t="s">
        <v>80</v>
      </c>
      <c r="G1137">
        <v>0</v>
      </c>
      <c r="H1137" s="32" t="str">
        <f ca="1">+IF(B1137&gt;'sap nuevo'!$V$1,"cargar",IF(C1137="","cargar","pagado"))</f>
        <v>cargar</v>
      </c>
      <c r="I1137" s="32">
        <f t="shared" si="148"/>
        <v>2025</v>
      </c>
      <c r="J1137" s="32">
        <f t="shared" si="149"/>
        <v>9</v>
      </c>
    </row>
    <row r="1138" spans="1:10" x14ac:dyDescent="0.25">
      <c r="A1138" t="s">
        <v>877</v>
      </c>
      <c r="B1138" t="s">
        <v>1503</v>
      </c>
      <c r="C1138">
        <v>1876</v>
      </c>
      <c r="D1138">
        <v>9999</v>
      </c>
      <c r="E1138" s="4">
        <v>-5686402.4199999999</v>
      </c>
      <c r="F1138" t="s">
        <v>1504</v>
      </c>
      <c r="G1138">
        <v>1385</v>
      </c>
      <c r="H1138" s="32" t="str">
        <f ca="1">+IF(B1138&gt;'sap nuevo'!$V$1,"cargar",IF(C1138="","cargar","pagado"))</f>
        <v>cargar</v>
      </c>
      <c r="I1138" s="32">
        <f t="shared" ref="I1138" si="150">+YEAR(B1138)</f>
        <v>2025</v>
      </c>
      <c r="J1138" s="32">
        <f t="shared" ref="J1138" si="151">+MONTH(B1138)</f>
        <v>9</v>
      </c>
    </row>
    <row r="1139" spans="1:10" x14ac:dyDescent="0.25">
      <c r="A1139" t="s">
        <v>21</v>
      </c>
      <c r="B1139" t="s">
        <v>1503</v>
      </c>
      <c r="C1139">
        <v>91002528</v>
      </c>
      <c r="D1139">
        <v>140</v>
      </c>
      <c r="E1139" s="4">
        <v>-20000000</v>
      </c>
      <c r="F1139" t="s">
        <v>80</v>
      </c>
      <c r="G1139">
        <v>0</v>
      </c>
      <c r="H1139" s="32" t="str">
        <f ca="1">+IF(B1139&gt;'sap nuevo'!$V$1,"cargar",IF(C1139="","cargar","pagado"))</f>
        <v>cargar</v>
      </c>
      <c r="I1139" s="32">
        <f t="shared" ref="I1139:I1142" si="152">+YEAR(B1139)</f>
        <v>2025</v>
      </c>
      <c r="J1139" s="32">
        <f t="shared" ref="J1139:J1142" si="153">+MONTH(B1139)</f>
        <v>9</v>
      </c>
    </row>
    <row r="1140" spans="1:10" x14ac:dyDescent="0.25">
      <c r="A1140" t="s">
        <v>21</v>
      </c>
      <c r="B1140" t="s">
        <v>1503</v>
      </c>
      <c r="C1140">
        <v>91002529</v>
      </c>
      <c r="D1140">
        <v>140</v>
      </c>
      <c r="E1140" s="4">
        <v>-18077652.120000001</v>
      </c>
      <c r="F1140" t="s">
        <v>80</v>
      </c>
      <c r="G1140">
        <v>0</v>
      </c>
      <c r="H1140" s="32" t="str">
        <f ca="1">+IF(B1140&gt;'sap nuevo'!$V$1,"cargar",IF(C1140="","cargar","pagado"))</f>
        <v>cargar</v>
      </c>
      <c r="I1140" s="32">
        <f t="shared" si="152"/>
        <v>2025</v>
      </c>
      <c r="J1140" s="32">
        <f t="shared" si="153"/>
        <v>9</v>
      </c>
    </row>
    <row r="1141" spans="1:10" x14ac:dyDescent="0.25">
      <c r="A1141" t="s">
        <v>12</v>
      </c>
      <c r="B1141" t="s">
        <v>229</v>
      </c>
      <c r="C1141">
        <v>40272989</v>
      </c>
      <c r="D1141">
        <v>140</v>
      </c>
      <c r="E1141" s="4">
        <v>-2528930.61</v>
      </c>
      <c r="F1141" t="s">
        <v>82</v>
      </c>
      <c r="G1141">
        <v>0</v>
      </c>
      <c r="H1141" s="32" t="str">
        <f ca="1">+IF(B1141&gt;'sap nuevo'!$V$1,"cargar",IF(C1141="","cargar","pagado"))</f>
        <v>cargar</v>
      </c>
      <c r="I1141" s="32">
        <f t="shared" si="152"/>
        <v>2025</v>
      </c>
      <c r="J1141" s="32">
        <f t="shared" si="153"/>
        <v>9</v>
      </c>
    </row>
    <row r="1142" spans="1:10" x14ac:dyDescent="0.25">
      <c r="A1142" t="s">
        <v>21</v>
      </c>
      <c r="B1142" t="s">
        <v>229</v>
      </c>
      <c r="C1142">
        <v>91002556</v>
      </c>
      <c r="D1142">
        <v>140</v>
      </c>
      <c r="E1142" s="4">
        <v>-2000000</v>
      </c>
      <c r="F1142" t="s">
        <v>80</v>
      </c>
      <c r="G1142">
        <v>0</v>
      </c>
      <c r="H1142" s="32" t="str">
        <f ca="1">+IF(B1142&gt;'sap nuevo'!$V$1,"cargar",IF(C1142="","cargar","pagado"))</f>
        <v>cargar</v>
      </c>
      <c r="I1142" s="32">
        <f t="shared" si="152"/>
        <v>2025</v>
      </c>
      <c r="J1142" s="32">
        <f t="shared" si="153"/>
        <v>9</v>
      </c>
    </row>
    <row r="1143" spans="1:10" x14ac:dyDescent="0.25">
      <c r="A1143" t="s">
        <v>873</v>
      </c>
      <c r="B1143" t="s">
        <v>1505</v>
      </c>
      <c r="C1143">
        <v>1843</v>
      </c>
      <c r="D1143">
        <v>9999</v>
      </c>
      <c r="E1143" s="4">
        <v>-290000000</v>
      </c>
      <c r="F1143" t="s">
        <v>1506</v>
      </c>
      <c r="G1143">
        <v>3520</v>
      </c>
      <c r="H1143" s="32" t="str">
        <f ca="1">+IF(B1143&gt;'sap nuevo'!$V$1,"cargar",IF(C1143="","cargar","pagado"))</f>
        <v>cargar</v>
      </c>
      <c r="I1143" s="32">
        <f t="shared" ref="I1143:I1158" si="154">+YEAR(B1143)</f>
        <v>2025</v>
      </c>
      <c r="J1143" s="32">
        <f t="shared" ref="J1143:J1158" si="155">+MONTH(B1143)</f>
        <v>9</v>
      </c>
    </row>
    <row r="1144" spans="1:10" x14ac:dyDescent="0.25">
      <c r="A1144" t="s">
        <v>873</v>
      </c>
      <c r="B1144" t="s">
        <v>1505</v>
      </c>
      <c r="C1144">
        <v>1842</v>
      </c>
      <c r="D1144">
        <v>9999</v>
      </c>
      <c r="E1144" s="4">
        <v>-290000000</v>
      </c>
      <c r="F1144" t="s">
        <v>1507</v>
      </c>
      <c r="G1144">
        <v>3520</v>
      </c>
      <c r="H1144" s="32" t="str">
        <f ca="1">+IF(B1144&gt;'sap nuevo'!$V$1,"cargar",IF(C1144="","cargar","pagado"))</f>
        <v>cargar</v>
      </c>
      <c r="I1144" s="32">
        <f t="shared" si="154"/>
        <v>2025</v>
      </c>
      <c r="J1144" s="32">
        <f t="shared" si="155"/>
        <v>9</v>
      </c>
    </row>
    <row r="1145" spans="1:10" x14ac:dyDescent="0.25">
      <c r="A1145" t="s">
        <v>873</v>
      </c>
      <c r="B1145" t="s">
        <v>1505</v>
      </c>
      <c r="C1145">
        <v>1844</v>
      </c>
      <c r="D1145">
        <v>9999</v>
      </c>
      <c r="E1145" s="4">
        <v>-290000000</v>
      </c>
      <c r="F1145" t="s">
        <v>1508</v>
      </c>
      <c r="G1145">
        <v>3520</v>
      </c>
      <c r="H1145" s="32" t="str">
        <f ca="1">+IF(B1145&gt;'sap nuevo'!$V$1,"cargar",IF(C1145="","cargar","pagado"))</f>
        <v>cargar</v>
      </c>
      <c r="I1145" s="32">
        <f t="shared" si="154"/>
        <v>2025</v>
      </c>
      <c r="J1145" s="32">
        <f t="shared" si="155"/>
        <v>9</v>
      </c>
    </row>
    <row r="1146" spans="1:10" x14ac:dyDescent="0.25">
      <c r="A1146" t="s">
        <v>877</v>
      </c>
      <c r="B1146" t="s">
        <v>1505</v>
      </c>
      <c r="C1146">
        <v>1902</v>
      </c>
      <c r="D1146">
        <v>9999</v>
      </c>
      <c r="E1146" s="4">
        <v>-8738855</v>
      </c>
      <c r="F1146" t="s">
        <v>1509</v>
      </c>
      <c r="G1146">
        <v>1385</v>
      </c>
      <c r="H1146" s="32" t="str">
        <f ca="1">+IF(B1146&gt;'sap nuevo'!$V$1,"cargar",IF(C1146="","cargar","pagado"))</f>
        <v>cargar</v>
      </c>
      <c r="I1146" s="32">
        <f t="shared" si="154"/>
        <v>2025</v>
      </c>
      <c r="J1146" s="32">
        <f t="shared" si="155"/>
        <v>9</v>
      </c>
    </row>
    <row r="1147" spans="1:10" x14ac:dyDescent="0.25">
      <c r="A1147" t="s">
        <v>877</v>
      </c>
      <c r="B1147" t="s">
        <v>1505</v>
      </c>
      <c r="C1147">
        <v>1874</v>
      </c>
      <c r="D1147">
        <v>9999</v>
      </c>
      <c r="E1147" s="4">
        <v>-7834202.96</v>
      </c>
      <c r="F1147" t="s">
        <v>1510</v>
      </c>
      <c r="G1147">
        <v>1385</v>
      </c>
      <c r="H1147" s="32" t="str">
        <f ca="1">+IF(B1147&gt;'sap nuevo'!$V$1,"cargar",IF(C1147="","cargar","pagado"))</f>
        <v>cargar</v>
      </c>
      <c r="I1147" s="32">
        <f t="shared" si="154"/>
        <v>2025</v>
      </c>
      <c r="J1147" s="32">
        <f t="shared" si="155"/>
        <v>9</v>
      </c>
    </row>
    <row r="1148" spans="1:10" x14ac:dyDescent="0.25">
      <c r="A1148" t="s">
        <v>877</v>
      </c>
      <c r="B1148" t="s">
        <v>1505</v>
      </c>
      <c r="C1148">
        <v>1895</v>
      </c>
      <c r="D1148">
        <v>9999</v>
      </c>
      <c r="E1148" s="4">
        <v>-5982581.9000000004</v>
      </c>
      <c r="F1148" t="s">
        <v>1511</v>
      </c>
      <c r="G1148">
        <v>1385</v>
      </c>
      <c r="H1148" s="32" t="str">
        <f ca="1">+IF(B1148&gt;'sap nuevo'!$V$1,"cargar",IF(C1148="","cargar","pagado"))</f>
        <v>cargar</v>
      </c>
      <c r="I1148" s="32">
        <f t="shared" si="154"/>
        <v>2025</v>
      </c>
      <c r="J1148" s="32">
        <f t="shared" si="155"/>
        <v>9</v>
      </c>
    </row>
    <row r="1149" spans="1:10" x14ac:dyDescent="0.25">
      <c r="A1149" t="s">
        <v>877</v>
      </c>
      <c r="B1149" t="s">
        <v>1505</v>
      </c>
      <c r="C1149">
        <v>1894</v>
      </c>
      <c r="D1149">
        <v>9999</v>
      </c>
      <c r="E1149" s="4">
        <v>-4590664.0199999996</v>
      </c>
      <c r="F1149" t="s">
        <v>1512</v>
      </c>
      <c r="G1149">
        <v>1385</v>
      </c>
      <c r="H1149" s="32" t="str">
        <f ca="1">+IF(B1149&gt;'sap nuevo'!$V$1,"cargar",IF(C1149="","cargar","pagado"))</f>
        <v>cargar</v>
      </c>
      <c r="I1149" s="32">
        <f t="shared" si="154"/>
        <v>2025</v>
      </c>
      <c r="J1149" s="32">
        <f t="shared" si="155"/>
        <v>9</v>
      </c>
    </row>
    <row r="1150" spans="1:10" x14ac:dyDescent="0.25">
      <c r="A1150" t="s">
        <v>877</v>
      </c>
      <c r="B1150" t="s">
        <v>1505</v>
      </c>
      <c r="C1150">
        <v>1898</v>
      </c>
      <c r="D1150">
        <v>9999</v>
      </c>
      <c r="E1150" s="4">
        <v>-4121380.98</v>
      </c>
      <c r="F1150" t="s">
        <v>1513</v>
      </c>
      <c r="G1150">
        <v>1385</v>
      </c>
      <c r="H1150" s="32" t="str">
        <f ca="1">+IF(B1150&gt;'sap nuevo'!$V$1,"cargar",IF(C1150="","cargar","pagado"))</f>
        <v>cargar</v>
      </c>
      <c r="I1150" s="32">
        <f t="shared" si="154"/>
        <v>2025</v>
      </c>
      <c r="J1150" s="32">
        <f t="shared" si="155"/>
        <v>9</v>
      </c>
    </row>
    <row r="1151" spans="1:10" x14ac:dyDescent="0.25">
      <c r="A1151" t="s">
        <v>21</v>
      </c>
      <c r="B1151" t="s">
        <v>1505</v>
      </c>
      <c r="C1151">
        <v>91002451</v>
      </c>
      <c r="D1151">
        <v>140</v>
      </c>
      <c r="E1151" s="4">
        <v>-4000000</v>
      </c>
      <c r="F1151" t="s">
        <v>80</v>
      </c>
      <c r="G1151">
        <v>0</v>
      </c>
      <c r="H1151" s="32" t="str">
        <f ca="1">+IF(B1151&gt;'sap nuevo'!$V$1,"cargar",IF(C1151="","cargar","pagado"))</f>
        <v>cargar</v>
      </c>
      <c r="I1151" s="32">
        <f t="shared" si="154"/>
        <v>2025</v>
      </c>
      <c r="J1151" s="32">
        <f t="shared" si="155"/>
        <v>9</v>
      </c>
    </row>
    <row r="1152" spans="1:10" x14ac:dyDescent="0.25">
      <c r="A1152" t="s">
        <v>873</v>
      </c>
      <c r="B1152" t="s">
        <v>230</v>
      </c>
      <c r="C1152">
        <v>1909</v>
      </c>
      <c r="D1152">
        <v>9999</v>
      </c>
      <c r="E1152" s="4">
        <v>-42698510</v>
      </c>
      <c r="F1152" t="s">
        <v>1514</v>
      </c>
      <c r="G1152">
        <v>3520</v>
      </c>
      <c r="H1152" s="32" t="str">
        <f ca="1">+IF(B1152&gt;'sap nuevo'!$V$1,"cargar",IF(C1152="","cargar","pagado"))</f>
        <v>cargar</v>
      </c>
      <c r="I1152" s="32">
        <f t="shared" si="154"/>
        <v>2025</v>
      </c>
      <c r="J1152" s="32">
        <f t="shared" si="155"/>
        <v>9</v>
      </c>
    </row>
    <row r="1153" spans="1:10" x14ac:dyDescent="0.25">
      <c r="A1153" t="s">
        <v>877</v>
      </c>
      <c r="B1153" t="s">
        <v>230</v>
      </c>
      <c r="C1153">
        <v>1907</v>
      </c>
      <c r="D1153">
        <v>9999</v>
      </c>
      <c r="E1153" s="4">
        <v>-31409789.780000001</v>
      </c>
      <c r="F1153" t="s">
        <v>1515</v>
      </c>
      <c r="G1153">
        <v>1385</v>
      </c>
      <c r="H1153" s="32" t="str">
        <f ca="1">+IF(B1153&gt;'sap nuevo'!$V$1,"cargar",IF(C1153="","cargar","pagado"))</f>
        <v>cargar</v>
      </c>
      <c r="I1153" s="32">
        <f t="shared" si="154"/>
        <v>2025</v>
      </c>
      <c r="J1153" s="32">
        <f t="shared" si="155"/>
        <v>9</v>
      </c>
    </row>
    <row r="1154" spans="1:10" x14ac:dyDescent="0.25">
      <c r="A1154" t="s">
        <v>877</v>
      </c>
      <c r="B1154" t="s">
        <v>230</v>
      </c>
      <c r="C1154">
        <v>1905</v>
      </c>
      <c r="D1154">
        <v>9999</v>
      </c>
      <c r="E1154" s="4">
        <v>-21677198.129999999</v>
      </c>
      <c r="F1154" t="s">
        <v>1516</v>
      </c>
      <c r="G1154">
        <v>1385</v>
      </c>
      <c r="H1154" s="32" t="str">
        <f ca="1">+IF(B1154&gt;'sap nuevo'!$V$1,"cargar",IF(C1154="","cargar","pagado"))</f>
        <v>cargar</v>
      </c>
      <c r="I1154" s="32">
        <f t="shared" si="154"/>
        <v>2025</v>
      </c>
      <c r="J1154" s="32">
        <f t="shared" si="155"/>
        <v>9</v>
      </c>
    </row>
    <row r="1155" spans="1:10" x14ac:dyDescent="0.25">
      <c r="A1155" t="s">
        <v>877</v>
      </c>
      <c r="B1155" t="s">
        <v>230</v>
      </c>
      <c r="C1155">
        <v>1908</v>
      </c>
      <c r="D1155">
        <v>9999</v>
      </c>
      <c r="E1155" s="4">
        <v>-17999651.25</v>
      </c>
      <c r="F1155" t="s">
        <v>1517</v>
      </c>
      <c r="G1155">
        <v>1385</v>
      </c>
      <c r="H1155" s="32" t="str">
        <f ca="1">+IF(B1155&gt;'sap nuevo'!$V$1,"cargar",IF(C1155="","cargar","pagado"))</f>
        <v>cargar</v>
      </c>
      <c r="I1155" s="32">
        <f t="shared" si="154"/>
        <v>2025</v>
      </c>
      <c r="J1155" s="32">
        <f t="shared" si="155"/>
        <v>9</v>
      </c>
    </row>
    <row r="1156" spans="1:10" x14ac:dyDescent="0.25">
      <c r="A1156" t="s">
        <v>877</v>
      </c>
      <c r="B1156" t="s">
        <v>230</v>
      </c>
      <c r="C1156">
        <v>1906</v>
      </c>
      <c r="D1156">
        <v>9999</v>
      </c>
      <c r="E1156" s="4">
        <v>-14298958.300000001</v>
      </c>
      <c r="F1156" t="s">
        <v>1518</v>
      </c>
      <c r="G1156">
        <v>1385</v>
      </c>
      <c r="H1156" s="32" t="str">
        <f ca="1">+IF(B1156&gt;'sap nuevo'!$V$1,"cargar",IF(C1156="","cargar","pagado"))</f>
        <v>cargar</v>
      </c>
      <c r="I1156" s="32">
        <f t="shared" si="154"/>
        <v>2025</v>
      </c>
      <c r="J1156" s="32">
        <f t="shared" si="155"/>
        <v>9</v>
      </c>
    </row>
    <row r="1157" spans="1:10" x14ac:dyDescent="0.25">
      <c r="A1157" t="s">
        <v>877</v>
      </c>
      <c r="B1157" t="s">
        <v>230</v>
      </c>
      <c r="C1157">
        <v>1904</v>
      </c>
      <c r="D1157">
        <v>9999</v>
      </c>
      <c r="E1157" s="4">
        <v>-12411341.130000001</v>
      </c>
      <c r="F1157" t="s">
        <v>1519</v>
      </c>
      <c r="G1157">
        <v>1385</v>
      </c>
      <c r="H1157" s="32" t="str">
        <f ca="1">+IF(B1157&gt;'sap nuevo'!$V$1,"cargar",IF(C1157="","cargar","pagado"))</f>
        <v>cargar</v>
      </c>
      <c r="I1157" s="32">
        <f t="shared" si="154"/>
        <v>2025</v>
      </c>
      <c r="J1157" s="32">
        <f t="shared" si="155"/>
        <v>9</v>
      </c>
    </row>
    <row r="1158" spans="1:10" x14ac:dyDescent="0.25">
      <c r="A1158" t="s">
        <v>877</v>
      </c>
      <c r="B1158" t="s">
        <v>230</v>
      </c>
      <c r="C1158">
        <v>1896</v>
      </c>
      <c r="D1158">
        <v>9999</v>
      </c>
      <c r="E1158" s="4">
        <v>-9688063.8300000001</v>
      </c>
      <c r="F1158" t="s">
        <v>1520</v>
      </c>
      <c r="G1158">
        <v>1385</v>
      </c>
      <c r="H1158" s="32" t="str">
        <f ca="1">+IF(B1158&gt;'sap nuevo'!$V$1,"cargar",IF(C1158="","cargar","pagado"))</f>
        <v>cargar</v>
      </c>
      <c r="I1158" s="32">
        <f t="shared" si="154"/>
        <v>2025</v>
      </c>
      <c r="J1158" s="32">
        <f t="shared" si="155"/>
        <v>9</v>
      </c>
    </row>
    <row r="1159" spans="1:10" x14ac:dyDescent="0.25">
      <c r="A1159" t="s">
        <v>877</v>
      </c>
      <c r="B1159" t="s">
        <v>230</v>
      </c>
      <c r="C1159">
        <v>1903</v>
      </c>
      <c r="D1159">
        <v>9999</v>
      </c>
      <c r="E1159" s="4">
        <v>-9526924.4600000009</v>
      </c>
      <c r="F1159" t="s">
        <v>1521</v>
      </c>
      <c r="G1159">
        <v>1385</v>
      </c>
      <c r="H1159" s="32" t="str">
        <f ca="1">+IF(B1159&gt;'sap nuevo'!$V$1,"cargar",IF(C1159="","cargar","pagado"))</f>
        <v>cargar</v>
      </c>
      <c r="I1159" s="32">
        <f t="shared" ref="I1159:I1189" si="156">+YEAR(B1159)</f>
        <v>2025</v>
      </c>
      <c r="J1159" s="32">
        <f t="shared" ref="J1159:J1189" si="157">+MONTH(B1159)</f>
        <v>9</v>
      </c>
    </row>
    <row r="1160" spans="1:10" x14ac:dyDescent="0.25">
      <c r="A1160" t="s">
        <v>873</v>
      </c>
      <c r="B1160" t="s">
        <v>1522</v>
      </c>
      <c r="C1160">
        <v>1910</v>
      </c>
      <c r="D1160">
        <v>9999</v>
      </c>
      <c r="E1160" s="4">
        <v>-242843650</v>
      </c>
      <c r="F1160" t="s">
        <v>1523</v>
      </c>
      <c r="G1160">
        <v>3520</v>
      </c>
      <c r="H1160" s="32" t="str">
        <f ca="1">+IF(B1160&gt;'sap nuevo'!$V$1,"cargar",IF(C1160="","cargar","pagado"))</f>
        <v>cargar</v>
      </c>
      <c r="I1160" s="32">
        <f t="shared" si="156"/>
        <v>2025</v>
      </c>
      <c r="J1160" s="32">
        <f t="shared" si="157"/>
        <v>9</v>
      </c>
    </row>
    <row r="1161" spans="1:10" x14ac:dyDescent="0.25">
      <c r="A1161" t="s">
        <v>877</v>
      </c>
      <c r="B1161" t="s">
        <v>231</v>
      </c>
      <c r="C1161">
        <v>1900</v>
      </c>
      <c r="D1161">
        <v>9999</v>
      </c>
      <c r="E1161" s="4">
        <v>-5835884.9500000002</v>
      </c>
      <c r="F1161" t="s">
        <v>1524</v>
      </c>
      <c r="G1161">
        <v>1385</v>
      </c>
      <c r="H1161" s="32" t="str">
        <f ca="1">+IF(B1161&gt;'sap nuevo'!$V$1,"cargar",IF(C1161="","cargar","pagado"))</f>
        <v>cargar</v>
      </c>
      <c r="I1161" s="32">
        <f t="shared" si="156"/>
        <v>2025</v>
      </c>
      <c r="J1161" s="32">
        <f t="shared" si="157"/>
        <v>9</v>
      </c>
    </row>
    <row r="1162" spans="1:10" x14ac:dyDescent="0.25">
      <c r="A1162" t="s">
        <v>21</v>
      </c>
      <c r="B1162" t="s">
        <v>230</v>
      </c>
      <c r="C1162">
        <v>40272988</v>
      </c>
      <c r="D1162">
        <v>140</v>
      </c>
      <c r="E1162" s="4">
        <v>-13203161.15</v>
      </c>
      <c r="F1162" t="s">
        <v>80</v>
      </c>
      <c r="G1162">
        <v>0</v>
      </c>
      <c r="H1162" s="32" t="str">
        <f ca="1">+IF(B1162&gt;'sap nuevo'!$V$1,"cargar",IF(C1162="","cargar","pagado"))</f>
        <v>cargar</v>
      </c>
      <c r="I1162" s="32">
        <f t="shared" si="156"/>
        <v>2025</v>
      </c>
      <c r="J1162" s="32">
        <f t="shared" si="157"/>
        <v>9</v>
      </c>
    </row>
    <row r="1163" spans="1:10" x14ac:dyDescent="0.25">
      <c r="A1163" t="s">
        <v>21</v>
      </c>
      <c r="B1163" t="s">
        <v>230</v>
      </c>
      <c r="C1163">
        <v>91002517</v>
      </c>
      <c r="D1163">
        <v>140</v>
      </c>
      <c r="E1163" s="4">
        <v>-6498336.6500000004</v>
      </c>
      <c r="F1163" t="s">
        <v>80</v>
      </c>
      <c r="G1163">
        <v>0</v>
      </c>
      <c r="H1163" s="32" t="str">
        <f ca="1">+IF(B1163&gt;'sap nuevo'!$V$1,"cargar",IF(C1163="","cargar","pagado"))</f>
        <v>cargar</v>
      </c>
      <c r="I1163" s="32">
        <f t="shared" si="156"/>
        <v>2025</v>
      </c>
      <c r="J1163" s="32">
        <f t="shared" si="157"/>
        <v>9</v>
      </c>
    </row>
    <row r="1164" spans="1:10" x14ac:dyDescent="0.25">
      <c r="A1164" t="s">
        <v>12</v>
      </c>
      <c r="B1164" t="s">
        <v>230</v>
      </c>
      <c r="C1164">
        <v>40272991</v>
      </c>
      <c r="D1164">
        <v>140</v>
      </c>
      <c r="E1164" s="4">
        <v>-560000</v>
      </c>
      <c r="F1164" t="s">
        <v>82</v>
      </c>
      <c r="G1164">
        <v>0</v>
      </c>
      <c r="H1164" s="32" t="str">
        <f ca="1">+IF(B1164&gt;'sap nuevo'!$V$1,"cargar",IF(C1164="","cargar","pagado"))</f>
        <v>cargar</v>
      </c>
      <c r="I1164" s="32">
        <f t="shared" si="156"/>
        <v>2025</v>
      </c>
      <c r="J1164" s="32">
        <f t="shared" si="157"/>
        <v>9</v>
      </c>
    </row>
    <row r="1165" spans="1:10" x14ac:dyDescent="0.25">
      <c r="A1165" t="s">
        <v>21</v>
      </c>
      <c r="B1165" t="s">
        <v>231</v>
      </c>
      <c r="C1165">
        <v>91002552</v>
      </c>
      <c r="D1165">
        <v>140</v>
      </c>
      <c r="E1165" s="4">
        <v>-4000000</v>
      </c>
      <c r="F1165" t="s">
        <v>80</v>
      </c>
      <c r="G1165">
        <v>0</v>
      </c>
      <c r="H1165" s="32" t="str">
        <f ca="1">+IF(B1165&gt;'sap nuevo'!$V$1,"cargar",IF(C1165="","cargar","pagado"))</f>
        <v>cargar</v>
      </c>
      <c r="I1165" s="32">
        <f t="shared" si="156"/>
        <v>2025</v>
      </c>
      <c r="J1165" s="32">
        <f t="shared" si="157"/>
        <v>9</v>
      </c>
    </row>
    <row r="1166" spans="1:10" x14ac:dyDescent="0.25">
      <c r="A1166" t="s">
        <v>21</v>
      </c>
      <c r="B1166" t="s">
        <v>232</v>
      </c>
      <c r="C1166">
        <v>91002568</v>
      </c>
      <c r="D1166">
        <v>140</v>
      </c>
      <c r="E1166" s="4">
        <v>-40522417.560000002</v>
      </c>
      <c r="F1166" t="s">
        <v>80</v>
      </c>
      <c r="G1166">
        <v>0</v>
      </c>
      <c r="H1166" s="32" t="str">
        <f ca="1">+IF(B1166&gt;'sap nuevo'!$V$1,"cargar",IF(C1166="","cargar","pagado"))</f>
        <v>cargar</v>
      </c>
      <c r="I1166" s="32">
        <f t="shared" si="156"/>
        <v>2025</v>
      </c>
      <c r="J1166" s="32">
        <f t="shared" si="157"/>
        <v>9</v>
      </c>
    </row>
    <row r="1167" spans="1:10" x14ac:dyDescent="0.25">
      <c r="A1167" t="s">
        <v>12</v>
      </c>
      <c r="B1167" t="s">
        <v>232</v>
      </c>
      <c r="C1167">
        <v>91002567</v>
      </c>
      <c r="D1167">
        <v>140</v>
      </c>
      <c r="E1167" s="4">
        <v>-39674680.590000004</v>
      </c>
      <c r="F1167" t="s">
        <v>82</v>
      </c>
      <c r="G1167">
        <v>0</v>
      </c>
      <c r="H1167" s="32" t="str">
        <f ca="1">+IF(B1167&gt;'sap nuevo'!$V$1,"cargar",IF(C1167="","cargar","pagado"))</f>
        <v>cargar</v>
      </c>
      <c r="I1167" s="32">
        <f t="shared" si="156"/>
        <v>2025</v>
      </c>
      <c r="J1167" s="32">
        <f t="shared" si="157"/>
        <v>9</v>
      </c>
    </row>
    <row r="1168" spans="1:10" x14ac:dyDescent="0.25">
      <c r="A1168" t="s">
        <v>21</v>
      </c>
      <c r="B1168" t="s">
        <v>232</v>
      </c>
      <c r="C1168">
        <v>91002569</v>
      </c>
      <c r="D1168">
        <v>140</v>
      </c>
      <c r="E1168" s="4">
        <v>-27642956.039999999</v>
      </c>
      <c r="F1168" t="s">
        <v>80</v>
      </c>
      <c r="G1168">
        <v>0</v>
      </c>
      <c r="H1168" s="32" t="str">
        <f ca="1">+IF(B1168&gt;'sap nuevo'!$V$1,"cargar",IF(C1168="","cargar","pagado"))</f>
        <v>cargar</v>
      </c>
      <c r="I1168" s="32">
        <f t="shared" si="156"/>
        <v>2025</v>
      </c>
      <c r="J1168" s="32">
        <f t="shared" si="157"/>
        <v>9</v>
      </c>
    </row>
    <row r="1169" spans="1:10" x14ac:dyDescent="0.25">
      <c r="A1169" t="s">
        <v>21</v>
      </c>
      <c r="B1169" t="s">
        <v>232</v>
      </c>
      <c r="C1169">
        <v>91002565</v>
      </c>
      <c r="D1169">
        <v>140</v>
      </c>
      <c r="E1169" s="4">
        <v>-20750079.300000001</v>
      </c>
      <c r="F1169" t="s">
        <v>80</v>
      </c>
      <c r="G1169">
        <v>0</v>
      </c>
      <c r="H1169" s="32" t="str">
        <f ca="1">+IF(B1169&gt;'sap nuevo'!$V$1,"cargar",IF(C1169="","cargar","pagado"))</f>
        <v>cargar</v>
      </c>
      <c r="I1169" s="32">
        <f t="shared" si="156"/>
        <v>2025</v>
      </c>
      <c r="J1169" s="32">
        <f t="shared" si="157"/>
        <v>9</v>
      </c>
    </row>
    <row r="1170" spans="1:10" x14ac:dyDescent="0.25">
      <c r="A1170" t="s">
        <v>21</v>
      </c>
      <c r="B1170" t="s">
        <v>232</v>
      </c>
      <c r="C1170">
        <v>91002563</v>
      </c>
      <c r="D1170">
        <v>140</v>
      </c>
      <c r="E1170" s="4">
        <v>-11059275.869999999</v>
      </c>
      <c r="F1170" t="s">
        <v>80</v>
      </c>
      <c r="G1170">
        <v>0</v>
      </c>
      <c r="H1170" s="32" t="str">
        <f ca="1">+IF(B1170&gt;'sap nuevo'!$V$1,"cargar",IF(C1170="","cargar","pagado"))</f>
        <v>cargar</v>
      </c>
      <c r="I1170" s="32">
        <f t="shared" si="156"/>
        <v>2025</v>
      </c>
      <c r="J1170" s="32">
        <f t="shared" si="157"/>
        <v>9</v>
      </c>
    </row>
    <row r="1171" spans="1:10" x14ac:dyDescent="0.25">
      <c r="A1171" t="s">
        <v>21</v>
      </c>
      <c r="B1171" t="s">
        <v>232</v>
      </c>
      <c r="C1171">
        <v>91002564</v>
      </c>
      <c r="D1171">
        <v>140</v>
      </c>
      <c r="E1171" s="4">
        <v>-9990532.3399999999</v>
      </c>
      <c r="F1171" t="s">
        <v>80</v>
      </c>
      <c r="G1171">
        <v>0</v>
      </c>
      <c r="H1171" s="32" t="str">
        <f ca="1">+IF(B1171&gt;'sap nuevo'!$V$1,"cargar",IF(C1171="","cargar","pagado"))</f>
        <v>cargar</v>
      </c>
      <c r="I1171" s="32">
        <f t="shared" si="156"/>
        <v>2025</v>
      </c>
      <c r="J1171" s="32">
        <f t="shared" si="157"/>
        <v>9</v>
      </c>
    </row>
    <row r="1172" spans="1:10" x14ac:dyDescent="0.25">
      <c r="A1172" t="s">
        <v>21</v>
      </c>
      <c r="B1172" t="s">
        <v>232</v>
      </c>
      <c r="C1172">
        <v>91002562</v>
      </c>
      <c r="D1172">
        <v>140</v>
      </c>
      <c r="E1172" s="4">
        <v>-7912006.8200000003</v>
      </c>
      <c r="F1172" t="s">
        <v>80</v>
      </c>
      <c r="G1172">
        <v>0</v>
      </c>
      <c r="H1172" s="32" t="str">
        <f ca="1">+IF(B1172&gt;'sap nuevo'!$V$1,"cargar",IF(C1172="","cargar","pagado"))</f>
        <v>cargar</v>
      </c>
      <c r="I1172" s="32">
        <f t="shared" si="156"/>
        <v>2025</v>
      </c>
      <c r="J1172" s="32">
        <f t="shared" si="157"/>
        <v>9</v>
      </c>
    </row>
    <row r="1173" spans="1:10" x14ac:dyDescent="0.25">
      <c r="A1173" t="s">
        <v>21</v>
      </c>
      <c r="B1173" t="s">
        <v>232</v>
      </c>
      <c r="C1173">
        <v>91002566</v>
      </c>
      <c r="D1173">
        <v>140</v>
      </c>
      <c r="E1173" s="4">
        <v>-6469841.8899999997</v>
      </c>
      <c r="F1173" t="s">
        <v>80</v>
      </c>
      <c r="G1173">
        <v>0</v>
      </c>
      <c r="H1173" s="32" t="str">
        <f ca="1">+IF(B1173&gt;'sap nuevo'!$V$1,"cargar",IF(C1173="","cargar","pagado"))</f>
        <v>cargar</v>
      </c>
      <c r="I1173" s="32">
        <f t="shared" si="156"/>
        <v>2025</v>
      </c>
      <c r="J1173" s="32">
        <f t="shared" si="157"/>
        <v>9</v>
      </c>
    </row>
    <row r="1174" spans="1:10" x14ac:dyDescent="0.25">
      <c r="A1174" t="s">
        <v>21</v>
      </c>
      <c r="B1174" t="s">
        <v>232</v>
      </c>
      <c r="C1174">
        <v>91002558</v>
      </c>
      <c r="D1174">
        <v>140</v>
      </c>
      <c r="E1174" s="4">
        <v>-1400000</v>
      </c>
      <c r="F1174" t="s">
        <v>80</v>
      </c>
      <c r="G1174">
        <v>0</v>
      </c>
      <c r="H1174" s="32" t="str">
        <f ca="1">+IF(B1174&gt;'sap nuevo'!$V$1,"cargar",IF(C1174="","cargar","pagado"))</f>
        <v>cargar</v>
      </c>
      <c r="I1174" s="32">
        <f t="shared" si="156"/>
        <v>2025</v>
      </c>
      <c r="J1174" s="32">
        <f t="shared" si="157"/>
        <v>9</v>
      </c>
    </row>
    <row r="1175" spans="1:10" x14ac:dyDescent="0.25">
      <c r="A1175" t="s">
        <v>873</v>
      </c>
      <c r="B1175" t="s">
        <v>233</v>
      </c>
      <c r="C1175">
        <v>1911</v>
      </c>
      <c r="D1175">
        <v>9999</v>
      </c>
      <c r="E1175" s="4">
        <v>-32420399.239999998</v>
      </c>
      <c r="F1175" t="s">
        <v>1525</v>
      </c>
      <c r="G1175">
        <v>3520</v>
      </c>
      <c r="H1175" s="32" t="str">
        <f ca="1">+IF(B1175&gt;'sap nuevo'!$V$1,"cargar",IF(C1175="","cargar","pagado"))</f>
        <v>cargar</v>
      </c>
      <c r="I1175" s="32">
        <f t="shared" si="156"/>
        <v>2025</v>
      </c>
      <c r="J1175" s="32">
        <f t="shared" si="157"/>
        <v>9</v>
      </c>
    </row>
    <row r="1176" spans="1:10" x14ac:dyDescent="0.25">
      <c r="A1176" t="s">
        <v>873</v>
      </c>
      <c r="B1176" t="s">
        <v>233</v>
      </c>
      <c r="C1176">
        <v>1918</v>
      </c>
      <c r="D1176">
        <v>9999</v>
      </c>
      <c r="E1176" s="4">
        <v>-7126916.9500000002</v>
      </c>
      <c r="F1176" t="s">
        <v>1526</v>
      </c>
      <c r="G1176">
        <v>3520</v>
      </c>
      <c r="H1176" s="32" t="str">
        <f ca="1">+IF(B1176&gt;'sap nuevo'!$V$1,"cargar",IF(C1176="","cargar","pagado"))</f>
        <v>cargar</v>
      </c>
      <c r="I1176" s="32">
        <f t="shared" si="156"/>
        <v>2025</v>
      </c>
      <c r="J1176" s="32">
        <f t="shared" si="157"/>
        <v>9</v>
      </c>
    </row>
    <row r="1177" spans="1:10" x14ac:dyDescent="0.25">
      <c r="A1177" t="s">
        <v>873</v>
      </c>
      <c r="B1177" t="s">
        <v>233</v>
      </c>
      <c r="C1177">
        <v>1919</v>
      </c>
      <c r="D1177">
        <v>9999</v>
      </c>
      <c r="E1177" s="4">
        <v>-1770060</v>
      </c>
      <c r="F1177" t="s">
        <v>1527</v>
      </c>
      <c r="G1177">
        <v>3520</v>
      </c>
      <c r="H1177" s="32" t="str">
        <f ca="1">+IF(B1177&gt;'sap nuevo'!$V$1,"cargar",IF(C1177="","cargar","pagado"))</f>
        <v>cargar</v>
      </c>
      <c r="I1177" s="32">
        <f t="shared" si="156"/>
        <v>2025</v>
      </c>
      <c r="J1177" s="32">
        <f t="shared" si="157"/>
        <v>9</v>
      </c>
    </row>
    <row r="1178" spans="1:10" x14ac:dyDescent="0.25">
      <c r="A1178" t="s">
        <v>877</v>
      </c>
      <c r="B1178" t="s">
        <v>233</v>
      </c>
      <c r="C1178">
        <v>1916</v>
      </c>
      <c r="D1178">
        <v>9999</v>
      </c>
      <c r="E1178" s="4">
        <v>-26497240.32</v>
      </c>
      <c r="F1178" t="s">
        <v>1528</v>
      </c>
      <c r="G1178">
        <v>1385</v>
      </c>
      <c r="H1178" s="32" t="str">
        <f ca="1">+IF(B1178&gt;'sap nuevo'!$V$1,"cargar",IF(C1178="","cargar","pagado"))</f>
        <v>cargar</v>
      </c>
      <c r="I1178" s="32">
        <f t="shared" si="156"/>
        <v>2025</v>
      </c>
      <c r="J1178" s="32">
        <f t="shared" si="157"/>
        <v>9</v>
      </c>
    </row>
    <row r="1179" spans="1:10" x14ac:dyDescent="0.25">
      <c r="A1179" t="s">
        <v>877</v>
      </c>
      <c r="B1179" t="s">
        <v>233</v>
      </c>
      <c r="C1179">
        <v>1912</v>
      </c>
      <c r="D1179">
        <v>9999</v>
      </c>
      <c r="E1179" s="4">
        <v>-9933870.9199999999</v>
      </c>
      <c r="F1179" t="s">
        <v>1529</v>
      </c>
      <c r="G1179">
        <v>1385</v>
      </c>
      <c r="H1179" s="32" t="str">
        <f ca="1">+IF(B1179&gt;'sap nuevo'!$V$1,"cargar",IF(C1179="","cargar","pagado"))</f>
        <v>cargar</v>
      </c>
      <c r="I1179" s="32">
        <f t="shared" si="156"/>
        <v>2025</v>
      </c>
      <c r="J1179" s="32">
        <f t="shared" si="157"/>
        <v>9</v>
      </c>
    </row>
    <row r="1180" spans="1:10" x14ac:dyDescent="0.25">
      <c r="A1180" t="s">
        <v>873</v>
      </c>
      <c r="B1180" t="s">
        <v>234</v>
      </c>
      <c r="C1180">
        <v>1927</v>
      </c>
      <c r="D1180">
        <v>9999</v>
      </c>
      <c r="E1180" s="4">
        <v>-23236477.52</v>
      </c>
      <c r="F1180" t="s">
        <v>1530</v>
      </c>
      <c r="G1180">
        <v>3520</v>
      </c>
      <c r="H1180" s="32" t="str">
        <f ca="1">+IF(B1180&gt;'sap nuevo'!$V$1,"cargar",IF(C1180="","cargar","pagado"))</f>
        <v>cargar</v>
      </c>
      <c r="I1180" s="32">
        <f t="shared" si="156"/>
        <v>2025</v>
      </c>
      <c r="J1180" s="32">
        <f t="shared" si="157"/>
        <v>9</v>
      </c>
    </row>
    <row r="1181" spans="1:10" x14ac:dyDescent="0.25">
      <c r="A1181" t="s">
        <v>873</v>
      </c>
      <c r="B1181" t="s">
        <v>234</v>
      </c>
      <c r="C1181">
        <v>1923</v>
      </c>
      <c r="D1181">
        <v>9999</v>
      </c>
      <c r="E1181" s="4">
        <v>-5426927.2000000002</v>
      </c>
      <c r="F1181" t="s">
        <v>1531</v>
      </c>
      <c r="G1181">
        <v>3520</v>
      </c>
      <c r="H1181" s="32" t="str">
        <f ca="1">+IF(B1181&gt;'sap nuevo'!$V$1,"cargar",IF(C1181="","cargar","pagado"))</f>
        <v>cargar</v>
      </c>
      <c r="I1181" s="32">
        <f t="shared" si="156"/>
        <v>2025</v>
      </c>
      <c r="J1181" s="32">
        <f t="shared" si="157"/>
        <v>9</v>
      </c>
    </row>
    <row r="1182" spans="1:10" x14ac:dyDescent="0.25">
      <c r="A1182" t="s">
        <v>873</v>
      </c>
      <c r="B1182" t="s">
        <v>234</v>
      </c>
      <c r="C1182">
        <v>1922</v>
      </c>
      <c r="D1182">
        <v>9999</v>
      </c>
      <c r="E1182" s="4">
        <v>-3217507.5</v>
      </c>
      <c r="F1182" t="s">
        <v>1532</v>
      </c>
      <c r="G1182">
        <v>3520</v>
      </c>
      <c r="H1182" s="32" t="str">
        <f ca="1">+IF(B1182&gt;'sap nuevo'!$V$1,"cargar",IF(C1182="","cargar","pagado"))</f>
        <v>cargar</v>
      </c>
      <c r="I1182" s="32">
        <f t="shared" si="156"/>
        <v>2025</v>
      </c>
      <c r="J1182" s="32">
        <f t="shared" si="157"/>
        <v>9</v>
      </c>
    </row>
    <row r="1183" spans="1:10" x14ac:dyDescent="0.25">
      <c r="A1183" t="s">
        <v>877</v>
      </c>
      <c r="B1183" t="s">
        <v>234</v>
      </c>
      <c r="C1183">
        <v>1928</v>
      </c>
      <c r="D1183">
        <v>9999</v>
      </c>
      <c r="E1183" s="4">
        <v>-33739733.549999997</v>
      </c>
      <c r="F1183" t="s">
        <v>1533</v>
      </c>
      <c r="G1183">
        <v>1385</v>
      </c>
      <c r="H1183" s="32" t="str">
        <f ca="1">+IF(B1183&gt;'sap nuevo'!$V$1,"cargar",IF(C1183="","cargar","pagado"))</f>
        <v>cargar</v>
      </c>
      <c r="I1183" s="32">
        <f t="shared" si="156"/>
        <v>2025</v>
      </c>
      <c r="J1183" s="32">
        <f t="shared" si="157"/>
        <v>9</v>
      </c>
    </row>
    <row r="1184" spans="1:10" x14ac:dyDescent="0.25">
      <c r="A1184" t="s">
        <v>877</v>
      </c>
      <c r="B1184" t="s">
        <v>234</v>
      </c>
      <c r="C1184">
        <v>1929</v>
      </c>
      <c r="D1184">
        <v>9999</v>
      </c>
      <c r="E1184" s="4">
        <v>-32086562.510000002</v>
      </c>
      <c r="F1184" t="s">
        <v>1534</v>
      </c>
      <c r="G1184">
        <v>1385</v>
      </c>
      <c r="H1184" s="32" t="str">
        <f ca="1">+IF(B1184&gt;'sap nuevo'!$V$1,"cargar",IF(C1184="","cargar","pagado"))</f>
        <v>cargar</v>
      </c>
      <c r="I1184" s="32">
        <f t="shared" si="156"/>
        <v>2025</v>
      </c>
      <c r="J1184" s="32">
        <f t="shared" si="157"/>
        <v>9</v>
      </c>
    </row>
    <row r="1185" spans="1:10" x14ac:dyDescent="0.25">
      <c r="A1185" t="s">
        <v>877</v>
      </c>
      <c r="B1185" t="s">
        <v>234</v>
      </c>
      <c r="C1185">
        <v>1924</v>
      </c>
      <c r="D1185">
        <v>9999</v>
      </c>
      <c r="E1185" s="4">
        <v>-9614647.4900000002</v>
      </c>
      <c r="F1185" t="s">
        <v>1535</v>
      </c>
      <c r="G1185">
        <v>1385</v>
      </c>
      <c r="H1185" s="32" t="str">
        <f ca="1">+IF(B1185&gt;'sap nuevo'!$V$1,"cargar",IF(C1185="","cargar","pagado"))</f>
        <v>cargar</v>
      </c>
      <c r="I1185" s="32">
        <f t="shared" si="156"/>
        <v>2025</v>
      </c>
      <c r="J1185" s="32">
        <f t="shared" si="157"/>
        <v>9</v>
      </c>
    </row>
    <row r="1186" spans="1:10" x14ac:dyDescent="0.25">
      <c r="A1186" t="s">
        <v>877</v>
      </c>
      <c r="B1186" t="s">
        <v>234</v>
      </c>
      <c r="C1186">
        <v>1926</v>
      </c>
      <c r="D1186">
        <v>9999</v>
      </c>
      <c r="E1186" s="4">
        <v>-9395488.7400000002</v>
      </c>
      <c r="F1186" t="s">
        <v>1536</v>
      </c>
      <c r="G1186">
        <v>1385</v>
      </c>
      <c r="H1186" s="32" t="str">
        <f ca="1">+IF(B1186&gt;'sap nuevo'!$V$1,"cargar",IF(C1186="","cargar","pagado"))</f>
        <v>cargar</v>
      </c>
      <c r="I1186" s="32">
        <f t="shared" si="156"/>
        <v>2025</v>
      </c>
      <c r="J1186" s="32">
        <f t="shared" si="157"/>
        <v>9</v>
      </c>
    </row>
    <row r="1187" spans="1:10" x14ac:dyDescent="0.25">
      <c r="A1187" t="s">
        <v>877</v>
      </c>
      <c r="B1187" t="s">
        <v>234</v>
      </c>
      <c r="C1187">
        <v>1920</v>
      </c>
      <c r="D1187">
        <v>9999</v>
      </c>
      <c r="E1187" s="4">
        <v>-6536406.8399999999</v>
      </c>
      <c r="F1187" t="s">
        <v>1537</v>
      </c>
      <c r="G1187">
        <v>1385</v>
      </c>
      <c r="H1187" s="32" t="str">
        <f ca="1">+IF(B1187&gt;'sap nuevo'!$V$1,"cargar",IF(C1187="","cargar","pagado"))</f>
        <v>cargar</v>
      </c>
      <c r="I1187" s="32">
        <f t="shared" si="156"/>
        <v>2025</v>
      </c>
      <c r="J1187" s="32">
        <f t="shared" si="157"/>
        <v>9</v>
      </c>
    </row>
    <row r="1188" spans="1:10" x14ac:dyDescent="0.25">
      <c r="A1188" t="s">
        <v>877</v>
      </c>
      <c r="B1188" t="s">
        <v>234</v>
      </c>
      <c r="C1188">
        <v>1933</v>
      </c>
      <c r="D1188">
        <v>9999</v>
      </c>
      <c r="E1188" s="4">
        <v>-6269531.9000000004</v>
      </c>
      <c r="F1188" t="s">
        <v>1538</v>
      </c>
      <c r="G1188">
        <v>1385</v>
      </c>
      <c r="H1188" s="32" t="str">
        <f ca="1">+IF(B1188&gt;'sap nuevo'!$V$1,"cargar",IF(C1188="","cargar","pagado"))</f>
        <v>cargar</v>
      </c>
      <c r="I1188" s="32">
        <f t="shared" si="156"/>
        <v>2025</v>
      </c>
      <c r="J1188" s="32">
        <f t="shared" si="157"/>
        <v>9</v>
      </c>
    </row>
    <row r="1189" spans="1:10" x14ac:dyDescent="0.25">
      <c r="A1189" t="s">
        <v>877</v>
      </c>
      <c r="B1189" t="s">
        <v>234</v>
      </c>
      <c r="C1189">
        <v>1925</v>
      </c>
      <c r="D1189">
        <v>9999</v>
      </c>
      <c r="E1189" s="4">
        <v>-4817398.68</v>
      </c>
      <c r="F1189" t="s">
        <v>1539</v>
      </c>
      <c r="G1189">
        <v>1385</v>
      </c>
      <c r="H1189" s="32" t="str">
        <f ca="1">+IF(B1189&gt;'sap nuevo'!$V$1,"cargar",IF(C1189="","cargar","pagado"))</f>
        <v>cargar</v>
      </c>
      <c r="I1189" s="32">
        <f t="shared" si="156"/>
        <v>2025</v>
      </c>
      <c r="J1189" s="32">
        <f t="shared" si="157"/>
        <v>9</v>
      </c>
    </row>
    <row r="1190" spans="1:10" x14ac:dyDescent="0.25">
      <c r="A1190" t="s">
        <v>877</v>
      </c>
      <c r="B1190" t="s">
        <v>234</v>
      </c>
      <c r="C1190">
        <v>1932</v>
      </c>
      <c r="D1190">
        <v>9999</v>
      </c>
      <c r="E1190" s="4">
        <v>-4198880.12</v>
      </c>
      <c r="F1190" t="s">
        <v>1540</v>
      </c>
      <c r="G1190">
        <v>1385</v>
      </c>
      <c r="H1190" s="32" t="str">
        <f ca="1">+IF(B1190&gt;'sap nuevo'!$V$1,"cargar",IF(C1190="","cargar","pagado"))</f>
        <v>cargar</v>
      </c>
      <c r="I1190" s="32">
        <f t="shared" ref="I1190:I1210" si="158">+YEAR(B1190)</f>
        <v>2025</v>
      </c>
      <c r="J1190" s="32">
        <f t="shared" ref="J1190:J1210" si="159">+MONTH(B1190)</f>
        <v>9</v>
      </c>
    </row>
    <row r="1191" spans="1:10" x14ac:dyDescent="0.25">
      <c r="A1191" t="s">
        <v>873</v>
      </c>
      <c r="B1191" t="s">
        <v>235</v>
      </c>
      <c r="C1191">
        <v>1930</v>
      </c>
      <c r="D1191">
        <v>9999</v>
      </c>
      <c r="E1191" s="4">
        <v>-3726540</v>
      </c>
      <c r="F1191" t="s">
        <v>1541</v>
      </c>
      <c r="G1191">
        <v>3520</v>
      </c>
      <c r="H1191" s="32" t="str">
        <f ca="1">+IF(B1191&gt;'sap nuevo'!$V$1,"cargar",IF(C1191="","cargar","pagado"))</f>
        <v>cargar</v>
      </c>
      <c r="I1191" s="32">
        <f t="shared" si="158"/>
        <v>2025</v>
      </c>
      <c r="J1191" s="32">
        <f t="shared" si="159"/>
        <v>9</v>
      </c>
    </row>
    <row r="1192" spans="1:10" x14ac:dyDescent="0.25">
      <c r="A1192" t="s">
        <v>877</v>
      </c>
      <c r="B1192" t="s">
        <v>235</v>
      </c>
      <c r="C1192">
        <v>1915</v>
      </c>
      <c r="D1192">
        <v>9999</v>
      </c>
      <c r="E1192" s="4">
        <v>-4817716.3600000003</v>
      </c>
      <c r="F1192" t="s">
        <v>1542</v>
      </c>
      <c r="G1192">
        <v>1385</v>
      </c>
      <c r="H1192" s="32" t="str">
        <f ca="1">+IF(B1192&gt;'sap nuevo'!$V$1,"cargar",IF(C1192="","cargar","pagado"))</f>
        <v>cargar</v>
      </c>
      <c r="I1192" s="32">
        <f t="shared" si="158"/>
        <v>2025</v>
      </c>
      <c r="J1192" s="32">
        <f t="shared" si="159"/>
        <v>9</v>
      </c>
    </row>
    <row r="1193" spans="1:10" x14ac:dyDescent="0.25">
      <c r="A1193" t="s">
        <v>21</v>
      </c>
      <c r="B1193" t="s">
        <v>234</v>
      </c>
      <c r="C1193">
        <v>91002575</v>
      </c>
      <c r="D1193">
        <v>140</v>
      </c>
      <c r="E1193" s="4">
        <v>-20000000</v>
      </c>
      <c r="F1193" t="s">
        <v>80</v>
      </c>
      <c r="G1193">
        <v>0</v>
      </c>
      <c r="H1193" s="32" t="str">
        <f ca="1">+IF(B1193&gt;'sap nuevo'!$V$1,"cargar",IF(C1193="","cargar","pagado"))</f>
        <v>cargar</v>
      </c>
      <c r="I1193" s="32">
        <f t="shared" si="158"/>
        <v>2025</v>
      </c>
      <c r="J1193" s="32">
        <f t="shared" si="159"/>
        <v>9</v>
      </c>
    </row>
    <row r="1194" spans="1:10" x14ac:dyDescent="0.25">
      <c r="A1194" t="s">
        <v>21</v>
      </c>
      <c r="B1194" t="s">
        <v>234</v>
      </c>
      <c r="C1194">
        <v>91002571</v>
      </c>
      <c r="D1194">
        <v>140</v>
      </c>
      <c r="E1194" s="4">
        <v>-10000000</v>
      </c>
      <c r="F1194" t="s">
        <v>80</v>
      </c>
      <c r="G1194">
        <v>0</v>
      </c>
      <c r="H1194" s="32" t="str">
        <f ca="1">+IF(B1194&gt;'sap nuevo'!$V$1,"cargar",IF(C1194="","cargar","pagado"))</f>
        <v>cargar</v>
      </c>
      <c r="I1194" s="32">
        <f t="shared" si="158"/>
        <v>2025</v>
      </c>
      <c r="J1194" s="32">
        <f t="shared" si="159"/>
        <v>9</v>
      </c>
    </row>
    <row r="1195" spans="1:10" x14ac:dyDescent="0.25">
      <c r="A1195" t="s">
        <v>21</v>
      </c>
      <c r="B1195" t="s">
        <v>234</v>
      </c>
      <c r="C1195">
        <v>91002570</v>
      </c>
      <c r="D1195">
        <v>140</v>
      </c>
      <c r="E1195" s="4">
        <v>-9471982.5299999993</v>
      </c>
      <c r="F1195" t="s">
        <v>80</v>
      </c>
      <c r="G1195">
        <v>0</v>
      </c>
      <c r="H1195" s="32" t="str">
        <f ca="1">+IF(B1195&gt;'sap nuevo'!$V$1,"cargar",IF(C1195="","cargar","pagado"))</f>
        <v>cargar</v>
      </c>
      <c r="I1195" s="32">
        <f t="shared" si="158"/>
        <v>2025</v>
      </c>
      <c r="J1195" s="32">
        <f t="shared" si="159"/>
        <v>9</v>
      </c>
    </row>
    <row r="1196" spans="1:10" x14ac:dyDescent="0.25">
      <c r="A1196" t="s">
        <v>21</v>
      </c>
      <c r="B1196" t="s">
        <v>234</v>
      </c>
      <c r="C1196">
        <v>91002577</v>
      </c>
      <c r="D1196">
        <v>140</v>
      </c>
      <c r="E1196" s="4">
        <v>-8663282.2799999993</v>
      </c>
      <c r="F1196" t="s">
        <v>80</v>
      </c>
      <c r="G1196">
        <v>0</v>
      </c>
      <c r="H1196" s="32" t="str">
        <f ca="1">+IF(B1196&gt;'sap nuevo'!$V$1,"cargar",IF(C1196="","cargar","pagado"))</f>
        <v>cargar</v>
      </c>
      <c r="I1196" s="32">
        <f t="shared" si="158"/>
        <v>2025</v>
      </c>
      <c r="J1196" s="32">
        <f t="shared" si="159"/>
        <v>9</v>
      </c>
    </row>
    <row r="1197" spans="1:10" x14ac:dyDescent="0.25">
      <c r="A1197" t="s">
        <v>21</v>
      </c>
      <c r="B1197" t="s">
        <v>234</v>
      </c>
      <c r="C1197">
        <v>91002578</v>
      </c>
      <c r="D1197">
        <v>140</v>
      </c>
      <c r="E1197" s="4">
        <v>-6389914.7300000004</v>
      </c>
      <c r="F1197" t="s">
        <v>80</v>
      </c>
      <c r="G1197">
        <v>0</v>
      </c>
      <c r="H1197" s="32" t="str">
        <f ca="1">+IF(B1197&gt;'sap nuevo'!$V$1,"cargar",IF(C1197="","cargar","pagado"))</f>
        <v>cargar</v>
      </c>
      <c r="I1197" s="32">
        <f t="shared" si="158"/>
        <v>2025</v>
      </c>
      <c r="J1197" s="32">
        <f t="shared" si="159"/>
        <v>9</v>
      </c>
    </row>
    <row r="1198" spans="1:10" x14ac:dyDescent="0.25">
      <c r="A1198" t="s">
        <v>21</v>
      </c>
      <c r="B1198" t="s">
        <v>234</v>
      </c>
      <c r="C1198">
        <v>91002579</v>
      </c>
      <c r="D1198">
        <v>140</v>
      </c>
      <c r="E1198" s="4">
        <v>-4233015.58</v>
      </c>
      <c r="F1198" t="s">
        <v>80</v>
      </c>
      <c r="G1198">
        <v>0</v>
      </c>
      <c r="H1198" s="32" t="str">
        <f ca="1">+IF(B1198&gt;'sap nuevo'!$V$1,"cargar",IF(C1198="","cargar","pagado"))</f>
        <v>cargar</v>
      </c>
      <c r="I1198" s="32">
        <f t="shared" si="158"/>
        <v>2025</v>
      </c>
      <c r="J1198" s="32">
        <f t="shared" si="159"/>
        <v>9</v>
      </c>
    </row>
    <row r="1199" spans="1:10" x14ac:dyDescent="0.25">
      <c r="A1199" t="s">
        <v>21</v>
      </c>
      <c r="B1199" t="s">
        <v>234</v>
      </c>
      <c r="C1199">
        <v>40272990</v>
      </c>
      <c r="D1199">
        <v>140</v>
      </c>
      <c r="E1199" s="4">
        <v>-3411180.16</v>
      </c>
      <c r="F1199" t="s">
        <v>80</v>
      </c>
      <c r="G1199">
        <v>0</v>
      </c>
      <c r="H1199" s="32" t="str">
        <f ca="1">+IF(B1199&gt;'sap nuevo'!$V$1,"cargar",IF(C1199="","cargar","pagado"))</f>
        <v>cargar</v>
      </c>
      <c r="I1199" s="32">
        <f t="shared" si="158"/>
        <v>2025</v>
      </c>
      <c r="J1199" s="32">
        <f t="shared" si="159"/>
        <v>9</v>
      </c>
    </row>
    <row r="1200" spans="1:10" x14ac:dyDescent="0.25">
      <c r="A1200" t="s">
        <v>21</v>
      </c>
      <c r="B1200" t="s">
        <v>234</v>
      </c>
      <c r="C1200">
        <v>40272978</v>
      </c>
      <c r="D1200">
        <v>140</v>
      </c>
      <c r="E1200" s="4">
        <v>-2500000</v>
      </c>
      <c r="F1200" t="s">
        <v>80</v>
      </c>
      <c r="G1200">
        <v>0</v>
      </c>
      <c r="H1200" s="32" t="str">
        <f ca="1">+IF(B1200&gt;'sap nuevo'!$V$1,"cargar",IF(C1200="","cargar","pagado"))</f>
        <v>cargar</v>
      </c>
      <c r="I1200" s="32">
        <f t="shared" si="158"/>
        <v>2025</v>
      </c>
      <c r="J1200" s="32">
        <f t="shared" si="159"/>
        <v>9</v>
      </c>
    </row>
    <row r="1201" spans="1:10" x14ac:dyDescent="0.25">
      <c r="A1201" t="s">
        <v>21</v>
      </c>
      <c r="B1201" t="s">
        <v>234</v>
      </c>
      <c r="C1201">
        <v>40272992</v>
      </c>
      <c r="D1201">
        <v>140</v>
      </c>
      <c r="E1201" s="4">
        <v>-1019239.5</v>
      </c>
      <c r="F1201" t="s">
        <v>80</v>
      </c>
      <c r="G1201">
        <v>0</v>
      </c>
      <c r="H1201" s="32" t="str">
        <f ca="1">+IF(B1201&gt;'sap nuevo'!$V$1,"cargar",IF(C1201="","cargar","pagado"))</f>
        <v>cargar</v>
      </c>
      <c r="I1201" s="32">
        <f t="shared" si="158"/>
        <v>2025</v>
      </c>
      <c r="J1201" s="32">
        <f t="shared" si="159"/>
        <v>9</v>
      </c>
    </row>
    <row r="1202" spans="1:10" x14ac:dyDescent="0.25">
      <c r="A1202" t="s">
        <v>21</v>
      </c>
      <c r="B1202" t="s">
        <v>235</v>
      </c>
      <c r="C1202">
        <v>91002576</v>
      </c>
      <c r="D1202">
        <v>140</v>
      </c>
      <c r="E1202" s="4">
        <v>-18258717.920000002</v>
      </c>
      <c r="F1202" t="s">
        <v>80</v>
      </c>
      <c r="G1202">
        <v>0</v>
      </c>
      <c r="H1202" s="32" t="str">
        <f ca="1">+IF(B1202&gt;'sap nuevo'!$V$1,"cargar",IF(C1202="","cargar","pagado"))</f>
        <v>cargar</v>
      </c>
      <c r="I1202" s="32">
        <f t="shared" si="158"/>
        <v>2025</v>
      </c>
      <c r="J1202" s="32">
        <f t="shared" si="159"/>
        <v>9</v>
      </c>
    </row>
    <row r="1203" spans="1:10" x14ac:dyDescent="0.25">
      <c r="A1203" t="s">
        <v>21</v>
      </c>
      <c r="B1203" t="s">
        <v>235</v>
      </c>
      <c r="C1203">
        <v>91002574</v>
      </c>
      <c r="D1203">
        <v>140</v>
      </c>
      <c r="E1203" s="4">
        <v>-17856629.920000002</v>
      </c>
      <c r="F1203" t="s">
        <v>80</v>
      </c>
      <c r="G1203">
        <v>0</v>
      </c>
      <c r="H1203" s="32" t="str">
        <f ca="1">+IF(B1203&gt;'sap nuevo'!$V$1,"cargar",IF(C1203="","cargar","pagado"))</f>
        <v>cargar</v>
      </c>
      <c r="I1203" s="32">
        <f t="shared" si="158"/>
        <v>2025</v>
      </c>
      <c r="J1203" s="32">
        <f t="shared" si="159"/>
        <v>9</v>
      </c>
    </row>
    <row r="1204" spans="1:10" x14ac:dyDescent="0.25">
      <c r="A1204" t="s">
        <v>21</v>
      </c>
      <c r="B1204" t="s">
        <v>235</v>
      </c>
      <c r="C1204">
        <v>91002572</v>
      </c>
      <c r="D1204">
        <v>140</v>
      </c>
      <c r="E1204" s="4">
        <v>-9581257.5700000003</v>
      </c>
      <c r="F1204" t="s">
        <v>80</v>
      </c>
      <c r="G1204">
        <v>0</v>
      </c>
      <c r="H1204" s="32" t="str">
        <f ca="1">+IF(B1204&gt;'sap nuevo'!$V$1,"cargar",IF(C1204="","cargar","pagado"))</f>
        <v>cargar</v>
      </c>
      <c r="I1204" s="32">
        <f t="shared" si="158"/>
        <v>2025</v>
      </c>
      <c r="J1204" s="32">
        <f t="shared" si="159"/>
        <v>9</v>
      </c>
    </row>
    <row r="1205" spans="1:10" x14ac:dyDescent="0.25">
      <c r="A1205" t="s">
        <v>877</v>
      </c>
      <c r="B1205" t="s">
        <v>236</v>
      </c>
      <c r="C1205">
        <v>1899</v>
      </c>
      <c r="D1205">
        <v>9999</v>
      </c>
      <c r="E1205" s="4">
        <v>-9847046.5199999996</v>
      </c>
      <c r="F1205" t="s">
        <v>1543</v>
      </c>
      <c r="G1205">
        <v>1385</v>
      </c>
      <c r="H1205" s="32" t="str">
        <f ca="1">+IF(B1205&gt;'sap nuevo'!$V$1,"cargar",IF(C1205="","cargar","pagado"))</f>
        <v>cargar</v>
      </c>
      <c r="I1205" s="32">
        <f t="shared" si="158"/>
        <v>2025</v>
      </c>
      <c r="J1205" s="32">
        <f t="shared" si="159"/>
        <v>10</v>
      </c>
    </row>
    <row r="1206" spans="1:10" x14ac:dyDescent="0.25">
      <c r="A1206" t="s">
        <v>877</v>
      </c>
      <c r="B1206" t="s">
        <v>237</v>
      </c>
      <c r="C1206">
        <v>1935</v>
      </c>
      <c r="D1206">
        <v>9999</v>
      </c>
      <c r="E1206" s="4">
        <v>-19456287.370000001</v>
      </c>
      <c r="F1206" t="s">
        <v>1544</v>
      </c>
      <c r="G1206">
        <v>1385</v>
      </c>
      <c r="H1206" s="32" t="str">
        <f ca="1">+IF(B1206&gt;'sap nuevo'!$V$1,"cargar",IF(C1206="","cargar","pagado"))</f>
        <v>cargar</v>
      </c>
      <c r="I1206" s="32">
        <f t="shared" si="158"/>
        <v>2025</v>
      </c>
      <c r="J1206" s="32">
        <f t="shared" si="159"/>
        <v>10</v>
      </c>
    </row>
    <row r="1207" spans="1:10" x14ac:dyDescent="0.25">
      <c r="A1207" t="s">
        <v>877</v>
      </c>
      <c r="B1207" t="s">
        <v>237</v>
      </c>
      <c r="C1207">
        <v>1936</v>
      </c>
      <c r="D1207">
        <v>9999</v>
      </c>
      <c r="E1207" s="4">
        <v>-11165473.01</v>
      </c>
      <c r="F1207" t="s">
        <v>1545</v>
      </c>
      <c r="G1207">
        <v>1385</v>
      </c>
      <c r="H1207" s="32" t="str">
        <f ca="1">+IF(B1207&gt;'sap nuevo'!$V$1,"cargar",IF(C1207="","cargar","pagado"))</f>
        <v>cargar</v>
      </c>
      <c r="I1207" s="32">
        <f t="shared" si="158"/>
        <v>2025</v>
      </c>
      <c r="J1207" s="32">
        <f t="shared" si="159"/>
        <v>10</v>
      </c>
    </row>
    <row r="1208" spans="1:10" x14ac:dyDescent="0.25">
      <c r="A1208" t="s">
        <v>877</v>
      </c>
      <c r="B1208" t="s">
        <v>237</v>
      </c>
      <c r="C1208">
        <v>1913</v>
      </c>
      <c r="D1208">
        <v>9999</v>
      </c>
      <c r="E1208" s="4">
        <v>-5000000</v>
      </c>
      <c r="F1208" t="s">
        <v>1546</v>
      </c>
      <c r="G1208">
        <v>1385</v>
      </c>
      <c r="H1208" s="32" t="str">
        <f ca="1">+IF(B1208&gt;'sap nuevo'!$V$1,"cargar",IF(C1208="","cargar","pagado"))</f>
        <v>cargar</v>
      </c>
      <c r="I1208" s="32">
        <f t="shared" si="158"/>
        <v>2025</v>
      </c>
      <c r="J1208" s="32">
        <f t="shared" si="159"/>
        <v>10</v>
      </c>
    </row>
    <row r="1209" spans="1:10" x14ac:dyDescent="0.25">
      <c r="A1209" t="s">
        <v>21</v>
      </c>
      <c r="B1209" t="s">
        <v>236</v>
      </c>
      <c r="C1209">
        <v>91002580</v>
      </c>
      <c r="D1209">
        <v>140</v>
      </c>
      <c r="E1209" s="4">
        <v>-4259943.16</v>
      </c>
      <c r="F1209" t="s">
        <v>80</v>
      </c>
      <c r="G1209">
        <v>0</v>
      </c>
      <c r="H1209" s="32" t="str">
        <f ca="1">+IF(B1209&gt;'sap nuevo'!$V$1,"cargar",IF(C1209="","cargar","pagado"))</f>
        <v>cargar</v>
      </c>
      <c r="I1209" s="32">
        <f t="shared" si="158"/>
        <v>2025</v>
      </c>
      <c r="J1209" s="32">
        <f t="shared" si="159"/>
        <v>10</v>
      </c>
    </row>
    <row r="1210" spans="1:10" x14ac:dyDescent="0.25">
      <c r="A1210" t="s">
        <v>1547</v>
      </c>
      <c r="B1210" t="s">
        <v>238</v>
      </c>
      <c r="C1210">
        <v>5277</v>
      </c>
      <c r="D1210">
        <v>89</v>
      </c>
      <c r="E1210" s="4">
        <v>6231899.8399999999</v>
      </c>
      <c r="F1210" t="s">
        <v>1548</v>
      </c>
      <c r="G1210">
        <v>6950</v>
      </c>
      <c r="H1210" s="32" t="str">
        <f ca="1">+IF(B1210&gt;'sap nuevo'!$V$1,"cargar",IF(C1210="","cargar","pagado"))</f>
        <v>cargar</v>
      </c>
      <c r="I1210" s="32">
        <f t="shared" si="158"/>
        <v>2025</v>
      </c>
      <c r="J1210" s="32">
        <f t="shared" si="159"/>
        <v>10</v>
      </c>
    </row>
    <row r="1211" spans="1:10" x14ac:dyDescent="0.25">
      <c r="A1211" t="s">
        <v>873</v>
      </c>
      <c r="B1211" t="s">
        <v>238</v>
      </c>
      <c r="C1211">
        <v>1939</v>
      </c>
      <c r="D1211">
        <v>9999</v>
      </c>
      <c r="E1211" s="4">
        <v>-12533136.4</v>
      </c>
      <c r="F1211" t="s">
        <v>1549</v>
      </c>
      <c r="G1211">
        <v>3520</v>
      </c>
      <c r="H1211" s="32" t="str">
        <f ca="1">+IF(B1211&gt;'sap nuevo'!$V$1,"cargar",IF(C1211="","cargar","pagado"))</f>
        <v>cargar</v>
      </c>
      <c r="I1211" s="32">
        <f t="shared" ref="I1211:I1227" si="160">+YEAR(B1211)</f>
        <v>2025</v>
      </c>
      <c r="J1211" s="32">
        <f t="shared" ref="J1211:J1227" si="161">+MONTH(B1211)</f>
        <v>10</v>
      </c>
    </row>
    <row r="1212" spans="1:10" x14ac:dyDescent="0.25">
      <c r="A1212" t="s">
        <v>877</v>
      </c>
      <c r="B1212" t="s">
        <v>238</v>
      </c>
      <c r="C1212">
        <v>1937</v>
      </c>
      <c r="D1212">
        <v>9999</v>
      </c>
      <c r="E1212" s="4">
        <v>-8286164.7400000002</v>
      </c>
      <c r="F1212" t="s">
        <v>1550</v>
      </c>
      <c r="G1212">
        <v>1385</v>
      </c>
      <c r="H1212" s="32" t="str">
        <f ca="1">+IF(B1212&gt;'sap nuevo'!$V$1,"cargar",IF(C1212="","cargar","pagado"))</f>
        <v>cargar</v>
      </c>
      <c r="I1212" s="32">
        <f t="shared" si="160"/>
        <v>2025</v>
      </c>
      <c r="J1212" s="32">
        <f t="shared" si="161"/>
        <v>10</v>
      </c>
    </row>
    <row r="1213" spans="1:10" x14ac:dyDescent="0.25">
      <c r="A1213" t="s">
        <v>877</v>
      </c>
      <c r="B1213" t="s">
        <v>238</v>
      </c>
      <c r="C1213">
        <v>1938</v>
      </c>
      <c r="D1213">
        <v>9999</v>
      </c>
      <c r="E1213" s="4">
        <v>-6061971.9100000001</v>
      </c>
      <c r="F1213" t="s">
        <v>1551</v>
      </c>
      <c r="G1213">
        <v>1385</v>
      </c>
      <c r="H1213" s="32" t="str">
        <f ca="1">+IF(B1213&gt;'sap nuevo'!$V$1,"cargar",IF(C1213="","cargar","pagado"))</f>
        <v>cargar</v>
      </c>
      <c r="I1213" s="32">
        <f t="shared" si="160"/>
        <v>2025</v>
      </c>
      <c r="J1213" s="32">
        <f t="shared" si="161"/>
        <v>10</v>
      </c>
    </row>
    <row r="1214" spans="1:10" x14ac:dyDescent="0.25">
      <c r="A1214" t="s">
        <v>877</v>
      </c>
      <c r="B1214" t="s">
        <v>238</v>
      </c>
      <c r="C1214">
        <v>1897</v>
      </c>
      <c r="D1214">
        <v>9999</v>
      </c>
      <c r="E1214" s="4">
        <v>-4614731.25</v>
      </c>
      <c r="F1214" t="s">
        <v>1552</v>
      </c>
      <c r="G1214">
        <v>1385</v>
      </c>
      <c r="H1214" s="32" t="str">
        <f ca="1">+IF(B1214&gt;'sap nuevo'!$V$1,"cargar",IF(C1214="","cargar","pagado"))</f>
        <v>cargar</v>
      </c>
      <c r="I1214" s="32">
        <f t="shared" si="160"/>
        <v>2025</v>
      </c>
      <c r="J1214" s="32">
        <f t="shared" si="161"/>
        <v>10</v>
      </c>
    </row>
    <row r="1215" spans="1:10" x14ac:dyDescent="0.25">
      <c r="A1215" t="s">
        <v>877</v>
      </c>
      <c r="B1215" t="s">
        <v>238</v>
      </c>
      <c r="C1215">
        <v>1921</v>
      </c>
      <c r="D1215">
        <v>9999</v>
      </c>
      <c r="E1215" s="4">
        <v>-3534056.23</v>
      </c>
      <c r="F1215" t="s">
        <v>1553</v>
      </c>
      <c r="G1215">
        <v>1385</v>
      </c>
      <c r="H1215" s="32" t="str">
        <f ca="1">+IF(B1215&gt;'sap nuevo'!$V$1,"cargar",IF(C1215="","cargar","pagado"))</f>
        <v>cargar</v>
      </c>
      <c r="I1215" s="32">
        <f t="shared" si="160"/>
        <v>2025</v>
      </c>
      <c r="J1215" s="32">
        <f t="shared" si="161"/>
        <v>10</v>
      </c>
    </row>
    <row r="1216" spans="1:10" x14ac:dyDescent="0.25">
      <c r="A1216" t="s">
        <v>21</v>
      </c>
      <c r="B1216" t="s">
        <v>238</v>
      </c>
      <c r="C1216">
        <v>91002573</v>
      </c>
      <c r="D1216">
        <v>140</v>
      </c>
      <c r="E1216" s="4">
        <v>-20000000</v>
      </c>
      <c r="F1216" t="s">
        <v>80</v>
      </c>
      <c r="G1216">
        <v>0</v>
      </c>
      <c r="H1216" s="32" t="str">
        <f ca="1">+IF(B1216&gt;'sap nuevo'!$V$1,"cargar",IF(C1216="","cargar","pagado"))</f>
        <v>cargar</v>
      </c>
      <c r="I1216" s="32">
        <f t="shared" si="160"/>
        <v>2025</v>
      </c>
      <c r="J1216" s="32">
        <f t="shared" si="161"/>
        <v>10</v>
      </c>
    </row>
    <row r="1217" spans="1:10" x14ac:dyDescent="0.25">
      <c r="A1217" t="s">
        <v>21</v>
      </c>
      <c r="B1217" t="s">
        <v>238</v>
      </c>
      <c r="C1217">
        <v>40272980</v>
      </c>
      <c r="D1217">
        <v>140</v>
      </c>
      <c r="E1217" s="4">
        <v>-2007887.37</v>
      </c>
      <c r="F1217" t="s">
        <v>80</v>
      </c>
      <c r="G1217">
        <v>0</v>
      </c>
      <c r="H1217" s="32" t="str">
        <f ca="1">+IF(B1217&gt;'sap nuevo'!$V$1,"cargar",IF(C1217="","cargar","pagado"))</f>
        <v>cargar</v>
      </c>
      <c r="I1217" s="32">
        <f t="shared" si="160"/>
        <v>2025</v>
      </c>
      <c r="J1217" s="32">
        <f t="shared" si="161"/>
        <v>10</v>
      </c>
    </row>
    <row r="1218" spans="1:10" x14ac:dyDescent="0.25">
      <c r="A1218" t="s">
        <v>21</v>
      </c>
      <c r="B1218" t="s">
        <v>238</v>
      </c>
      <c r="C1218">
        <v>40272986</v>
      </c>
      <c r="D1218">
        <v>140</v>
      </c>
      <c r="E1218" s="4">
        <v>-1500000</v>
      </c>
      <c r="F1218" t="s">
        <v>80</v>
      </c>
      <c r="G1218">
        <v>0</v>
      </c>
      <c r="H1218" s="32" t="str">
        <f ca="1">+IF(B1218&gt;'sap nuevo'!$V$1,"cargar",IF(C1218="","cargar","pagado"))</f>
        <v>cargar</v>
      </c>
      <c r="I1218" s="32">
        <f t="shared" si="160"/>
        <v>2025</v>
      </c>
      <c r="J1218" s="32">
        <f t="shared" si="161"/>
        <v>10</v>
      </c>
    </row>
    <row r="1219" spans="1:10" x14ac:dyDescent="0.25">
      <c r="A1219" t="s">
        <v>877</v>
      </c>
      <c r="B1219" t="s">
        <v>241</v>
      </c>
      <c r="C1219">
        <v>1941</v>
      </c>
      <c r="D1219">
        <v>9999</v>
      </c>
      <c r="E1219" s="4">
        <v>-26342163.75</v>
      </c>
      <c r="F1219" t="s">
        <v>1554</v>
      </c>
      <c r="G1219">
        <v>1385</v>
      </c>
      <c r="H1219" s="32" t="str">
        <f ca="1">+IF(B1219&gt;'sap nuevo'!$V$1,"cargar",IF(C1219="","cargar","pagado"))</f>
        <v>cargar</v>
      </c>
      <c r="I1219" s="32">
        <f t="shared" si="160"/>
        <v>2025</v>
      </c>
      <c r="J1219" s="32">
        <f t="shared" si="161"/>
        <v>10</v>
      </c>
    </row>
    <row r="1220" spans="1:10" x14ac:dyDescent="0.25">
      <c r="A1220" t="s">
        <v>873</v>
      </c>
      <c r="B1220" t="s">
        <v>242</v>
      </c>
      <c r="C1220">
        <v>1940</v>
      </c>
      <c r="D1220">
        <v>9999</v>
      </c>
      <c r="E1220" s="4">
        <v>-13187968.34</v>
      </c>
      <c r="F1220" t="s">
        <v>1555</v>
      </c>
      <c r="G1220">
        <v>3520</v>
      </c>
      <c r="H1220" s="32" t="str">
        <f ca="1">+IF(B1220&gt;'sap nuevo'!$V$1,"cargar",IF(C1220="","cargar","pagado"))</f>
        <v>cargar</v>
      </c>
      <c r="I1220" s="32">
        <f t="shared" si="160"/>
        <v>2025</v>
      </c>
      <c r="J1220" s="32">
        <f t="shared" si="161"/>
        <v>10</v>
      </c>
    </row>
    <row r="1221" spans="1:10" x14ac:dyDescent="0.25">
      <c r="A1221" t="s">
        <v>873</v>
      </c>
      <c r="B1221" t="s">
        <v>242</v>
      </c>
      <c r="C1221">
        <v>1934</v>
      </c>
      <c r="D1221">
        <v>9999</v>
      </c>
      <c r="E1221" s="4">
        <v>-10784436.67</v>
      </c>
      <c r="F1221" t="s">
        <v>1556</v>
      </c>
      <c r="G1221">
        <v>3520</v>
      </c>
      <c r="H1221" s="32" t="str">
        <f ca="1">+IF(B1221&gt;'sap nuevo'!$V$1,"cargar",IF(C1221="","cargar","pagado"))</f>
        <v>cargar</v>
      </c>
      <c r="I1221" s="32">
        <f t="shared" si="160"/>
        <v>2025</v>
      </c>
      <c r="J1221" s="32">
        <f t="shared" si="161"/>
        <v>10</v>
      </c>
    </row>
    <row r="1222" spans="1:10" x14ac:dyDescent="0.25">
      <c r="A1222" t="s">
        <v>877</v>
      </c>
      <c r="B1222" t="s">
        <v>241</v>
      </c>
      <c r="C1222">
        <v>1917</v>
      </c>
      <c r="D1222">
        <v>9999</v>
      </c>
      <c r="E1222" s="4">
        <v>-5064378.8</v>
      </c>
      <c r="F1222" t="s">
        <v>1557</v>
      </c>
      <c r="G1222">
        <v>1385</v>
      </c>
      <c r="H1222" s="32" t="str">
        <f ca="1">+IF(B1222&gt;'sap nuevo'!$V$1,"cargar",IF(C1222="","cargar","pagado"))</f>
        <v>cargar</v>
      </c>
      <c r="I1222" s="32">
        <f t="shared" si="160"/>
        <v>2025</v>
      </c>
      <c r="J1222" s="32">
        <f t="shared" si="161"/>
        <v>10</v>
      </c>
    </row>
    <row r="1223" spans="1:10" x14ac:dyDescent="0.25">
      <c r="A1223" t="s">
        <v>877</v>
      </c>
      <c r="B1223" t="s">
        <v>1558</v>
      </c>
      <c r="C1223">
        <v>1901</v>
      </c>
      <c r="D1223">
        <v>9999</v>
      </c>
      <c r="E1223" s="4">
        <v>-12234810</v>
      </c>
      <c r="F1223" t="s">
        <v>1559</v>
      </c>
      <c r="G1223">
        <v>1385</v>
      </c>
      <c r="H1223" s="32" t="str">
        <f ca="1">+IF(B1223&gt;'sap nuevo'!$V$1,"cargar",IF(C1223="","cargar","pagado"))</f>
        <v>cargar</v>
      </c>
      <c r="I1223" s="32">
        <f t="shared" si="160"/>
        <v>2025</v>
      </c>
      <c r="J1223" s="32">
        <f t="shared" si="161"/>
        <v>10</v>
      </c>
    </row>
    <row r="1224" spans="1:10" x14ac:dyDescent="0.25">
      <c r="A1224" t="s">
        <v>21</v>
      </c>
      <c r="B1224" t="s">
        <v>241</v>
      </c>
      <c r="C1224">
        <v>91002588</v>
      </c>
      <c r="D1224">
        <v>140</v>
      </c>
      <c r="E1224" s="4">
        <v>-26696250</v>
      </c>
      <c r="F1224" t="s">
        <v>80</v>
      </c>
      <c r="G1224">
        <v>0</v>
      </c>
      <c r="H1224" s="32" t="str">
        <f ca="1">+IF(B1224&gt;'sap nuevo'!$V$1,"cargar",IF(C1224="","cargar","pagado"))</f>
        <v>cargar</v>
      </c>
      <c r="I1224" s="32">
        <f t="shared" si="160"/>
        <v>2025</v>
      </c>
      <c r="J1224" s="32">
        <f t="shared" si="161"/>
        <v>10</v>
      </c>
    </row>
    <row r="1225" spans="1:10" x14ac:dyDescent="0.25">
      <c r="A1225" t="s">
        <v>21</v>
      </c>
      <c r="B1225" t="s">
        <v>241</v>
      </c>
      <c r="C1225">
        <v>91002582</v>
      </c>
      <c r="D1225">
        <v>140</v>
      </c>
      <c r="E1225" s="4">
        <v>-26088934.899999999</v>
      </c>
      <c r="F1225" t="s">
        <v>80</v>
      </c>
      <c r="G1225">
        <v>0</v>
      </c>
      <c r="H1225" s="32" t="str">
        <f ca="1">+IF(B1225&gt;'sap nuevo'!$V$1,"cargar",IF(C1225="","cargar","pagado"))</f>
        <v>cargar</v>
      </c>
      <c r="I1225" s="32">
        <f t="shared" si="160"/>
        <v>2025</v>
      </c>
      <c r="J1225" s="32">
        <f t="shared" si="161"/>
        <v>10</v>
      </c>
    </row>
    <row r="1226" spans="1:10" x14ac:dyDescent="0.25">
      <c r="A1226" t="s">
        <v>21</v>
      </c>
      <c r="B1226" t="s">
        <v>241</v>
      </c>
      <c r="C1226">
        <v>91002587</v>
      </c>
      <c r="D1226">
        <v>140</v>
      </c>
      <c r="E1226" s="4">
        <v>-14246830</v>
      </c>
      <c r="F1226" t="s">
        <v>80</v>
      </c>
      <c r="G1226">
        <v>0</v>
      </c>
      <c r="H1226" s="32" t="str">
        <f ca="1">+IF(B1226&gt;'sap nuevo'!$V$1,"cargar",IF(C1226="","cargar","pagado"))</f>
        <v>cargar</v>
      </c>
      <c r="I1226" s="32">
        <f t="shared" si="160"/>
        <v>2025</v>
      </c>
      <c r="J1226" s="32">
        <f t="shared" si="161"/>
        <v>10</v>
      </c>
    </row>
    <row r="1227" spans="1:10" x14ac:dyDescent="0.25">
      <c r="A1227" t="s">
        <v>21</v>
      </c>
      <c r="B1227" t="s">
        <v>241</v>
      </c>
      <c r="C1227">
        <v>91002583</v>
      </c>
      <c r="D1227">
        <v>140</v>
      </c>
      <c r="E1227" s="4">
        <v>-13044234.859999999</v>
      </c>
      <c r="F1227" t="s">
        <v>80</v>
      </c>
      <c r="G1227">
        <v>0</v>
      </c>
      <c r="H1227" s="32" t="str">
        <f ca="1">+IF(B1227&gt;'sap nuevo'!$V$1,"cargar",IF(C1227="","cargar","pagado"))</f>
        <v>cargar</v>
      </c>
      <c r="I1227" s="32">
        <f t="shared" si="160"/>
        <v>2025</v>
      </c>
      <c r="J1227" s="32">
        <f t="shared" si="161"/>
        <v>10</v>
      </c>
    </row>
    <row r="1228" spans="1:10" x14ac:dyDescent="0.25">
      <c r="A1228" t="s">
        <v>12</v>
      </c>
      <c r="B1228" t="s">
        <v>241</v>
      </c>
      <c r="C1228">
        <v>91002586</v>
      </c>
      <c r="D1228">
        <v>140</v>
      </c>
      <c r="E1228" s="4">
        <v>-11890892.92</v>
      </c>
      <c r="F1228" t="s">
        <v>82</v>
      </c>
      <c r="G1228">
        <v>0</v>
      </c>
      <c r="H1228" s="32" t="str">
        <f ca="1">+IF(B1228&gt;'sap nuevo'!$V$1,"cargar",IF(C1228="","cargar","pagado"))</f>
        <v>cargar</v>
      </c>
      <c r="I1228" s="32">
        <f t="shared" ref="I1228:I1245" si="162">+YEAR(B1228)</f>
        <v>2025</v>
      </c>
      <c r="J1228" s="32">
        <f t="shared" ref="J1228:J1245" si="163">+MONTH(B1228)</f>
        <v>10</v>
      </c>
    </row>
    <row r="1229" spans="1:10" x14ac:dyDescent="0.25">
      <c r="A1229" t="s">
        <v>21</v>
      </c>
      <c r="B1229" t="s">
        <v>241</v>
      </c>
      <c r="C1229">
        <v>91002584</v>
      </c>
      <c r="D1229">
        <v>140</v>
      </c>
      <c r="E1229" s="4">
        <v>-6888474.1399999997</v>
      </c>
      <c r="F1229" t="s">
        <v>80</v>
      </c>
      <c r="G1229">
        <v>0</v>
      </c>
      <c r="H1229" s="32" t="str">
        <f ca="1">+IF(B1229&gt;'sap nuevo'!$V$1,"cargar",IF(C1229="","cargar","pagado"))</f>
        <v>cargar</v>
      </c>
      <c r="I1229" s="32">
        <f t="shared" si="162"/>
        <v>2025</v>
      </c>
      <c r="J1229" s="32">
        <f t="shared" si="163"/>
        <v>10</v>
      </c>
    </row>
    <row r="1230" spans="1:10" x14ac:dyDescent="0.25">
      <c r="A1230" t="s">
        <v>21</v>
      </c>
      <c r="B1230" t="s">
        <v>241</v>
      </c>
      <c r="C1230">
        <v>91002581</v>
      </c>
      <c r="D1230">
        <v>140</v>
      </c>
      <c r="E1230" s="4">
        <v>-4259943.16</v>
      </c>
      <c r="F1230" t="s">
        <v>80</v>
      </c>
      <c r="G1230">
        <v>0</v>
      </c>
      <c r="H1230" s="32" t="str">
        <f ca="1">+IF(B1230&gt;'sap nuevo'!$V$1,"cargar",IF(C1230="","cargar","pagado"))</f>
        <v>cargar</v>
      </c>
      <c r="I1230" s="32">
        <f t="shared" si="162"/>
        <v>2025</v>
      </c>
      <c r="J1230" s="32">
        <f t="shared" si="163"/>
        <v>10</v>
      </c>
    </row>
    <row r="1231" spans="1:10" x14ac:dyDescent="0.25">
      <c r="A1231" t="s">
        <v>12</v>
      </c>
      <c r="B1231" t="s">
        <v>242</v>
      </c>
      <c r="C1231">
        <v>91002595</v>
      </c>
      <c r="D1231">
        <v>140</v>
      </c>
      <c r="E1231" s="4">
        <v>-42413652.060000002</v>
      </c>
      <c r="F1231" t="s">
        <v>82</v>
      </c>
      <c r="G1231">
        <v>0</v>
      </c>
      <c r="H1231" s="32" t="str">
        <f ca="1">+IF(B1231&gt;'sap nuevo'!$V$1,"cargar",IF(C1231="","cargar","pagado"))</f>
        <v>cargar</v>
      </c>
      <c r="I1231" s="32">
        <f t="shared" si="162"/>
        <v>2025</v>
      </c>
      <c r="J1231" s="32">
        <f t="shared" si="163"/>
        <v>10</v>
      </c>
    </row>
    <row r="1232" spans="1:10" x14ac:dyDescent="0.25">
      <c r="A1232" t="s">
        <v>12</v>
      </c>
      <c r="B1232" t="s">
        <v>242</v>
      </c>
      <c r="C1232">
        <v>91002585</v>
      </c>
      <c r="D1232">
        <v>140</v>
      </c>
      <c r="E1232" s="4">
        <v>-7116719.2800000003</v>
      </c>
      <c r="F1232" t="s">
        <v>82</v>
      </c>
      <c r="G1232">
        <v>0</v>
      </c>
      <c r="H1232" s="32" t="str">
        <f ca="1">+IF(B1232&gt;'sap nuevo'!$V$1,"cargar",IF(C1232="","cargar","pagado"))</f>
        <v>cargar</v>
      </c>
      <c r="I1232" s="32">
        <f t="shared" si="162"/>
        <v>2025</v>
      </c>
      <c r="J1232" s="32">
        <f t="shared" si="163"/>
        <v>10</v>
      </c>
    </row>
    <row r="1233" spans="1:10" x14ac:dyDescent="0.25">
      <c r="A1233" t="s">
        <v>21</v>
      </c>
      <c r="B1233" t="s">
        <v>242</v>
      </c>
      <c r="C1233">
        <v>91002591</v>
      </c>
      <c r="D1233">
        <v>140</v>
      </c>
      <c r="E1233" s="4">
        <v>-6243170.75</v>
      </c>
      <c r="F1233" t="s">
        <v>80</v>
      </c>
      <c r="G1233">
        <v>0</v>
      </c>
      <c r="H1233" s="32" t="str">
        <f ca="1">+IF(B1233&gt;'sap nuevo'!$V$1,"cargar",IF(C1233="","cargar","pagado"))</f>
        <v>cargar</v>
      </c>
      <c r="I1233" s="32">
        <f t="shared" si="162"/>
        <v>2025</v>
      </c>
      <c r="J1233" s="32">
        <f t="shared" si="163"/>
        <v>10</v>
      </c>
    </row>
    <row r="1234" spans="1:10" x14ac:dyDescent="0.25">
      <c r="A1234" t="s">
        <v>12</v>
      </c>
      <c r="B1234" t="s">
        <v>242</v>
      </c>
      <c r="C1234">
        <v>91002596</v>
      </c>
      <c r="D1234">
        <v>140</v>
      </c>
      <c r="E1234" s="4">
        <v>-55919.96</v>
      </c>
      <c r="F1234" t="s">
        <v>82</v>
      </c>
      <c r="G1234">
        <v>0</v>
      </c>
      <c r="H1234" s="32" t="str">
        <f ca="1">+IF(B1234&gt;'sap nuevo'!$V$1,"cargar",IF(C1234="","cargar","pagado"))</f>
        <v>cargar</v>
      </c>
      <c r="I1234" s="32">
        <f t="shared" si="162"/>
        <v>2025</v>
      </c>
      <c r="J1234" s="32">
        <f t="shared" si="163"/>
        <v>10</v>
      </c>
    </row>
    <row r="1235" spans="1:10" x14ac:dyDescent="0.25">
      <c r="A1235" t="s">
        <v>21</v>
      </c>
      <c r="B1235" t="s">
        <v>1558</v>
      </c>
      <c r="C1235">
        <v>91002546</v>
      </c>
      <c r="D1235">
        <v>140</v>
      </c>
      <c r="E1235" s="4">
        <v>-4233183.5</v>
      </c>
      <c r="F1235" t="s">
        <v>80</v>
      </c>
      <c r="G1235">
        <v>0</v>
      </c>
      <c r="H1235" s="32" t="str">
        <f ca="1">+IF(B1235&gt;'sap nuevo'!$V$1,"cargar",IF(C1235="","cargar","pagado"))</f>
        <v>cargar</v>
      </c>
      <c r="I1235" s="32">
        <f t="shared" si="162"/>
        <v>2025</v>
      </c>
      <c r="J1235" s="32">
        <f t="shared" si="163"/>
        <v>10</v>
      </c>
    </row>
    <row r="1236" spans="1:10" x14ac:dyDescent="0.25">
      <c r="A1236" t="s">
        <v>12</v>
      </c>
      <c r="B1236" t="s">
        <v>1558</v>
      </c>
      <c r="C1236">
        <v>40272993</v>
      </c>
      <c r="D1236">
        <v>140</v>
      </c>
      <c r="E1236" s="4">
        <v>-1257492.74</v>
      </c>
      <c r="F1236" t="s">
        <v>82</v>
      </c>
      <c r="G1236">
        <v>0</v>
      </c>
      <c r="H1236" s="32" t="str">
        <f ca="1">+IF(B1236&gt;'sap nuevo'!$V$1,"cargar",IF(C1236="","cargar","pagado"))</f>
        <v>cargar</v>
      </c>
      <c r="I1236" s="32">
        <f t="shared" si="162"/>
        <v>2025</v>
      </c>
      <c r="J1236" s="32">
        <f t="shared" si="163"/>
        <v>10</v>
      </c>
    </row>
    <row r="1237" spans="1:10" x14ac:dyDescent="0.25">
      <c r="A1237" t="s">
        <v>1547</v>
      </c>
      <c r="B1237" t="s">
        <v>1560</v>
      </c>
      <c r="C1237">
        <v>5303</v>
      </c>
      <c r="D1237">
        <v>89</v>
      </c>
      <c r="E1237" s="4">
        <v>4573904.1399999997</v>
      </c>
      <c r="F1237" t="s">
        <v>1561</v>
      </c>
      <c r="G1237">
        <v>6950</v>
      </c>
      <c r="H1237" s="32" t="str">
        <f ca="1">+IF(B1237&gt;'sap nuevo'!$V$1,"cargar",IF(C1237="","cargar","pagado"))</f>
        <v>cargar</v>
      </c>
      <c r="I1237" s="32">
        <f t="shared" si="162"/>
        <v>2025</v>
      </c>
      <c r="J1237" s="32">
        <f t="shared" si="163"/>
        <v>10</v>
      </c>
    </row>
    <row r="1238" spans="1:10" x14ac:dyDescent="0.25">
      <c r="A1238" t="s">
        <v>1547</v>
      </c>
      <c r="B1238" t="s">
        <v>1560</v>
      </c>
      <c r="C1238">
        <v>5290</v>
      </c>
      <c r="D1238">
        <v>89</v>
      </c>
      <c r="E1238" s="4">
        <v>6914328.0999999996</v>
      </c>
      <c r="F1238" t="s">
        <v>1562</v>
      </c>
      <c r="G1238">
        <v>6950</v>
      </c>
      <c r="H1238" s="32" t="str">
        <f ca="1">+IF(B1238&gt;'sap nuevo'!$V$1,"cargar",IF(C1238="","cargar","pagado"))</f>
        <v>cargar</v>
      </c>
      <c r="I1238" s="32">
        <f t="shared" si="162"/>
        <v>2025</v>
      </c>
      <c r="J1238" s="32">
        <f t="shared" si="163"/>
        <v>10</v>
      </c>
    </row>
    <row r="1239" spans="1:10" x14ac:dyDescent="0.25">
      <c r="A1239" t="s">
        <v>873</v>
      </c>
      <c r="B1239" t="s">
        <v>1560</v>
      </c>
      <c r="C1239">
        <v>1946</v>
      </c>
      <c r="D1239">
        <v>9999</v>
      </c>
      <c r="E1239" s="4">
        <v>-4817233.17</v>
      </c>
      <c r="F1239" t="s">
        <v>1563</v>
      </c>
      <c r="G1239">
        <v>3520</v>
      </c>
      <c r="H1239" s="32" t="str">
        <f ca="1">+IF(B1239&gt;'sap nuevo'!$V$1,"cargar",IF(C1239="","cargar","pagado"))</f>
        <v>cargar</v>
      </c>
      <c r="I1239" s="32">
        <f t="shared" si="162"/>
        <v>2025</v>
      </c>
      <c r="J1239" s="32">
        <f t="shared" si="163"/>
        <v>10</v>
      </c>
    </row>
    <row r="1240" spans="1:10" x14ac:dyDescent="0.25">
      <c r="A1240" t="s">
        <v>873</v>
      </c>
      <c r="B1240" t="s">
        <v>1560</v>
      </c>
      <c r="C1240">
        <v>1949</v>
      </c>
      <c r="D1240">
        <v>9999</v>
      </c>
      <c r="E1240" s="4">
        <v>-4187118.4</v>
      </c>
      <c r="F1240" t="s">
        <v>1564</v>
      </c>
      <c r="G1240">
        <v>3520</v>
      </c>
      <c r="H1240" s="32" t="str">
        <f ca="1">+IF(B1240&gt;'sap nuevo'!$V$1,"cargar",IF(C1240="","cargar","pagado"))</f>
        <v>cargar</v>
      </c>
      <c r="I1240" s="32">
        <f t="shared" si="162"/>
        <v>2025</v>
      </c>
      <c r="J1240" s="32">
        <f t="shared" si="163"/>
        <v>10</v>
      </c>
    </row>
    <row r="1241" spans="1:10" x14ac:dyDescent="0.25">
      <c r="A1241" t="s">
        <v>873</v>
      </c>
      <c r="B1241" t="s">
        <v>1560</v>
      </c>
      <c r="C1241">
        <v>1945</v>
      </c>
      <c r="D1241">
        <v>9999</v>
      </c>
      <c r="E1241" s="4">
        <v>-3843006.39</v>
      </c>
      <c r="F1241" t="s">
        <v>1565</v>
      </c>
      <c r="G1241">
        <v>3520</v>
      </c>
      <c r="H1241" s="32" t="str">
        <f ca="1">+IF(B1241&gt;'sap nuevo'!$V$1,"cargar",IF(C1241="","cargar","pagado"))</f>
        <v>cargar</v>
      </c>
      <c r="I1241" s="32">
        <f t="shared" si="162"/>
        <v>2025</v>
      </c>
      <c r="J1241" s="32">
        <f t="shared" si="163"/>
        <v>10</v>
      </c>
    </row>
    <row r="1242" spans="1:10" x14ac:dyDescent="0.25">
      <c r="A1242" t="s">
        <v>877</v>
      </c>
      <c r="B1242" t="s">
        <v>1560</v>
      </c>
      <c r="C1242">
        <v>1955</v>
      </c>
      <c r="D1242">
        <v>9999</v>
      </c>
      <c r="E1242" s="4">
        <v>-15000000</v>
      </c>
      <c r="F1242" t="s">
        <v>1566</v>
      </c>
      <c r="G1242">
        <v>1385</v>
      </c>
      <c r="H1242" s="32" t="str">
        <f ca="1">+IF(B1242&gt;'sap nuevo'!$V$1,"cargar",IF(C1242="","cargar","pagado"))</f>
        <v>cargar</v>
      </c>
      <c r="I1242" s="32">
        <f t="shared" si="162"/>
        <v>2025</v>
      </c>
      <c r="J1242" s="32">
        <f t="shared" si="163"/>
        <v>10</v>
      </c>
    </row>
    <row r="1243" spans="1:10" x14ac:dyDescent="0.25">
      <c r="A1243" t="s">
        <v>877</v>
      </c>
      <c r="B1243" t="s">
        <v>1560</v>
      </c>
      <c r="C1243">
        <v>1948</v>
      </c>
      <c r="D1243">
        <v>9999</v>
      </c>
      <c r="E1243" s="4">
        <v>-6750125.0099999998</v>
      </c>
      <c r="F1243" t="s">
        <v>1567</v>
      </c>
      <c r="G1243">
        <v>1385</v>
      </c>
      <c r="H1243" s="32" t="str">
        <f ca="1">+IF(B1243&gt;'sap nuevo'!$V$1,"cargar",IF(C1243="","cargar","pagado"))</f>
        <v>cargar</v>
      </c>
      <c r="I1243" s="32">
        <f t="shared" si="162"/>
        <v>2025</v>
      </c>
      <c r="J1243" s="32">
        <f t="shared" si="163"/>
        <v>10</v>
      </c>
    </row>
    <row r="1244" spans="1:10" x14ac:dyDescent="0.25">
      <c r="A1244" t="s">
        <v>877</v>
      </c>
      <c r="B1244" t="s">
        <v>1560</v>
      </c>
      <c r="C1244">
        <v>1914</v>
      </c>
      <c r="D1244">
        <v>9999</v>
      </c>
      <c r="E1244" s="4">
        <v>-5115362.1100000003</v>
      </c>
      <c r="F1244" t="s">
        <v>1568</v>
      </c>
      <c r="G1244">
        <v>1385</v>
      </c>
      <c r="H1244" s="32" t="str">
        <f ca="1">+IF(B1244&gt;'sap nuevo'!$V$1,"cargar",IF(C1244="","cargar","pagado"))</f>
        <v>cargar</v>
      </c>
      <c r="I1244" s="32">
        <f t="shared" si="162"/>
        <v>2025</v>
      </c>
      <c r="J1244" s="32">
        <f t="shared" si="163"/>
        <v>10</v>
      </c>
    </row>
    <row r="1245" spans="1:10" x14ac:dyDescent="0.25">
      <c r="A1245" t="s">
        <v>877</v>
      </c>
      <c r="B1245" t="s">
        <v>1560</v>
      </c>
      <c r="C1245">
        <v>1947</v>
      </c>
      <c r="D1245">
        <v>9999</v>
      </c>
      <c r="E1245" s="4">
        <v>-4936330</v>
      </c>
      <c r="F1245" t="s">
        <v>1569</v>
      </c>
      <c r="G1245">
        <v>1385</v>
      </c>
      <c r="H1245" s="32" t="str">
        <f ca="1">+IF(B1245&gt;'sap nuevo'!$V$1,"cargar",IF(C1245="","cargar","pagado"))</f>
        <v>cargar</v>
      </c>
      <c r="I1245" s="32">
        <f t="shared" si="162"/>
        <v>2025</v>
      </c>
      <c r="J1245" s="32">
        <f t="shared" si="163"/>
        <v>10</v>
      </c>
    </row>
    <row r="1246" spans="1:10" x14ac:dyDescent="0.25">
      <c r="A1246" t="s">
        <v>877</v>
      </c>
      <c r="B1246" t="s">
        <v>1560</v>
      </c>
      <c r="C1246">
        <v>1943</v>
      </c>
      <c r="D1246">
        <v>9999</v>
      </c>
      <c r="E1246" s="4">
        <v>-4547779.1399999997</v>
      </c>
      <c r="F1246" t="s">
        <v>1570</v>
      </c>
      <c r="G1246">
        <v>1385</v>
      </c>
      <c r="H1246" s="32" t="str">
        <f ca="1">+IF(B1246&gt;'sap nuevo'!$V$1,"cargar",IF(C1246="","cargar","pagado"))</f>
        <v>cargar</v>
      </c>
      <c r="I1246" s="32">
        <f t="shared" ref="I1246:I1269" si="164">+YEAR(B1246)</f>
        <v>2025</v>
      </c>
      <c r="J1246" s="32">
        <f t="shared" ref="J1246:J1269" si="165">+MONTH(B1246)</f>
        <v>10</v>
      </c>
    </row>
    <row r="1247" spans="1:10" x14ac:dyDescent="0.25">
      <c r="A1247" t="s">
        <v>873</v>
      </c>
      <c r="B1247" t="s">
        <v>1571</v>
      </c>
      <c r="C1247">
        <v>1951</v>
      </c>
      <c r="D1247">
        <v>9999</v>
      </c>
      <c r="E1247" s="4">
        <v>-8927455</v>
      </c>
      <c r="F1247" t="s">
        <v>1572</v>
      </c>
      <c r="G1247">
        <v>3520</v>
      </c>
      <c r="H1247" s="32" t="str">
        <f ca="1">+IF(B1247&gt;'sap nuevo'!$V$1,"cargar",IF(C1247="","cargar","pagado"))</f>
        <v>cargar</v>
      </c>
      <c r="I1247" s="32">
        <f t="shared" si="164"/>
        <v>2025</v>
      </c>
      <c r="J1247" s="32">
        <f t="shared" si="165"/>
        <v>10</v>
      </c>
    </row>
    <row r="1248" spans="1:10" x14ac:dyDescent="0.25">
      <c r="A1248" t="s">
        <v>873</v>
      </c>
      <c r="B1248" t="s">
        <v>1571</v>
      </c>
      <c r="C1248">
        <v>1931</v>
      </c>
      <c r="D1248">
        <v>9999</v>
      </c>
      <c r="E1248" s="4">
        <v>-4818493.51</v>
      </c>
      <c r="F1248" t="s">
        <v>1573</v>
      </c>
      <c r="G1248">
        <v>3520</v>
      </c>
      <c r="H1248" s="32" t="str">
        <f ca="1">+IF(B1248&gt;'sap nuevo'!$V$1,"cargar",IF(C1248="","cargar","pagado"))</f>
        <v>cargar</v>
      </c>
      <c r="I1248" s="32">
        <f t="shared" si="164"/>
        <v>2025</v>
      </c>
      <c r="J1248" s="32">
        <f t="shared" si="165"/>
        <v>10</v>
      </c>
    </row>
    <row r="1249" spans="1:10" x14ac:dyDescent="0.25">
      <c r="A1249" t="s">
        <v>877</v>
      </c>
      <c r="B1249" t="s">
        <v>1571</v>
      </c>
      <c r="C1249">
        <v>1952</v>
      </c>
      <c r="D1249">
        <v>9999</v>
      </c>
      <c r="E1249" s="4">
        <v>-6219540.96</v>
      </c>
      <c r="F1249" t="s">
        <v>1574</v>
      </c>
      <c r="G1249">
        <v>1385</v>
      </c>
      <c r="H1249" s="32" t="str">
        <f ca="1">+IF(B1249&gt;'sap nuevo'!$V$1,"cargar",IF(C1249="","cargar","pagado"))</f>
        <v>cargar</v>
      </c>
      <c r="I1249" s="32">
        <f t="shared" si="164"/>
        <v>2025</v>
      </c>
      <c r="J1249" s="32">
        <f t="shared" si="165"/>
        <v>10</v>
      </c>
    </row>
    <row r="1250" spans="1:10" x14ac:dyDescent="0.25">
      <c r="A1250" t="s">
        <v>877</v>
      </c>
      <c r="B1250" t="s">
        <v>1571</v>
      </c>
      <c r="C1250">
        <v>1954</v>
      </c>
      <c r="D1250">
        <v>9999</v>
      </c>
      <c r="E1250" s="4">
        <v>-5364410.82</v>
      </c>
      <c r="F1250" t="s">
        <v>1575</v>
      </c>
      <c r="G1250">
        <v>1385</v>
      </c>
      <c r="H1250" s="32" t="str">
        <f ca="1">+IF(B1250&gt;'sap nuevo'!$V$1,"cargar",IF(C1250="","cargar","pagado"))</f>
        <v>cargar</v>
      </c>
      <c r="I1250" s="32">
        <f t="shared" si="164"/>
        <v>2025</v>
      </c>
      <c r="J1250" s="32">
        <f t="shared" si="165"/>
        <v>10</v>
      </c>
    </row>
    <row r="1251" spans="1:10" x14ac:dyDescent="0.25">
      <c r="A1251" t="s">
        <v>877</v>
      </c>
      <c r="B1251" t="s">
        <v>1571</v>
      </c>
      <c r="C1251">
        <v>1953</v>
      </c>
      <c r="D1251">
        <v>9999</v>
      </c>
      <c r="E1251" s="4">
        <v>-3249241.17</v>
      </c>
      <c r="F1251" t="s">
        <v>1576</v>
      </c>
      <c r="G1251">
        <v>1385</v>
      </c>
      <c r="H1251" s="32" t="str">
        <f ca="1">+IF(B1251&gt;'sap nuevo'!$V$1,"cargar",IF(C1251="","cargar","pagado"))</f>
        <v>cargar</v>
      </c>
      <c r="I1251" s="32">
        <f t="shared" si="164"/>
        <v>2025</v>
      </c>
      <c r="J1251" s="32">
        <f t="shared" si="165"/>
        <v>10</v>
      </c>
    </row>
    <row r="1252" spans="1:10" x14ac:dyDescent="0.25">
      <c r="A1252" t="s">
        <v>877</v>
      </c>
      <c r="B1252" t="s">
        <v>243</v>
      </c>
      <c r="C1252">
        <v>1956</v>
      </c>
      <c r="D1252">
        <v>9999</v>
      </c>
      <c r="E1252" s="4">
        <v>-16587377.57</v>
      </c>
      <c r="F1252" t="s">
        <v>1577</v>
      </c>
      <c r="G1252">
        <v>1385</v>
      </c>
      <c r="H1252" s="32" t="str">
        <f ca="1">+IF(B1252&gt;'sap nuevo'!$V$1,"cargar",IF(C1252="","cargar","pagado"))</f>
        <v>cargar</v>
      </c>
      <c r="I1252" s="32">
        <f t="shared" si="164"/>
        <v>2025</v>
      </c>
      <c r="J1252" s="32">
        <f t="shared" si="165"/>
        <v>10</v>
      </c>
    </row>
    <row r="1253" spans="1:10" x14ac:dyDescent="0.25">
      <c r="A1253" t="s">
        <v>21</v>
      </c>
      <c r="B1253" t="s">
        <v>1571</v>
      </c>
      <c r="C1253">
        <v>91002592</v>
      </c>
      <c r="D1253">
        <v>140</v>
      </c>
      <c r="E1253" s="4">
        <v>-4948986.3600000003</v>
      </c>
      <c r="F1253" t="s">
        <v>80</v>
      </c>
      <c r="G1253">
        <v>0</v>
      </c>
      <c r="H1253" s="32" t="str">
        <f ca="1">+IF(B1253&gt;'sap nuevo'!$V$1,"cargar",IF(C1253="","cargar","pagado"))</f>
        <v>cargar</v>
      </c>
      <c r="I1253" s="32">
        <f t="shared" si="164"/>
        <v>2025</v>
      </c>
      <c r="J1253" s="32">
        <f t="shared" si="165"/>
        <v>10</v>
      </c>
    </row>
    <row r="1254" spans="1:10" x14ac:dyDescent="0.25">
      <c r="A1254" t="s">
        <v>12</v>
      </c>
      <c r="B1254" t="s">
        <v>1571</v>
      </c>
      <c r="C1254">
        <v>40272997</v>
      </c>
      <c r="D1254">
        <v>140</v>
      </c>
      <c r="E1254" s="4">
        <v>-3373338.49</v>
      </c>
      <c r="F1254" t="s">
        <v>82</v>
      </c>
      <c r="G1254">
        <v>0</v>
      </c>
      <c r="H1254" s="32" t="str">
        <f ca="1">+IF(B1254&gt;'sap nuevo'!$V$1,"cargar",IF(C1254="","cargar","pagado"))</f>
        <v>cargar</v>
      </c>
      <c r="I1254" s="32">
        <f t="shared" si="164"/>
        <v>2025</v>
      </c>
      <c r="J1254" s="32">
        <f t="shared" si="165"/>
        <v>10</v>
      </c>
    </row>
    <row r="1255" spans="1:10" x14ac:dyDescent="0.25">
      <c r="A1255" t="s">
        <v>21</v>
      </c>
      <c r="B1255" t="s">
        <v>243</v>
      </c>
      <c r="C1255">
        <v>91002597</v>
      </c>
      <c r="D1255">
        <v>140</v>
      </c>
      <c r="E1255" s="4">
        <v>-13977893.039999999</v>
      </c>
      <c r="F1255" t="s">
        <v>80</v>
      </c>
      <c r="G1255">
        <v>0</v>
      </c>
      <c r="H1255" s="32" t="str">
        <f ca="1">+IF(B1255&gt;'sap nuevo'!$V$1,"cargar",IF(C1255="","cargar","pagado"))</f>
        <v>cargar</v>
      </c>
      <c r="I1255" s="32">
        <f t="shared" si="164"/>
        <v>2025</v>
      </c>
      <c r="J1255" s="32">
        <f t="shared" si="165"/>
        <v>10</v>
      </c>
    </row>
    <row r="1256" spans="1:10" x14ac:dyDescent="0.25">
      <c r="A1256" t="s">
        <v>21</v>
      </c>
      <c r="B1256" t="s">
        <v>243</v>
      </c>
      <c r="C1256">
        <v>91002608</v>
      </c>
      <c r="D1256">
        <v>140</v>
      </c>
      <c r="E1256" s="4">
        <v>-12806924.970000001</v>
      </c>
      <c r="F1256" t="s">
        <v>80</v>
      </c>
      <c r="G1256">
        <v>0</v>
      </c>
      <c r="H1256" s="32" t="str">
        <f ca="1">+IF(B1256&gt;'sap nuevo'!$V$1,"cargar",IF(C1256="","cargar","pagado"))</f>
        <v>cargar</v>
      </c>
      <c r="I1256" s="32">
        <f t="shared" si="164"/>
        <v>2025</v>
      </c>
      <c r="J1256" s="32">
        <f t="shared" si="165"/>
        <v>10</v>
      </c>
    </row>
    <row r="1257" spans="1:10" x14ac:dyDescent="0.25">
      <c r="A1257" t="s">
        <v>21</v>
      </c>
      <c r="B1257" t="s">
        <v>243</v>
      </c>
      <c r="C1257">
        <v>91002616</v>
      </c>
      <c r="D1257">
        <v>140</v>
      </c>
      <c r="E1257" s="4">
        <v>-10395767</v>
      </c>
      <c r="F1257" t="s">
        <v>80</v>
      </c>
      <c r="G1257">
        <v>0</v>
      </c>
      <c r="H1257" s="32" t="str">
        <f ca="1">+IF(B1257&gt;'sap nuevo'!$V$1,"cargar",IF(C1257="","cargar","pagado"))</f>
        <v>cargar</v>
      </c>
      <c r="I1257" s="32">
        <f t="shared" si="164"/>
        <v>2025</v>
      </c>
      <c r="J1257" s="32">
        <f t="shared" si="165"/>
        <v>10</v>
      </c>
    </row>
    <row r="1258" spans="1:10" x14ac:dyDescent="0.25">
      <c r="A1258" t="s">
        <v>21</v>
      </c>
      <c r="B1258" t="s">
        <v>243</v>
      </c>
      <c r="C1258">
        <v>91002614</v>
      </c>
      <c r="D1258">
        <v>140</v>
      </c>
      <c r="E1258" s="4">
        <v>-8054122.1399999997</v>
      </c>
      <c r="F1258" t="s">
        <v>80</v>
      </c>
      <c r="G1258">
        <v>0</v>
      </c>
      <c r="H1258" s="32" t="str">
        <f ca="1">+IF(B1258&gt;'sap nuevo'!$V$1,"cargar",IF(C1258="","cargar","pagado"))</f>
        <v>cargar</v>
      </c>
      <c r="I1258" s="32">
        <f t="shared" si="164"/>
        <v>2025</v>
      </c>
      <c r="J1258" s="32">
        <f t="shared" si="165"/>
        <v>10</v>
      </c>
    </row>
    <row r="1259" spans="1:10" x14ac:dyDescent="0.25">
      <c r="A1259" t="s">
        <v>21</v>
      </c>
      <c r="B1259" t="s">
        <v>243</v>
      </c>
      <c r="C1259">
        <v>91002599</v>
      </c>
      <c r="D1259">
        <v>140</v>
      </c>
      <c r="E1259" s="4">
        <v>-4803648.68</v>
      </c>
      <c r="F1259" t="s">
        <v>80</v>
      </c>
      <c r="G1259">
        <v>0</v>
      </c>
      <c r="H1259" s="32" t="str">
        <f ca="1">+IF(B1259&gt;'sap nuevo'!$V$1,"cargar",IF(C1259="","cargar","pagado"))</f>
        <v>cargar</v>
      </c>
      <c r="I1259" s="32">
        <f t="shared" si="164"/>
        <v>2025</v>
      </c>
      <c r="J1259" s="32">
        <f t="shared" si="165"/>
        <v>10</v>
      </c>
    </row>
    <row r="1260" spans="1:10" x14ac:dyDescent="0.25">
      <c r="A1260" t="s">
        <v>21</v>
      </c>
      <c r="B1260" t="s">
        <v>243</v>
      </c>
      <c r="C1260">
        <v>91002607</v>
      </c>
      <c r="D1260">
        <v>140</v>
      </c>
      <c r="E1260" s="4">
        <v>-4260111.08</v>
      </c>
      <c r="F1260" t="s">
        <v>80</v>
      </c>
      <c r="G1260">
        <v>0</v>
      </c>
      <c r="H1260" s="32" t="str">
        <f ca="1">+IF(B1260&gt;'sap nuevo'!$V$1,"cargar",IF(C1260="","cargar","pagado"))</f>
        <v>cargar</v>
      </c>
      <c r="I1260" s="32">
        <f t="shared" si="164"/>
        <v>2025</v>
      </c>
      <c r="J1260" s="32">
        <f t="shared" si="165"/>
        <v>10</v>
      </c>
    </row>
    <row r="1261" spans="1:10" x14ac:dyDescent="0.25">
      <c r="A1261" t="s">
        <v>21</v>
      </c>
      <c r="B1261" t="s">
        <v>243</v>
      </c>
      <c r="C1261">
        <v>91002611</v>
      </c>
      <c r="D1261">
        <v>140</v>
      </c>
      <c r="E1261" s="4">
        <v>-4260111.08</v>
      </c>
      <c r="F1261" t="s">
        <v>80</v>
      </c>
      <c r="G1261">
        <v>0</v>
      </c>
      <c r="H1261" s="32" t="str">
        <f ca="1">+IF(B1261&gt;'sap nuevo'!$V$1,"cargar",IF(C1261="","cargar","pagado"))</f>
        <v>cargar</v>
      </c>
      <c r="I1261" s="32">
        <f t="shared" si="164"/>
        <v>2025</v>
      </c>
      <c r="J1261" s="32">
        <f t="shared" si="165"/>
        <v>10</v>
      </c>
    </row>
    <row r="1262" spans="1:10" x14ac:dyDescent="0.25">
      <c r="A1262" t="s">
        <v>21</v>
      </c>
      <c r="B1262" t="s">
        <v>243</v>
      </c>
      <c r="C1262">
        <v>91002615</v>
      </c>
      <c r="D1262">
        <v>140</v>
      </c>
      <c r="E1262" s="4">
        <v>-4152917.92</v>
      </c>
      <c r="F1262" t="s">
        <v>80</v>
      </c>
      <c r="G1262">
        <v>0</v>
      </c>
      <c r="H1262" s="32" t="str">
        <f ca="1">+IF(B1262&gt;'sap nuevo'!$V$1,"cargar",IF(C1262="","cargar","pagado"))</f>
        <v>cargar</v>
      </c>
      <c r="I1262" s="32">
        <f t="shared" si="164"/>
        <v>2025</v>
      </c>
      <c r="J1262" s="32">
        <f t="shared" si="165"/>
        <v>10</v>
      </c>
    </row>
    <row r="1263" spans="1:10" x14ac:dyDescent="0.25">
      <c r="A1263" t="s">
        <v>21</v>
      </c>
      <c r="B1263" t="s">
        <v>243</v>
      </c>
      <c r="C1263">
        <v>91002602</v>
      </c>
      <c r="D1263">
        <v>140</v>
      </c>
      <c r="E1263" s="4">
        <v>-3295120.79</v>
      </c>
      <c r="F1263" t="s">
        <v>80</v>
      </c>
      <c r="G1263">
        <v>0</v>
      </c>
      <c r="H1263" s="32" t="str">
        <f ca="1">+IF(B1263&gt;'sap nuevo'!$V$1,"cargar",IF(C1263="","cargar","pagado"))</f>
        <v>cargar</v>
      </c>
      <c r="I1263" s="32">
        <f t="shared" si="164"/>
        <v>2025</v>
      </c>
      <c r="J1263" s="32">
        <f t="shared" si="165"/>
        <v>10</v>
      </c>
    </row>
    <row r="1264" spans="1:10" x14ac:dyDescent="0.25">
      <c r="A1264" t="s">
        <v>21</v>
      </c>
      <c r="B1264" t="s">
        <v>243</v>
      </c>
      <c r="C1264">
        <v>91002609</v>
      </c>
      <c r="D1264">
        <v>140</v>
      </c>
      <c r="E1264" s="4">
        <v>-2797047.83</v>
      </c>
      <c r="F1264" t="s">
        <v>80</v>
      </c>
      <c r="G1264">
        <v>0</v>
      </c>
      <c r="H1264" s="32" t="str">
        <f ca="1">+IF(B1264&gt;'sap nuevo'!$V$1,"cargar",IF(C1264="","cargar","pagado"))</f>
        <v>cargar</v>
      </c>
      <c r="I1264" s="32">
        <f t="shared" si="164"/>
        <v>2025</v>
      </c>
      <c r="J1264" s="32">
        <f t="shared" si="165"/>
        <v>10</v>
      </c>
    </row>
    <row r="1265" spans="1:10" x14ac:dyDescent="0.25">
      <c r="A1265" t="s">
        <v>12</v>
      </c>
      <c r="B1265" t="s">
        <v>243</v>
      </c>
      <c r="C1265">
        <v>91002605</v>
      </c>
      <c r="D1265">
        <v>140</v>
      </c>
      <c r="E1265" s="4">
        <v>-2479667.54</v>
      </c>
      <c r="F1265" t="s">
        <v>82</v>
      </c>
      <c r="G1265">
        <v>0</v>
      </c>
      <c r="H1265" s="32" t="str">
        <f ca="1">+IF(B1265&gt;'sap nuevo'!$V$1,"cargar",IF(C1265="","cargar","pagado"))</f>
        <v>cargar</v>
      </c>
      <c r="I1265" s="32">
        <f t="shared" si="164"/>
        <v>2025</v>
      </c>
      <c r="J1265" s="32">
        <f t="shared" si="165"/>
        <v>10</v>
      </c>
    </row>
    <row r="1266" spans="1:10" x14ac:dyDescent="0.25">
      <c r="A1266" t="s">
        <v>21</v>
      </c>
      <c r="B1266" t="s">
        <v>243</v>
      </c>
      <c r="C1266">
        <v>91002604</v>
      </c>
      <c r="D1266">
        <v>140</v>
      </c>
      <c r="E1266" s="4">
        <v>-2454017.13</v>
      </c>
      <c r="F1266" t="s">
        <v>80</v>
      </c>
      <c r="G1266">
        <v>0</v>
      </c>
      <c r="H1266" s="32" t="str">
        <f ca="1">+IF(B1266&gt;'sap nuevo'!$V$1,"cargar",IF(C1266="","cargar","pagado"))</f>
        <v>cargar</v>
      </c>
      <c r="I1266" s="32">
        <f t="shared" si="164"/>
        <v>2025</v>
      </c>
      <c r="J1266" s="32">
        <f t="shared" si="165"/>
        <v>10</v>
      </c>
    </row>
    <row r="1267" spans="1:10" x14ac:dyDescent="0.25">
      <c r="A1267" t="s">
        <v>21</v>
      </c>
      <c r="B1267" t="s">
        <v>243</v>
      </c>
      <c r="C1267">
        <v>91002601</v>
      </c>
      <c r="D1267">
        <v>140</v>
      </c>
      <c r="E1267" s="4">
        <v>-2306666.87</v>
      </c>
      <c r="F1267" t="s">
        <v>80</v>
      </c>
      <c r="G1267">
        <v>0</v>
      </c>
      <c r="H1267" s="32" t="str">
        <f ca="1">+IF(B1267&gt;'sap nuevo'!$V$1,"cargar",IF(C1267="","cargar","pagado"))</f>
        <v>cargar</v>
      </c>
      <c r="I1267" s="32">
        <f t="shared" si="164"/>
        <v>2025</v>
      </c>
      <c r="J1267" s="32">
        <f t="shared" si="165"/>
        <v>10</v>
      </c>
    </row>
    <row r="1268" spans="1:10" x14ac:dyDescent="0.25">
      <c r="A1268" t="s">
        <v>21</v>
      </c>
      <c r="B1268" t="s">
        <v>243</v>
      </c>
      <c r="C1268">
        <v>91002612</v>
      </c>
      <c r="D1268">
        <v>140</v>
      </c>
      <c r="E1268" s="4">
        <v>-2005336.87</v>
      </c>
      <c r="F1268" t="s">
        <v>80</v>
      </c>
      <c r="G1268">
        <v>0</v>
      </c>
      <c r="H1268" s="32" t="str">
        <f ca="1">+IF(B1268&gt;'sap nuevo'!$V$1,"cargar",IF(C1268="","cargar","pagado"))</f>
        <v>cargar</v>
      </c>
      <c r="I1268" s="32">
        <f t="shared" si="164"/>
        <v>2025</v>
      </c>
      <c r="J1268" s="32">
        <f t="shared" si="165"/>
        <v>10</v>
      </c>
    </row>
    <row r="1269" spans="1:10" x14ac:dyDescent="0.25">
      <c r="A1269" t="s">
        <v>21</v>
      </c>
      <c r="B1269" t="s">
        <v>243</v>
      </c>
      <c r="C1269">
        <v>91002593</v>
      </c>
      <c r="D1269">
        <v>140</v>
      </c>
      <c r="E1269" s="4">
        <v>-371468.4</v>
      </c>
      <c r="F1269" t="s">
        <v>80</v>
      </c>
      <c r="G1269">
        <v>0</v>
      </c>
      <c r="H1269" s="32" t="str">
        <f ca="1">+IF(B1269&gt;'sap nuevo'!$V$1,"cargar",IF(C1269="","cargar","pagado"))</f>
        <v>cargar</v>
      </c>
      <c r="I1269" s="32">
        <f t="shared" si="164"/>
        <v>2025</v>
      </c>
      <c r="J1269" s="32">
        <f t="shared" si="165"/>
        <v>10</v>
      </c>
    </row>
    <row r="1270" spans="1:10" x14ac:dyDescent="0.25">
      <c r="A1270" t="s">
        <v>1547</v>
      </c>
      <c r="B1270" t="s">
        <v>244</v>
      </c>
      <c r="C1270">
        <v>5312</v>
      </c>
      <c r="D1270">
        <v>89</v>
      </c>
      <c r="E1270" s="4">
        <v>5465592.1500000004</v>
      </c>
      <c r="F1270" t="s">
        <v>1578</v>
      </c>
      <c r="G1270">
        <v>6950</v>
      </c>
      <c r="H1270" s="32" t="str">
        <f ca="1">+IF(B1270&gt;'sap nuevo'!$V$1,"cargar",IF(C1270="","cargar","pagado"))</f>
        <v>cargar</v>
      </c>
      <c r="I1270" s="32">
        <f t="shared" ref="I1270:I1274" si="166">+YEAR(B1270)</f>
        <v>2025</v>
      </c>
      <c r="J1270" s="32">
        <f t="shared" ref="J1270:J1274" si="167">+MONTH(B1270)</f>
        <v>10</v>
      </c>
    </row>
    <row r="1271" spans="1:10" x14ac:dyDescent="0.25">
      <c r="A1271" t="s">
        <v>1547</v>
      </c>
      <c r="B1271" t="s">
        <v>244</v>
      </c>
      <c r="C1271">
        <v>5307</v>
      </c>
      <c r="D1271">
        <v>89</v>
      </c>
      <c r="E1271" s="4">
        <v>6007362.4000000004</v>
      </c>
      <c r="F1271" t="s">
        <v>1579</v>
      </c>
      <c r="G1271">
        <v>6950</v>
      </c>
      <c r="H1271" s="32" t="str">
        <f ca="1">+IF(B1271&gt;'sap nuevo'!$V$1,"cargar",IF(C1271="","cargar","pagado"))</f>
        <v>cargar</v>
      </c>
      <c r="I1271" s="32">
        <f t="shared" si="166"/>
        <v>2025</v>
      </c>
      <c r="J1271" s="32">
        <f t="shared" si="167"/>
        <v>10</v>
      </c>
    </row>
    <row r="1272" spans="1:10" x14ac:dyDescent="0.25">
      <c r="A1272" t="s">
        <v>873</v>
      </c>
      <c r="B1272" t="s">
        <v>244</v>
      </c>
      <c r="C1272">
        <v>1944</v>
      </c>
      <c r="D1272">
        <v>9999</v>
      </c>
      <c r="E1272" s="4">
        <v>-10907109.949999999</v>
      </c>
      <c r="F1272" t="s">
        <v>1580</v>
      </c>
      <c r="G1272">
        <v>3520</v>
      </c>
      <c r="H1272" s="32" t="str">
        <f ca="1">+IF(B1272&gt;'sap nuevo'!$V$1,"cargar",IF(C1272="","cargar","pagado"))</f>
        <v>cargar</v>
      </c>
      <c r="I1272" s="32">
        <f t="shared" si="166"/>
        <v>2025</v>
      </c>
      <c r="J1272" s="32">
        <f t="shared" si="167"/>
        <v>10</v>
      </c>
    </row>
    <row r="1273" spans="1:10" x14ac:dyDescent="0.25">
      <c r="A1273" t="s">
        <v>1581</v>
      </c>
      <c r="B1273" t="s">
        <v>244</v>
      </c>
      <c r="C1273">
        <v>11759147</v>
      </c>
      <c r="D1273">
        <v>89</v>
      </c>
      <c r="E1273" s="4">
        <v>2378754</v>
      </c>
      <c r="F1273" t="s">
        <v>1582</v>
      </c>
      <c r="G1273">
        <v>5214</v>
      </c>
      <c r="H1273" s="32" t="str">
        <f ca="1">+IF(B1273&gt;'sap nuevo'!$V$1,"cargar",IF(C1273="","cargar","pagado"))</f>
        <v>cargar</v>
      </c>
      <c r="I1273" s="32">
        <f t="shared" si="166"/>
        <v>2025</v>
      </c>
      <c r="J1273" s="32">
        <f t="shared" si="167"/>
        <v>10</v>
      </c>
    </row>
    <row r="1274" spans="1:10" x14ac:dyDescent="0.25">
      <c r="A1274" t="s">
        <v>1581</v>
      </c>
      <c r="B1274" t="s">
        <v>244</v>
      </c>
      <c r="C1274">
        <v>11759148</v>
      </c>
      <c r="D1274">
        <v>89</v>
      </c>
      <c r="E1274" s="4">
        <v>3191030.5</v>
      </c>
      <c r="F1274" t="s">
        <v>1582</v>
      </c>
      <c r="G1274">
        <v>5214</v>
      </c>
      <c r="H1274" s="32" t="str">
        <f ca="1">+IF(B1274&gt;'sap nuevo'!$V$1,"cargar",IF(C1274="","cargar","pagado"))</f>
        <v>cargar</v>
      </c>
      <c r="I1274" s="32">
        <f t="shared" si="166"/>
        <v>2025</v>
      </c>
      <c r="J1274" s="32">
        <f t="shared" si="167"/>
        <v>10</v>
      </c>
    </row>
    <row r="1275" spans="1:10" x14ac:dyDescent="0.25">
      <c r="A1275" t="s">
        <v>21</v>
      </c>
      <c r="B1275" t="s">
        <v>244</v>
      </c>
      <c r="C1275">
        <v>91002606</v>
      </c>
      <c r="D1275">
        <v>140</v>
      </c>
      <c r="E1275" s="4">
        <v>-15560571.51</v>
      </c>
      <c r="F1275" t="s">
        <v>80</v>
      </c>
      <c r="G1275">
        <v>0</v>
      </c>
      <c r="H1275" s="32" t="str">
        <f ca="1">+IF(B1275&gt;'sap nuevo'!$V$1,"cargar",IF(C1275="","cargar","pagado"))</f>
        <v>cargar</v>
      </c>
      <c r="I1275" s="32">
        <f t="shared" ref="I1275:I1309" si="168">+YEAR(B1275)</f>
        <v>2025</v>
      </c>
      <c r="J1275" s="32">
        <f t="shared" ref="J1275:J1309" si="169">+MONTH(B1275)</f>
        <v>10</v>
      </c>
    </row>
    <row r="1276" spans="1:10" x14ac:dyDescent="0.25">
      <c r="A1276" t="s">
        <v>12</v>
      </c>
      <c r="B1276" t="s">
        <v>244</v>
      </c>
      <c r="C1276">
        <v>91002598</v>
      </c>
      <c r="D1276">
        <v>140</v>
      </c>
      <c r="E1276" s="4">
        <v>-7154270.8200000003</v>
      </c>
      <c r="F1276" t="s">
        <v>82</v>
      </c>
      <c r="G1276">
        <v>0</v>
      </c>
      <c r="H1276" s="32" t="str">
        <f ca="1">+IF(B1276&gt;'sap nuevo'!$V$1,"cargar",IF(C1276="","cargar","pagado"))</f>
        <v>cargar</v>
      </c>
      <c r="I1276" s="32">
        <f t="shared" si="168"/>
        <v>2025</v>
      </c>
      <c r="J1276" s="32">
        <f t="shared" si="169"/>
        <v>10</v>
      </c>
    </row>
    <row r="1277" spans="1:10" x14ac:dyDescent="0.25">
      <c r="A1277" t="s">
        <v>21</v>
      </c>
      <c r="B1277" t="s">
        <v>244</v>
      </c>
      <c r="C1277">
        <v>91002603</v>
      </c>
      <c r="D1277">
        <v>140</v>
      </c>
      <c r="E1277" s="4">
        <v>-6601836.8399999999</v>
      </c>
      <c r="F1277" t="s">
        <v>80</v>
      </c>
      <c r="G1277">
        <v>0</v>
      </c>
      <c r="H1277" s="32" t="str">
        <f ca="1">+IF(B1277&gt;'sap nuevo'!$V$1,"cargar",IF(C1277="","cargar","pagado"))</f>
        <v>cargar</v>
      </c>
      <c r="I1277" s="32">
        <f t="shared" si="168"/>
        <v>2025</v>
      </c>
      <c r="J1277" s="32">
        <f t="shared" si="169"/>
        <v>10</v>
      </c>
    </row>
    <row r="1278" spans="1:10" x14ac:dyDescent="0.25">
      <c r="A1278" t="s">
        <v>21</v>
      </c>
      <c r="B1278" t="s">
        <v>244</v>
      </c>
      <c r="C1278">
        <v>91002613</v>
      </c>
      <c r="D1278">
        <v>140</v>
      </c>
      <c r="E1278" s="4">
        <v>-4076730.07</v>
      </c>
      <c r="F1278" t="s">
        <v>80</v>
      </c>
      <c r="G1278">
        <v>0</v>
      </c>
      <c r="H1278" s="32" t="str">
        <f ca="1">+IF(B1278&gt;'sap nuevo'!$V$1,"cargar",IF(C1278="","cargar","pagado"))</f>
        <v>cargar</v>
      </c>
      <c r="I1278" s="32">
        <f t="shared" si="168"/>
        <v>2025</v>
      </c>
      <c r="J1278" s="32">
        <f t="shared" si="169"/>
        <v>10</v>
      </c>
    </row>
    <row r="1279" spans="1:10" x14ac:dyDescent="0.25">
      <c r="A1279" t="s">
        <v>12</v>
      </c>
      <c r="B1279" t="s">
        <v>244</v>
      </c>
      <c r="C1279">
        <v>91002600</v>
      </c>
      <c r="D1279">
        <v>140</v>
      </c>
      <c r="E1279" s="4">
        <v>-2488253.4</v>
      </c>
      <c r="F1279" t="s">
        <v>82</v>
      </c>
      <c r="G1279">
        <v>0</v>
      </c>
      <c r="H1279" s="32" t="str">
        <f ca="1">+IF(B1279&gt;'sap nuevo'!$V$1,"cargar",IF(C1279="","cargar","pagado"))</f>
        <v>cargar</v>
      </c>
      <c r="I1279" s="32">
        <f t="shared" si="168"/>
        <v>2025</v>
      </c>
      <c r="J1279" s="32">
        <f t="shared" si="169"/>
        <v>10</v>
      </c>
    </row>
    <row r="1280" spans="1:10" x14ac:dyDescent="0.25">
      <c r="A1280" t="s">
        <v>21</v>
      </c>
      <c r="B1280" t="s">
        <v>245</v>
      </c>
      <c r="C1280">
        <v>91002621</v>
      </c>
      <c r="D1280">
        <v>140</v>
      </c>
      <c r="E1280" s="4">
        <v>-39545843.399999999</v>
      </c>
      <c r="F1280" t="s">
        <v>80</v>
      </c>
      <c r="G1280">
        <v>0</v>
      </c>
      <c r="H1280" s="32" t="str">
        <f ca="1">+IF(B1280&gt;'sap nuevo'!$V$1,"cargar",IF(C1280="","cargar","pagado"))</f>
        <v>cargar</v>
      </c>
      <c r="I1280" s="32">
        <f t="shared" si="168"/>
        <v>2025</v>
      </c>
      <c r="J1280" s="32">
        <f t="shared" si="169"/>
        <v>10</v>
      </c>
    </row>
    <row r="1281" spans="1:10" x14ac:dyDescent="0.25">
      <c r="A1281" t="s">
        <v>21</v>
      </c>
      <c r="B1281" t="s">
        <v>245</v>
      </c>
      <c r="C1281">
        <v>91002625</v>
      </c>
      <c r="D1281">
        <v>140</v>
      </c>
      <c r="E1281" s="4">
        <v>-25000000</v>
      </c>
      <c r="F1281" t="s">
        <v>80</v>
      </c>
      <c r="G1281">
        <v>0</v>
      </c>
      <c r="H1281" s="32" t="str">
        <f ca="1">+IF(B1281&gt;'sap nuevo'!$V$1,"cargar",IF(C1281="","cargar","pagado"))</f>
        <v>cargar</v>
      </c>
      <c r="I1281" s="32">
        <f t="shared" si="168"/>
        <v>2025</v>
      </c>
      <c r="J1281" s="32">
        <f t="shared" si="169"/>
        <v>10</v>
      </c>
    </row>
    <row r="1282" spans="1:10" x14ac:dyDescent="0.25">
      <c r="A1282" t="s">
        <v>12</v>
      </c>
      <c r="B1282" t="s">
        <v>245</v>
      </c>
      <c r="C1282">
        <v>91002623</v>
      </c>
      <c r="D1282">
        <v>140</v>
      </c>
      <c r="E1282" s="4">
        <v>-20564157.75</v>
      </c>
      <c r="F1282" t="s">
        <v>82</v>
      </c>
      <c r="G1282">
        <v>0</v>
      </c>
      <c r="H1282" s="32" t="str">
        <f ca="1">+IF(B1282&gt;'sap nuevo'!$V$1,"cargar",IF(C1282="","cargar","pagado"))</f>
        <v>cargar</v>
      </c>
      <c r="I1282" s="32">
        <f t="shared" si="168"/>
        <v>2025</v>
      </c>
      <c r="J1282" s="32">
        <f t="shared" si="169"/>
        <v>10</v>
      </c>
    </row>
    <row r="1283" spans="1:10" x14ac:dyDescent="0.25">
      <c r="A1283" t="s">
        <v>21</v>
      </c>
      <c r="B1283" t="s">
        <v>245</v>
      </c>
      <c r="C1283">
        <v>91002619</v>
      </c>
      <c r="D1283">
        <v>140</v>
      </c>
      <c r="E1283" s="4">
        <v>-15448101.4</v>
      </c>
      <c r="F1283" t="s">
        <v>80</v>
      </c>
      <c r="G1283">
        <v>0</v>
      </c>
      <c r="H1283" s="32" t="str">
        <f ca="1">+IF(B1283&gt;'sap nuevo'!$V$1,"cargar",IF(C1283="","cargar","pagado"))</f>
        <v>cargar</v>
      </c>
      <c r="I1283" s="32">
        <f t="shared" si="168"/>
        <v>2025</v>
      </c>
      <c r="J1283" s="32">
        <f t="shared" si="169"/>
        <v>10</v>
      </c>
    </row>
    <row r="1284" spans="1:10" x14ac:dyDescent="0.25">
      <c r="A1284" t="s">
        <v>12</v>
      </c>
      <c r="B1284" t="s">
        <v>245</v>
      </c>
      <c r="C1284">
        <v>91002618</v>
      </c>
      <c r="D1284">
        <v>140</v>
      </c>
      <c r="E1284" s="4">
        <v>-11796116.9</v>
      </c>
      <c r="F1284" t="s">
        <v>82</v>
      </c>
      <c r="G1284">
        <v>0</v>
      </c>
      <c r="H1284" s="32" t="str">
        <f ca="1">+IF(B1284&gt;'sap nuevo'!$V$1,"cargar",IF(C1284="","cargar","pagado"))</f>
        <v>cargar</v>
      </c>
      <c r="I1284" s="32">
        <f t="shared" si="168"/>
        <v>2025</v>
      </c>
      <c r="J1284" s="32">
        <f t="shared" si="169"/>
        <v>10</v>
      </c>
    </row>
    <row r="1285" spans="1:10" x14ac:dyDescent="0.25">
      <c r="A1285" t="s">
        <v>12</v>
      </c>
      <c r="B1285" t="s">
        <v>245</v>
      </c>
      <c r="C1285">
        <v>91002635</v>
      </c>
      <c r="D1285">
        <v>140</v>
      </c>
      <c r="E1285" s="4">
        <v>-11569191.08</v>
      </c>
      <c r="F1285" t="s">
        <v>82</v>
      </c>
      <c r="G1285">
        <v>0</v>
      </c>
      <c r="H1285" s="32" t="str">
        <f ca="1">+IF(B1285&gt;'sap nuevo'!$V$1,"cargar",IF(C1285="","cargar","pagado"))</f>
        <v>cargar</v>
      </c>
      <c r="I1285" s="32">
        <f t="shared" si="168"/>
        <v>2025</v>
      </c>
      <c r="J1285" s="32">
        <f t="shared" si="169"/>
        <v>10</v>
      </c>
    </row>
    <row r="1286" spans="1:10" x14ac:dyDescent="0.25">
      <c r="A1286" t="s">
        <v>12</v>
      </c>
      <c r="B1286" t="s">
        <v>245</v>
      </c>
      <c r="C1286">
        <v>91002624</v>
      </c>
      <c r="D1286">
        <v>140</v>
      </c>
      <c r="E1286" s="4">
        <v>-11232013.4</v>
      </c>
      <c r="F1286" t="s">
        <v>82</v>
      </c>
      <c r="G1286">
        <v>0</v>
      </c>
      <c r="H1286" s="32" t="str">
        <f ca="1">+IF(B1286&gt;'sap nuevo'!$V$1,"cargar",IF(C1286="","cargar","pagado"))</f>
        <v>cargar</v>
      </c>
      <c r="I1286" s="32">
        <f t="shared" si="168"/>
        <v>2025</v>
      </c>
      <c r="J1286" s="32">
        <f t="shared" si="169"/>
        <v>10</v>
      </c>
    </row>
    <row r="1287" spans="1:10" x14ac:dyDescent="0.25">
      <c r="A1287" t="s">
        <v>21</v>
      </c>
      <c r="B1287" t="s">
        <v>245</v>
      </c>
      <c r="C1287">
        <v>91002633</v>
      </c>
      <c r="D1287">
        <v>140</v>
      </c>
      <c r="E1287" s="4">
        <v>-10000000</v>
      </c>
      <c r="F1287" t="s">
        <v>80</v>
      </c>
      <c r="G1287">
        <v>0</v>
      </c>
      <c r="H1287" s="32" t="str">
        <f ca="1">+IF(B1287&gt;'sap nuevo'!$V$1,"cargar",IF(C1287="","cargar","pagado"))</f>
        <v>cargar</v>
      </c>
      <c r="I1287" s="32">
        <f t="shared" si="168"/>
        <v>2025</v>
      </c>
      <c r="J1287" s="32">
        <f t="shared" si="169"/>
        <v>10</v>
      </c>
    </row>
    <row r="1288" spans="1:10" x14ac:dyDescent="0.25">
      <c r="A1288" t="s">
        <v>21</v>
      </c>
      <c r="B1288" t="s">
        <v>245</v>
      </c>
      <c r="C1288">
        <v>91002626</v>
      </c>
      <c r="D1288">
        <v>140</v>
      </c>
      <c r="E1288" s="4">
        <v>-7354847</v>
      </c>
      <c r="F1288" t="s">
        <v>80</v>
      </c>
      <c r="G1288">
        <v>0</v>
      </c>
      <c r="H1288" s="32" t="str">
        <f ca="1">+IF(B1288&gt;'sap nuevo'!$V$1,"cargar",IF(C1288="","cargar","pagado"))</f>
        <v>cargar</v>
      </c>
      <c r="I1288" s="32">
        <f t="shared" si="168"/>
        <v>2025</v>
      </c>
      <c r="J1288" s="32">
        <f t="shared" si="169"/>
        <v>10</v>
      </c>
    </row>
    <row r="1289" spans="1:10" x14ac:dyDescent="0.25">
      <c r="A1289" t="s">
        <v>21</v>
      </c>
      <c r="B1289" t="s">
        <v>245</v>
      </c>
      <c r="C1289">
        <v>91002589</v>
      </c>
      <c r="D1289">
        <v>140</v>
      </c>
      <c r="E1289" s="4">
        <v>-5360525.8</v>
      </c>
      <c r="F1289" t="s">
        <v>80</v>
      </c>
      <c r="G1289">
        <v>0</v>
      </c>
      <c r="H1289" s="32" t="str">
        <f ca="1">+IF(B1289&gt;'sap nuevo'!$V$1,"cargar",IF(C1289="","cargar","pagado"))</f>
        <v>cargar</v>
      </c>
      <c r="I1289" s="32">
        <f t="shared" si="168"/>
        <v>2025</v>
      </c>
      <c r="J1289" s="32">
        <f t="shared" si="169"/>
        <v>10</v>
      </c>
    </row>
    <row r="1290" spans="1:10" x14ac:dyDescent="0.25">
      <c r="A1290" t="s">
        <v>21</v>
      </c>
      <c r="B1290" t="s">
        <v>246</v>
      </c>
      <c r="C1290">
        <v>91002629</v>
      </c>
      <c r="D1290">
        <v>140</v>
      </c>
      <c r="E1290" s="4">
        <v>-40000000</v>
      </c>
      <c r="F1290" t="s">
        <v>80</v>
      </c>
      <c r="G1290">
        <v>0</v>
      </c>
      <c r="H1290" s="32" t="str">
        <f ca="1">+IF(B1290&gt;'sap nuevo'!$V$1,"cargar",IF(C1290="","cargar","pagado"))</f>
        <v>cargar</v>
      </c>
      <c r="I1290" s="32">
        <f t="shared" si="168"/>
        <v>2025</v>
      </c>
      <c r="J1290" s="32">
        <f t="shared" si="169"/>
        <v>10</v>
      </c>
    </row>
    <row r="1291" spans="1:10" x14ac:dyDescent="0.25">
      <c r="A1291" t="s">
        <v>21</v>
      </c>
      <c r="B1291" t="s">
        <v>246</v>
      </c>
      <c r="C1291">
        <v>91002632</v>
      </c>
      <c r="D1291">
        <v>140</v>
      </c>
      <c r="E1291" s="4">
        <v>-19288256</v>
      </c>
      <c r="F1291" t="s">
        <v>80</v>
      </c>
      <c r="G1291">
        <v>0</v>
      </c>
      <c r="H1291" s="32" t="str">
        <f ca="1">+IF(B1291&gt;'sap nuevo'!$V$1,"cargar",IF(C1291="","cargar","pagado"))</f>
        <v>cargar</v>
      </c>
      <c r="I1291" s="32">
        <f t="shared" si="168"/>
        <v>2025</v>
      </c>
      <c r="J1291" s="32">
        <f t="shared" si="169"/>
        <v>10</v>
      </c>
    </row>
    <row r="1292" spans="1:10" x14ac:dyDescent="0.25">
      <c r="A1292" t="s">
        <v>21</v>
      </c>
      <c r="B1292" t="s">
        <v>246</v>
      </c>
      <c r="C1292">
        <v>91002631</v>
      </c>
      <c r="D1292">
        <v>140</v>
      </c>
      <c r="E1292" s="4">
        <v>-13452203.939999999</v>
      </c>
      <c r="F1292" t="s">
        <v>80</v>
      </c>
      <c r="G1292">
        <v>0</v>
      </c>
      <c r="H1292" s="32" t="str">
        <f ca="1">+IF(B1292&gt;'sap nuevo'!$V$1,"cargar",IF(C1292="","cargar","pagado"))</f>
        <v>cargar</v>
      </c>
      <c r="I1292" s="32">
        <f t="shared" si="168"/>
        <v>2025</v>
      </c>
      <c r="J1292" s="32">
        <f t="shared" si="169"/>
        <v>10</v>
      </c>
    </row>
    <row r="1293" spans="1:10" x14ac:dyDescent="0.25">
      <c r="A1293" t="s">
        <v>21</v>
      </c>
      <c r="B1293" t="s">
        <v>246</v>
      </c>
      <c r="C1293">
        <v>91002634</v>
      </c>
      <c r="D1293">
        <v>140</v>
      </c>
      <c r="E1293" s="4">
        <v>-9971314.4000000004</v>
      </c>
      <c r="F1293" t="s">
        <v>80</v>
      </c>
      <c r="G1293">
        <v>0</v>
      </c>
      <c r="H1293" s="32" t="str">
        <f ca="1">+IF(B1293&gt;'sap nuevo'!$V$1,"cargar",IF(C1293="","cargar","pagado"))</f>
        <v>cargar</v>
      </c>
      <c r="I1293" s="32">
        <f t="shared" si="168"/>
        <v>2025</v>
      </c>
      <c r="J1293" s="32">
        <f t="shared" si="169"/>
        <v>10</v>
      </c>
    </row>
    <row r="1294" spans="1:10" x14ac:dyDescent="0.25">
      <c r="A1294" t="s">
        <v>21</v>
      </c>
      <c r="B1294" t="s">
        <v>246</v>
      </c>
      <c r="C1294">
        <v>91002617</v>
      </c>
      <c r="D1294">
        <v>140</v>
      </c>
      <c r="E1294" s="4">
        <v>-7033365.29</v>
      </c>
      <c r="F1294" t="s">
        <v>80</v>
      </c>
      <c r="G1294">
        <v>0</v>
      </c>
      <c r="H1294" s="32" t="str">
        <f ca="1">+IF(B1294&gt;'sap nuevo'!$V$1,"cargar",IF(C1294="","cargar","pagado"))</f>
        <v>cargar</v>
      </c>
      <c r="I1294" s="32">
        <f t="shared" si="168"/>
        <v>2025</v>
      </c>
      <c r="J1294" s="32">
        <f t="shared" si="169"/>
        <v>10</v>
      </c>
    </row>
    <row r="1295" spans="1:10" x14ac:dyDescent="0.25">
      <c r="A1295" t="s">
        <v>12</v>
      </c>
      <c r="B1295" t="s">
        <v>246</v>
      </c>
      <c r="C1295">
        <v>40273002</v>
      </c>
      <c r="D1295">
        <v>140</v>
      </c>
      <c r="E1295" s="4">
        <v>-6529021.4199999999</v>
      </c>
      <c r="F1295" t="s">
        <v>82</v>
      </c>
      <c r="G1295">
        <v>0</v>
      </c>
      <c r="H1295" s="32" t="str">
        <f ca="1">+IF(B1295&gt;'sap nuevo'!$V$1,"cargar",IF(C1295="","cargar","pagado"))</f>
        <v>cargar</v>
      </c>
      <c r="I1295" s="32">
        <f t="shared" si="168"/>
        <v>2025</v>
      </c>
      <c r="J1295" s="32">
        <f t="shared" si="169"/>
        <v>10</v>
      </c>
    </row>
    <row r="1296" spans="1:10" x14ac:dyDescent="0.25">
      <c r="A1296" t="s">
        <v>12</v>
      </c>
      <c r="B1296" t="s">
        <v>246</v>
      </c>
      <c r="C1296">
        <v>40272998</v>
      </c>
      <c r="D1296">
        <v>140</v>
      </c>
      <c r="E1296" s="4">
        <v>-6500000</v>
      </c>
      <c r="F1296" t="s">
        <v>82</v>
      </c>
      <c r="G1296">
        <v>0</v>
      </c>
      <c r="H1296" s="32" t="str">
        <f ca="1">+IF(B1296&gt;'sap nuevo'!$V$1,"cargar",IF(C1296="","cargar","pagado"))</f>
        <v>cargar</v>
      </c>
      <c r="I1296" s="32">
        <f t="shared" si="168"/>
        <v>2025</v>
      </c>
      <c r="J1296" s="32">
        <f t="shared" si="169"/>
        <v>10</v>
      </c>
    </row>
    <row r="1297" spans="1:10" x14ac:dyDescent="0.25">
      <c r="A1297" t="s">
        <v>12</v>
      </c>
      <c r="B1297" t="s">
        <v>246</v>
      </c>
      <c r="C1297">
        <v>40272999</v>
      </c>
      <c r="D1297">
        <v>140</v>
      </c>
      <c r="E1297" s="4">
        <v>-6500000</v>
      </c>
      <c r="F1297" t="s">
        <v>82</v>
      </c>
      <c r="G1297">
        <v>0</v>
      </c>
      <c r="H1297" s="32" t="str">
        <f ca="1">+IF(B1297&gt;'sap nuevo'!$V$1,"cargar",IF(C1297="","cargar","pagado"))</f>
        <v>cargar</v>
      </c>
      <c r="I1297" s="32">
        <f t="shared" si="168"/>
        <v>2025</v>
      </c>
      <c r="J1297" s="32">
        <f t="shared" si="169"/>
        <v>10</v>
      </c>
    </row>
    <row r="1298" spans="1:10" x14ac:dyDescent="0.25">
      <c r="A1298" t="s">
        <v>21</v>
      </c>
      <c r="B1298" t="s">
        <v>246</v>
      </c>
      <c r="C1298">
        <v>91002622</v>
      </c>
      <c r="D1298">
        <v>140</v>
      </c>
      <c r="E1298" s="4">
        <v>-5643710.7199999997</v>
      </c>
      <c r="F1298" t="s">
        <v>80</v>
      </c>
      <c r="G1298">
        <v>0</v>
      </c>
      <c r="H1298" s="32" t="str">
        <f ca="1">+IF(B1298&gt;'sap nuevo'!$V$1,"cargar",IF(C1298="","cargar","pagado"))</f>
        <v>cargar</v>
      </c>
      <c r="I1298" s="32">
        <f t="shared" si="168"/>
        <v>2025</v>
      </c>
      <c r="J1298" s="32">
        <f t="shared" si="169"/>
        <v>10</v>
      </c>
    </row>
    <row r="1299" spans="1:10" x14ac:dyDescent="0.25">
      <c r="A1299" t="s">
        <v>21</v>
      </c>
      <c r="B1299" t="s">
        <v>246</v>
      </c>
      <c r="C1299">
        <v>91002620</v>
      </c>
      <c r="D1299">
        <v>140</v>
      </c>
      <c r="E1299" s="4">
        <v>-4624515.1900000004</v>
      </c>
      <c r="F1299" t="s">
        <v>80</v>
      </c>
      <c r="G1299">
        <v>0</v>
      </c>
      <c r="H1299" s="32" t="str">
        <f ca="1">+IF(B1299&gt;'sap nuevo'!$V$1,"cargar",IF(C1299="","cargar","pagado"))</f>
        <v>cargar</v>
      </c>
      <c r="I1299" s="32">
        <f t="shared" si="168"/>
        <v>2025</v>
      </c>
      <c r="J1299" s="32">
        <f t="shared" si="169"/>
        <v>10</v>
      </c>
    </row>
    <row r="1300" spans="1:10" x14ac:dyDescent="0.25">
      <c r="A1300" t="s">
        <v>12</v>
      </c>
      <c r="B1300" t="s">
        <v>246</v>
      </c>
      <c r="C1300">
        <v>91002636</v>
      </c>
      <c r="D1300">
        <v>140</v>
      </c>
      <c r="E1300" s="4">
        <v>-4563271.5999999996</v>
      </c>
      <c r="F1300" t="s">
        <v>82</v>
      </c>
      <c r="G1300">
        <v>0</v>
      </c>
      <c r="H1300" s="32" t="str">
        <f ca="1">+IF(B1300&gt;'sap nuevo'!$V$1,"cargar",IF(C1300="","cargar","pagado"))</f>
        <v>cargar</v>
      </c>
      <c r="I1300" s="32">
        <f t="shared" si="168"/>
        <v>2025</v>
      </c>
      <c r="J1300" s="32">
        <f t="shared" si="169"/>
        <v>10</v>
      </c>
    </row>
    <row r="1301" spans="1:10" x14ac:dyDescent="0.25">
      <c r="A1301" t="s">
        <v>21</v>
      </c>
      <c r="B1301" t="s">
        <v>246</v>
      </c>
      <c r="C1301">
        <v>91002628</v>
      </c>
      <c r="D1301">
        <v>140</v>
      </c>
      <c r="E1301" s="4">
        <v>-2200000</v>
      </c>
      <c r="F1301" t="s">
        <v>80</v>
      </c>
      <c r="G1301">
        <v>0</v>
      </c>
      <c r="H1301" s="32" t="str">
        <f ca="1">+IF(B1301&gt;'sap nuevo'!$V$1,"cargar",IF(C1301="","cargar","pagado"))</f>
        <v>cargar</v>
      </c>
      <c r="I1301" s="32">
        <f t="shared" si="168"/>
        <v>2025</v>
      </c>
      <c r="J1301" s="32">
        <f t="shared" si="169"/>
        <v>10</v>
      </c>
    </row>
    <row r="1302" spans="1:10" x14ac:dyDescent="0.25">
      <c r="A1302" t="s">
        <v>21</v>
      </c>
      <c r="B1302" t="s">
        <v>246</v>
      </c>
      <c r="C1302">
        <v>91002594</v>
      </c>
      <c r="D1302">
        <v>140</v>
      </c>
      <c r="E1302" s="4">
        <v>-480143.4</v>
      </c>
      <c r="F1302" t="s">
        <v>80</v>
      </c>
      <c r="G1302">
        <v>0</v>
      </c>
      <c r="H1302" s="32" t="str">
        <f ca="1">+IF(B1302&gt;'sap nuevo'!$V$1,"cargar",IF(C1302="","cargar","pagado"))</f>
        <v>cargar</v>
      </c>
      <c r="I1302" s="32">
        <f t="shared" si="168"/>
        <v>2025</v>
      </c>
      <c r="J1302" s="32">
        <f t="shared" si="169"/>
        <v>10</v>
      </c>
    </row>
    <row r="1303" spans="1:10" x14ac:dyDescent="0.25">
      <c r="A1303" t="s">
        <v>873</v>
      </c>
      <c r="B1303" t="s">
        <v>1583</v>
      </c>
      <c r="C1303">
        <v>1846</v>
      </c>
      <c r="D1303">
        <v>9999</v>
      </c>
      <c r="E1303" s="4">
        <v>-290000000</v>
      </c>
      <c r="F1303" t="s">
        <v>1584</v>
      </c>
      <c r="G1303">
        <v>3520</v>
      </c>
      <c r="H1303" s="32" t="str">
        <f ca="1">+IF(B1303&gt;'sap nuevo'!$V$1,"cargar",IF(C1303="","cargar","pagado"))</f>
        <v>cargar</v>
      </c>
      <c r="I1303" s="32">
        <f t="shared" si="168"/>
        <v>2025</v>
      </c>
      <c r="J1303" s="32">
        <f t="shared" si="169"/>
        <v>10</v>
      </c>
    </row>
    <row r="1304" spans="1:10" x14ac:dyDescent="0.25">
      <c r="A1304" t="s">
        <v>873</v>
      </c>
      <c r="B1304" t="s">
        <v>1583</v>
      </c>
      <c r="C1304">
        <v>1847</v>
      </c>
      <c r="D1304">
        <v>9999</v>
      </c>
      <c r="E1304" s="4">
        <v>-290000000</v>
      </c>
      <c r="F1304" t="s">
        <v>1585</v>
      </c>
      <c r="G1304">
        <v>3520</v>
      </c>
      <c r="H1304" s="32" t="str">
        <f ca="1">+IF(B1304&gt;'sap nuevo'!$V$1,"cargar",IF(C1304="","cargar","pagado"))</f>
        <v>cargar</v>
      </c>
      <c r="I1304" s="32">
        <f t="shared" si="168"/>
        <v>2025</v>
      </c>
      <c r="J1304" s="32">
        <f t="shared" si="169"/>
        <v>10</v>
      </c>
    </row>
    <row r="1305" spans="1:10" x14ac:dyDescent="0.25">
      <c r="A1305" t="s">
        <v>873</v>
      </c>
      <c r="B1305" t="s">
        <v>1583</v>
      </c>
      <c r="C1305">
        <v>1845</v>
      </c>
      <c r="D1305">
        <v>9999</v>
      </c>
      <c r="E1305" s="4">
        <v>-290000000</v>
      </c>
      <c r="F1305" t="s">
        <v>1586</v>
      </c>
      <c r="G1305">
        <v>3520</v>
      </c>
      <c r="H1305" s="32" t="str">
        <f ca="1">+IF(B1305&gt;'sap nuevo'!$V$1,"cargar",IF(C1305="","cargar","pagado"))</f>
        <v>cargar</v>
      </c>
      <c r="I1305" s="32">
        <f t="shared" si="168"/>
        <v>2025</v>
      </c>
      <c r="J1305" s="32">
        <f t="shared" si="169"/>
        <v>10</v>
      </c>
    </row>
    <row r="1306" spans="1:10" x14ac:dyDescent="0.25">
      <c r="A1306" t="s">
        <v>873</v>
      </c>
      <c r="B1306" t="s">
        <v>1583</v>
      </c>
      <c r="C1306">
        <v>1970</v>
      </c>
      <c r="D1306">
        <v>9999</v>
      </c>
      <c r="E1306" s="4">
        <v>-171839244.43000001</v>
      </c>
      <c r="F1306" t="s">
        <v>1587</v>
      </c>
      <c r="G1306">
        <v>3520</v>
      </c>
      <c r="H1306" s="32" t="str">
        <f ca="1">+IF(B1306&gt;'sap nuevo'!$V$1,"cargar",IF(C1306="","cargar","pagado"))</f>
        <v>cargar</v>
      </c>
      <c r="I1306" s="32">
        <f t="shared" si="168"/>
        <v>2025</v>
      </c>
      <c r="J1306" s="32">
        <f t="shared" si="169"/>
        <v>10</v>
      </c>
    </row>
    <row r="1307" spans="1:10" x14ac:dyDescent="0.25">
      <c r="A1307" t="s">
        <v>873</v>
      </c>
      <c r="B1307" t="s">
        <v>1583</v>
      </c>
      <c r="C1307">
        <v>1975</v>
      </c>
      <c r="D1307">
        <v>9999</v>
      </c>
      <c r="E1307" s="4">
        <v>-31694880</v>
      </c>
      <c r="F1307" t="s">
        <v>1588</v>
      </c>
      <c r="G1307">
        <v>3520</v>
      </c>
      <c r="H1307" s="32" t="str">
        <f ca="1">+IF(B1307&gt;'sap nuevo'!$V$1,"cargar",IF(C1307="","cargar","pagado"))</f>
        <v>cargar</v>
      </c>
      <c r="I1307" s="32">
        <f t="shared" si="168"/>
        <v>2025</v>
      </c>
      <c r="J1307" s="32">
        <f t="shared" si="169"/>
        <v>10</v>
      </c>
    </row>
    <row r="1308" spans="1:10" x14ac:dyDescent="0.25">
      <c r="A1308" t="s">
        <v>873</v>
      </c>
      <c r="B1308" t="s">
        <v>1583</v>
      </c>
      <c r="C1308">
        <v>1968</v>
      </c>
      <c r="D1308">
        <v>9999</v>
      </c>
      <c r="E1308" s="4">
        <v>-10672297.539999999</v>
      </c>
      <c r="F1308" t="s">
        <v>1589</v>
      </c>
      <c r="G1308">
        <v>3520</v>
      </c>
      <c r="H1308" s="32" t="str">
        <f ca="1">+IF(B1308&gt;'sap nuevo'!$V$1,"cargar",IF(C1308="","cargar","pagado"))</f>
        <v>cargar</v>
      </c>
      <c r="I1308" s="32">
        <f t="shared" si="168"/>
        <v>2025</v>
      </c>
      <c r="J1308" s="32">
        <f t="shared" si="169"/>
        <v>10</v>
      </c>
    </row>
    <row r="1309" spans="1:10" x14ac:dyDescent="0.25">
      <c r="A1309" t="s">
        <v>873</v>
      </c>
      <c r="B1309" t="s">
        <v>1583</v>
      </c>
      <c r="C1309">
        <v>1960</v>
      </c>
      <c r="D1309">
        <v>9999</v>
      </c>
      <c r="E1309" s="4">
        <v>-6514497.2400000002</v>
      </c>
      <c r="F1309" t="s">
        <v>1590</v>
      </c>
      <c r="G1309">
        <v>3520</v>
      </c>
      <c r="H1309" s="32" t="str">
        <f ca="1">+IF(B1309&gt;'sap nuevo'!$V$1,"cargar",IF(C1309="","cargar","pagado"))</f>
        <v>cargar</v>
      </c>
      <c r="I1309" s="32">
        <f t="shared" si="168"/>
        <v>2025</v>
      </c>
      <c r="J1309" s="32">
        <f t="shared" si="169"/>
        <v>10</v>
      </c>
    </row>
    <row r="1310" spans="1:10" x14ac:dyDescent="0.25">
      <c r="A1310" t="s">
        <v>873</v>
      </c>
      <c r="B1310" t="s">
        <v>1583</v>
      </c>
      <c r="C1310">
        <v>1969</v>
      </c>
      <c r="D1310">
        <v>9999</v>
      </c>
      <c r="E1310" s="4">
        <v>-3623280.53</v>
      </c>
      <c r="F1310" t="s">
        <v>1591</v>
      </c>
      <c r="G1310">
        <v>3520</v>
      </c>
      <c r="H1310" s="32" t="str">
        <f ca="1">+IF(B1310&gt;'sap nuevo'!$V$1,"cargar",IF(C1310="","cargar","pagado"))</f>
        <v>cargar</v>
      </c>
      <c r="I1310" s="32">
        <f t="shared" ref="I1310:I1316" si="170">+YEAR(B1310)</f>
        <v>2025</v>
      </c>
      <c r="J1310" s="32">
        <f t="shared" ref="J1310:J1316" si="171">+MONTH(B1310)</f>
        <v>10</v>
      </c>
    </row>
    <row r="1311" spans="1:10" x14ac:dyDescent="0.25">
      <c r="A1311" t="s">
        <v>877</v>
      </c>
      <c r="B1311" t="s">
        <v>1583</v>
      </c>
      <c r="C1311">
        <v>1974</v>
      </c>
      <c r="D1311">
        <v>9999</v>
      </c>
      <c r="E1311" s="4">
        <v>-298086429.85000002</v>
      </c>
      <c r="F1311" t="s">
        <v>1592</v>
      </c>
      <c r="G1311">
        <v>1385</v>
      </c>
      <c r="H1311" s="32" t="str">
        <f ca="1">+IF(B1311&gt;'sap nuevo'!$V$1,"cargar",IF(C1311="","cargar","pagado"))</f>
        <v>cargar</v>
      </c>
      <c r="I1311" s="32">
        <f t="shared" si="170"/>
        <v>2025</v>
      </c>
      <c r="J1311" s="32">
        <f t="shared" si="171"/>
        <v>10</v>
      </c>
    </row>
    <row r="1312" spans="1:10" x14ac:dyDescent="0.25">
      <c r="A1312" t="s">
        <v>877</v>
      </c>
      <c r="B1312" t="s">
        <v>1583</v>
      </c>
      <c r="C1312">
        <v>1971</v>
      </c>
      <c r="D1312">
        <v>9999</v>
      </c>
      <c r="E1312" s="4">
        <v>-87931427.349999994</v>
      </c>
      <c r="F1312" t="s">
        <v>1593</v>
      </c>
      <c r="G1312">
        <v>1385</v>
      </c>
      <c r="H1312" s="32" t="str">
        <f ca="1">+IF(B1312&gt;'sap nuevo'!$V$1,"cargar",IF(C1312="","cargar","pagado"))</f>
        <v>cargar</v>
      </c>
      <c r="I1312" s="32">
        <f t="shared" si="170"/>
        <v>2025</v>
      </c>
      <c r="J1312" s="32">
        <f t="shared" si="171"/>
        <v>10</v>
      </c>
    </row>
    <row r="1313" spans="1:10" x14ac:dyDescent="0.25">
      <c r="A1313" t="s">
        <v>877</v>
      </c>
      <c r="B1313" t="s">
        <v>1583</v>
      </c>
      <c r="C1313">
        <v>1972</v>
      </c>
      <c r="D1313">
        <v>9999</v>
      </c>
      <c r="E1313" s="4">
        <v>-75061784.799999997</v>
      </c>
      <c r="F1313" t="s">
        <v>1594</v>
      </c>
      <c r="G1313">
        <v>1385</v>
      </c>
      <c r="H1313" s="32" t="str">
        <f ca="1">+IF(B1313&gt;'sap nuevo'!$V$1,"cargar",IF(C1313="","cargar","pagado"))</f>
        <v>cargar</v>
      </c>
      <c r="I1313" s="32">
        <f t="shared" si="170"/>
        <v>2025</v>
      </c>
      <c r="J1313" s="32">
        <f t="shared" si="171"/>
        <v>10</v>
      </c>
    </row>
    <row r="1314" spans="1:10" x14ac:dyDescent="0.25">
      <c r="A1314" t="s">
        <v>877</v>
      </c>
      <c r="B1314" t="s">
        <v>1583</v>
      </c>
      <c r="C1314">
        <v>1961</v>
      </c>
      <c r="D1314">
        <v>9999</v>
      </c>
      <c r="E1314" s="4">
        <v>-9581060.7699999996</v>
      </c>
      <c r="F1314" t="s">
        <v>1595</v>
      </c>
      <c r="G1314">
        <v>1385</v>
      </c>
      <c r="H1314" s="32" t="str">
        <f ca="1">+IF(B1314&gt;'sap nuevo'!$V$1,"cargar",IF(C1314="","cargar","pagado"))</f>
        <v>cargar</v>
      </c>
      <c r="I1314" s="32">
        <f t="shared" si="170"/>
        <v>2025</v>
      </c>
      <c r="J1314" s="32">
        <f t="shared" si="171"/>
        <v>10</v>
      </c>
    </row>
    <row r="1315" spans="1:10" x14ac:dyDescent="0.25">
      <c r="A1315" t="s">
        <v>877</v>
      </c>
      <c r="B1315" t="s">
        <v>1583</v>
      </c>
      <c r="C1315">
        <v>1966</v>
      </c>
      <c r="D1315">
        <v>9999</v>
      </c>
      <c r="E1315" s="4">
        <v>-4259943.16</v>
      </c>
      <c r="F1315" t="s">
        <v>1596</v>
      </c>
      <c r="G1315">
        <v>1385</v>
      </c>
      <c r="H1315" s="32" t="str">
        <f ca="1">+IF(B1315&gt;'sap nuevo'!$V$1,"cargar",IF(C1315="","cargar","pagado"))</f>
        <v>cargar</v>
      </c>
      <c r="I1315" s="32">
        <f t="shared" si="170"/>
        <v>2025</v>
      </c>
      <c r="J1315" s="32">
        <f t="shared" si="171"/>
        <v>10</v>
      </c>
    </row>
    <row r="1316" spans="1:10" x14ac:dyDescent="0.25">
      <c r="A1316" t="s">
        <v>877</v>
      </c>
      <c r="B1316" t="s">
        <v>1583</v>
      </c>
      <c r="C1316">
        <v>1959</v>
      </c>
      <c r="D1316">
        <v>9999</v>
      </c>
      <c r="E1316" s="4">
        <v>-2845827.42</v>
      </c>
      <c r="F1316" t="s">
        <v>1597</v>
      </c>
      <c r="G1316">
        <v>1385</v>
      </c>
      <c r="H1316" s="32" t="str">
        <f ca="1">+IF(B1316&gt;'sap nuevo'!$V$1,"cargar",IF(C1316="","cargar","pagado"))</f>
        <v>cargar</v>
      </c>
      <c r="I1316" s="32">
        <f t="shared" si="170"/>
        <v>2025</v>
      </c>
      <c r="J1316" s="32">
        <f t="shared" si="171"/>
        <v>10</v>
      </c>
    </row>
    <row r="1317" spans="1:10" x14ac:dyDescent="0.25">
      <c r="A1317" t="s">
        <v>21</v>
      </c>
      <c r="B1317" t="s">
        <v>1598</v>
      </c>
      <c r="C1317">
        <v>91002630</v>
      </c>
      <c r="D1317">
        <v>140</v>
      </c>
      <c r="E1317" s="4">
        <v>-43738239.719999999</v>
      </c>
      <c r="F1317" t="s">
        <v>80</v>
      </c>
      <c r="G1317">
        <v>0</v>
      </c>
      <c r="H1317" s="32" t="str">
        <f ca="1">+IF(B1317&gt;'sap nuevo'!$V$1,"cargar",IF(C1317="","cargar","pagado"))</f>
        <v>cargar</v>
      </c>
      <c r="I1317" s="32">
        <f t="shared" ref="I1317:I1320" si="172">+YEAR(B1317)</f>
        <v>2025</v>
      </c>
      <c r="J1317" s="32">
        <f t="shared" ref="J1317:J1320" si="173">+MONTH(B1317)</f>
        <v>10</v>
      </c>
    </row>
    <row r="1318" spans="1:10" x14ac:dyDescent="0.25">
      <c r="A1318" t="s">
        <v>21</v>
      </c>
      <c r="B1318" t="s">
        <v>1583</v>
      </c>
      <c r="C1318">
        <v>91002452</v>
      </c>
      <c r="D1318">
        <v>140</v>
      </c>
      <c r="E1318" s="4">
        <v>-3571963.49</v>
      </c>
      <c r="F1318" t="s">
        <v>80</v>
      </c>
      <c r="G1318">
        <v>0</v>
      </c>
      <c r="H1318" s="32" t="str">
        <f ca="1">+IF(B1318&gt;'sap nuevo'!$V$1,"cargar",IF(C1318="","cargar","pagado"))</f>
        <v>cargar</v>
      </c>
      <c r="I1318" s="32">
        <f t="shared" si="172"/>
        <v>2025</v>
      </c>
      <c r="J1318" s="32">
        <f t="shared" si="173"/>
        <v>10</v>
      </c>
    </row>
    <row r="1319" spans="1:10" x14ac:dyDescent="0.25">
      <c r="A1319" t="s">
        <v>21</v>
      </c>
      <c r="B1319" t="s">
        <v>1583</v>
      </c>
      <c r="C1319">
        <v>91002627</v>
      </c>
      <c r="D1319">
        <v>140</v>
      </c>
      <c r="E1319" s="4">
        <v>-3522329</v>
      </c>
      <c r="F1319" t="s">
        <v>80</v>
      </c>
      <c r="G1319">
        <v>0</v>
      </c>
      <c r="H1319" s="32" t="str">
        <f ca="1">+IF(B1319&gt;'sap nuevo'!$V$1,"cargar",IF(C1319="","cargar","pagado"))</f>
        <v>cargar</v>
      </c>
      <c r="I1319" s="32">
        <f t="shared" si="172"/>
        <v>2025</v>
      </c>
      <c r="J1319" s="32">
        <f t="shared" si="173"/>
        <v>10</v>
      </c>
    </row>
    <row r="1320" spans="1:10" x14ac:dyDescent="0.25">
      <c r="A1320" t="s">
        <v>21</v>
      </c>
      <c r="B1320" t="s">
        <v>1583</v>
      </c>
      <c r="C1320">
        <v>40272996</v>
      </c>
      <c r="D1320">
        <v>140</v>
      </c>
      <c r="E1320" s="4">
        <v>-1377457.24</v>
      </c>
      <c r="F1320" t="s">
        <v>80</v>
      </c>
      <c r="G1320">
        <v>0</v>
      </c>
      <c r="H1320" s="32" t="str">
        <f ca="1">+IF(B1320&gt;'sap nuevo'!$V$1,"cargar",IF(C1320="","cargar","pagado"))</f>
        <v>cargar</v>
      </c>
      <c r="I1320" s="32">
        <f t="shared" si="172"/>
        <v>2025</v>
      </c>
      <c r="J1320" s="32">
        <f t="shared" si="173"/>
        <v>10</v>
      </c>
    </row>
    <row r="1321" spans="1:10" x14ac:dyDescent="0.25">
      <c r="A1321" t="s">
        <v>1547</v>
      </c>
      <c r="B1321" t="s">
        <v>247</v>
      </c>
      <c r="C1321">
        <v>5334</v>
      </c>
      <c r="D1321">
        <v>89</v>
      </c>
      <c r="E1321" s="4">
        <v>4774675.12</v>
      </c>
      <c r="F1321" t="s">
        <v>1599</v>
      </c>
      <c r="G1321">
        <v>6950</v>
      </c>
      <c r="H1321" s="32" t="str">
        <f ca="1">+IF(B1321&gt;'sap nuevo'!$V$1,"cargar",IF(C1321="","cargar","pagado"))</f>
        <v>cargar</v>
      </c>
      <c r="I1321" s="32">
        <f t="shared" ref="I1321:I1332" si="174">+YEAR(B1321)</f>
        <v>2025</v>
      </c>
      <c r="J1321" s="32">
        <f t="shared" ref="J1321:J1332" si="175">+MONTH(B1321)</f>
        <v>10</v>
      </c>
    </row>
    <row r="1322" spans="1:10" x14ac:dyDescent="0.25">
      <c r="A1322" t="s">
        <v>1547</v>
      </c>
      <c r="B1322" t="s">
        <v>247</v>
      </c>
      <c r="C1322">
        <v>5332</v>
      </c>
      <c r="D1322">
        <v>89</v>
      </c>
      <c r="E1322" s="4">
        <v>5471348.4299999997</v>
      </c>
      <c r="F1322" t="s">
        <v>1600</v>
      </c>
      <c r="G1322">
        <v>6950</v>
      </c>
      <c r="H1322" s="32" t="str">
        <f ca="1">+IF(B1322&gt;'sap nuevo'!$V$1,"cargar",IF(C1322="","cargar","pagado"))</f>
        <v>cargar</v>
      </c>
      <c r="I1322" s="32">
        <f t="shared" si="174"/>
        <v>2025</v>
      </c>
      <c r="J1322" s="32">
        <f t="shared" si="175"/>
        <v>10</v>
      </c>
    </row>
    <row r="1323" spans="1:10" x14ac:dyDescent="0.25">
      <c r="A1323" t="s">
        <v>1547</v>
      </c>
      <c r="B1323" t="s">
        <v>247</v>
      </c>
      <c r="C1323">
        <v>5330</v>
      </c>
      <c r="D1323">
        <v>89</v>
      </c>
      <c r="E1323" s="4">
        <v>5481904.0800000001</v>
      </c>
      <c r="F1323" t="s">
        <v>1601</v>
      </c>
      <c r="G1323">
        <v>6950</v>
      </c>
      <c r="H1323" s="32" t="str">
        <f ca="1">+IF(B1323&gt;'sap nuevo'!$V$1,"cargar",IF(C1323="","cargar","pagado"))</f>
        <v>cargar</v>
      </c>
      <c r="I1323" s="32">
        <f t="shared" si="174"/>
        <v>2025</v>
      </c>
      <c r="J1323" s="32">
        <f t="shared" si="175"/>
        <v>10</v>
      </c>
    </row>
    <row r="1324" spans="1:10" x14ac:dyDescent="0.25">
      <c r="A1324" t="s">
        <v>877</v>
      </c>
      <c r="B1324" t="s">
        <v>247</v>
      </c>
      <c r="C1324">
        <v>1942</v>
      </c>
      <c r="D1324">
        <v>9999</v>
      </c>
      <c r="E1324" s="4">
        <v>-11549825.25</v>
      </c>
      <c r="F1324" t="s">
        <v>1602</v>
      </c>
      <c r="G1324">
        <v>1385</v>
      </c>
      <c r="H1324" s="32" t="str">
        <f ca="1">+IF(B1324&gt;'sap nuevo'!$V$1,"cargar",IF(C1324="","cargar","pagado"))</f>
        <v>cargar</v>
      </c>
      <c r="I1324" s="32">
        <f t="shared" si="174"/>
        <v>2025</v>
      </c>
      <c r="J1324" s="32">
        <f t="shared" si="175"/>
        <v>10</v>
      </c>
    </row>
    <row r="1325" spans="1:10" x14ac:dyDescent="0.25">
      <c r="A1325" t="s">
        <v>877</v>
      </c>
      <c r="B1325" t="s">
        <v>247</v>
      </c>
      <c r="C1325">
        <v>1958</v>
      </c>
      <c r="D1325">
        <v>9999</v>
      </c>
      <c r="E1325" s="4">
        <v>-7068164.5099999998</v>
      </c>
      <c r="F1325" t="s">
        <v>1603</v>
      </c>
      <c r="G1325">
        <v>1385</v>
      </c>
      <c r="H1325" s="32" t="str">
        <f ca="1">+IF(B1325&gt;'sap nuevo'!$V$1,"cargar",IF(C1325="","cargar","pagado"))</f>
        <v>cargar</v>
      </c>
      <c r="I1325" s="32">
        <f t="shared" si="174"/>
        <v>2025</v>
      </c>
      <c r="J1325" s="32">
        <f t="shared" si="175"/>
        <v>10</v>
      </c>
    </row>
    <row r="1326" spans="1:10" x14ac:dyDescent="0.25">
      <c r="A1326" t="s">
        <v>877</v>
      </c>
      <c r="B1326" t="s">
        <v>247</v>
      </c>
      <c r="C1326">
        <v>1962</v>
      </c>
      <c r="D1326">
        <v>9999</v>
      </c>
      <c r="E1326" s="4">
        <v>-5352312.47</v>
      </c>
      <c r="F1326" t="s">
        <v>1604</v>
      </c>
      <c r="G1326">
        <v>1385</v>
      </c>
      <c r="H1326" s="32" t="str">
        <f ca="1">+IF(B1326&gt;'sap nuevo'!$V$1,"cargar",IF(C1326="","cargar","pagado"))</f>
        <v>cargar</v>
      </c>
      <c r="I1326" s="32">
        <f t="shared" si="174"/>
        <v>2025</v>
      </c>
      <c r="J1326" s="32">
        <f t="shared" si="175"/>
        <v>10</v>
      </c>
    </row>
    <row r="1327" spans="1:10" x14ac:dyDescent="0.25">
      <c r="A1327" t="s">
        <v>877</v>
      </c>
      <c r="B1327" t="s">
        <v>248</v>
      </c>
      <c r="C1327">
        <v>1973</v>
      </c>
      <c r="D1327">
        <v>9999</v>
      </c>
      <c r="E1327" s="4">
        <v>-138632171.44</v>
      </c>
      <c r="F1327" t="s">
        <v>1605</v>
      </c>
      <c r="G1327">
        <v>1385</v>
      </c>
      <c r="H1327" s="32" t="str">
        <f ca="1">+IF(B1327&gt;'sap nuevo'!$V$1,"cargar",IF(C1327="","cargar","pagado"))</f>
        <v>cargar</v>
      </c>
      <c r="I1327" s="32">
        <f t="shared" si="174"/>
        <v>2025</v>
      </c>
      <c r="J1327" s="32">
        <f t="shared" si="175"/>
        <v>10</v>
      </c>
    </row>
    <row r="1328" spans="1:10" x14ac:dyDescent="0.25">
      <c r="A1328" t="s">
        <v>877</v>
      </c>
      <c r="B1328" t="s">
        <v>248</v>
      </c>
      <c r="C1328">
        <v>1963</v>
      </c>
      <c r="D1328">
        <v>9999</v>
      </c>
      <c r="E1328" s="4">
        <v>-2798259.39</v>
      </c>
      <c r="F1328" t="s">
        <v>1606</v>
      </c>
      <c r="G1328">
        <v>1385</v>
      </c>
      <c r="H1328" s="32" t="str">
        <f ca="1">+IF(B1328&gt;'sap nuevo'!$V$1,"cargar",IF(C1328="","cargar","pagado"))</f>
        <v>cargar</v>
      </c>
      <c r="I1328" s="32">
        <f t="shared" si="174"/>
        <v>2025</v>
      </c>
      <c r="J1328" s="32">
        <f t="shared" si="175"/>
        <v>10</v>
      </c>
    </row>
    <row r="1329" spans="1:10" x14ac:dyDescent="0.25">
      <c r="A1329" t="s">
        <v>877</v>
      </c>
      <c r="B1329" t="s">
        <v>248</v>
      </c>
      <c r="C1329">
        <v>1967</v>
      </c>
      <c r="D1329">
        <v>9999</v>
      </c>
      <c r="E1329" s="4">
        <v>-2116507.79</v>
      </c>
      <c r="F1329" t="s">
        <v>1607</v>
      </c>
      <c r="G1329">
        <v>1385</v>
      </c>
      <c r="H1329" s="32" t="str">
        <f ca="1">+IF(B1329&gt;'sap nuevo'!$V$1,"cargar",IF(C1329="","cargar","pagado"))</f>
        <v>cargar</v>
      </c>
      <c r="I1329" s="32">
        <f t="shared" si="174"/>
        <v>2025</v>
      </c>
      <c r="J1329" s="32">
        <f t="shared" si="175"/>
        <v>10</v>
      </c>
    </row>
    <row r="1330" spans="1:10" x14ac:dyDescent="0.25">
      <c r="A1330" t="s">
        <v>877</v>
      </c>
      <c r="B1330" t="s">
        <v>248</v>
      </c>
      <c r="C1330">
        <v>1964</v>
      </c>
      <c r="D1330">
        <v>9999</v>
      </c>
      <c r="E1330" s="4">
        <v>-1797467.75</v>
      </c>
      <c r="F1330" t="s">
        <v>1608</v>
      </c>
      <c r="G1330">
        <v>1385</v>
      </c>
      <c r="H1330" s="32" t="str">
        <f ca="1">+IF(B1330&gt;'sap nuevo'!$V$1,"cargar",IF(C1330="","cargar","pagado"))</f>
        <v>cargar</v>
      </c>
      <c r="I1330" s="32">
        <f t="shared" si="174"/>
        <v>2025</v>
      </c>
      <c r="J1330" s="32">
        <f t="shared" si="175"/>
        <v>10</v>
      </c>
    </row>
    <row r="1331" spans="1:10" x14ac:dyDescent="0.25">
      <c r="A1331" t="s">
        <v>21</v>
      </c>
      <c r="B1331" t="s">
        <v>247</v>
      </c>
      <c r="C1331">
        <v>40273000</v>
      </c>
      <c r="D1331">
        <v>140</v>
      </c>
      <c r="E1331" s="4">
        <v>-6500000</v>
      </c>
      <c r="F1331" t="s">
        <v>80</v>
      </c>
      <c r="G1331">
        <v>0</v>
      </c>
      <c r="H1331" s="32" t="str">
        <f ca="1">+IF(B1331&gt;'sap nuevo'!$V$1,"cargar",IF(C1331="","cargar","pagado"))</f>
        <v>cargar</v>
      </c>
      <c r="I1331" s="32">
        <f t="shared" si="174"/>
        <v>2025</v>
      </c>
      <c r="J1331" s="32">
        <f t="shared" si="175"/>
        <v>10</v>
      </c>
    </row>
    <row r="1332" spans="1:10" x14ac:dyDescent="0.25">
      <c r="A1332" t="s">
        <v>12</v>
      </c>
      <c r="B1332" t="s">
        <v>247</v>
      </c>
      <c r="C1332">
        <v>40273001</v>
      </c>
      <c r="D1332">
        <v>140</v>
      </c>
      <c r="E1332" s="4">
        <v>-6500000</v>
      </c>
      <c r="F1332" t="s">
        <v>82</v>
      </c>
      <c r="G1332">
        <v>0</v>
      </c>
      <c r="H1332" s="32" t="str">
        <f ca="1">+IF(B1332&gt;'sap nuevo'!$V$1,"cargar",IF(C1332="","cargar","pagado"))</f>
        <v>cargar</v>
      </c>
      <c r="I1332" s="32">
        <f t="shared" si="174"/>
        <v>2025</v>
      </c>
      <c r="J1332" s="32">
        <f t="shared" si="175"/>
        <v>10</v>
      </c>
    </row>
    <row r="1333" spans="1:10" x14ac:dyDescent="0.25">
      <c r="A1333" t="s">
        <v>21</v>
      </c>
      <c r="B1333" t="s">
        <v>247</v>
      </c>
      <c r="C1333">
        <v>91002590</v>
      </c>
      <c r="D1333">
        <v>140</v>
      </c>
      <c r="E1333" s="4">
        <v>-6367593.4000000004</v>
      </c>
      <c r="F1333" t="s">
        <v>80</v>
      </c>
      <c r="G1333">
        <v>0</v>
      </c>
      <c r="H1333" s="32" t="str">
        <f ca="1">+IF(B1333&gt;'sap nuevo'!$V$1,"cargar",IF(C1333="","cargar","pagado"))</f>
        <v>cargar</v>
      </c>
      <c r="I1333" s="32">
        <f t="shared" ref="I1333:I1334" si="176">+YEAR(B1333)</f>
        <v>2025</v>
      </c>
      <c r="J1333" s="32">
        <f t="shared" ref="J1333:J1334" si="177">+MONTH(B1333)</f>
        <v>10</v>
      </c>
    </row>
    <row r="1334" spans="1:10" x14ac:dyDescent="0.25">
      <c r="A1334" t="s">
        <v>21</v>
      </c>
      <c r="B1334" t="s">
        <v>248</v>
      </c>
      <c r="C1334">
        <v>91002638</v>
      </c>
      <c r="D1334">
        <v>140</v>
      </c>
      <c r="E1334" s="4">
        <v>-14563011.199999999</v>
      </c>
      <c r="F1334" t="s">
        <v>80</v>
      </c>
      <c r="G1334">
        <v>0</v>
      </c>
      <c r="H1334" s="32" t="str">
        <f ca="1">+IF(B1334&gt;'sap nuevo'!$V$1,"cargar",IF(C1334="","cargar","pagado"))</f>
        <v>cargar</v>
      </c>
      <c r="I1334" s="32">
        <f t="shared" si="176"/>
        <v>2025</v>
      </c>
      <c r="J1334" s="32">
        <f t="shared" si="177"/>
        <v>10</v>
      </c>
    </row>
    <row r="1335" spans="1:10" x14ac:dyDescent="0.25">
      <c r="A1335" t="s">
        <v>877</v>
      </c>
      <c r="B1335" t="s">
        <v>249</v>
      </c>
      <c r="C1335">
        <v>1957</v>
      </c>
      <c r="D1335">
        <v>9999</v>
      </c>
      <c r="E1335" s="4">
        <v>-2900000</v>
      </c>
      <c r="F1335" t="s">
        <v>1609</v>
      </c>
      <c r="G1335">
        <v>1385</v>
      </c>
      <c r="H1335" s="32" t="str">
        <f ca="1">+IF(B1335&gt;'sap nuevo'!$V$1,"cargar",IF(C1335="","cargar","pagado"))</f>
        <v>cargar</v>
      </c>
      <c r="I1335" s="32">
        <f t="shared" ref="I1335:I1347" si="178">+YEAR(B1335)</f>
        <v>2025</v>
      </c>
      <c r="J1335" s="32">
        <f t="shared" ref="J1335:J1347" si="179">+MONTH(B1335)</f>
        <v>10</v>
      </c>
    </row>
    <row r="1336" spans="1:10" x14ac:dyDescent="0.25">
      <c r="A1336" t="s">
        <v>21</v>
      </c>
      <c r="B1336" t="s">
        <v>249</v>
      </c>
      <c r="C1336">
        <v>91002642</v>
      </c>
      <c r="D1336">
        <v>140</v>
      </c>
      <c r="E1336" s="4">
        <v>-6460059.4000000004</v>
      </c>
      <c r="F1336" t="s">
        <v>80</v>
      </c>
      <c r="G1336">
        <v>0</v>
      </c>
      <c r="H1336" s="32" t="str">
        <f ca="1">+IF(B1336&gt;'sap nuevo'!$V$1,"cargar",IF(C1336="","cargar","pagado"))</f>
        <v>cargar</v>
      </c>
      <c r="I1336" s="32">
        <f t="shared" si="178"/>
        <v>2025</v>
      </c>
      <c r="J1336" s="32">
        <f t="shared" si="179"/>
        <v>10</v>
      </c>
    </row>
    <row r="1337" spans="1:10" x14ac:dyDescent="0.25">
      <c r="A1337" t="s">
        <v>21</v>
      </c>
      <c r="B1337" t="s">
        <v>249</v>
      </c>
      <c r="C1337">
        <v>91002646</v>
      </c>
      <c r="D1337">
        <v>140</v>
      </c>
      <c r="E1337" s="4">
        <v>-6372777.7300000004</v>
      </c>
      <c r="F1337" t="s">
        <v>80</v>
      </c>
      <c r="G1337">
        <v>0</v>
      </c>
      <c r="H1337" s="32" t="str">
        <f ca="1">+IF(B1337&gt;'sap nuevo'!$V$1,"cargar",IF(C1337="","cargar","pagado"))</f>
        <v>cargar</v>
      </c>
      <c r="I1337" s="32">
        <f t="shared" si="178"/>
        <v>2025</v>
      </c>
      <c r="J1337" s="32">
        <f t="shared" si="179"/>
        <v>10</v>
      </c>
    </row>
    <row r="1338" spans="1:10" x14ac:dyDescent="0.25">
      <c r="A1338" t="s">
        <v>21</v>
      </c>
      <c r="B1338" t="s">
        <v>249</v>
      </c>
      <c r="C1338">
        <v>91002637</v>
      </c>
      <c r="D1338">
        <v>140</v>
      </c>
      <c r="E1338" s="4">
        <v>-4744204.99</v>
      </c>
      <c r="F1338" t="s">
        <v>80</v>
      </c>
      <c r="G1338">
        <v>0</v>
      </c>
      <c r="H1338" s="32" t="str">
        <f ca="1">+IF(B1338&gt;'sap nuevo'!$V$1,"cargar",IF(C1338="","cargar","pagado"))</f>
        <v>cargar</v>
      </c>
      <c r="I1338" s="32">
        <f t="shared" si="178"/>
        <v>2025</v>
      </c>
      <c r="J1338" s="32">
        <f t="shared" si="179"/>
        <v>10</v>
      </c>
    </row>
    <row r="1339" spans="1:10" x14ac:dyDescent="0.25">
      <c r="A1339" t="s">
        <v>21</v>
      </c>
      <c r="B1339" t="s">
        <v>249</v>
      </c>
      <c r="C1339">
        <v>91002644</v>
      </c>
      <c r="D1339">
        <v>140</v>
      </c>
      <c r="E1339" s="4">
        <v>-3926463.35</v>
      </c>
      <c r="F1339" t="s">
        <v>80</v>
      </c>
      <c r="G1339">
        <v>0</v>
      </c>
      <c r="H1339" s="32" t="str">
        <f ca="1">+IF(B1339&gt;'sap nuevo'!$V$1,"cargar",IF(C1339="","cargar","pagado"))</f>
        <v>cargar</v>
      </c>
      <c r="I1339" s="32">
        <f t="shared" si="178"/>
        <v>2025</v>
      </c>
      <c r="J1339" s="32">
        <f t="shared" si="179"/>
        <v>10</v>
      </c>
    </row>
    <row r="1340" spans="1:10" x14ac:dyDescent="0.25">
      <c r="A1340" t="s">
        <v>873</v>
      </c>
      <c r="B1340" t="s">
        <v>250</v>
      </c>
      <c r="C1340">
        <v>1976</v>
      </c>
      <c r="D1340">
        <v>9999</v>
      </c>
      <c r="E1340" s="4">
        <v>-223592290</v>
      </c>
      <c r="F1340" t="s">
        <v>1610</v>
      </c>
      <c r="G1340">
        <v>3520</v>
      </c>
      <c r="H1340" s="32" t="str">
        <f ca="1">+IF(B1340&gt;'sap nuevo'!$V$1,"cargar",IF(C1340="","cargar","pagado"))</f>
        <v>cargar</v>
      </c>
      <c r="I1340" s="32">
        <f t="shared" si="178"/>
        <v>2025</v>
      </c>
      <c r="J1340" s="32">
        <f t="shared" si="179"/>
        <v>10</v>
      </c>
    </row>
    <row r="1341" spans="1:10" x14ac:dyDescent="0.25">
      <c r="A1341" t="s">
        <v>1547</v>
      </c>
      <c r="B1341" t="s">
        <v>251</v>
      </c>
      <c r="C1341">
        <v>5353</v>
      </c>
      <c r="D1341">
        <v>89</v>
      </c>
      <c r="E1341" s="4">
        <v>5897093.2199999997</v>
      </c>
      <c r="F1341" t="s">
        <v>1611</v>
      </c>
      <c r="G1341">
        <v>6950</v>
      </c>
      <c r="H1341" s="32" t="str">
        <f ca="1">+IF(B1341&gt;'sap nuevo'!$V$1,"cargar",IF(C1341="","cargar","pagado"))</f>
        <v>cargar</v>
      </c>
      <c r="I1341" s="32">
        <f t="shared" si="178"/>
        <v>2025</v>
      </c>
      <c r="J1341" s="32">
        <f t="shared" si="179"/>
        <v>10</v>
      </c>
    </row>
    <row r="1342" spans="1:10" x14ac:dyDescent="0.25">
      <c r="A1342" t="s">
        <v>1581</v>
      </c>
      <c r="B1342" t="s">
        <v>251</v>
      </c>
      <c r="C1342">
        <v>76310776</v>
      </c>
      <c r="D1342">
        <v>89</v>
      </c>
      <c r="E1342" s="4">
        <v>64710880</v>
      </c>
      <c r="F1342" t="s">
        <v>1582</v>
      </c>
      <c r="G1342">
        <v>5214</v>
      </c>
      <c r="H1342" s="32" t="str">
        <f ca="1">+IF(B1342&gt;'sap nuevo'!$V$1,"cargar",IF(C1342="","cargar","pagado"))</f>
        <v>cargar</v>
      </c>
      <c r="I1342" s="32">
        <f t="shared" si="178"/>
        <v>2025</v>
      </c>
      <c r="J1342" s="32">
        <f t="shared" si="179"/>
        <v>10</v>
      </c>
    </row>
    <row r="1343" spans="1:10" x14ac:dyDescent="0.25">
      <c r="A1343" t="s">
        <v>12</v>
      </c>
      <c r="B1343" t="s">
        <v>250</v>
      </c>
      <c r="C1343">
        <v>40272994</v>
      </c>
      <c r="D1343">
        <v>140</v>
      </c>
      <c r="E1343" s="4">
        <v>-32600000</v>
      </c>
      <c r="F1343" t="s">
        <v>82</v>
      </c>
      <c r="G1343">
        <v>0</v>
      </c>
      <c r="H1343" s="32" t="str">
        <f ca="1">+IF(B1343&gt;'sap nuevo'!$V$1,"cargar",IF(C1343="","cargar","pagado"))</f>
        <v>cargar</v>
      </c>
      <c r="I1343" s="32">
        <f t="shared" si="178"/>
        <v>2025</v>
      </c>
      <c r="J1343" s="32">
        <f t="shared" si="179"/>
        <v>10</v>
      </c>
    </row>
    <row r="1344" spans="1:10" x14ac:dyDescent="0.25">
      <c r="A1344" t="s">
        <v>12</v>
      </c>
      <c r="B1344" t="s">
        <v>250</v>
      </c>
      <c r="C1344">
        <v>91002649</v>
      </c>
      <c r="D1344">
        <v>140</v>
      </c>
      <c r="E1344" s="4">
        <v>-14360387.92</v>
      </c>
      <c r="F1344" t="s">
        <v>82</v>
      </c>
      <c r="G1344">
        <v>0</v>
      </c>
      <c r="H1344" s="32" t="str">
        <f ca="1">+IF(B1344&gt;'sap nuevo'!$V$1,"cargar",IF(C1344="","cargar","pagado"))</f>
        <v>cargar</v>
      </c>
      <c r="I1344" s="32">
        <f t="shared" si="178"/>
        <v>2025</v>
      </c>
      <c r="J1344" s="32">
        <f t="shared" si="179"/>
        <v>10</v>
      </c>
    </row>
    <row r="1345" spans="1:10" x14ac:dyDescent="0.25">
      <c r="A1345" t="s">
        <v>21</v>
      </c>
      <c r="B1345" t="s">
        <v>250</v>
      </c>
      <c r="C1345">
        <v>91002647</v>
      </c>
      <c r="D1345">
        <v>140</v>
      </c>
      <c r="E1345" s="4">
        <v>-13682200</v>
      </c>
      <c r="F1345" t="s">
        <v>80</v>
      </c>
      <c r="G1345">
        <v>0</v>
      </c>
      <c r="H1345" s="32" t="str">
        <f ca="1">+IF(B1345&gt;'sap nuevo'!$V$1,"cargar",IF(C1345="","cargar","pagado"))</f>
        <v>cargar</v>
      </c>
      <c r="I1345" s="32">
        <f t="shared" si="178"/>
        <v>2025</v>
      </c>
      <c r="J1345" s="32">
        <f t="shared" si="179"/>
        <v>10</v>
      </c>
    </row>
    <row r="1346" spans="1:10" x14ac:dyDescent="0.25">
      <c r="A1346" t="s">
        <v>21</v>
      </c>
      <c r="B1346" t="s">
        <v>250</v>
      </c>
      <c r="C1346">
        <v>91002650</v>
      </c>
      <c r="D1346">
        <v>140</v>
      </c>
      <c r="E1346" s="4">
        <v>-10582538.939999999</v>
      </c>
      <c r="F1346" t="s">
        <v>80</v>
      </c>
      <c r="G1346">
        <v>0</v>
      </c>
      <c r="H1346" s="32" t="str">
        <f ca="1">+IF(B1346&gt;'sap nuevo'!$V$1,"cargar",IF(C1346="","cargar","pagado"))</f>
        <v>cargar</v>
      </c>
      <c r="I1346" s="32">
        <f t="shared" si="178"/>
        <v>2025</v>
      </c>
      <c r="J1346" s="32">
        <f t="shared" si="179"/>
        <v>10</v>
      </c>
    </row>
    <row r="1347" spans="1:10" x14ac:dyDescent="0.25">
      <c r="A1347" t="s">
        <v>21</v>
      </c>
      <c r="B1347" t="s">
        <v>250</v>
      </c>
      <c r="C1347">
        <v>91002645</v>
      </c>
      <c r="D1347">
        <v>140</v>
      </c>
      <c r="E1347" s="4">
        <v>-9110594</v>
      </c>
      <c r="F1347" t="s">
        <v>80</v>
      </c>
      <c r="G1347">
        <v>0</v>
      </c>
      <c r="H1347" s="32" t="str">
        <f ca="1">+IF(B1347&gt;'sap nuevo'!$V$1,"cargar",IF(C1347="","cargar","pagado"))</f>
        <v>cargar</v>
      </c>
      <c r="I1347" s="32">
        <f t="shared" si="178"/>
        <v>2025</v>
      </c>
      <c r="J1347" s="32">
        <f t="shared" si="179"/>
        <v>10</v>
      </c>
    </row>
    <row r="1348" spans="1:10" x14ac:dyDescent="0.25">
      <c r="A1348" t="s">
        <v>12</v>
      </c>
      <c r="B1348" t="s">
        <v>251</v>
      </c>
      <c r="C1348">
        <v>91002641</v>
      </c>
      <c r="D1348">
        <v>140</v>
      </c>
      <c r="E1348" s="4">
        <v>-8203044.7800000003</v>
      </c>
      <c r="F1348" t="s">
        <v>82</v>
      </c>
      <c r="G1348">
        <v>0</v>
      </c>
      <c r="H1348" s="32" t="str">
        <f ca="1">+IF(B1348&gt;'sap nuevo'!$V$1,"cargar",IF(C1348="","cargar","pagado"))</f>
        <v>cargar</v>
      </c>
      <c r="I1348" s="32">
        <f t="shared" ref="I1348:I1354" si="180">+YEAR(B1348)</f>
        <v>2025</v>
      </c>
      <c r="J1348" s="32">
        <f t="shared" ref="J1348:J1354" si="181">+MONTH(B1348)</f>
        <v>10</v>
      </c>
    </row>
    <row r="1349" spans="1:10" x14ac:dyDescent="0.25">
      <c r="A1349" t="s">
        <v>21</v>
      </c>
      <c r="B1349" t="s">
        <v>252</v>
      </c>
      <c r="C1349">
        <v>91002648</v>
      </c>
      <c r="D1349">
        <v>140</v>
      </c>
      <c r="E1349" s="4">
        <v>-3686155.2</v>
      </c>
      <c r="F1349" t="s">
        <v>80</v>
      </c>
      <c r="G1349">
        <v>0</v>
      </c>
      <c r="H1349" s="32" t="str">
        <f ca="1">+IF(B1349&gt;'sap nuevo'!$V$1,"cargar",IF(C1349="","cargar","pagado"))</f>
        <v>cargar</v>
      </c>
      <c r="I1349" s="32">
        <f t="shared" si="180"/>
        <v>2025</v>
      </c>
      <c r="J1349" s="32">
        <f t="shared" si="181"/>
        <v>10</v>
      </c>
    </row>
    <row r="1350" spans="1:10" x14ac:dyDescent="0.25">
      <c r="A1350" t="s">
        <v>21</v>
      </c>
      <c r="B1350" t="s">
        <v>253</v>
      </c>
      <c r="C1350">
        <v>91002666</v>
      </c>
      <c r="D1350">
        <v>140</v>
      </c>
      <c r="E1350" s="4">
        <v>-269068089.81</v>
      </c>
      <c r="F1350" t="s">
        <v>80</v>
      </c>
      <c r="G1350">
        <v>0</v>
      </c>
      <c r="H1350" s="32" t="str">
        <f ca="1">+IF(B1350&gt;'sap nuevo'!$V$1,"cargar",IF(C1350="","cargar","pagado"))</f>
        <v>cargar</v>
      </c>
      <c r="I1350" s="32">
        <f t="shared" si="180"/>
        <v>2025</v>
      </c>
      <c r="J1350" s="32">
        <f t="shared" si="181"/>
        <v>10</v>
      </c>
    </row>
    <row r="1351" spans="1:10" x14ac:dyDescent="0.25">
      <c r="A1351" t="s">
        <v>12</v>
      </c>
      <c r="B1351" t="s">
        <v>253</v>
      </c>
      <c r="C1351">
        <v>91002660</v>
      </c>
      <c r="D1351">
        <v>140</v>
      </c>
      <c r="E1351" s="4">
        <v>-20568691.829999998</v>
      </c>
      <c r="F1351" t="s">
        <v>82</v>
      </c>
      <c r="G1351">
        <v>0</v>
      </c>
      <c r="H1351" s="32" t="str">
        <f ca="1">+IF(B1351&gt;'sap nuevo'!$V$1,"cargar",IF(C1351="","cargar","pagado"))</f>
        <v>cargar</v>
      </c>
      <c r="I1351" s="32">
        <f t="shared" si="180"/>
        <v>2025</v>
      </c>
      <c r="J1351" s="32">
        <f t="shared" si="181"/>
        <v>10</v>
      </c>
    </row>
    <row r="1352" spans="1:10" x14ac:dyDescent="0.25">
      <c r="A1352" t="s">
        <v>21</v>
      </c>
      <c r="B1352" t="s">
        <v>253</v>
      </c>
      <c r="C1352">
        <v>91002662</v>
      </c>
      <c r="D1352">
        <v>140</v>
      </c>
      <c r="E1352" s="4">
        <v>-10000000</v>
      </c>
      <c r="F1352" t="s">
        <v>80</v>
      </c>
      <c r="G1352">
        <v>0</v>
      </c>
      <c r="H1352" s="32" t="str">
        <f ca="1">+IF(B1352&gt;'sap nuevo'!$V$1,"cargar",IF(C1352="","cargar","pagado"))</f>
        <v>cargar</v>
      </c>
      <c r="I1352" s="32">
        <f t="shared" si="180"/>
        <v>2025</v>
      </c>
      <c r="J1352" s="32">
        <f t="shared" si="181"/>
        <v>10</v>
      </c>
    </row>
    <row r="1353" spans="1:10" x14ac:dyDescent="0.25">
      <c r="A1353" t="s">
        <v>12</v>
      </c>
      <c r="B1353" t="s">
        <v>253</v>
      </c>
      <c r="C1353">
        <v>91002655</v>
      </c>
      <c r="D1353">
        <v>140</v>
      </c>
      <c r="E1353" s="4">
        <v>-8863912.5</v>
      </c>
      <c r="F1353" t="s">
        <v>82</v>
      </c>
      <c r="G1353">
        <v>0</v>
      </c>
      <c r="H1353" s="32" t="str">
        <f ca="1">+IF(B1353&gt;'sap nuevo'!$V$1,"cargar",IF(C1353="","cargar","pagado"))</f>
        <v>cargar</v>
      </c>
      <c r="I1353" s="32">
        <f t="shared" si="180"/>
        <v>2025</v>
      </c>
      <c r="J1353" s="32">
        <f t="shared" si="181"/>
        <v>10</v>
      </c>
    </row>
    <row r="1354" spans="1:10" x14ac:dyDescent="0.25">
      <c r="A1354" t="s">
        <v>21</v>
      </c>
      <c r="B1354" t="s">
        <v>253</v>
      </c>
      <c r="C1354">
        <v>91002658</v>
      </c>
      <c r="D1354">
        <v>140</v>
      </c>
      <c r="E1354" s="4">
        <v>-6217907.2199999997</v>
      </c>
      <c r="F1354" t="s">
        <v>80</v>
      </c>
      <c r="G1354">
        <v>0</v>
      </c>
      <c r="H1354" s="32" t="str">
        <f ca="1">+IF(B1354&gt;'sap nuevo'!$V$1,"cargar",IF(C1354="","cargar","pagado"))</f>
        <v>cargar</v>
      </c>
      <c r="I1354" s="32">
        <f t="shared" si="180"/>
        <v>2025</v>
      </c>
      <c r="J1354" s="32">
        <f t="shared" si="181"/>
        <v>10</v>
      </c>
    </row>
    <row r="1355" spans="1:10" x14ac:dyDescent="0.25">
      <c r="A1355" t="s">
        <v>12</v>
      </c>
      <c r="B1355" t="s">
        <v>253</v>
      </c>
      <c r="C1355">
        <v>91002665</v>
      </c>
      <c r="D1355">
        <v>140</v>
      </c>
      <c r="E1355" s="4">
        <v>-5129536.38</v>
      </c>
      <c r="F1355" t="s">
        <v>82</v>
      </c>
      <c r="G1355">
        <v>0</v>
      </c>
      <c r="H1355" s="32" t="str">
        <f ca="1">+IF(B1355&gt;'sap nuevo'!$V$1,"cargar",IF(C1355="","cargar","pagado"))</f>
        <v>cargar</v>
      </c>
      <c r="I1355" s="32">
        <f t="shared" ref="I1355:I1357" si="182">+YEAR(B1355)</f>
        <v>2025</v>
      </c>
      <c r="J1355" s="32">
        <f t="shared" ref="J1355:J1357" si="183">+MONTH(B1355)</f>
        <v>10</v>
      </c>
    </row>
    <row r="1356" spans="1:10" x14ac:dyDescent="0.25">
      <c r="A1356" t="s">
        <v>21</v>
      </c>
      <c r="B1356" t="s">
        <v>253</v>
      </c>
      <c r="C1356">
        <v>91002652</v>
      </c>
      <c r="D1356">
        <v>140</v>
      </c>
      <c r="E1356" s="4">
        <v>-5000000</v>
      </c>
      <c r="F1356" t="s">
        <v>80</v>
      </c>
      <c r="G1356">
        <v>0</v>
      </c>
      <c r="H1356" s="32" t="str">
        <f ca="1">+IF(B1356&gt;'sap nuevo'!$V$1,"cargar",IF(C1356="","cargar","pagado"))</f>
        <v>cargar</v>
      </c>
      <c r="I1356" s="32">
        <f t="shared" si="182"/>
        <v>2025</v>
      </c>
      <c r="J1356" s="32">
        <f t="shared" si="183"/>
        <v>10</v>
      </c>
    </row>
    <row r="1357" spans="1:10" x14ac:dyDescent="0.25">
      <c r="A1357" t="s">
        <v>21</v>
      </c>
      <c r="B1357" t="s">
        <v>253</v>
      </c>
      <c r="C1357">
        <v>91002657</v>
      </c>
      <c r="D1357">
        <v>140</v>
      </c>
      <c r="E1357" s="4">
        <v>-4606966.46</v>
      </c>
      <c r="F1357" t="s">
        <v>80</v>
      </c>
      <c r="G1357">
        <v>0</v>
      </c>
      <c r="H1357" s="32" t="str">
        <f ca="1">+IF(B1357&gt;'sap nuevo'!$V$1,"cargar",IF(C1357="","cargar","pagado"))</f>
        <v>cargar</v>
      </c>
      <c r="I1357" s="32">
        <f t="shared" si="182"/>
        <v>2025</v>
      </c>
      <c r="J1357" s="32">
        <f t="shared" si="183"/>
        <v>10</v>
      </c>
    </row>
    <row r="1358" spans="1:10" x14ac:dyDescent="0.25">
      <c r="A1358" t="s">
        <v>21</v>
      </c>
      <c r="B1358" t="s">
        <v>1612</v>
      </c>
      <c r="C1358">
        <v>91002664</v>
      </c>
      <c r="D1358">
        <v>140</v>
      </c>
      <c r="E1358" s="4">
        <v>-38830372</v>
      </c>
      <c r="F1358" t="s">
        <v>80</v>
      </c>
      <c r="G1358">
        <v>0</v>
      </c>
      <c r="H1358" s="32" t="str">
        <f ca="1">+IF(B1358&gt;'sap nuevo'!$V$1,"cargar",IF(C1358="","cargar","pagado"))</f>
        <v>cargar</v>
      </c>
      <c r="I1358" s="32">
        <f t="shared" ref="I1358:I1373" si="184">+YEAR(B1358)</f>
        <v>2025</v>
      </c>
      <c r="J1358" s="32">
        <f t="shared" ref="J1358:J1373" si="185">+MONTH(B1358)</f>
        <v>10</v>
      </c>
    </row>
    <row r="1359" spans="1:10" x14ac:dyDescent="0.25">
      <c r="A1359" t="s">
        <v>12</v>
      </c>
      <c r="B1359" t="s">
        <v>1612</v>
      </c>
      <c r="C1359">
        <v>91002651</v>
      </c>
      <c r="D1359">
        <v>140</v>
      </c>
      <c r="E1359" s="4">
        <v>-33959386.719999999</v>
      </c>
      <c r="F1359" t="s">
        <v>82</v>
      </c>
      <c r="G1359">
        <v>0</v>
      </c>
      <c r="H1359" s="32" t="str">
        <f ca="1">+IF(B1359&gt;'sap nuevo'!$V$1,"cargar",IF(C1359="","cargar","pagado"))</f>
        <v>cargar</v>
      </c>
      <c r="I1359" s="32">
        <f t="shared" si="184"/>
        <v>2025</v>
      </c>
      <c r="J1359" s="32">
        <f t="shared" si="185"/>
        <v>10</v>
      </c>
    </row>
    <row r="1360" spans="1:10" x14ac:dyDescent="0.25">
      <c r="A1360" t="s">
        <v>21</v>
      </c>
      <c r="B1360" t="s">
        <v>1612</v>
      </c>
      <c r="C1360">
        <v>91002654</v>
      </c>
      <c r="D1360">
        <v>140</v>
      </c>
      <c r="E1360" s="4">
        <v>-28372980.059999999</v>
      </c>
      <c r="F1360" t="s">
        <v>80</v>
      </c>
      <c r="G1360">
        <v>0</v>
      </c>
      <c r="H1360" s="32" t="str">
        <f ca="1">+IF(B1360&gt;'sap nuevo'!$V$1,"cargar",IF(C1360="","cargar","pagado"))</f>
        <v>cargar</v>
      </c>
      <c r="I1360" s="32">
        <f t="shared" si="184"/>
        <v>2025</v>
      </c>
      <c r="J1360" s="32">
        <f t="shared" si="185"/>
        <v>10</v>
      </c>
    </row>
    <row r="1361" spans="1:10" x14ac:dyDescent="0.25">
      <c r="A1361" t="s">
        <v>21</v>
      </c>
      <c r="B1361" t="s">
        <v>1612</v>
      </c>
      <c r="C1361">
        <v>91002663</v>
      </c>
      <c r="D1361">
        <v>140</v>
      </c>
      <c r="E1361" s="4">
        <v>-8284175</v>
      </c>
      <c r="F1361" t="s">
        <v>80</v>
      </c>
      <c r="G1361">
        <v>0</v>
      </c>
      <c r="H1361" s="32" t="str">
        <f ca="1">+IF(B1361&gt;'sap nuevo'!$V$1,"cargar",IF(C1361="","cargar","pagado"))</f>
        <v>cargar</v>
      </c>
      <c r="I1361" s="32">
        <f t="shared" si="184"/>
        <v>2025</v>
      </c>
      <c r="J1361" s="32">
        <f t="shared" si="185"/>
        <v>10</v>
      </c>
    </row>
    <row r="1362" spans="1:10" x14ac:dyDescent="0.25">
      <c r="A1362" t="s">
        <v>1547</v>
      </c>
      <c r="B1362" t="s">
        <v>254</v>
      </c>
      <c r="C1362">
        <v>5366</v>
      </c>
      <c r="D1362">
        <v>89</v>
      </c>
      <c r="E1362" s="4">
        <v>1398038.02</v>
      </c>
      <c r="F1362" t="s">
        <v>1613</v>
      </c>
      <c r="G1362">
        <v>6950</v>
      </c>
      <c r="H1362" s="32" t="str">
        <f ca="1">+IF(B1362&gt;'sap nuevo'!$V$1,"cargar",IF(C1362="","cargar","pagado"))</f>
        <v>cargar</v>
      </c>
      <c r="I1362" s="32">
        <f t="shared" si="184"/>
        <v>2025</v>
      </c>
      <c r="J1362" s="32">
        <f t="shared" si="185"/>
        <v>11</v>
      </c>
    </row>
    <row r="1363" spans="1:10" x14ac:dyDescent="0.25">
      <c r="A1363" t="s">
        <v>1547</v>
      </c>
      <c r="B1363" t="s">
        <v>254</v>
      </c>
      <c r="C1363">
        <v>5369</v>
      </c>
      <c r="D1363">
        <v>89</v>
      </c>
      <c r="E1363" s="4">
        <v>9545831.6799999997</v>
      </c>
      <c r="F1363" t="s">
        <v>1614</v>
      </c>
      <c r="G1363">
        <v>6950</v>
      </c>
      <c r="H1363" s="32" t="str">
        <f ca="1">+IF(B1363&gt;'sap nuevo'!$V$1,"cargar",IF(C1363="","cargar","pagado"))</f>
        <v>cargar</v>
      </c>
      <c r="I1363" s="32">
        <f t="shared" si="184"/>
        <v>2025</v>
      </c>
      <c r="J1363" s="32">
        <f t="shared" si="185"/>
        <v>11</v>
      </c>
    </row>
    <row r="1364" spans="1:10" x14ac:dyDescent="0.25">
      <c r="A1364" t="s">
        <v>873</v>
      </c>
      <c r="B1364" t="s">
        <v>1615</v>
      </c>
      <c r="C1364">
        <v>1950</v>
      </c>
      <c r="D1364">
        <v>9999</v>
      </c>
      <c r="E1364" s="4">
        <v>-2675827.6</v>
      </c>
      <c r="F1364" t="s">
        <v>1616</v>
      </c>
      <c r="G1364">
        <v>3520</v>
      </c>
      <c r="H1364" s="32" t="str">
        <f ca="1">+IF(B1364&gt;'sap nuevo'!$V$1,"cargar",IF(C1364="","cargar","pagado"))</f>
        <v>cargar</v>
      </c>
      <c r="I1364" s="32">
        <f t="shared" si="184"/>
        <v>2025</v>
      </c>
      <c r="J1364" s="32">
        <f t="shared" si="185"/>
        <v>11</v>
      </c>
    </row>
    <row r="1365" spans="1:10" x14ac:dyDescent="0.25">
      <c r="A1365" t="s">
        <v>12</v>
      </c>
      <c r="B1365" t="s">
        <v>254</v>
      </c>
      <c r="C1365">
        <v>91002643</v>
      </c>
      <c r="D1365">
        <v>140</v>
      </c>
      <c r="E1365" s="4">
        <v>-12677933.4</v>
      </c>
      <c r="F1365" t="s">
        <v>82</v>
      </c>
      <c r="G1365">
        <v>0</v>
      </c>
      <c r="H1365" s="32" t="str">
        <f ca="1">+IF(B1365&gt;'sap nuevo'!$V$1,"cargar",IF(C1365="","cargar","pagado"))</f>
        <v>cargar</v>
      </c>
      <c r="I1365" s="32">
        <f t="shared" si="184"/>
        <v>2025</v>
      </c>
      <c r="J1365" s="32">
        <f t="shared" si="185"/>
        <v>11</v>
      </c>
    </row>
    <row r="1366" spans="1:10" x14ac:dyDescent="0.25">
      <c r="A1366" t="s">
        <v>21</v>
      </c>
      <c r="B1366" t="s">
        <v>255</v>
      </c>
      <c r="C1366">
        <v>91002656</v>
      </c>
      <c r="D1366">
        <v>140</v>
      </c>
      <c r="E1366" s="4">
        <v>-24737036.289999999</v>
      </c>
      <c r="F1366" t="s">
        <v>80</v>
      </c>
      <c r="G1366">
        <v>0</v>
      </c>
      <c r="H1366" s="32" t="str">
        <f ca="1">+IF(B1366&gt;'sap nuevo'!$V$1,"cargar",IF(C1366="","cargar","pagado"))</f>
        <v>cargar</v>
      </c>
      <c r="I1366" s="32">
        <f t="shared" si="184"/>
        <v>2025</v>
      </c>
      <c r="J1366" s="32">
        <f t="shared" si="185"/>
        <v>11</v>
      </c>
    </row>
    <row r="1367" spans="1:10" x14ac:dyDescent="0.25">
      <c r="A1367" t="s">
        <v>21</v>
      </c>
      <c r="B1367" t="s">
        <v>255</v>
      </c>
      <c r="C1367">
        <v>91002659</v>
      </c>
      <c r="D1367">
        <v>140</v>
      </c>
      <c r="E1367" s="4">
        <v>-6547079.1799999997</v>
      </c>
      <c r="F1367" t="s">
        <v>80</v>
      </c>
      <c r="G1367">
        <v>0</v>
      </c>
      <c r="H1367" s="32" t="str">
        <f ca="1">+IF(B1367&gt;'sap nuevo'!$V$1,"cargar",IF(C1367="","cargar","pagado"))</f>
        <v>cargar</v>
      </c>
      <c r="I1367" s="32">
        <f t="shared" si="184"/>
        <v>2025</v>
      </c>
      <c r="J1367" s="32">
        <f t="shared" si="185"/>
        <v>11</v>
      </c>
    </row>
    <row r="1368" spans="1:10" x14ac:dyDescent="0.25">
      <c r="A1368" t="s">
        <v>12</v>
      </c>
      <c r="B1368" t="s">
        <v>255</v>
      </c>
      <c r="C1368">
        <v>91002610</v>
      </c>
      <c r="D1368">
        <v>140</v>
      </c>
      <c r="E1368" s="4">
        <v>-4653053.1500000004</v>
      </c>
      <c r="F1368" t="s">
        <v>82</v>
      </c>
      <c r="G1368">
        <v>0</v>
      </c>
      <c r="H1368" s="32" t="str">
        <f ca="1">+IF(B1368&gt;'sap nuevo'!$V$1,"cargar",IF(C1368="","cargar","pagado"))</f>
        <v>cargar</v>
      </c>
      <c r="I1368" s="32">
        <f t="shared" si="184"/>
        <v>2025</v>
      </c>
      <c r="J1368" s="32">
        <f t="shared" si="185"/>
        <v>11</v>
      </c>
    </row>
    <row r="1369" spans="1:10" x14ac:dyDescent="0.25">
      <c r="A1369" t="s">
        <v>21</v>
      </c>
      <c r="B1369" t="s">
        <v>255</v>
      </c>
      <c r="C1369">
        <v>40273003</v>
      </c>
      <c r="D1369">
        <v>140</v>
      </c>
      <c r="E1369" s="4">
        <v>-2604978.9500000002</v>
      </c>
      <c r="F1369" t="s">
        <v>80</v>
      </c>
      <c r="G1369">
        <v>0</v>
      </c>
      <c r="H1369" s="32" t="str">
        <f ca="1">+IF(B1369&gt;'sap nuevo'!$V$1,"cargar",IF(C1369="","cargar","pagado"))</f>
        <v>cargar</v>
      </c>
      <c r="I1369" s="32">
        <f t="shared" si="184"/>
        <v>2025</v>
      </c>
      <c r="J1369" s="32">
        <f t="shared" si="185"/>
        <v>11</v>
      </c>
    </row>
    <row r="1370" spans="1:10" x14ac:dyDescent="0.25">
      <c r="A1370" t="s">
        <v>877</v>
      </c>
      <c r="B1370" t="s">
        <v>1617</v>
      </c>
      <c r="C1370">
        <v>1978</v>
      </c>
      <c r="D1370">
        <v>9999</v>
      </c>
      <c r="E1370" s="4">
        <v>-5506197.9500000002</v>
      </c>
      <c r="F1370" t="s">
        <v>1618</v>
      </c>
      <c r="G1370">
        <v>1385</v>
      </c>
      <c r="H1370" s="32" t="str">
        <f ca="1">+IF(B1370&gt;'sap nuevo'!$V$1,"cargar",IF(C1370="","cargar","pagado"))</f>
        <v>cargar</v>
      </c>
      <c r="I1370" s="32">
        <f t="shared" si="184"/>
        <v>2025</v>
      </c>
      <c r="J1370" s="32">
        <f t="shared" si="185"/>
        <v>11</v>
      </c>
    </row>
    <row r="1371" spans="1:10" x14ac:dyDescent="0.25">
      <c r="A1371" t="s">
        <v>12</v>
      </c>
      <c r="B1371" t="s">
        <v>1617</v>
      </c>
      <c r="C1371">
        <v>91002639</v>
      </c>
      <c r="D1371">
        <v>140</v>
      </c>
      <c r="E1371" s="4">
        <v>-6000000</v>
      </c>
      <c r="F1371" t="s">
        <v>82</v>
      </c>
      <c r="G1371">
        <v>0</v>
      </c>
      <c r="H1371" s="32" t="str">
        <f ca="1">+IF(B1371&gt;'sap nuevo'!$V$1,"cargar",IF(C1371="","cargar","pagado"))</f>
        <v>cargar</v>
      </c>
      <c r="I1371" s="32">
        <f t="shared" si="184"/>
        <v>2025</v>
      </c>
      <c r="J1371" s="32">
        <f t="shared" si="185"/>
        <v>11</v>
      </c>
    </row>
    <row r="1372" spans="1:10" x14ac:dyDescent="0.25">
      <c r="A1372" t="s">
        <v>21</v>
      </c>
      <c r="B1372" t="s">
        <v>1617</v>
      </c>
      <c r="C1372">
        <v>91002653</v>
      </c>
      <c r="D1372">
        <v>140</v>
      </c>
      <c r="E1372" s="4">
        <v>-3656576.68</v>
      </c>
      <c r="F1372" t="s">
        <v>80</v>
      </c>
      <c r="G1372">
        <v>0</v>
      </c>
      <c r="H1372" s="32" t="str">
        <f ca="1">+IF(B1372&gt;'sap nuevo'!$V$1,"cargar",IF(C1372="","cargar","pagado"))</f>
        <v>cargar</v>
      </c>
      <c r="I1372" s="32">
        <f t="shared" si="184"/>
        <v>2025</v>
      </c>
      <c r="J1372" s="32">
        <f t="shared" si="185"/>
        <v>11</v>
      </c>
    </row>
    <row r="1373" spans="1:10" x14ac:dyDescent="0.25">
      <c r="A1373" t="s">
        <v>21</v>
      </c>
      <c r="B1373" t="s">
        <v>257</v>
      </c>
      <c r="C1373">
        <v>91002671</v>
      </c>
      <c r="D1373">
        <v>140</v>
      </c>
      <c r="E1373" s="4">
        <v>-10797909.710000001</v>
      </c>
      <c r="F1373" t="s">
        <v>80</v>
      </c>
      <c r="G1373">
        <v>0</v>
      </c>
      <c r="H1373" s="32" t="str">
        <f ca="1">+IF(B1373&gt;'sap nuevo'!$V$1,"cargar",IF(C1373="","cargar","pagado"))</f>
        <v>cargar</v>
      </c>
      <c r="I1373" s="32">
        <f t="shared" si="184"/>
        <v>2025</v>
      </c>
      <c r="J1373" s="32">
        <f t="shared" si="185"/>
        <v>11</v>
      </c>
    </row>
    <row r="1374" spans="1:10" x14ac:dyDescent="0.25">
      <c r="A1374" t="s">
        <v>21</v>
      </c>
      <c r="B1374" t="s">
        <v>257</v>
      </c>
      <c r="C1374">
        <v>91002661</v>
      </c>
      <c r="D1374">
        <v>140</v>
      </c>
      <c r="E1374" s="4">
        <v>-8236900</v>
      </c>
      <c r="F1374" t="s">
        <v>80</v>
      </c>
      <c r="G1374">
        <v>0</v>
      </c>
      <c r="H1374" s="32" t="str">
        <f ca="1">+IF(B1374&gt;'sap nuevo'!$V$1,"cargar",IF(C1374="","cargar","pagado"))</f>
        <v>cargar</v>
      </c>
      <c r="I1374" s="32">
        <f t="shared" ref="I1374:I1380" si="186">+YEAR(B1374)</f>
        <v>2025</v>
      </c>
      <c r="J1374" s="32">
        <f t="shared" ref="J1374:J1380" si="187">+MONTH(B1374)</f>
        <v>11</v>
      </c>
    </row>
    <row r="1375" spans="1:10" x14ac:dyDescent="0.25">
      <c r="A1375" t="s">
        <v>21</v>
      </c>
      <c r="B1375" t="s">
        <v>257</v>
      </c>
      <c r="C1375">
        <v>91002670</v>
      </c>
      <c r="D1375">
        <v>140</v>
      </c>
      <c r="E1375" s="4">
        <v>-4260111.08</v>
      </c>
      <c r="F1375" t="s">
        <v>80</v>
      </c>
      <c r="G1375">
        <v>0</v>
      </c>
      <c r="H1375" s="32" t="str">
        <f ca="1">+IF(B1375&gt;'sap nuevo'!$V$1,"cargar",IF(C1375="","cargar","pagado"))</f>
        <v>cargar</v>
      </c>
      <c r="I1375" s="32">
        <f t="shared" si="186"/>
        <v>2025</v>
      </c>
      <c r="J1375" s="32">
        <f t="shared" si="187"/>
        <v>11</v>
      </c>
    </row>
    <row r="1376" spans="1:10" x14ac:dyDescent="0.25">
      <c r="A1376" t="s">
        <v>21</v>
      </c>
      <c r="B1376" t="s">
        <v>257</v>
      </c>
      <c r="C1376">
        <v>91002676</v>
      </c>
      <c r="D1376">
        <v>140</v>
      </c>
      <c r="E1376" s="4">
        <v>-2817243.4</v>
      </c>
      <c r="F1376" t="s">
        <v>80</v>
      </c>
      <c r="G1376">
        <v>0</v>
      </c>
      <c r="H1376" s="32" t="str">
        <f ca="1">+IF(B1376&gt;'sap nuevo'!$V$1,"cargar",IF(C1376="","cargar","pagado"))</f>
        <v>cargar</v>
      </c>
      <c r="I1376" s="32">
        <f t="shared" si="186"/>
        <v>2025</v>
      </c>
      <c r="J1376" s="32">
        <f t="shared" si="187"/>
        <v>11</v>
      </c>
    </row>
    <row r="1377" spans="1:10" x14ac:dyDescent="0.25">
      <c r="A1377" t="s">
        <v>21</v>
      </c>
      <c r="B1377" t="s">
        <v>257</v>
      </c>
      <c r="C1377">
        <v>91002674</v>
      </c>
      <c r="D1377">
        <v>140</v>
      </c>
      <c r="E1377" s="4">
        <v>-2130139.5</v>
      </c>
      <c r="F1377" t="s">
        <v>80</v>
      </c>
      <c r="G1377">
        <v>0</v>
      </c>
      <c r="H1377" s="32" t="str">
        <f ca="1">+IF(B1377&gt;'sap nuevo'!$V$1,"cargar",IF(C1377="","cargar","pagado"))</f>
        <v>cargar</v>
      </c>
      <c r="I1377" s="32">
        <f t="shared" si="186"/>
        <v>2025</v>
      </c>
      <c r="J1377" s="32">
        <f t="shared" si="187"/>
        <v>11</v>
      </c>
    </row>
    <row r="1378" spans="1:10" x14ac:dyDescent="0.25">
      <c r="A1378" t="s">
        <v>21</v>
      </c>
      <c r="B1378" t="s">
        <v>257</v>
      </c>
      <c r="C1378">
        <v>91002673</v>
      </c>
      <c r="D1378">
        <v>140</v>
      </c>
      <c r="E1378" s="4">
        <v>-2116675.71</v>
      </c>
      <c r="F1378" t="s">
        <v>80</v>
      </c>
      <c r="G1378">
        <v>0</v>
      </c>
      <c r="H1378" s="32" t="str">
        <f ca="1">+IF(B1378&gt;'sap nuevo'!$V$1,"cargar",IF(C1378="","cargar","pagado"))</f>
        <v>cargar</v>
      </c>
      <c r="I1378" s="32">
        <f t="shared" si="186"/>
        <v>2025</v>
      </c>
      <c r="J1378" s="32">
        <f t="shared" si="187"/>
        <v>11</v>
      </c>
    </row>
    <row r="1379" spans="1:10" x14ac:dyDescent="0.25">
      <c r="A1379" t="s">
        <v>12</v>
      </c>
      <c r="B1379" t="s">
        <v>257</v>
      </c>
      <c r="C1379">
        <v>91002669</v>
      </c>
      <c r="D1379">
        <v>140</v>
      </c>
      <c r="E1379" s="4">
        <v>-1004615.39</v>
      </c>
      <c r="F1379" t="s">
        <v>82</v>
      </c>
      <c r="G1379">
        <v>0</v>
      </c>
      <c r="H1379" s="32" t="str">
        <f ca="1">+IF(B1379&gt;'sap nuevo'!$V$1,"cargar",IF(C1379="","cargar","pagado"))</f>
        <v>cargar</v>
      </c>
      <c r="I1379" s="32">
        <f t="shared" si="186"/>
        <v>2025</v>
      </c>
      <c r="J1379" s="32">
        <f t="shared" si="187"/>
        <v>11</v>
      </c>
    </row>
    <row r="1380" spans="1:10" x14ac:dyDescent="0.25">
      <c r="A1380" t="s">
        <v>21</v>
      </c>
      <c r="B1380" t="s">
        <v>258</v>
      </c>
      <c r="C1380">
        <v>91002675</v>
      </c>
      <c r="D1380">
        <v>140</v>
      </c>
      <c r="E1380" s="4">
        <v>-2479835.46</v>
      </c>
      <c r="F1380" t="s">
        <v>80</v>
      </c>
      <c r="G1380">
        <v>0</v>
      </c>
      <c r="H1380" s="32" t="str">
        <f ca="1">+IF(B1380&gt;'sap nuevo'!$V$1,"cargar",IF(C1380="","cargar","pagado"))</f>
        <v>cargar</v>
      </c>
      <c r="I1380" s="32">
        <f t="shared" si="186"/>
        <v>2025</v>
      </c>
      <c r="J1380" s="32">
        <f t="shared" si="187"/>
        <v>11</v>
      </c>
    </row>
    <row r="1381" spans="1:10" x14ac:dyDescent="0.25">
      <c r="A1381" t="s">
        <v>12</v>
      </c>
      <c r="B1381" t="s">
        <v>1619</v>
      </c>
      <c r="C1381">
        <v>91002667</v>
      </c>
      <c r="D1381">
        <v>140</v>
      </c>
      <c r="E1381" s="4">
        <v>-9093781.1500000004</v>
      </c>
      <c r="F1381" t="s">
        <v>82</v>
      </c>
      <c r="G1381">
        <v>0</v>
      </c>
      <c r="H1381" s="32" t="str">
        <f ca="1">+IF(B1381&gt;'sap nuevo'!$V$1,"cargar",IF(C1381="","cargar","pagado"))</f>
        <v>cargar</v>
      </c>
      <c r="I1381" s="32">
        <f t="shared" ref="I1381" si="188">+YEAR(B1381)</f>
        <v>2025</v>
      </c>
      <c r="J1381" s="32">
        <f t="shared" ref="J1381" si="189">+MONTH(B1381)</f>
        <v>11</v>
      </c>
    </row>
    <row r="1382" spans="1:10" x14ac:dyDescent="0.25">
      <c r="A1382" t="s">
        <v>21</v>
      </c>
      <c r="B1382" t="s">
        <v>259</v>
      </c>
      <c r="C1382">
        <v>91002685</v>
      </c>
      <c r="D1382">
        <v>140</v>
      </c>
      <c r="E1382" s="4">
        <v>-257392138.49000001</v>
      </c>
      <c r="F1382" t="s">
        <v>80</v>
      </c>
      <c r="G1382">
        <v>0</v>
      </c>
      <c r="H1382" s="32" t="str">
        <f ca="1">+IF(B1382&gt;'sap nuevo'!$V$1,"cargar",IF(C1382="","cargar","pagado"))</f>
        <v>cargar</v>
      </c>
      <c r="I1382" s="32">
        <f t="shared" ref="I1382:I1395" si="190">+YEAR(B1382)</f>
        <v>2025</v>
      </c>
      <c r="J1382" s="32">
        <f t="shared" ref="J1382:J1395" si="191">+MONTH(B1382)</f>
        <v>11</v>
      </c>
    </row>
    <row r="1383" spans="1:10" x14ac:dyDescent="0.25">
      <c r="A1383" t="s">
        <v>21</v>
      </c>
      <c r="B1383" t="s">
        <v>259</v>
      </c>
      <c r="C1383">
        <v>91002681</v>
      </c>
      <c r="D1383">
        <v>140</v>
      </c>
      <c r="E1383" s="4">
        <v>-39545843.399999999</v>
      </c>
      <c r="F1383" t="s">
        <v>80</v>
      </c>
      <c r="G1383">
        <v>0</v>
      </c>
      <c r="H1383" s="32" t="str">
        <f ca="1">+IF(B1383&gt;'sap nuevo'!$V$1,"cargar",IF(C1383="","cargar","pagado"))</f>
        <v>cargar</v>
      </c>
      <c r="I1383" s="32">
        <f t="shared" si="190"/>
        <v>2025</v>
      </c>
      <c r="J1383" s="32">
        <f t="shared" si="191"/>
        <v>11</v>
      </c>
    </row>
    <row r="1384" spans="1:10" x14ac:dyDescent="0.25">
      <c r="A1384" t="s">
        <v>21</v>
      </c>
      <c r="B1384" t="s">
        <v>259</v>
      </c>
      <c r="C1384">
        <v>91002687</v>
      </c>
      <c r="D1384">
        <v>140</v>
      </c>
      <c r="E1384" s="4">
        <v>-30711064.57</v>
      </c>
      <c r="F1384" t="s">
        <v>80</v>
      </c>
      <c r="G1384">
        <v>0</v>
      </c>
      <c r="H1384" s="32" t="str">
        <f ca="1">+IF(B1384&gt;'sap nuevo'!$V$1,"cargar",IF(C1384="","cargar","pagado"))</f>
        <v>cargar</v>
      </c>
      <c r="I1384" s="32">
        <f t="shared" si="190"/>
        <v>2025</v>
      </c>
      <c r="J1384" s="32">
        <f t="shared" si="191"/>
        <v>11</v>
      </c>
    </row>
    <row r="1385" spans="1:10" x14ac:dyDescent="0.25">
      <c r="A1385" t="s">
        <v>21</v>
      </c>
      <c r="B1385" t="s">
        <v>259</v>
      </c>
      <c r="C1385">
        <v>91002679</v>
      </c>
      <c r="D1385">
        <v>140</v>
      </c>
      <c r="E1385" s="4">
        <v>-21785811</v>
      </c>
      <c r="F1385" t="s">
        <v>80</v>
      </c>
      <c r="G1385">
        <v>0</v>
      </c>
      <c r="H1385" s="32" t="str">
        <f ca="1">+IF(B1385&gt;'sap nuevo'!$V$1,"cargar",IF(C1385="","cargar","pagado"))</f>
        <v>cargar</v>
      </c>
      <c r="I1385" s="32">
        <f t="shared" si="190"/>
        <v>2025</v>
      </c>
      <c r="J1385" s="32">
        <f t="shared" si="191"/>
        <v>11</v>
      </c>
    </row>
    <row r="1386" spans="1:10" x14ac:dyDescent="0.25">
      <c r="A1386" t="s">
        <v>21</v>
      </c>
      <c r="B1386" t="s">
        <v>259</v>
      </c>
      <c r="C1386">
        <v>91002684</v>
      </c>
      <c r="D1386">
        <v>140</v>
      </c>
      <c r="E1386" s="4">
        <v>-11332905.9</v>
      </c>
      <c r="F1386" t="s">
        <v>80</v>
      </c>
      <c r="G1386">
        <v>0</v>
      </c>
      <c r="H1386" s="32" t="str">
        <f ca="1">+IF(B1386&gt;'sap nuevo'!$V$1,"cargar",IF(C1386="","cargar","pagado"))</f>
        <v>cargar</v>
      </c>
      <c r="I1386" s="32">
        <f t="shared" si="190"/>
        <v>2025</v>
      </c>
      <c r="J1386" s="32">
        <f t="shared" si="191"/>
        <v>11</v>
      </c>
    </row>
    <row r="1387" spans="1:10" x14ac:dyDescent="0.25">
      <c r="A1387" t="s">
        <v>21</v>
      </c>
      <c r="B1387" t="s">
        <v>259</v>
      </c>
      <c r="C1387">
        <v>91002682</v>
      </c>
      <c r="D1387">
        <v>140</v>
      </c>
      <c r="E1387" s="4">
        <v>-9920667.9900000002</v>
      </c>
      <c r="F1387" t="s">
        <v>80</v>
      </c>
      <c r="G1387">
        <v>0</v>
      </c>
      <c r="H1387" s="32" t="str">
        <f ca="1">+IF(B1387&gt;'sap nuevo'!$V$1,"cargar",IF(C1387="","cargar","pagado"))</f>
        <v>cargar</v>
      </c>
      <c r="I1387" s="32">
        <f t="shared" si="190"/>
        <v>2025</v>
      </c>
      <c r="J1387" s="32">
        <f t="shared" si="191"/>
        <v>11</v>
      </c>
    </row>
    <row r="1388" spans="1:10" x14ac:dyDescent="0.25">
      <c r="A1388" t="s">
        <v>21</v>
      </c>
      <c r="B1388" t="s">
        <v>259</v>
      </c>
      <c r="C1388">
        <v>91002683</v>
      </c>
      <c r="D1388">
        <v>140</v>
      </c>
      <c r="E1388" s="4">
        <v>-6646368.8399999999</v>
      </c>
      <c r="F1388" t="s">
        <v>80</v>
      </c>
      <c r="G1388">
        <v>0</v>
      </c>
      <c r="H1388" s="32" t="str">
        <f ca="1">+IF(B1388&gt;'sap nuevo'!$V$1,"cargar",IF(C1388="","cargar","pagado"))</f>
        <v>cargar</v>
      </c>
      <c r="I1388" s="32">
        <f t="shared" si="190"/>
        <v>2025</v>
      </c>
      <c r="J1388" s="32">
        <f t="shared" si="191"/>
        <v>11</v>
      </c>
    </row>
    <row r="1389" spans="1:10" x14ac:dyDescent="0.25">
      <c r="A1389" t="s">
        <v>21</v>
      </c>
      <c r="B1389" t="s">
        <v>259</v>
      </c>
      <c r="C1389">
        <v>91002678</v>
      </c>
      <c r="D1389">
        <v>140</v>
      </c>
      <c r="E1389" s="4">
        <v>-4389249.3</v>
      </c>
      <c r="F1389" t="s">
        <v>80</v>
      </c>
      <c r="G1389">
        <v>0</v>
      </c>
      <c r="H1389" s="32" t="str">
        <f ca="1">+IF(B1389&gt;'sap nuevo'!$V$1,"cargar",IF(C1389="","cargar","pagado"))</f>
        <v>cargar</v>
      </c>
      <c r="I1389" s="32">
        <f t="shared" si="190"/>
        <v>2025</v>
      </c>
      <c r="J1389" s="32">
        <f t="shared" si="191"/>
        <v>11</v>
      </c>
    </row>
    <row r="1390" spans="1:10" x14ac:dyDescent="0.25">
      <c r="A1390" t="s">
        <v>12</v>
      </c>
      <c r="B1390" t="s">
        <v>259</v>
      </c>
      <c r="C1390">
        <v>91002680</v>
      </c>
      <c r="D1390">
        <v>140</v>
      </c>
      <c r="E1390" s="4">
        <v>-2009038.5</v>
      </c>
      <c r="F1390" t="s">
        <v>82</v>
      </c>
      <c r="G1390">
        <v>0</v>
      </c>
      <c r="H1390" s="32" t="str">
        <f ca="1">+IF(B1390&gt;'sap nuevo'!$V$1,"cargar",IF(C1390="","cargar","pagado"))</f>
        <v>cargar</v>
      </c>
      <c r="I1390" s="32">
        <f t="shared" si="190"/>
        <v>2025</v>
      </c>
      <c r="J1390" s="32">
        <f t="shared" si="191"/>
        <v>11</v>
      </c>
    </row>
    <row r="1391" spans="1:10" x14ac:dyDescent="0.25">
      <c r="A1391" t="s">
        <v>12</v>
      </c>
      <c r="B1391" t="s">
        <v>259</v>
      </c>
      <c r="C1391">
        <v>91002677</v>
      </c>
      <c r="D1391">
        <v>140</v>
      </c>
      <c r="E1391" s="4">
        <v>-531975.6</v>
      </c>
      <c r="F1391" t="s">
        <v>82</v>
      </c>
      <c r="G1391">
        <v>0</v>
      </c>
      <c r="H1391" s="32" t="str">
        <f ca="1">+IF(B1391&gt;'sap nuevo'!$V$1,"cargar",IF(C1391="","cargar","pagado"))</f>
        <v>cargar</v>
      </c>
      <c r="I1391" s="32">
        <f t="shared" si="190"/>
        <v>2025</v>
      </c>
      <c r="J1391" s="32">
        <f t="shared" si="191"/>
        <v>11</v>
      </c>
    </row>
    <row r="1392" spans="1:10" x14ac:dyDescent="0.25">
      <c r="A1392" t="s">
        <v>873</v>
      </c>
      <c r="B1392" t="s">
        <v>261</v>
      </c>
      <c r="C1392">
        <v>1981</v>
      </c>
      <c r="D1392">
        <v>9999</v>
      </c>
      <c r="E1392" s="4">
        <v>-25981987.07</v>
      </c>
      <c r="F1392" t="s">
        <v>1620</v>
      </c>
      <c r="G1392">
        <v>3520</v>
      </c>
      <c r="H1392" s="32" t="str">
        <f ca="1">+IF(B1392&gt;'sap nuevo'!$V$1,"cargar",IF(C1392="","cargar","pagado"))</f>
        <v>cargar</v>
      </c>
      <c r="I1392" s="32">
        <f t="shared" si="190"/>
        <v>2025</v>
      </c>
      <c r="J1392" s="32">
        <f t="shared" si="191"/>
        <v>11</v>
      </c>
    </row>
    <row r="1393" spans="1:10" x14ac:dyDescent="0.25">
      <c r="A1393" t="s">
        <v>877</v>
      </c>
      <c r="B1393" t="s">
        <v>261</v>
      </c>
      <c r="C1393">
        <v>1850</v>
      </c>
      <c r="D1393">
        <v>9999</v>
      </c>
      <c r="E1393" s="4">
        <v>-290000000</v>
      </c>
      <c r="F1393" t="s">
        <v>1621</v>
      </c>
      <c r="G1393">
        <v>1385</v>
      </c>
      <c r="H1393" s="32" t="str">
        <f ca="1">+IF(B1393&gt;'sap nuevo'!$V$1,"cargar",IF(C1393="","cargar","pagado"))</f>
        <v>cargar</v>
      </c>
      <c r="I1393" s="32">
        <f t="shared" si="190"/>
        <v>2025</v>
      </c>
      <c r="J1393" s="32">
        <f t="shared" si="191"/>
        <v>11</v>
      </c>
    </row>
    <row r="1394" spans="1:10" x14ac:dyDescent="0.25">
      <c r="A1394" t="s">
        <v>877</v>
      </c>
      <c r="B1394" t="s">
        <v>261</v>
      </c>
      <c r="C1394">
        <v>1849</v>
      </c>
      <c r="D1394">
        <v>9999</v>
      </c>
      <c r="E1394" s="4">
        <v>-290000000</v>
      </c>
      <c r="F1394" t="s">
        <v>1622</v>
      </c>
      <c r="G1394">
        <v>1385</v>
      </c>
      <c r="H1394" s="32" t="str">
        <f ca="1">+IF(B1394&gt;'sap nuevo'!$V$1,"cargar",IF(C1394="","cargar","pagado"))</f>
        <v>cargar</v>
      </c>
      <c r="I1394" s="32">
        <f t="shared" si="190"/>
        <v>2025</v>
      </c>
      <c r="J1394" s="32">
        <f t="shared" si="191"/>
        <v>11</v>
      </c>
    </row>
    <row r="1395" spans="1:10" x14ac:dyDescent="0.25">
      <c r="A1395" t="s">
        <v>877</v>
      </c>
      <c r="B1395" t="s">
        <v>261</v>
      </c>
      <c r="C1395">
        <v>1848</v>
      </c>
      <c r="D1395">
        <v>9999</v>
      </c>
      <c r="E1395" s="4">
        <v>-290000000</v>
      </c>
      <c r="F1395" t="s">
        <v>1623</v>
      </c>
      <c r="G1395">
        <v>1385</v>
      </c>
      <c r="H1395" s="32" t="str">
        <f ca="1">+IF(B1395&gt;'sap nuevo'!$V$1,"cargar",IF(C1395="","cargar","pagado"))</f>
        <v>cargar</v>
      </c>
      <c r="I1395" s="32">
        <f t="shared" si="190"/>
        <v>2025</v>
      </c>
      <c r="J1395" s="32">
        <f t="shared" si="191"/>
        <v>11</v>
      </c>
    </row>
    <row r="1396" spans="1:10" x14ac:dyDescent="0.25">
      <c r="A1396" t="s">
        <v>21</v>
      </c>
      <c r="B1396" t="s">
        <v>1624</v>
      </c>
      <c r="C1396">
        <v>91002692</v>
      </c>
      <c r="D1396">
        <v>140</v>
      </c>
      <c r="E1396" s="4">
        <v>-19048570.100000001</v>
      </c>
      <c r="F1396" t="s">
        <v>80</v>
      </c>
      <c r="G1396">
        <v>0</v>
      </c>
      <c r="H1396" s="32" t="str">
        <f ca="1">+IF(B1396&gt;'sap nuevo'!$V$1,"cargar",IF(C1396="","cargar","pagado"))</f>
        <v>cargar</v>
      </c>
      <c r="I1396" s="32">
        <f t="shared" ref="I1396:I1412" si="192">+YEAR(B1396)</f>
        <v>2025</v>
      </c>
      <c r="J1396" s="32">
        <f t="shared" ref="J1396:J1412" si="193">+MONTH(B1396)</f>
        <v>11</v>
      </c>
    </row>
    <row r="1397" spans="1:10" x14ac:dyDescent="0.25">
      <c r="A1397" t="s">
        <v>12</v>
      </c>
      <c r="B1397" t="s">
        <v>1624</v>
      </c>
      <c r="C1397">
        <v>91002686</v>
      </c>
      <c r="D1397">
        <v>140</v>
      </c>
      <c r="E1397" s="4">
        <v>-16617614.359999999</v>
      </c>
      <c r="F1397" t="s">
        <v>82</v>
      </c>
      <c r="G1397">
        <v>0</v>
      </c>
      <c r="H1397" s="32" t="str">
        <f ca="1">+IF(B1397&gt;'sap nuevo'!$V$1,"cargar",IF(C1397="","cargar","pagado"))</f>
        <v>cargar</v>
      </c>
      <c r="I1397" s="32">
        <f t="shared" si="192"/>
        <v>2025</v>
      </c>
      <c r="J1397" s="32">
        <f t="shared" si="193"/>
        <v>11</v>
      </c>
    </row>
    <row r="1398" spans="1:10" x14ac:dyDescent="0.25">
      <c r="A1398" t="s">
        <v>21</v>
      </c>
      <c r="B1398" t="s">
        <v>1624</v>
      </c>
      <c r="C1398">
        <v>91002698</v>
      </c>
      <c r="D1398">
        <v>140</v>
      </c>
      <c r="E1398" s="4">
        <v>-12521110.18</v>
      </c>
      <c r="F1398" t="s">
        <v>80</v>
      </c>
      <c r="G1398">
        <v>0</v>
      </c>
      <c r="H1398" s="32" t="str">
        <f ca="1">+IF(B1398&gt;'sap nuevo'!$V$1,"cargar",IF(C1398="","cargar","pagado"))</f>
        <v>cargar</v>
      </c>
      <c r="I1398" s="32">
        <f t="shared" si="192"/>
        <v>2025</v>
      </c>
      <c r="J1398" s="32">
        <f t="shared" si="193"/>
        <v>11</v>
      </c>
    </row>
    <row r="1399" spans="1:10" x14ac:dyDescent="0.25">
      <c r="A1399" t="s">
        <v>21</v>
      </c>
      <c r="B1399" t="s">
        <v>1624</v>
      </c>
      <c r="C1399">
        <v>91002694</v>
      </c>
      <c r="D1399">
        <v>140</v>
      </c>
      <c r="E1399" s="4">
        <v>-10649857.9</v>
      </c>
      <c r="F1399" t="s">
        <v>80</v>
      </c>
      <c r="G1399">
        <v>0</v>
      </c>
      <c r="H1399" s="32" t="str">
        <f ca="1">+IF(B1399&gt;'sap nuevo'!$V$1,"cargar",IF(C1399="","cargar","pagado"))</f>
        <v>cargar</v>
      </c>
      <c r="I1399" s="32">
        <f t="shared" si="192"/>
        <v>2025</v>
      </c>
      <c r="J1399" s="32">
        <f t="shared" si="193"/>
        <v>11</v>
      </c>
    </row>
    <row r="1400" spans="1:10" x14ac:dyDescent="0.25">
      <c r="A1400" t="s">
        <v>21</v>
      </c>
      <c r="B1400" t="s">
        <v>1624</v>
      </c>
      <c r="C1400">
        <v>91002697</v>
      </c>
      <c r="D1400">
        <v>140</v>
      </c>
      <c r="E1400" s="4">
        <v>-8537838.0299999993</v>
      </c>
      <c r="F1400" t="s">
        <v>80</v>
      </c>
      <c r="G1400">
        <v>0</v>
      </c>
      <c r="H1400" s="32" t="str">
        <f ca="1">+IF(B1400&gt;'sap nuevo'!$V$1,"cargar",IF(C1400="","cargar","pagado"))</f>
        <v>cargar</v>
      </c>
      <c r="I1400" s="32">
        <f t="shared" si="192"/>
        <v>2025</v>
      </c>
      <c r="J1400" s="32">
        <f t="shared" si="193"/>
        <v>11</v>
      </c>
    </row>
    <row r="1401" spans="1:10" x14ac:dyDescent="0.25">
      <c r="A1401" t="s">
        <v>21</v>
      </c>
      <c r="B1401" t="s">
        <v>1624</v>
      </c>
      <c r="C1401">
        <v>91002690</v>
      </c>
      <c r="D1401">
        <v>140</v>
      </c>
      <c r="E1401" s="4">
        <v>-3121289.61</v>
      </c>
      <c r="F1401" t="s">
        <v>80</v>
      </c>
      <c r="G1401">
        <v>0</v>
      </c>
      <c r="H1401" s="32" t="str">
        <f ca="1">+IF(B1401&gt;'sap nuevo'!$V$1,"cargar",IF(C1401="","cargar","pagado"))</f>
        <v>cargar</v>
      </c>
      <c r="I1401" s="32">
        <f t="shared" si="192"/>
        <v>2025</v>
      </c>
      <c r="J1401" s="32">
        <f t="shared" si="193"/>
        <v>11</v>
      </c>
    </row>
    <row r="1402" spans="1:10" x14ac:dyDescent="0.25">
      <c r="A1402" t="s">
        <v>21</v>
      </c>
      <c r="B1402" t="s">
        <v>1624</v>
      </c>
      <c r="C1402">
        <v>91002691</v>
      </c>
      <c r="D1402">
        <v>140</v>
      </c>
      <c r="E1402" s="4">
        <v>-2220197.81</v>
      </c>
      <c r="F1402" t="s">
        <v>80</v>
      </c>
      <c r="G1402">
        <v>0</v>
      </c>
      <c r="H1402" s="32" t="str">
        <f ca="1">+IF(B1402&gt;'sap nuevo'!$V$1,"cargar",IF(C1402="","cargar","pagado"))</f>
        <v>cargar</v>
      </c>
      <c r="I1402" s="32">
        <f t="shared" si="192"/>
        <v>2025</v>
      </c>
      <c r="J1402" s="32">
        <f t="shared" si="193"/>
        <v>11</v>
      </c>
    </row>
    <row r="1403" spans="1:10" x14ac:dyDescent="0.25">
      <c r="A1403" t="s">
        <v>21</v>
      </c>
      <c r="B1403" t="s">
        <v>1624</v>
      </c>
      <c r="C1403">
        <v>91002695</v>
      </c>
      <c r="D1403">
        <v>140</v>
      </c>
      <c r="E1403" s="4">
        <v>-2129971.58</v>
      </c>
      <c r="F1403" t="s">
        <v>80</v>
      </c>
      <c r="G1403">
        <v>0</v>
      </c>
      <c r="H1403" s="32" t="str">
        <f ca="1">+IF(B1403&gt;'sap nuevo'!$V$1,"cargar",IF(C1403="","cargar","pagado"))</f>
        <v>cargar</v>
      </c>
      <c r="I1403" s="32">
        <f t="shared" si="192"/>
        <v>2025</v>
      </c>
      <c r="J1403" s="32">
        <f t="shared" si="193"/>
        <v>11</v>
      </c>
    </row>
    <row r="1404" spans="1:10" x14ac:dyDescent="0.25">
      <c r="A1404" t="s">
        <v>12</v>
      </c>
      <c r="B1404" t="s">
        <v>1624</v>
      </c>
      <c r="C1404">
        <v>91002672</v>
      </c>
      <c r="D1404">
        <v>140</v>
      </c>
      <c r="E1404" s="4">
        <v>-2116675.71</v>
      </c>
      <c r="F1404" t="s">
        <v>82</v>
      </c>
      <c r="G1404">
        <v>0</v>
      </c>
      <c r="H1404" s="32" t="str">
        <f ca="1">+IF(B1404&gt;'sap nuevo'!$V$1,"cargar",IF(C1404="","cargar","pagado"))</f>
        <v>cargar</v>
      </c>
      <c r="I1404" s="32">
        <f t="shared" si="192"/>
        <v>2025</v>
      </c>
      <c r="J1404" s="32">
        <f t="shared" si="193"/>
        <v>11</v>
      </c>
    </row>
    <row r="1405" spans="1:10" x14ac:dyDescent="0.25">
      <c r="A1405" t="s">
        <v>21</v>
      </c>
      <c r="B1405" t="s">
        <v>1624</v>
      </c>
      <c r="C1405">
        <v>91002688</v>
      </c>
      <c r="D1405">
        <v>140</v>
      </c>
      <c r="E1405" s="4">
        <v>-2064992.85</v>
      </c>
      <c r="F1405" t="s">
        <v>80</v>
      </c>
      <c r="G1405">
        <v>0</v>
      </c>
      <c r="H1405" s="32" t="str">
        <f ca="1">+IF(B1405&gt;'sap nuevo'!$V$1,"cargar",IF(C1405="","cargar","pagado"))</f>
        <v>cargar</v>
      </c>
      <c r="I1405" s="32">
        <f t="shared" si="192"/>
        <v>2025</v>
      </c>
      <c r="J1405" s="32">
        <f t="shared" si="193"/>
        <v>11</v>
      </c>
    </row>
    <row r="1406" spans="1:10" x14ac:dyDescent="0.25">
      <c r="A1406" t="s">
        <v>21</v>
      </c>
      <c r="B1406" t="s">
        <v>1624</v>
      </c>
      <c r="C1406">
        <v>91002699</v>
      </c>
      <c r="D1406">
        <v>140</v>
      </c>
      <c r="E1406" s="4">
        <v>-1018807.64</v>
      </c>
      <c r="F1406" t="s">
        <v>80</v>
      </c>
      <c r="G1406">
        <v>0</v>
      </c>
      <c r="H1406" s="32" t="str">
        <f ca="1">+IF(B1406&gt;'sap nuevo'!$V$1,"cargar",IF(C1406="","cargar","pagado"))</f>
        <v>cargar</v>
      </c>
      <c r="I1406" s="32">
        <f t="shared" si="192"/>
        <v>2025</v>
      </c>
      <c r="J1406" s="32">
        <f t="shared" si="193"/>
        <v>11</v>
      </c>
    </row>
    <row r="1407" spans="1:10" x14ac:dyDescent="0.25">
      <c r="A1407" t="s">
        <v>21</v>
      </c>
      <c r="B1407" t="s">
        <v>261</v>
      </c>
      <c r="C1407">
        <v>91002689</v>
      </c>
      <c r="D1407">
        <v>140</v>
      </c>
      <c r="E1407" s="4">
        <v>-2845626.36</v>
      </c>
      <c r="F1407" t="s">
        <v>80</v>
      </c>
      <c r="G1407">
        <v>0</v>
      </c>
      <c r="H1407" s="32" t="str">
        <f ca="1">+IF(B1407&gt;'sap nuevo'!$V$1,"cargar",IF(C1407="","cargar","pagado"))</f>
        <v>cargar</v>
      </c>
      <c r="I1407" s="32">
        <f t="shared" si="192"/>
        <v>2025</v>
      </c>
      <c r="J1407" s="32">
        <f t="shared" si="193"/>
        <v>11</v>
      </c>
    </row>
    <row r="1408" spans="1:10" x14ac:dyDescent="0.25">
      <c r="A1408" t="s">
        <v>21</v>
      </c>
      <c r="B1408" t="s">
        <v>261</v>
      </c>
      <c r="C1408">
        <v>40273004</v>
      </c>
      <c r="D1408">
        <v>140</v>
      </c>
      <c r="E1408" s="4">
        <v>-1506749.02</v>
      </c>
      <c r="F1408" t="s">
        <v>80</v>
      </c>
      <c r="G1408">
        <v>0</v>
      </c>
      <c r="H1408" s="32" t="str">
        <f ca="1">+IF(B1408&gt;'sap nuevo'!$V$1,"cargar",IF(C1408="","cargar","pagado"))</f>
        <v>cargar</v>
      </c>
      <c r="I1408" s="32">
        <f t="shared" si="192"/>
        <v>2025</v>
      </c>
      <c r="J1408" s="32">
        <f t="shared" si="193"/>
        <v>11</v>
      </c>
    </row>
    <row r="1409" spans="1:10" x14ac:dyDescent="0.25">
      <c r="A1409" t="s">
        <v>21</v>
      </c>
      <c r="B1409" t="s">
        <v>1625</v>
      </c>
      <c r="C1409">
        <v>91002696</v>
      </c>
      <c r="D1409">
        <v>140</v>
      </c>
      <c r="E1409" s="4">
        <v>-4190982.71</v>
      </c>
      <c r="F1409" t="s">
        <v>80</v>
      </c>
      <c r="G1409">
        <v>0</v>
      </c>
      <c r="H1409" s="32" t="str">
        <f ca="1">+IF(B1409&gt;'sap nuevo'!$V$1,"cargar",IF(C1409="","cargar","pagado"))</f>
        <v>cargar</v>
      </c>
      <c r="I1409" s="32">
        <f t="shared" si="192"/>
        <v>2025</v>
      </c>
      <c r="J1409" s="32">
        <f t="shared" si="193"/>
        <v>11</v>
      </c>
    </row>
    <row r="1410" spans="1:10" x14ac:dyDescent="0.25">
      <c r="A1410" t="s">
        <v>21</v>
      </c>
      <c r="B1410" t="s">
        <v>1625</v>
      </c>
      <c r="C1410">
        <v>91002668</v>
      </c>
      <c r="D1410">
        <v>140</v>
      </c>
      <c r="E1410" s="4">
        <v>-2281959.06</v>
      </c>
      <c r="F1410" t="s">
        <v>80</v>
      </c>
      <c r="G1410">
        <v>0</v>
      </c>
      <c r="H1410" s="32" t="str">
        <f ca="1">+IF(B1410&gt;'sap nuevo'!$V$1,"cargar",IF(C1410="","cargar","pagado"))</f>
        <v>cargar</v>
      </c>
      <c r="I1410" s="32">
        <f t="shared" si="192"/>
        <v>2025</v>
      </c>
      <c r="J1410" s="32">
        <f t="shared" si="193"/>
        <v>11</v>
      </c>
    </row>
    <row r="1411" spans="1:10" x14ac:dyDescent="0.25">
      <c r="A1411" t="s">
        <v>12</v>
      </c>
      <c r="B1411" t="s">
        <v>1626</v>
      </c>
      <c r="C1411">
        <v>40273005</v>
      </c>
      <c r="D1411">
        <v>140</v>
      </c>
      <c r="E1411" s="4">
        <v>-7000000</v>
      </c>
      <c r="F1411" t="s">
        <v>82</v>
      </c>
      <c r="G1411">
        <v>0</v>
      </c>
      <c r="H1411" s="32" t="str">
        <f ca="1">+IF(B1411&gt;'sap nuevo'!$V$1,"cargar",IF(C1411="","cargar","pagado"))</f>
        <v>cargar</v>
      </c>
      <c r="I1411" s="32">
        <f t="shared" si="192"/>
        <v>2025</v>
      </c>
      <c r="J1411" s="32">
        <f t="shared" si="193"/>
        <v>11</v>
      </c>
    </row>
    <row r="1412" spans="1:10" x14ac:dyDescent="0.25">
      <c r="A1412" t="s">
        <v>12</v>
      </c>
      <c r="B1412" t="s">
        <v>1626</v>
      </c>
      <c r="C1412">
        <v>40273006</v>
      </c>
      <c r="D1412">
        <v>140</v>
      </c>
      <c r="E1412" s="4">
        <v>-7000000</v>
      </c>
      <c r="F1412" t="s">
        <v>82</v>
      </c>
      <c r="G1412">
        <v>0</v>
      </c>
      <c r="H1412" s="32" t="str">
        <f ca="1">+IF(B1412&gt;'sap nuevo'!$V$1,"cargar",IF(C1412="","cargar","pagado"))</f>
        <v>cargar</v>
      </c>
      <c r="I1412" s="32">
        <f t="shared" si="192"/>
        <v>2025</v>
      </c>
      <c r="J1412" s="32">
        <f t="shared" si="193"/>
        <v>11</v>
      </c>
    </row>
    <row r="1413" spans="1:10" x14ac:dyDescent="0.25">
      <c r="A1413" t="s">
        <v>873</v>
      </c>
      <c r="B1413" t="s">
        <v>1627</v>
      </c>
      <c r="C1413">
        <v>1983</v>
      </c>
      <c r="D1413">
        <v>9999</v>
      </c>
      <c r="E1413" s="4">
        <v>-7473752</v>
      </c>
      <c r="F1413" t="s">
        <v>1628</v>
      </c>
      <c r="G1413">
        <v>3520</v>
      </c>
      <c r="H1413" s="32" t="str">
        <f ca="1">+IF(B1413&gt;'sap nuevo'!$V$1,"cargar",IF(C1413="","cargar","pagado"))</f>
        <v>cargar</v>
      </c>
      <c r="I1413" s="32">
        <f t="shared" ref="I1413:I1448" si="194">+YEAR(B1413)</f>
        <v>2025</v>
      </c>
      <c r="J1413" s="32">
        <f t="shared" ref="J1413:J1448" si="195">+MONTH(B1413)</f>
        <v>11</v>
      </c>
    </row>
    <row r="1414" spans="1:10" x14ac:dyDescent="0.25">
      <c r="A1414" t="s">
        <v>1547</v>
      </c>
      <c r="B1414" t="s">
        <v>262</v>
      </c>
      <c r="C1414">
        <v>5433</v>
      </c>
      <c r="D1414">
        <v>89</v>
      </c>
      <c r="E1414" s="4">
        <v>6675654.6699999999</v>
      </c>
      <c r="F1414" t="s">
        <v>1629</v>
      </c>
      <c r="G1414">
        <v>6950</v>
      </c>
      <c r="H1414" s="32" t="str">
        <f ca="1">+IF(B1414&gt;'sap nuevo'!$V$1,"cargar",IF(C1414="","cargar","pagado"))</f>
        <v>cargar</v>
      </c>
      <c r="I1414" s="32">
        <f t="shared" si="194"/>
        <v>2025</v>
      </c>
      <c r="J1414" s="32">
        <f t="shared" si="195"/>
        <v>11</v>
      </c>
    </row>
    <row r="1415" spans="1:10" x14ac:dyDescent="0.25">
      <c r="A1415" t="s">
        <v>873</v>
      </c>
      <c r="B1415" t="s">
        <v>262</v>
      </c>
      <c r="C1415">
        <v>1988</v>
      </c>
      <c r="D1415">
        <v>9999</v>
      </c>
      <c r="E1415" s="4">
        <v>-154825260</v>
      </c>
      <c r="F1415" t="s">
        <v>1630</v>
      </c>
      <c r="G1415">
        <v>3520</v>
      </c>
      <c r="H1415" s="32" t="str">
        <f ca="1">+IF(B1415&gt;'sap nuevo'!$V$1,"cargar",IF(C1415="","cargar","pagado"))</f>
        <v>cargar</v>
      </c>
      <c r="I1415" s="32">
        <f t="shared" si="194"/>
        <v>2025</v>
      </c>
      <c r="J1415" s="32">
        <f t="shared" si="195"/>
        <v>11</v>
      </c>
    </row>
    <row r="1416" spans="1:10" x14ac:dyDescent="0.25">
      <c r="A1416" t="s">
        <v>877</v>
      </c>
      <c r="B1416" t="s">
        <v>1627</v>
      </c>
      <c r="C1416">
        <v>1987</v>
      </c>
      <c r="D1416">
        <v>9999</v>
      </c>
      <c r="E1416" s="4">
        <v>-9646544.2400000002</v>
      </c>
      <c r="F1416" t="s">
        <v>1631</v>
      </c>
      <c r="G1416">
        <v>1385</v>
      </c>
      <c r="H1416" s="32" t="str">
        <f ca="1">+IF(B1416&gt;'sap nuevo'!$V$1,"cargar",IF(C1416="","cargar","pagado"))</f>
        <v>cargar</v>
      </c>
      <c r="I1416" s="32">
        <f t="shared" si="194"/>
        <v>2025</v>
      </c>
      <c r="J1416" s="32">
        <f t="shared" si="195"/>
        <v>11</v>
      </c>
    </row>
    <row r="1417" spans="1:10" x14ac:dyDescent="0.25">
      <c r="A1417" t="s">
        <v>877</v>
      </c>
      <c r="B1417" t="s">
        <v>1627</v>
      </c>
      <c r="C1417">
        <v>1984</v>
      </c>
      <c r="D1417">
        <v>9999</v>
      </c>
      <c r="E1417" s="4">
        <v>-7169433.54</v>
      </c>
      <c r="F1417" t="s">
        <v>1632</v>
      </c>
      <c r="G1417">
        <v>1385</v>
      </c>
      <c r="H1417" s="32" t="str">
        <f ca="1">+IF(B1417&gt;'sap nuevo'!$V$1,"cargar",IF(C1417="","cargar","pagado"))</f>
        <v>cargar</v>
      </c>
      <c r="I1417" s="32">
        <f t="shared" si="194"/>
        <v>2025</v>
      </c>
      <c r="J1417" s="32">
        <f t="shared" si="195"/>
        <v>11</v>
      </c>
    </row>
    <row r="1418" spans="1:10" x14ac:dyDescent="0.25">
      <c r="A1418" t="s">
        <v>877</v>
      </c>
      <c r="B1418" t="s">
        <v>1627</v>
      </c>
      <c r="C1418">
        <v>1986</v>
      </c>
      <c r="D1418">
        <v>9999</v>
      </c>
      <c r="E1418" s="4">
        <v>-5790244.4900000002</v>
      </c>
      <c r="F1418" t="s">
        <v>1633</v>
      </c>
      <c r="G1418">
        <v>1385</v>
      </c>
      <c r="H1418" s="32" t="str">
        <f ca="1">+IF(B1418&gt;'sap nuevo'!$V$1,"cargar",IF(C1418="","cargar","pagado"))</f>
        <v>cargar</v>
      </c>
      <c r="I1418" s="32">
        <f t="shared" si="194"/>
        <v>2025</v>
      </c>
      <c r="J1418" s="32">
        <f t="shared" si="195"/>
        <v>11</v>
      </c>
    </row>
    <row r="1419" spans="1:10" x14ac:dyDescent="0.25">
      <c r="A1419" t="s">
        <v>877</v>
      </c>
      <c r="B1419" t="s">
        <v>262</v>
      </c>
      <c r="C1419">
        <v>1982</v>
      </c>
      <c r="D1419">
        <v>9999</v>
      </c>
      <c r="E1419" s="4">
        <v>-17748951.82</v>
      </c>
      <c r="F1419" t="s">
        <v>1634</v>
      </c>
      <c r="G1419">
        <v>1385</v>
      </c>
      <c r="H1419" s="32" t="str">
        <f ca="1">+IF(B1419&gt;'sap nuevo'!$V$1,"cargar",IF(C1419="","cargar","pagado"))</f>
        <v>cargar</v>
      </c>
      <c r="I1419" s="32">
        <f t="shared" si="194"/>
        <v>2025</v>
      </c>
      <c r="J1419" s="32">
        <f t="shared" si="195"/>
        <v>11</v>
      </c>
    </row>
    <row r="1420" spans="1:10" x14ac:dyDescent="0.25">
      <c r="A1420" t="s">
        <v>877</v>
      </c>
      <c r="B1420" t="s">
        <v>262</v>
      </c>
      <c r="C1420">
        <v>1977</v>
      </c>
      <c r="D1420">
        <v>9999</v>
      </c>
      <c r="E1420" s="4">
        <v>-4471244.1500000004</v>
      </c>
      <c r="F1420" t="s">
        <v>1635</v>
      </c>
      <c r="G1420">
        <v>1385</v>
      </c>
      <c r="H1420" s="32" t="str">
        <f ca="1">+IF(B1420&gt;'sap nuevo'!$V$1,"cargar",IF(C1420="","cargar","pagado"))</f>
        <v>cargar</v>
      </c>
      <c r="I1420" s="32">
        <f t="shared" si="194"/>
        <v>2025</v>
      </c>
      <c r="J1420" s="32">
        <f t="shared" si="195"/>
        <v>11</v>
      </c>
    </row>
    <row r="1421" spans="1:10" x14ac:dyDescent="0.25">
      <c r="A1421" t="s">
        <v>12</v>
      </c>
      <c r="B1421" t="s">
        <v>1627</v>
      </c>
      <c r="C1421">
        <v>40272995</v>
      </c>
      <c r="D1421">
        <v>140</v>
      </c>
      <c r="E1421" s="4">
        <v>-32779830</v>
      </c>
      <c r="F1421" t="s">
        <v>82</v>
      </c>
      <c r="G1421">
        <v>0</v>
      </c>
      <c r="H1421" s="32" t="str">
        <f ca="1">+IF(B1421&gt;'sap nuevo'!$V$1,"cargar",IF(C1421="","cargar","pagado"))</f>
        <v>cargar</v>
      </c>
      <c r="I1421" s="32">
        <f t="shared" si="194"/>
        <v>2025</v>
      </c>
      <c r="J1421" s="32">
        <f t="shared" si="195"/>
        <v>11</v>
      </c>
    </row>
    <row r="1422" spans="1:10" x14ac:dyDescent="0.25">
      <c r="A1422" t="s">
        <v>21</v>
      </c>
      <c r="B1422" t="s">
        <v>262</v>
      </c>
      <c r="C1422">
        <v>91002705</v>
      </c>
      <c r="D1422">
        <v>140</v>
      </c>
      <c r="E1422" s="4">
        <v>-12806757.050000001</v>
      </c>
      <c r="F1422" t="s">
        <v>80</v>
      </c>
      <c r="G1422">
        <v>0</v>
      </c>
      <c r="H1422" s="32" t="str">
        <f ca="1">+IF(B1422&gt;'sap nuevo'!$V$1,"cargar",IF(C1422="","cargar","pagado"))</f>
        <v>cargar</v>
      </c>
      <c r="I1422" s="32">
        <f t="shared" si="194"/>
        <v>2025</v>
      </c>
      <c r="J1422" s="32">
        <f t="shared" si="195"/>
        <v>11</v>
      </c>
    </row>
    <row r="1423" spans="1:10" x14ac:dyDescent="0.25">
      <c r="A1423" t="s">
        <v>21</v>
      </c>
      <c r="B1423" t="s">
        <v>262</v>
      </c>
      <c r="C1423">
        <v>91002701</v>
      </c>
      <c r="D1423">
        <v>140</v>
      </c>
      <c r="E1423" s="4">
        <v>-12699046.73</v>
      </c>
      <c r="F1423" t="s">
        <v>80</v>
      </c>
      <c r="G1423">
        <v>0</v>
      </c>
      <c r="H1423" s="32" t="str">
        <f ca="1">+IF(B1423&gt;'sap nuevo'!$V$1,"cargar",IF(C1423="","cargar","pagado"))</f>
        <v>cargar</v>
      </c>
      <c r="I1423" s="32">
        <f t="shared" si="194"/>
        <v>2025</v>
      </c>
      <c r="J1423" s="32">
        <f t="shared" si="195"/>
        <v>11</v>
      </c>
    </row>
    <row r="1424" spans="1:10" x14ac:dyDescent="0.25">
      <c r="A1424" t="s">
        <v>21</v>
      </c>
      <c r="B1424" t="s">
        <v>262</v>
      </c>
      <c r="C1424">
        <v>91002706</v>
      </c>
      <c r="D1424">
        <v>140</v>
      </c>
      <c r="E1424" s="4">
        <v>-7214150.79</v>
      </c>
      <c r="F1424" t="s">
        <v>80</v>
      </c>
      <c r="G1424">
        <v>0</v>
      </c>
      <c r="H1424" s="32" t="str">
        <f ca="1">+IF(B1424&gt;'sap nuevo'!$V$1,"cargar",IF(C1424="","cargar","pagado"))</f>
        <v>cargar</v>
      </c>
      <c r="I1424" s="32">
        <f t="shared" si="194"/>
        <v>2025</v>
      </c>
      <c r="J1424" s="32">
        <f t="shared" si="195"/>
        <v>11</v>
      </c>
    </row>
    <row r="1425" spans="1:10" x14ac:dyDescent="0.25">
      <c r="A1425" t="s">
        <v>21</v>
      </c>
      <c r="B1425" t="s">
        <v>262</v>
      </c>
      <c r="C1425">
        <v>91002702</v>
      </c>
      <c r="D1425">
        <v>140</v>
      </c>
      <c r="E1425" s="4">
        <v>-4259943.16</v>
      </c>
      <c r="F1425" t="s">
        <v>80</v>
      </c>
      <c r="G1425">
        <v>0</v>
      </c>
      <c r="H1425" s="32" t="str">
        <f ca="1">+IF(B1425&gt;'sap nuevo'!$V$1,"cargar",IF(C1425="","cargar","pagado"))</f>
        <v>cargar</v>
      </c>
      <c r="I1425" s="32">
        <f t="shared" si="194"/>
        <v>2025</v>
      </c>
      <c r="J1425" s="32">
        <f t="shared" si="195"/>
        <v>11</v>
      </c>
    </row>
    <row r="1426" spans="1:10" x14ac:dyDescent="0.25">
      <c r="A1426" t="s">
        <v>21</v>
      </c>
      <c r="B1426" t="s">
        <v>262</v>
      </c>
      <c r="C1426">
        <v>91002703</v>
      </c>
      <c r="D1426">
        <v>140</v>
      </c>
      <c r="E1426" s="4">
        <v>-4259943.16</v>
      </c>
      <c r="F1426" t="s">
        <v>80</v>
      </c>
      <c r="G1426">
        <v>0</v>
      </c>
      <c r="H1426" s="32" t="str">
        <f ca="1">+IF(B1426&gt;'sap nuevo'!$V$1,"cargar",IF(C1426="","cargar","pagado"))</f>
        <v>cargar</v>
      </c>
      <c r="I1426" s="32">
        <f t="shared" si="194"/>
        <v>2025</v>
      </c>
      <c r="J1426" s="32">
        <f t="shared" si="195"/>
        <v>11</v>
      </c>
    </row>
    <row r="1427" spans="1:10" x14ac:dyDescent="0.25">
      <c r="A1427" t="s">
        <v>873</v>
      </c>
      <c r="B1427" t="s">
        <v>263</v>
      </c>
      <c r="C1427">
        <v>2012</v>
      </c>
      <c r="D1427">
        <v>9999</v>
      </c>
      <c r="E1427" s="4">
        <v>-2957550</v>
      </c>
      <c r="F1427" t="s">
        <v>1636</v>
      </c>
      <c r="G1427">
        <v>3520</v>
      </c>
      <c r="H1427" s="32" t="str">
        <f ca="1">+IF(B1427&gt;'sap nuevo'!$V$1,"cargar",IF(C1427="","cargar","pagado"))</f>
        <v>cargar</v>
      </c>
      <c r="I1427" s="32">
        <f t="shared" si="194"/>
        <v>2025</v>
      </c>
      <c r="J1427" s="32">
        <f t="shared" si="195"/>
        <v>11</v>
      </c>
    </row>
    <row r="1428" spans="1:10" x14ac:dyDescent="0.25">
      <c r="A1428" t="s">
        <v>21</v>
      </c>
      <c r="B1428" t="s">
        <v>263</v>
      </c>
      <c r="C1428">
        <v>91002707</v>
      </c>
      <c r="D1428">
        <v>140</v>
      </c>
      <c r="E1428" s="4">
        <v>-13879757.4</v>
      </c>
      <c r="F1428" t="s">
        <v>80</v>
      </c>
      <c r="G1428">
        <v>0</v>
      </c>
      <c r="H1428" s="32" t="str">
        <f ca="1">+IF(B1428&gt;'sap nuevo'!$V$1,"cargar",IF(C1428="","cargar","pagado"))</f>
        <v>cargar</v>
      </c>
      <c r="I1428" s="32">
        <f t="shared" si="194"/>
        <v>2025</v>
      </c>
      <c r="J1428" s="32">
        <f t="shared" si="195"/>
        <v>11</v>
      </c>
    </row>
    <row r="1429" spans="1:10" x14ac:dyDescent="0.25">
      <c r="A1429" t="s">
        <v>21</v>
      </c>
      <c r="B1429" t="s">
        <v>263</v>
      </c>
      <c r="C1429">
        <v>40273007</v>
      </c>
      <c r="D1429">
        <v>140</v>
      </c>
      <c r="E1429" s="4">
        <v>-6794043.9699999997</v>
      </c>
      <c r="F1429" t="s">
        <v>80</v>
      </c>
      <c r="G1429">
        <v>0</v>
      </c>
      <c r="H1429" s="32" t="str">
        <f ca="1">+IF(B1429&gt;'sap nuevo'!$V$1,"cargar",IF(C1429="","cargar","pagado"))</f>
        <v>cargar</v>
      </c>
      <c r="I1429" s="32">
        <f t="shared" si="194"/>
        <v>2025</v>
      </c>
      <c r="J1429" s="32">
        <f t="shared" si="195"/>
        <v>11</v>
      </c>
    </row>
    <row r="1430" spans="1:10" x14ac:dyDescent="0.25">
      <c r="A1430" t="s">
        <v>21</v>
      </c>
      <c r="B1430" t="s">
        <v>263</v>
      </c>
      <c r="C1430">
        <v>91002693</v>
      </c>
      <c r="D1430">
        <v>140</v>
      </c>
      <c r="E1430" s="4">
        <v>-2116507.79</v>
      </c>
      <c r="F1430" t="s">
        <v>80</v>
      </c>
      <c r="G1430">
        <v>0</v>
      </c>
      <c r="H1430" s="32" t="str">
        <f ca="1">+IF(B1430&gt;'sap nuevo'!$V$1,"cargar",IF(C1430="","cargar","pagado"))</f>
        <v>cargar</v>
      </c>
      <c r="I1430" s="32">
        <f t="shared" si="194"/>
        <v>2025</v>
      </c>
      <c r="J1430" s="32">
        <f t="shared" si="195"/>
        <v>11</v>
      </c>
    </row>
    <row r="1431" spans="1:10" x14ac:dyDescent="0.25">
      <c r="A1431" t="s">
        <v>1547</v>
      </c>
      <c r="B1431" t="s">
        <v>264</v>
      </c>
      <c r="C1431">
        <v>7453</v>
      </c>
      <c r="D1431">
        <v>89</v>
      </c>
      <c r="E1431" s="4">
        <v>2107842.2400000002</v>
      </c>
      <c r="F1431" t="s">
        <v>1637</v>
      </c>
      <c r="G1431">
        <v>6950</v>
      </c>
      <c r="H1431" s="32" t="str">
        <f ca="1">+IF(B1431&gt;'sap nuevo'!$V$1,"cargar",IF(C1431="","cargar","pagado"))</f>
        <v>cargar</v>
      </c>
      <c r="I1431" s="32">
        <f t="shared" si="194"/>
        <v>2025</v>
      </c>
      <c r="J1431" s="32">
        <f t="shared" si="195"/>
        <v>11</v>
      </c>
    </row>
    <row r="1432" spans="1:10" x14ac:dyDescent="0.25">
      <c r="A1432" t="s">
        <v>1547</v>
      </c>
      <c r="B1432" t="s">
        <v>264</v>
      </c>
      <c r="C1432">
        <v>5453</v>
      </c>
      <c r="D1432">
        <v>89</v>
      </c>
      <c r="E1432" s="4">
        <v>4407572.8499999996</v>
      </c>
      <c r="F1432" t="s">
        <v>1638</v>
      </c>
      <c r="G1432">
        <v>6950</v>
      </c>
      <c r="H1432" s="32" t="str">
        <f ca="1">+IF(B1432&gt;'sap nuevo'!$V$1,"cargar",IF(C1432="","cargar","pagado"))</f>
        <v>cargar</v>
      </c>
      <c r="I1432" s="32">
        <f t="shared" si="194"/>
        <v>2025</v>
      </c>
      <c r="J1432" s="32">
        <f t="shared" si="195"/>
        <v>11</v>
      </c>
    </row>
    <row r="1433" spans="1:10" x14ac:dyDescent="0.25">
      <c r="A1433" t="s">
        <v>1547</v>
      </c>
      <c r="B1433" t="s">
        <v>264</v>
      </c>
      <c r="C1433">
        <v>5459</v>
      </c>
      <c r="D1433">
        <v>89</v>
      </c>
      <c r="E1433" s="4">
        <v>4808687.79</v>
      </c>
      <c r="F1433" t="s">
        <v>1639</v>
      </c>
      <c r="G1433">
        <v>6950</v>
      </c>
      <c r="H1433" s="32" t="str">
        <f ca="1">+IF(B1433&gt;'sap nuevo'!$V$1,"cargar",IF(C1433="","cargar","pagado"))</f>
        <v>cargar</v>
      </c>
      <c r="I1433" s="32">
        <f t="shared" si="194"/>
        <v>2025</v>
      </c>
      <c r="J1433" s="32">
        <f t="shared" si="195"/>
        <v>11</v>
      </c>
    </row>
    <row r="1434" spans="1:10" x14ac:dyDescent="0.25">
      <c r="A1434" t="s">
        <v>1547</v>
      </c>
      <c r="B1434" t="s">
        <v>264</v>
      </c>
      <c r="C1434">
        <v>5447</v>
      </c>
      <c r="D1434">
        <v>89</v>
      </c>
      <c r="E1434" s="4">
        <v>8031681.4500000002</v>
      </c>
      <c r="F1434" t="s">
        <v>1640</v>
      </c>
      <c r="G1434">
        <v>6950</v>
      </c>
      <c r="H1434" s="32" t="str">
        <f ca="1">+IF(B1434&gt;'sap nuevo'!$V$1,"cargar",IF(C1434="","cargar","pagado"))</f>
        <v>cargar</v>
      </c>
      <c r="I1434" s="32">
        <f t="shared" si="194"/>
        <v>2025</v>
      </c>
      <c r="J1434" s="32">
        <f t="shared" si="195"/>
        <v>11</v>
      </c>
    </row>
    <row r="1435" spans="1:10" x14ac:dyDescent="0.25">
      <c r="A1435" t="s">
        <v>1547</v>
      </c>
      <c r="B1435" t="s">
        <v>264</v>
      </c>
      <c r="C1435">
        <v>5450</v>
      </c>
      <c r="D1435">
        <v>89</v>
      </c>
      <c r="E1435" s="4">
        <v>11690975.77</v>
      </c>
      <c r="F1435" t="s">
        <v>1641</v>
      </c>
      <c r="G1435">
        <v>6950</v>
      </c>
      <c r="H1435" s="32" t="str">
        <f ca="1">+IF(B1435&gt;'sap nuevo'!$V$1,"cargar",IF(C1435="","cargar","pagado"))</f>
        <v>cargar</v>
      </c>
      <c r="I1435" s="32">
        <f t="shared" si="194"/>
        <v>2025</v>
      </c>
      <c r="J1435" s="32">
        <f t="shared" si="195"/>
        <v>11</v>
      </c>
    </row>
    <row r="1436" spans="1:10" x14ac:dyDescent="0.25">
      <c r="A1436" t="s">
        <v>21</v>
      </c>
      <c r="B1436" t="s">
        <v>264</v>
      </c>
      <c r="C1436">
        <v>91002700</v>
      </c>
      <c r="D1436">
        <v>140</v>
      </c>
      <c r="E1436" s="4">
        <v>-7994703.4400000004</v>
      </c>
      <c r="F1436" t="s">
        <v>80</v>
      </c>
      <c r="G1436">
        <v>0</v>
      </c>
      <c r="H1436" s="32" t="str">
        <f ca="1">+IF(B1436&gt;'sap nuevo'!$V$1,"cargar",IF(C1436="","cargar","pagado"))</f>
        <v>cargar</v>
      </c>
      <c r="I1436" s="32">
        <f t="shared" si="194"/>
        <v>2025</v>
      </c>
      <c r="J1436" s="32">
        <f t="shared" si="195"/>
        <v>11</v>
      </c>
    </row>
    <row r="1437" spans="1:10" x14ac:dyDescent="0.25">
      <c r="A1437" t="s">
        <v>873</v>
      </c>
      <c r="B1437" t="s">
        <v>265</v>
      </c>
      <c r="C1437">
        <v>1997</v>
      </c>
      <c r="D1437">
        <v>9999</v>
      </c>
      <c r="E1437" s="4">
        <v>-20035776.559999999</v>
      </c>
      <c r="F1437" t="s">
        <v>1642</v>
      </c>
      <c r="G1437">
        <v>3520</v>
      </c>
      <c r="H1437" s="32" t="str">
        <f ca="1">+IF(B1437&gt;'sap nuevo'!$V$1,"cargar",IF(C1437="","cargar","pagado"))</f>
        <v>cargar</v>
      </c>
      <c r="I1437" s="32">
        <f t="shared" si="194"/>
        <v>2025</v>
      </c>
      <c r="J1437" s="32">
        <f t="shared" si="195"/>
        <v>12</v>
      </c>
    </row>
    <row r="1438" spans="1:10" x14ac:dyDescent="0.25">
      <c r="A1438" t="s">
        <v>873</v>
      </c>
      <c r="B1438" t="s">
        <v>265</v>
      </c>
      <c r="C1438">
        <v>2005</v>
      </c>
      <c r="D1438">
        <v>9999</v>
      </c>
      <c r="E1438" s="4">
        <v>-14941216.560000001</v>
      </c>
      <c r="F1438" t="s">
        <v>1643</v>
      </c>
      <c r="G1438">
        <v>3520</v>
      </c>
      <c r="H1438" s="32" t="str">
        <f ca="1">+IF(B1438&gt;'sap nuevo'!$V$1,"cargar",IF(C1438="","cargar","pagado"))</f>
        <v>cargar</v>
      </c>
      <c r="I1438" s="32">
        <f t="shared" si="194"/>
        <v>2025</v>
      </c>
      <c r="J1438" s="32">
        <f t="shared" si="195"/>
        <v>12</v>
      </c>
    </row>
    <row r="1439" spans="1:10" x14ac:dyDescent="0.25">
      <c r="A1439" t="s">
        <v>873</v>
      </c>
      <c r="B1439" t="s">
        <v>265</v>
      </c>
      <c r="C1439">
        <v>1989</v>
      </c>
      <c r="D1439">
        <v>9999</v>
      </c>
      <c r="E1439" s="4">
        <v>-8939507.4000000004</v>
      </c>
      <c r="F1439" t="s">
        <v>1644</v>
      </c>
      <c r="G1439">
        <v>3520</v>
      </c>
      <c r="H1439" s="32" t="str">
        <f ca="1">+IF(B1439&gt;'sap nuevo'!$V$1,"cargar",IF(C1439="","cargar","pagado"))</f>
        <v>cargar</v>
      </c>
      <c r="I1439" s="32">
        <f t="shared" si="194"/>
        <v>2025</v>
      </c>
      <c r="J1439" s="32">
        <f t="shared" si="195"/>
        <v>12</v>
      </c>
    </row>
    <row r="1440" spans="1:10" x14ac:dyDescent="0.25">
      <c r="A1440" t="s">
        <v>873</v>
      </c>
      <c r="B1440" t="s">
        <v>265</v>
      </c>
      <c r="C1440">
        <v>1995</v>
      </c>
      <c r="D1440">
        <v>9999</v>
      </c>
      <c r="E1440" s="4">
        <v>-4977844.2</v>
      </c>
      <c r="F1440" t="s">
        <v>1645</v>
      </c>
      <c r="G1440">
        <v>3520</v>
      </c>
      <c r="H1440" s="32" t="str">
        <f ca="1">+IF(B1440&gt;'sap nuevo'!$V$1,"cargar",IF(C1440="","cargar","pagado"))</f>
        <v>cargar</v>
      </c>
      <c r="I1440" s="32">
        <f t="shared" si="194"/>
        <v>2025</v>
      </c>
      <c r="J1440" s="32">
        <f t="shared" si="195"/>
        <v>12</v>
      </c>
    </row>
    <row r="1441" spans="1:10" x14ac:dyDescent="0.25">
      <c r="A1441" t="s">
        <v>1547</v>
      </c>
      <c r="B1441" t="s">
        <v>266</v>
      </c>
      <c r="C1441">
        <v>150</v>
      </c>
      <c r="D1441">
        <v>89</v>
      </c>
      <c r="E1441" s="4">
        <v>2833778.35</v>
      </c>
      <c r="F1441" t="s">
        <v>1646</v>
      </c>
      <c r="G1441">
        <v>6950</v>
      </c>
      <c r="H1441" s="32" t="str">
        <f ca="1">+IF(B1441&gt;'sap nuevo'!$V$1,"cargar",IF(C1441="","cargar","pagado"))</f>
        <v>cargar</v>
      </c>
      <c r="I1441" s="32">
        <f t="shared" si="194"/>
        <v>2025</v>
      </c>
      <c r="J1441" s="32">
        <f t="shared" si="195"/>
        <v>12</v>
      </c>
    </row>
    <row r="1442" spans="1:10" x14ac:dyDescent="0.25">
      <c r="A1442" t="s">
        <v>1547</v>
      </c>
      <c r="B1442" t="s">
        <v>266</v>
      </c>
      <c r="C1442">
        <v>5460</v>
      </c>
      <c r="D1442">
        <v>89</v>
      </c>
      <c r="E1442" s="4">
        <v>4512542.99</v>
      </c>
      <c r="F1442" t="s">
        <v>1647</v>
      </c>
      <c r="G1442">
        <v>6950</v>
      </c>
      <c r="H1442" s="32" t="str">
        <f ca="1">+IF(B1442&gt;'sap nuevo'!$V$1,"cargar",IF(C1442="","cargar","pagado"))</f>
        <v>cargar</v>
      </c>
      <c r="I1442" s="32">
        <f t="shared" si="194"/>
        <v>2025</v>
      </c>
      <c r="J1442" s="32">
        <f t="shared" si="195"/>
        <v>12</v>
      </c>
    </row>
    <row r="1443" spans="1:10" x14ac:dyDescent="0.25">
      <c r="A1443" t="s">
        <v>877</v>
      </c>
      <c r="B1443" t="s">
        <v>265</v>
      </c>
      <c r="C1443">
        <v>1999</v>
      </c>
      <c r="D1443">
        <v>9999</v>
      </c>
      <c r="E1443" s="4">
        <v>-232695124.11000001</v>
      </c>
      <c r="F1443" t="s">
        <v>1648</v>
      </c>
      <c r="G1443">
        <v>1385</v>
      </c>
      <c r="H1443" s="32" t="str">
        <f ca="1">+IF(B1443&gt;'sap nuevo'!$V$1,"cargar",IF(C1443="","cargar","pagado"))</f>
        <v>cargar</v>
      </c>
      <c r="I1443" s="32">
        <f t="shared" si="194"/>
        <v>2025</v>
      </c>
      <c r="J1443" s="32">
        <f t="shared" si="195"/>
        <v>12</v>
      </c>
    </row>
    <row r="1444" spans="1:10" x14ac:dyDescent="0.25">
      <c r="A1444" t="s">
        <v>877</v>
      </c>
      <c r="B1444" t="s">
        <v>265</v>
      </c>
      <c r="C1444">
        <v>1998</v>
      </c>
      <c r="D1444">
        <v>9999</v>
      </c>
      <c r="E1444" s="4">
        <v>-39490309.859999999</v>
      </c>
      <c r="F1444" t="s">
        <v>1649</v>
      </c>
      <c r="G1444">
        <v>1385</v>
      </c>
      <c r="H1444" s="32" t="str">
        <f ca="1">+IF(B1444&gt;'sap nuevo'!$V$1,"cargar",IF(C1444="","cargar","pagado"))</f>
        <v>cargar</v>
      </c>
      <c r="I1444" s="32">
        <f t="shared" si="194"/>
        <v>2025</v>
      </c>
      <c r="J1444" s="32">
        <f t="shared" si="195"/>
        <v>12</v>
      </c>
    </row>
    <row r="1445" spans="1:10" x14ac:dyDescent="0.25">
      <c r="A1445" t="s">
        <v>877</v>
      </c>
      <c r="B1445" t="s">
        <v>265</v>
      </c>
      <c r="C1445">
        <v>2001</v>
      </c>
      <c r="D1445">
        <v>9999</v>
      </c>
      <c r="E1445" s="4">
        <v>-32131914.460000001</v>
      </c>
      <c r="F1445" t="s">
        <v>1650</v>
      </c>
      <c r="G1445">
        <v>1385</v>
      </c>
      <c r="H1445" s="32" t="str">
        <f ca="1">+IF(B1445&gt;'sap nuevo'!$V$1,"cargar",IF(C1445="","cargar","pagado"))</f>
        <v>cargar</v>
      </c>
      <c r="I1445" s="32">
        <f t="shared" si="194"/>
        <v>2025</v>
      </c>
      <c r="J1445" s="32">
        <f t="shared" si="195"/>
        <v>12</v>
      </c>
    </row>
    <row r="1446" spans="1:10" x14ac:dyDescent="0.25">
      <c r="A1446" t="s">
        <v>877</v>
      </c>
      <c r="B1446" t="s">
        <v>265</v>
      </c>
      <c r="C1446">
        <v>1996</v>
      </c>
      <c r="D1446">
        <v>9999</v>
      </c>
      <c r="E1446" s="4">
        <v>-24394399.27</v>
      </c>
      <c r="F1446" t="s">
        <v>1651</v>
      </c>
      <c r="G1446">
        <v>1385</v>
      </c>
      <c r="H1446" s="32" t="str">
        <f ca="1">+IF(B1446&gt;'sap nuevo'!$V$1,"cargar",IF(C1446="","cargar","pagado"))</f>
        <v>cargar</v>
      </c>
      <c r="I1446" s="32">
        <f t="shared" si="194"/>
        <v>2025</v>
      </c>
      <c r="J1446" s="32">
        <f t="shared" si="195"/>
        <v>12</v>
      </c>
    </row>
    <row r="1447" spans="1:10" x14ac:dyDescent="0.25">
      <c r="A1447" t="s">
        <v>877</v>
      </c>
      <c r="B1447" t="s">
        <v>265</v>
      </c>
      <c r="C1447">
        <v>1994</v>
      </c>
      <c r="D1447">
        <v>9999</v>
      </c>
      <c r="E1447" s="4">
        <v>-22019418.219999999</v>
      </c>
      <c r="F1447" t="s">
        <v>1652</v>
      </c>
      <c r="G1447">
        <v>1385</v>
      </c>
      <c r="H1447" s="32" t="str">
        <f ca="1">+IF(B1447&gt;'sap nuevo'!$V$1,"cargar",IF(C1447="","cargar","pagado"))</f>
        <v>cargar</v>
      </c>
      <c r="I1447" s="32">
        <f t="shared" si="194"/>
        <v>2025</v>
      </c>
      <c r="J1447" s="32">
        <f t="shared" si="195"/>
        <v>12</v>
      </c>
    </row>
    <row r="1448" spans="1:10" x14ac:dyDescent="0.25">
      <c r="A1448" t="s">
        <v>877</v>
      </c>
      <c r="B1448" t="s">
        <v>265</v>
      </c>
      <c r="C1448">
        <v>2010</v>
      </c>
      <c r="D1448">
        <v>9999</v>
      </c>
      <c r="E1448" s="4">
        <v>-6906900</v>
      </c>
      <c r="F1448" t="s">
        <v>1653</v>
      </c>
      <c r="G1448">
        <v>1385</v>
      </c>
      <c r="H1448" s="32" t="str">
        <f ca="1">+IF(B1448&gt;'sap nuevo'!$V$1,"cargar",IF(C1448="","cargar","pagado"))</f>
        <v>cargar</v>
      </c>
      <c r="I1448" s="32">
        <f t="shared" si="194"/>
        <v>2025</v>
      </c>
      <c r="J1448" s="32">
        <f t="shared" si="195"/>
        <v>12</v>
      </c>
    </row>
    <row r="1449" spans="1:10" x14ac:dyDescent="0.25">
      <c r="A1449" t="s">
        <v>877</v>
      </c>
      <c r="B1449" t="s">
        <v>265</v>
      </c>
      <c r="C1449">
        <v>2007</v>
      </c>
      <c r="D1449">
        <v>9999</v>
      </c>
      <c r="E1449" s="4">
        <v>-6323502.0700000003</v>
      </c>
      <c r="F1449" t="s">
        <v>1654</v>
      </c>
      <c r="G1449">
        <v>1385</v>
      </c>
      <c r="H1449" s="32" t="str">
        <f ca="1">+IF(B1449&gt;'sap nuevo'!$V$1,"cargar",IF(C1449="","cargar","pagado"))</f>
        <v>cargar</v>
      </c>
      <c r="I1449" s="32">
        <f t="shared" ref="I1449:I1477" si="196">+YEAR(B1449)</f>
        <v>2025</v>
      </c>
      <c r="J1449" s="32">
        <f t="shared" ref="J1449:J1477" si="197">+MONTH(B1449)</f>
        <v>12</v>
      </c>
    </row>
    <row r="1450" spans="1:10" x14ac:dyDescent="0.25">
      <c r="A1450" t="s">
        <v>877</v>
      </c>
      <c r="B1450" t="s">
        <v>265</v>
      </c>
      <c r="C1450">
        <v>2002</v>
      </c>
      <c r="D1450">
        <v>9999</v>
      </c>
      <c r="E1450" s="4">
        <v>-5416505.7800000003</v>
      </c>
      <c r="F1450" t="s">
        <v>1655</v>
      </c>
      <c r="G1450">
        <v>1385</v>
      </c>
      <c r="H1450" s="32" t="str">
        <f ca="1">+IF(B1450&gt;'sap nuevo'!$V$1,"cargar",IF(C1450="","cargar","pagado"))</f>
        <v>cargar</v>
      </c>
      <c r="I1450" s="32">
        <f t="shared" si="196"/>
        <v>2025</v>
      </c>
      <c r="J1450" s="32">
        <f t="shared" si="197"/>
        <v>12</v>
      </c>
    </row>
    <row r="1451" spans="1:10" x14ac:dyDescent="0.25">
      <c r="A1451" t="s">
        <v>873</v>
      </c>
      <c r="B1451" t="s">
        <v>266</v>
      </c>
      <c r="C1451">
        <v>1985</v>
      </c>
      <c r="D1451">
        <v>9999</v>
      </c>
      <c r="E1451" s="4">
        <v>-4643387.4000000004</v>
      </c>
      <c r="F1451" t="s">
        <v>1656</v>
      </c>
      <c r="G1451">
        <v>3520</v>
      </c>
      <c r="H1451" s="32" t="str">
        <f ca="1">+IF(B1451&gt;'sap nuevo'!$V$1,"cargar",IF(C1451="","cargar","pagado"))</f>
        <v>cargar</v>
      </c>
      <c r="I1451" s="32">
        <f t="shared" si="196"/>
        <v>2025</v>
      </c>
      <c r="J1451" s="32">
        <f t="shared" si="197"/>
        <v>12</v>
      </c>
    </row>
    <row r="1452" spans="1:10" x14ac:dyDescent="0.25">
      <c r="A1452" t="s">
        <v>877</v>
      </c>
      <c r="B1452" t="s">
        <v>265</v>
      </c>
      <c r="C1452">
        <v>2008</v>
      </c>
      <c r="D1452">
        <v>9999</v>
      </c>
      <c r="E1452" s="4">
        <v>-4259943.16</v>
      </c>
      <c r="F1452" t="s">
        <v>1657</v>
      </c>
      <c r="G1452">
        <v>1385</v>
      </c>
      <c r="H1452" s="32" t="str">
        <f ca="1">+IF(B1452&gt;'sap nuevo'!$V$1,"cargar",IF(C1452="","cargar","pagado"))</f>
        <v>cargar</v>
      </c>
      <c r="I1452" s="32">
        <f t="shared" si="196"/>
        <v>2025</v>
      </c>
      <c r="J1452" s="32">
        <f t="shared" si="197"/>
        <v>12</v>
      </c>
    </row>
    <row r="1453" spans="1:10" x14ac:dyDescent="0.25">
      <c r="A1453" t="s">
        <v>877</v>
      </c>
      <c r="B1453" t="s">
        <v>265</v>
      </c>
      <c r="C1453">
        <v>1992</v>
      </c>
      <c r="D1453">
        <v>9999</v>
      </c>
      <c r="E1453" s="4">
        <v>-4190802</v>
      </c>
      <c r="F1453" t="s">
        <v>1658</v>
      </c>
      <c r="G1453">
        <v>1385</v>
      </c>
      <c r="H1453" s="32" t="str">
        <f ca="1">+IF(B1453&gt;'sap nuevo'!$V$1,"cargar",IF(C1453="","cargar","pagado"))</f>
        <v>cargar</v>
      </c>
      <c r="I1453" s="32">
        <f t="shared" si="196"/>
        <v>2025</v>
      </c>
      <c r="J1453" s="32">
        <f t="shared" si="197"/>
        <v>12</v>
      </c>
    </row>
    <row r="1454" spans="1:10" x14ac:dyDescent="0.25">
      <c r="A1454" t="s">
        <v>873</v>
      </c>
      <c r="B1454" t="s">
        <v>266</v>
      </c>
      <c r="C1454">
        <v>2004</v>
      </c>
      <c r="D1454">
        <v>9999</v>
      </c>
      <c r="E1454" s="4">
        <v>-4017666.5</v>
      </c>
      <c r="F1454" t="s">
        <v>1659</v>
      </c>
      <c r="G1454">
        <v>3520</v>
      </c>
      <c r="H1454" s="32" t="str">
        <f ca="1">+IF(B1454&gt;'sap nuevo'!$V$1,"cargar",IF(C1454="","cargar","pagado"))</f>
        <v>cargar</v>
      </c>
      <c r="I1454" s="32">
        <f t="shared" si="196"/>
        <v>2025</v>
      </c>
      <c r="J1454" s="32">
        <f t="shared" si="197"/>
        <v>12</v>
      </c>
    </row>
    <row r="1455" spans="1:10" x14ac:dyDescent="0.25">
      <c r="A1455" t="s">
        <v>873</v>
      </c>
      <c r="B1455" t="s">
        <v>266</v>
      </c>
      <c r="C1455">
        <v>2011</v>
      </c>
      <c r="D1455">
        <v>9999</v>
      </c>
      <c r="E1455" s="4">
        <v>-1416155.23</v>
      </c>
      <c r="F1455" t="s">
        <v>1660</v>
      </c>
      <c r="G1455">
        <v>3520</v>
      </c>
      <c r="H1455" s="32" t="str">
        <f ca="1">+IF(B1455&gt;'sap nuevo'!$V$1,"cargar",IF(C1455="","cargar","pagado"))</f>
        <v>cargar</v>
      </c>
      <c r="I1455" s="32">
        <f t="shared" si="196"/>
        <v>2025</v>
      </c>
      <c r="J1455" s="32">
        <f t="shared" si="197"/>
        <v>12</v>
      </c>
    </row>
    <row r="1456" spans="1:10" x14ac:dyDescent="0.25">
      <c r="A1456" t="s">
        <v>877</v>
      </c>
      <c r="B1456" t="s">
        <v>266</v>
      </c>
      <c r="C1456">
        <v>2009</v>
      </c>
      <c r="D1456">
        <v>9999</v>
      </c>
      <c r="E1456" s="4">
        <v>-4233015.58</v>
      </c>
      <c r="F1456" t="s">
        <v>1661</v>
      </c>
      <c r="G1456">
        <v>1385</v>
      </c>
      <c r="H1456" s="32" t="str">
        <f ca="1">+IF(B1456&gt;'sap nuevo'!$V$1,"cargar",IF(C1456="","cargar","pagado"))</f>
        <v>cargar</v>
      </c>
      <c r="I1456" s="32">
        <f t="shared" si="196"/>
        <v>2025</v>
      </c>
      <c r="J1456" s="32">
        <f t="shared" si="197"/>
        <v>12</v>
      </c>
    </row>
    <row r="1457" spans="1:10" x14ac:dyDescent="0.25">
      <c r="A1457" t="s">
        <v>873</v>
      </c>
      <c r="B1457" t="s">
        <v>267</v>
      </c>
      <c r="C1457">
        <v>2003</v>
      </c>
      <c r="D1457">
        <v>9999</v>
      </c>
      <c r="E1457" s="4">
        <v>-5674825.6799999997</v>
      </c>
      <c r="F1457" t="s">
        <v>1662</v>
      </c>
      <c r="G1457">
        <v>3520</v>
      </c>
      <c r="H1457" s="32" t="str">
        <f ca="1">+IF(B1457&gt;'sap nuevo'!$V$1,"cargar",IF(C1457="","cargar","pagado"))</f>
        <v>cargar</v>
      </c>
      <c r="I1457" s="32">
        <f t="shared" si="196"/>
        <v>2025</v>
      </c>
      <c r="J1457" s="32">
        <f t="shared" si="197"/>
        <v>12</v>
      </c>
    </row>
    <row r="1458" spans="1:10" x14ac:dyDescent="0.25">
      <c r="A1458" t="s">
        <v>877</v>
      </c>
      <c r="B1458" t="s">
        <v>267</v>
      </c>
      <c r="C1458">
        <v>1991</v>
      </c>
      <c r="D1458">
        <v>9999</v>
      </c>
      <c r="E1458" s="4">
        <v>-28490204.57</v>
      </c>
      <c r="F1458" t="s">
        <v>1663</v>
      </c>
      <c r="G1458">
        <v>1385</v>
      </c>
      <c r="H1458" s="32" t="str">
        <f ca="1">+IF(B1458&gt;'sap nuevo'!$V$1,"cargar",IF(C1458="","cargar","pagado"))</f>
        <v>cargar</v>
      </c>
      <c r="I1458" s="32">
        <f t="shared" si="196"/>
        <v>2025</v>
      </c>
      <c r="J1458" s="32">
        <f t="shared" si="197"/>
        <v>12</v>
      </c>
    </row>
    <row r="1459" spans="1:10" x14ac:dyDescent="0.25">
      <c r="A1459" t="s">
        <v>877</v>
      </c>
      <c r="B1459" t="s">
        <v>267</v>
      </c>
      <c r="C1459">
        <v>2006</v>
      </c>
      <c r="D1459">
        <v>9999</v>
      </c>
      <c r="E1459" s="4">
        <v>-2116675.71</v>
      </c>
      <c r="F1459" t="s">
        <v>1664</v>
      </c>
      <c r="G1459">
        <v>1385</v>
      </c>
      <c r="H1459" s="32" t="str">
        <f ca="1">+IF(B1459&gt;'sap nuevo'!$V$1,"cargar",IF(C1459="","cargar","pagado"))</f>
        <v>cargar</v>
      </c>
      <c r="I1459" s="32">
        <f t="shared" si="196"/>
        <v>2025</v>
      </c>
      <c r="J1459" s="32">
        <f t="shared" si="197"/>
        <v>12</v>
      </c>
    </row>
    <row r="1460" spans="1:10" x14ac:dyDescent="0.25">
      <c r="A1460" t="s">
        <v>877</v>
      </c>
      <c r="B1460" t="s">
        <v>268</v>
      </c>
      <c r="C1460">
        <v>1990</v>
      </c>
      <c r="D1460">
        <v>9999</v>
      </c>
      <c r="E1460" s="4">
        <v>-4249728</v>
      </c>
      <c r="F1460" t="s">
        <v>1665</v>
      </c>
      <c r="G1460">
        <v>1385</v>
      </c>
      <c r="H1460" s="32" t="str">
        <f ca="1">+IF(B1460&gt;'sap nuevo'!$V$1,"cargar",IF(C1460="","cargar","pagado"))</f>
        <v>cargar</v>
      </c>
      <c r="I1460" s="32">
        <f t="shared" si="196"/>
        <v>2025</v>
      </c>
      <c r="J1460" s="32">
        <f t="shared" si="197"/>
        <v>12</v>
      </c>
    </row>
    <row r="1461" spans="1:10" x14ac:dyDescent="0.25">
      <c r="A1461" t="s">
        <v>873</v>
      </c>
      <c r="B1461" t="s">
        <v>1666</v>
      </c>
      <c r="C1461">
        <v>1993</v>
      </c>
      <c r="D1461">
        <v>9999</v>
      </c>
      <c r="E1461" s="4">
        <v>-3964795.28</v>
      </c>
      <c r="F1461" t="s">
        <v>1667</v>
      </c>
      <c r="G1461">
        <v>3520</v>
      </c>
      <c r="H1461" s="32" t="str">
        <f ca="1">+IF(B1461&gt;'sap nuevo'!$V$1,"cargar",IF(C1461="","cargar","pagado"))</f>
        <v>cargar</v>
      </c>
      <c r="I1461" s="32">
        <f t="shared" si="196"/>
        <v>2025</v>
      </c>
      <c r="J1461" s="32">
        <f t="shared" si="197"/>
        <v>12</v>
      </c>
    </row>
    <row r="1462" spans="1:10" x14ac:dyDescent="0.25">
      <c r="A1462" t="s">
        <v>12</v>
      </c>
      <c r="B1462" t="s">
        <v>269</v>
      </c>
      <c r="C1462">
        <v>91002712</v>
      </c>
      <c r="D1462">
        <v>140</v>
      </c>
      <c r="E1462" s="4">
        <v>-10449918.32</v>
      </c>
      <c r="F1462" t="s">
        <v>82</v>
      </c>
      <c r="G1462">
        <v>0</v>
      </c>
      <c r="H1462" s="32" t="str">
        <f ca="1">+IF(B1462&gt;'sap nuevo'!$V$1,"cargar",IF(C1462="","cargar","pagado"))</f>
        <v>cargar</v>
      </c>
      <c r="I1462" s="32">
        <f t="shared" si="196"/>
        <v>2025</v>
      </c>
      <c r="J1462" s="32">
        <f t="shared" si="197"/>
        <v>12</v>
      </c>
    </row>
    <row r="1463" spans="1:10" x14ac:dyDescent="0.25">
      <c r="A1463" t="s">
        <v>21</v>
      </c>
      <c r="B1463" t="s">
        <v>269</v>
      </c>
      <c r="C1463">
        <v>91002713</v>
      </c>
      <c r="D1463">
        <v>140</v>
      </c>
      <c r="E1463" s="4">
        <v>-9868180</v>
      </c>
      <c r="F1463" t="s">
        <v>80</v>
      </c>
      <c r="G1463">
        <v>0</v>
      </c>
      <c r="H1463" s="32" t="str">
        <f ca="1">+IF(B1463&gt;'sap nuevo'!$V$1,"cargar",IF(C1463="","cargar","pagado"))</f>
        <v>cargar</v>
      </c>
      <c r="I1463" s="32">
        <f t="shared" si="196"/>
        <v>2025</v>
      </c>
      <c r="J1463" s="32">
        <f t="shared" si="197"/>
        <v>12</v>
      </c>
    </row>
    <row r="1464" spans="1:10" x14ac:dyDescent="0.25">
      <c r="A1464" t="s">
        <v>12</v>
      </c>
      <c r="B1464" t="s">
        <v>269</v>
      </c>
      <c r="C1464">
        <v>91002711</v>
      </c>
      <c r="D1464">
        <v>140</v>
      </c>
      <c r="E1464" s="4">
        <v>-8575630</v>
      </c>
      <c r="F1464" t="s">
        <v>82</v>
      </c>
      <c r="G1464">
        <v>0</v>
      </c>
      <c r="H1464" s="32" t="str">
        <f ca="1">+IF(B1464&gt;'sap nuevo'!$V$1,"cargar",IF(C1464="","cargar","pagado"))</f>
        <v>cargar</v>
      </c>
      <c r="I1464" s="32">
        <f t="shared" si="196"/>
        <v>2025</v>
      </c>
      <c r="J1464" s="32">
        <f t="shared" si="197"/>
        <v>12</v>
      </c>
    </row>
    <row r="1465" spans="1:10" x14ac:dyDescent="0.25">
      <c r="A1465" t="s">
        <v>21</v>
      </c>
      <c r="B1465" t="s">
        <v>269</v>
      </c>
      <c r="C1465">
        <v>91002710</v>
      </c>
      <c r="D1465">
        <v>140</v>
      </c>
      <c r="E1465" s="4">
        <v>-7953819.8600000003</v>
      </c>
      <c r="F1465" t="s">
        <v>80</v>
      </c>
      <c r="G1465">
        <v>0</v>
      </c>
      <c r="H1465" s="32" t="str">
        <f ca="1">+IF(B1465&gt;'sap nuevo'!$V$1,"cargar",IF(C1465="","cargar","pagado"))</f>
        <v>cargar</v>
      </c>
      <c r="I1465" s="32">
        <f t="shared" si="196"/>
        <v>2025</v>
      </c>
      <c r="J1465" s="32">
        <f t="shared" si="197"/>
        <v>12</v>
      </c>
    </row>
    <row r="1466" spans="1:10" x14ac:dyDescent="0.25">
      <c r="A1466" t="s">
        <v>12</v>
      </c>
      <c r="B1466" t="s">
        <v>269</v>
      </c>
      <c r="C1466">
        <v>91002640</v>
      </c>
      <c r="D1466">
        <v>140</v>
      </c>
      <c r="E1466" s="4">
        <v>-5812371.8399999999</v>
      </c>
      <c r="F1466" t="s">
        <v>82</v>
      </c>
      <c r="G1466">
        <v>0</v>
      </c>
      <c r="H1466" s="32" t="str">
        <f ca="1">+IF(B1466&gt;'sap nuevo'!$V$1,"cargar",IF(C1466="","cargar","pagado"))</f>
        <v>cargar</v>
      </c>
      <c r="I1466" s="32">
        <f t="shared" si="196"/>
        <v>2025</v>
      </c>
      <c r="J1466" s="32">
        <f t="shared" si="197"/>
        <v>12</v>
      </c>
    </row>
    <row r="1467" spans="1:10" x14ac:dyDescent="0.25">
      <c r="A1467" t="s">
        <v>12</v>
      </c>
      <c r="B1467" t="s">
        <v>1666</v>
      </c>
      <c r="C1467">
        <v>91002723</v>
      </c>
      <c r="D1467">
        <v>140</v>
      </c>
      <c r="E1467" s="4">
        <v>-8251343.4000000004</v>
      </c>
      <c r="F1467" t="s">
        <v>82</v>
      </c>
      <c r="G1467">
        <v>0</v>
      </c>
      <c r="H1467" s="32" t="str">
        <f ca="1">+IF(B1467&gt;'sap nuevo'!$V$1,"cargar",IF(C1467="","cargar","pagado"))</f>
        <v>cargar</v>
      </c>
      <c r="I1467" s="32">
        <f t="shared" si="196"/>
        <v>2025</v>
      </c>
      <c r="J1467" s="32">
        <f t="shared" si="197"/>
        <v>12</v>
      </c>
    </row>
    <row r="1468" spans="1:10" x14ac:dyDescent="0.25">
      <c r="A1468" t="s">
        <v>21</v>
      </c>
      <c r="B1468" t="s">
        <v>1666</v>
      </c>
      <c r="C1468">
        <v>91002719</v>
      </c>
      <c r="D1468">
        <v>140</v>
      </c>
      <c r="E1468" s="4">
        <v>-6441349.8799999999</v>
      </c>
      <c r="F1468" t="s">
        <v>80</v>
      </c>
      <c r="G1468">
        <v>0</v>
      </c>
      <c r="H1468" s="32" t="str">
        <f ca="1">+IF(B1468&gt;'sap nuevo'!$V$1,"cargar",IF(C1468="","cargar","pagado"))</f>
        <v>cargar</v>
      </c>
      <c r="I1468" s="32">
        <f t="shared" si="196"/>
        <v>2025</v>
      </c>
      <c r="J1468" s="32">
        <f t="shared" si="197"/>
        <v>12</v>
      </c>
    </row>
    <row r="1469" spans="1:10" x14ac:dyDescent="0.25">
      <c r="A1469" t="s">
        <v>12</v>
      </c>
      <c r="B1469" t="s">
        <v>1666</v>
      </c>
      <c r="C1469">
        <v>91002720</v>
      </c>
      <c r="D1469">
        <v>140</v>
      </c>
      <c r="E1469" s="4">
        <v>-3727019.63</v>
      </c>
      <c r="F1469" t="s">
        <v>82</v>
      </c>
      <c r="G1469">
        <v>0</v>
      </c>
      <c r="H1469" s="32" t="str">
        <f ca="1">+IF(B1469&gt;'sap nuevo'!$V$1,"cargar",IF(C1469="","cargar","pagado"))</f>
        <v>cargar</v>
      </c>
      <c r="I1469" s="32">
        <f t="shared" si="196"/>
        <v>2025</v>
      </c>
      <c r="J1469" s="32">
        <f t="shared" si="197"/>
        <v>12</v>
      </c>
    </row>
    <row r="1470" spans="1:10" x14ac:dyDescent="0.25">
      <c r="A1470" t="s">
        <v>21</v>
      </c>
      <c r="B1470" t="s">
        <v>1666</v>
      </c>
      <c r="C1470">
        <v>91002721</v>
      </c>
      <c r="D1470">
        <v>140</v>
      </c>
      <c r="E1470" s="4">
        <v>-3063742.04</v>
      </c>
      <c r="F1470" t="s">
        <v>80</v>
      </c>
      <c r="G1470">
        <v>0</v>
      </c>
      <c r="H1470" s="32" t="str">
        <f ca="1">+IF(B1470&gt;'sap nuevo'!$V$1,"cargar",IF(C1470="","cargar","pagado"))</f>
        <v>cargar</v>
      </c>
      <c r="I1470" s="32">
        <f t="shared" si="196"/>
        <v>2025</v>
      </c>
      <c r="J1470" s="32">
        <f t="shared" si="197"/>
        <v>12</v>
      </c>
    </row>
    <row r="1471" spans="1:10" x14ac:dyDescent="0.25">
      <c r="A1471" t="s">
        <v>12</v>
      </c>
      <c r="B1471" t="s">
        <v>1666</v>
      </c>
      <c r="C1471">
        <v>91002715</v>
      </c>
      <c r="D1471">
        <v>140</v>
      </c>
      <c r="E1471" s="4">
        <v>-2837277.53</v>
      </c>
      <c r="F1471" t="s">
        <v>82</v>
      </c>
      <c r="G1471">
        <v>0</v>
      </c>
      <c r="H1471" s="32" t="str">
        <f ca="1">+IF(B1471&gt;'sap nuevo'!$V$1,"cargar",IF(C1471="","cargar","pagado"))</f>
        <v>cargar</v>
      </c>
      <c r="I1471" s="32">
        <f t="shared" si="196"/>
        <v>2025</v>
      </c>
      <c r="J1471" s="32">
        <f t="shared" si="197"/>
        <v>12</v>
      </c>
    </row>
    <row r="1472" spans="1:10" x14ac:dyDescent="0.25">
      <c r="A1472" t="s">
        <v>21</v>
      </c>
      <c r="B1472" t="s">
        <v>1666</v>
      </c>
      <c r="C1472">
        <v>91002716</v>
      </c>
      <c r="D1472">
        <v>140</v>
      </c>
      <c r="E1472" s="4">
        <v>-2770188.59</v>
      </c>
      <c r="F1472" t="s">
        <v>80</v>
      </c>
      <c r="G1472">
        <v>0</v>
      </c>
      <c r="H1472" s="32" t="str">
        <f ca="1">+IF(B1472&gt;'sap nuevo'!$V$1,"cargar",IF(C1472="","cargar","pagado"))</f>
        <v>cargar</v>
      </c>
      <c r="I1472" s="32">
        <f t="shared" si="196"/>
        <v>2025</v>
      </c>
      <c r="J1472" s="32">
        <f t="shared" si="197"/>
        <v>12</v>
      </c>
    </row>
    <row r="1473" spans="1:10" x14ac:dyDescent="0.25">
      <c r="A1473" t="s">
        <v>21</v>
      </c>
      <c r="B1473" t="s">
        <v>1666</v>
      </c>
      <c r="C1473">
        <v>91002714</v>
      </c>
      <c r="D1473">
        <v>140</v>
      </c>
      <c r="E1473" s="4">
        <v>-2501590.2599999998</v>
      </c>
      <c r="F1473" t="s">
        <v>80</v>
      </c>
      <c r="G1473">
        <v>0</v>
      </c>
      <c r="H1473" s="32" t="str">
        <f ca="1">+IF(B1473&gt;'sap nuevo'!$V$1,"cargar",IF(C1473="","cargar","pagado"))</f>
        <v>cargar</v>
      </c>
      <c r="I1473" s="32">
        <f t="shared" si="196"/>
        <v>2025</v>
      </c>
      <c r="J1473" s="32">
        <f t="shared" si="197"/>
        <v>12</v>
      </c>
    </row>
    <row r="1474" spans="1:10" x14ac:dyDescent="0.25">
      <c r="A1474" t="s">
        <v>21</v>
      </c>
      <c r="B1474" t="s">
        <v>1666</v>
      </c>
      <c r="C1474">
        <v>91002725</v>
      </c>
      <c r="D1474">
        <v>140</v>
      </c>
      <c r="E1474" s="4">
        <v>-1319222.54</v>
      </c>
      <c r="F1474" t="s">
        <v>80</v>
      </c>
      <c r="G1474">
        <v>0</v>
      </c>
      <c r="H1474" s="32" t="str">
        <f ca="1">+IF(B1474&gt;'sap nuevo'!$V$1,"cargar",IF(C1474="","cargar","pagado"))</f>
        <v>cargar</v>
      </c>
      <c r="I1474" s="32">
        <f t="shared" si="196"/>
        <v>2025</v>
      </c>
      <c r="J1474" s="32">
        <f t="shared" si="197"/>
        <v>12</v>
      </c>
    </row>
    <row r="1475" spans="1:10" x14ac:dyDescent="0.25">
      <c r="A1475" t="s">
        <v>21</v>
      </c>
      <c r="B1475" t="s">
        <v>270</v>
      </c>
      <c r="C1475">
        <v>91002717</v>
      </c>
      <c r="D1475">
        <v>140</v>
      </c>
      <c r="E1475" s="4">
        <v>-21393190.530000001</v>
      </c>
      <c r="F1475" t="s">
        <v>80</v>
      </c>
      <c r="G1475">
        <v>0</v>
      </c>
      <c r="H1475" s="32" t="str">
        <f ca="1">+IF(B1475&gt;'sap nuevo'!$V$1,"cargar",IF(C1475="","cargar","pagado"))</f>
        <v>cargar</v>
      </c>
      <c r="I1475" s="32">
        <f t="shared" si="196"/>
        <v>2025</v>
      </c>
      <c r="J1475" s="32">
        <f t="shared" si="197"/>
        <v>12</v>
      </c>
    </row>
    <row r="1476" spans="1:10" x14ac:dyDescent="0.25">
      <c r="A1476" t="s">
        <v>1547</v>
      </c>
      <c r="B1476" t="s">
        <v>271</v>
      </c>
      <c r="C1476">
        <v>5469</v>
      </c>
      <c r="D1476">
        <v>89</v>
      </c>
      <c r="E1476" s="4">
        <v>6197131.5899999999</v>
      </c>
      <c r="F1476" t="s">
        <v>1668</v>
      </c>
      <c r="G1476">
        <v>6950</v>
      </c>
      <c r="H1476" s="32" t="str">
        <f ca="1">+IF(B1476&gt;'sap nuevo'!$V$1,"cargar",IF(C1476="","cargar","pagado"))</f>
        <v>cargar</v>
      </c>
      <c r="I1476" s="32">
        <f t="shared" si="196"/>
        <v>2025</v>
      </c>
      <c r="J1476" s="32">
        <f t="shared" si="197"/>
        <v>12</v>
      </c>
    </row>
    <row r="1477" spans="1:10" x14ac:dyDescent="0.25">
      <c r="A1477" t="s">
        <v>21</v>
      </c>
      <c r="B1477" t="s">
        <v>271</v>
      </c>
      <c r="C1477">
        <v>91002731</v>
      </c>
      <c r="D1477">
        <v>140</v>
      </c>
      <c r="E1477" s="4">
        <v>-15387483.01</v>
      </c>
      <c r="F1477" t="s">
        <v>80</v>
      </c>
      <c r="G1477">
        <v>0</v>
      </c>
      <c r="H1477" s="32" t="str">
        <f ca="1">+IF(B1477&gt;'sap nuevo'!$V$1,"cargar",IF(C1477="","cargar","pagado"))</f>
        <v>cargar</v>
      </c>
      <c r="I1477" s="32">
        <f t="shared" si="196"/>
        <v>2025</v>
      </c>
      <c r="J1477" s="32">
        <f t="shared" si="197"/>
        <v>12</v>
      </c>
    </row>
    <row r="1478" spans="1:10" x14ac:dyDescent="0.25">
      <c r="A1478" t="s">
        <v>21</v>
      </c>
      <c r="B1478" t="s">
        <v>271</v>
      </c>
      <c r="C1478">
        <v>91002729</v>
      </c>
      <c r="D1478">
        <v>140</v>
      </c>
      <c r="E1478" s="4">
        <v>-12699214.65</v>
      </c>
      <c r="F1478" t="s">
        <v>80</v>
      </c>
      <c r="G1478">
        <v>0</v>
      </c>
      <c r="H1478" s="32" t="str">
        <f ca="1">+IF(B1478&gt;'sap nuevo'!$V$1,"cargar",IF(C1478="","cargar","pagado"))</f>
        <v>cargar</v>
      </c>
      <c r="I1478" s="32">
        <f t="shared" ref="I1478:I1486" si="198">+YEAR(B1478)</f>
        <v>2025</v>
      </c>
      <c r="J1478" s="32">
        <f t="shared" ref="J1478:J1486" si="199">+MONTH(B1478)</f>
        <v>12</v>
      </c>
    </row>
    <row r="1479" spans="1:10" x14ac:dyDescent="0.25">
      <c r="A1479" t="s">
        <v>21</v>
      </c>
      <c r="B1479" t="s">
        <v>271</v>
      </c>
      <c r="C1479">
        <v>91002727</v>
      </c>
      <c r="D1479">
        <v>140</v>
      </c>
      <c r="E1479" s="4">
        <v>-9910633.0299999993</v>
      </c>
      <c r="F1479" t="s">
        <v>80</v>
      </c>
      <c r="G1479">
        <v>0</v>
      </c>
      <c r="H1479" s="32" t="str">
        <f ca="1">+IF(B1479&gt;'sap nuevo'!$V$1,"cargar",IF(C1479="","cargar","pagado"))</f>
        <v>cargar</v>
      </c>
      <c r="I1479" s="32">
        <f t="shared" si="198"/>
        <v>2025</v>
      </c>
      <c r="J1479" s="32">
        <f t="shared" si="199"/>
        <v>12</v>
      </c>
    </row>
    <row r="1480" spans="1:10" x14ac:dyDescent="0.25">
      <c r="A1480" t="s">
        <v>21</v>
      </c>
      <c r="B1480" t="s">
        <v>271</v>
      </c>
      <c r="C1480">
        <v>91002726</v>
      </c>
      <c r="D1480">
        <v>140</v>
      </c>
      <c r="E1480" s="4">
        <v>-8056319.5999999996</v>
      </c>
      <c r="F1480" t="s">
        <v>80</v>
      </c>
      <c r="G1480">
        <v>0</v>
      </c>
      <c r="H1480" s="32" t="str">
        <f ca="1">+IF(B1480&gt;'sap nuevo'!$V$1,"cargar",IF(C1480="","cargar","pagado"))</f>
        <v>cargar</v>
      </c>
      <c r="I1480" s="32">
        <f t="shared" si="198"/>
        <v>2025</v>
      </c>
      <c r="J1480" s="32">
        <f t="shared" si="199"/>
        <v>12</v>
      </c>
    </row>
    <row r="1481" spans="1:10" x14ac:dyDescent="0.25">
      <c r="A1481" t="s">
        <v>21</v>
      </c>
      <c r="B1481" t="s">
        <v>271</v>
      </c>
      <c r="C1481">
        <v>91002728</v>
      </c>
      <c r="D1481">
        <v>140</v>
      </c>
      <c r="E1481" s="4">
        <v>-4260111.08</v>
      </c>
      <c r="F1481" t="s">
        <v>80</v>
      </c>
      <c r="G1481">
        <v>0</v>
      </c>
      <c r="H1481" s="32" t="str">
        <f ca="1">+IF(B1481&gt;'sap nuevo'!$V$1,"cargar",IF(C1481="","cargar","pagado"))</f>
        <v>cargar</v>
      </c>
      <c r="I1481" s="32">
        <f t="shared" si="198"/>
        <v>2025</v>
      </c>
      <c r="J1481" s="32">
        <f t="shared" si="199"/>
        <v>12</v>
      </c>
    </row>
    <row r="1482" spans="1:10" x14ac:dyDescent="0.25">
      <c r="A1482" t="s">
        <v>21</v>
      </c>
      <c r="B1482" t="s">
        <v>271</v>
      </c>
      <c r="C1482">
        <v>91002732</v>
      </c>
      <c r="D1482">
        <v>140</v>
      </c>
      <c r="E1482" s="4">
        <v>-4260111.08</v>
      </c>
      <c r="F1482" t="s">
        <v>80</v>
      </c>
      <c r="G1482">
        <v>0</v>
      </c>
      <c r="H1482" s="32" t="str">
        <f ca="1">+IF(B1482&gt;'sap nuevo'!$V$1,"cargar",IF(C1482="","cargar","pagado"))</f>
        <v>cargar</v>
      </c>
      <c r="I1482" s="32">
        <f t="shared" si="198"/>
        <v>2025</v>
      </c>
      <c r="J1482" s="32">
        <f t="shared" si="199"/>
        <v>12</v>
      </c>
    </row>
    <row r="1483" spans="1:10" x14ac:dyDescent="0.25">
      <c r="A1483" t="s">
        <v>21</v>
      </c>
      <c r="B1483" t="s">
        <v>271</v>
      </c>
      <c r="C1483">
        <v>91002730</v>
      </c>
      <c r="D1483">
        <v>140</v>
      </c>
      <c r="E1483" s="4">
        <v>-4233183.5</v>
      </c>
      <c r="F1483" t="s">
        <v>80</v>
      </c>
      <c r="G1483">
        <v>0</v>
      </c>
      <c r="H1483" s="32" t="str">
        <f ca="1">+IF(B1483&gt;'sap nuevo'!$V$1,"cargar",IF(C1483="","cargar","pagado"))</f>
        <v>cargar</v>
      </c>
      <c r="I1483" s="32">
        <f t="shared" si="198"/>
        <v>2025</v>
      </c>
      <c r="J1483" s="32">
        <f t="shared" si="199"/>
        <v>12</v>
      </c>
    </row>
    <row r="1484" spans="1:10" x14ac:dyDescent="0.25">
      <c r="A1484" t="s">
        <v>877</v>
      </c>
      <c r="B1484" t="s">
        <v>272</v>
      </c>
      <c r="C1484">
        <v>2000</v>
      </c>
      <c r="D1484">
        <v>9999</v>
      </c>
      <c r="E1484" s="4">
        <v>-15915466.189999999</v>
      </c>
      <c r="F1484" t="s">
        <v>1669</v>
      </c>
      <c r="G1484">
        <v>1385</v>
      </c>
      <c r="H1484" s="32" t="str">
        <f ca="1">+IF(B1484&gt;'sap nuevo'!$V$1,"cargar",IF(C1484="","cargar","pagado"))</f>
        <v>cargar</v>
      </c>
      <c r="I1484" s="32">
        <f t="shared" si="198"/>
        <v>2025</v>
      </c>
      <c r="J1484" s="32">
        <f t="shared" si="199"/>
        <v>12</v>
      </c>
    </row>
    <row r="1485" spans="1:10" x14ac:dyDescent="0.25">
      <c r="A1485" t="s">
        <v>21</v>
      </c>
      <c r="B1485" t="s">
        <v>272</v>
      </c>
      <c r="C1485">
        <v>91002748</v>
      </c>
      <c r="D1485">
        <v>140</v>
      </c>
      <c r="E1485" s="4">
        <v>-199568481.24000001</v>
      </c>
      <c r="F1485" t="s">
        <v>80</v>
      </c>
      <c r="G1485">
        <v>0</v>
      </c>
      <c r="H1485" s="32" t="str">
        <f ca="1">+IF(B1485&gt;'sap nuevo'!$V$1,"cargar",IF(C1485="","cargar","pagado"))</f>
        <v>cargar</v>
      </c>
      <c r="I1485" s="32">
        <f t="shared" si="198"/>
        <v>2025</v>
      </c>
      <c r="J1485" s="32">
        <f t="shared" si="199"/>
        <v>12</v>
      </c>
    </row>
    <row r="1486" spans="1:10" x14ac:dyDescent="0.25">
      <c r="A1486" t="s">
        <v>12</v>
      </c>
      <c r="B1486" t="s">
        <v>272</v>
      </c>
      <c r="C1486">
        <v>91002746</v>
      </c>
      <c r="D1486">
        <v>140</v>
      </c>
      <c r="E1486" s="4">
        <v>-52125273.729999997</v>
      </c>
      <c r="F1486" t="s">
        <v>82</v>
      </c>
      <c r="G1486">
        <v>0</v>
      </c>
      <c r="H1486" s="32" t="str">
        <f ca="1">+IF(B1486&gt;'sap nuevo'!$V$1,"cargar",IF(C1486="","cargar","pagado"))</f>
        <v>cargar</v>
      </c>
      <c r="I1486" s="32">
        <f t="shared" si="198"/>
        <v>2025</v>
      </c>
      <c r="J1486" s="32">
        <f t="shared" si="199"/>
        <v>12</v>
      </c>
    </row>
    <row r="1487" spans="1:10" x14ac:dyDescent="0.25">
      <c r="A1487" t="s">
        <v>21</v>
      </c>
      <c r="B1487" t="s">
        <v>272</v>
      </c>
      <c r="C1487">
        <v>91002747</v>
      </c>
      <c r="D1487">
        <v>140</v>
      </c>
      <c r="E1487" s="4">
        <v>-20452483.57</v>
      </c>
      <c r="F1487" t="s">
        <v>80</v>
      </c>
      <c r="G1487">
        <v>0</v>
      </c>
      <c r="H1487" s="32" t="str">
        <f ca="1">+IF(B1487&gt;'sap nuevo'!$V$1,"cargar",IF(C1487="","cargar","pagado"))</f>
        <v>cargar</v>
      </c>
      <c r="I1487" s="32">
        <f t="shared" ref="I1487:I1517" si="200">+YEAR(B1487)</f>
        <v>2025</v>
      </c>
      <c r="J1487" s="32">
        <f t="shared" ref="J1487:J1517" si="201">+MONTH(B1487)</f>
        <v>12</v>
      </c>
    </row>
    <row r="1488" spans="1:10" x14ac:dyDescent="0.25">
      <c r="A1488" t="s">
        <v>12</v>
      </c>
      <c r="B1488" t="s">
        <v>272</v>
      </c>
      <c r="C1488">
        <v>91002745</v>
      </c>
      <c r="D1488">
        <v>140</v>
      </c>
      <c r="E1488" s="4">
        <v>-12415377.800000001</v>
      </c>
      <c r="F1488" t="s">
        <v>82</v>
      </c>
      <c r="G1488">
        <v>0</v>
      </c>
      <c r="H1488" s="32" t="str">
        <f ca="1">+IF(B1488&gt;'sap nuevo'!$V$1,"cargar",IF(C1488="","cargar","pagado"))</f>
        <v>cargar</v>
      </c>
      <c r="I1488" s="32">
        <f t="shared" si="200"/>
        <v>2025</v>
      </c>
      <c r="J1488" s="32">
        <f t="shared" si="201"/>
        <v>12</v>
      </c>
    </row>
    <row r="1489" spans="1:10" x14ac:dyDescent="0.25">
      <c r="A1489" t="s">
        <v>12</v>
      </c>
      <c r="B1489" t="s">
        <v>272</v>
      </c>
      <c r="C1489">
        <v>91002738</v>
      </c>
      <c r="D1489">
        <v>140</v>
      </c>
      <c r="E1489" s="4">
        <v>-11761645.800000001</v>
      </c>
      <c r="F1489" t="s">
        <v>82</v>
      </c>
      <c r="G1489">
        <v>0</v>
      </c>
      <c r="H1489" s="32" t="str">
        <f ca="1">+IF(B1489&gt;'sap nuevo'!$V$1,"cargar",IF(C1489="","cargar","pagado"))</f>
        <v>cargar</v>
      </c>
      <c r="I1489" s="32">
        <f t="shared" si="200"/>
        <v>2025</v>
      </c>
      <c r="J1489" s="32">
        <f t="shared" si="201"/>
        <v>12</v>
      </c>
    </row>
    <row r="1490" spans="1:10" x14ac:dyDescent="0.25">
      <c r="A1490" t="s">
        <v>21</v>
      </c>
      <c r="B1490" t="s">
        <v>272</v>
      </c>
      <c r="C1490">
        <v>91002734</v>
      </c>
      <c r="D1490">
        <v>140</v>
      </c>
      <c r="E1490" s="4">
        <v>-10797741.789999999</v>
      </c>
      <c r="F1490" t="s">
        <v>80</v>
      </c>
      <c r="G1490">
        <v>0</v>
      </c>
      <c r="H1490" s="32" t="str">
        <f ca="1">+IF(B1490&gt;'sap nuevo'!$V$1,"cargar",IF(C1490="","cargar","pagado"))</f>
        <v>cargar</v>
      </c>
      <c r="I1490" s="32">
        <f t="shared" si="200"/>
        <v>2025</v>
      </c>
      <c r="J1490" s="32">
        <f t="shared" si="201"/>
        <v>12</v>
      </c>
    </row>
    <row r="1491" spans="1:10" x14ac:dyDescent="0.25">
      <c r="A1491" t="s">
        <v>12</v>
      </c>
      <c r="B1491" t="s">
        <v>272</v>
      </c>
      <c r="C1491">
        <v>91002735</v>
      </c>
      <c r="D1491">
        <v>140</v>
      </c>
      <c r="E1491" s="4">
        <v>-9918838.0700000003</v>
      </c>
      <c r="F1491" t="s">
        <v>82</v>
      </c>
      <c r="G1491">
        <v>0</v>
      </c>
      <c r="H1491" s="32" t="str">
        <f ca="1">+IF(B1491&gt;'sap nuevo'!$V$1,"cargar",IF(C1491="","cargar","pagado"))</f>
        <v>cargar</v>
      </c>
      <c r="I1491" s="32">
        <f t="shared" si="200"/>
        <v>2025</v>
      </c>
      <c r="J1491" s="32">
        <f t="shared" si="201"/>
        <v>12</v>
      </c>
    </row>
    <row r="1492" spans="1:10" x14ac:dyDescent="0.25">
      <c r="A1492" t="s">
        <v>21</v>
      </c>
      <c r="B1492" t="s">
        <v>272</v>
      </c>
      <c r="C1492">
        <v>91002744</v>
      </c>
      <c r="D1492">
        <v>140</v>
      </c>
      <c r="E1492" s="4">
        <v>-9110594</v>
      </c>
      <c r="F1492" t="s">
        <v>80</v>
      </c>
      <c r="G1492">
        <v>0</v>
      </c>
      <c r="H1492" s="32" t="str">
        <f ca="1">+IF(B1492&gt;'sap nuevo'!$V$1,"cargar",IF(C1492="","cargar","pagado"))</f>
        <v>cargar</v>
      </c>
      <c r="I1492" s="32">
        <f t="shared" si="200"/>
        <v>2025</v>
      </c>
      <c r="J1492" s="32">
        <f t="shared" si="201"/>
        <v>12</v>
      </c>
    </row>
    <row r="1493" spans="1:10" x14ac:dyDescent="0.25">
      <c r="A1493" t="s">
        <v>21</v>
      </c>
      <c r="B1493" t="s">
        <v>272</v>
      </c>
      <c r="C1493">
        <v>91002742</v>
      </c>
      <c r="D1493">
        <v>140</v>
      </c>
      <c r="E1493" s="4">
        <v>-9025923.4000000004</v>
      </c>
      <c r="F1493" t="s">
        <v>80</v>
      </c>
      <c r="G1493">
        <v>0</v>
      </c>
      <c r="H1493" s="32" t="str">
        <f ca="1">+IF(B1493&gt;'sap nuevo'!$V$1,"cargar",IF(C1493="","cargar","pagado"))</f>
        <v>cargar</v>
      </c>
      <c r="I1493" s="32">
        <f t="shared" si="200"/>
        <v>2025</v>
      </c>
      <c r="J1493" s="32">
        <f t="shared" si="201"/>
        <v>12</v>
      </c>
    </row>
    <row r="1494" spans="1:10" x14ac:dyDescent="0.25">
      <c r="A1494" t="s">
        <v>21</v>
      </c>
      <c r="B1494" t="s">
        <v>272</v>
      </c>
      <c r="C1494">
        <v>91002739</v>
      </c>
      <c r="D1494">
        <v>140</v>
      </c>
      <c r="E1494" s="4">
        <v>-5068380.9000000004</v>
      </c>
      <c r="F1494" t="s">
        <v>80</v>
      </c>
      <c r="G1494">
        <v>0</v>
      </c>
      <c r="H1494" s="32" t="str">
        <f ca="1">+IF(B1494&gt;'sap nuevo'!$V$1,"cargar",IF(C1494="","cargar","pagado"))</f>
        <v>cargar</v>
      </c>
      <c r="I1494" s="32">
        <f t="shared" si="200"/>
        <v>2025</v>
      </c>
      <c r="J1494" s="32">
        <f t="shared" si="201"/>
        <v>12</v>
      </c>
    </row>
    <row r="1495" spans="1:10" x14ac:dyDescent="0.25">
      <c r="A1495" t="s">
        <v>21</v>
      </c>
      <c r="B1495" t="s">
        <v>272</v>
      </c>
      <c r="C1495">
        <v>91002733</v>
      </c>
      <c r="D1495">
        <v>140</v>
      </c>
      <c r="E1495" s="4">
        <v>-4259943.16</v>
      </c>
      <c r="F1495" t="s">
        <v>80</v>
      </c>
      <c r="G1495">
        <v>0</v>
      </c>
      <c r="H1495" s="32" t="str">
        <f ca="1">+IF(B1495&gt;'sap nuevo'!$V$1,"cargar",IF(C1495="","cargar","pagado"))</f>
        <v>cargar</v>
      </c>
      <c r="I1495" s="32">
        <f t="shared" si="200"/>
        <v>2025</v>
      </c>
      <c r="J1495" s="32">
        <f t="shared" si="201"/>
        <v>12</v>
      </c>
    </row>
    <row r="1496" spans="1:10" x14ac:dyDescent="0.25">
      <c r="A1496" t="s">
        <v>21</v>
      </c>
      <c r="B1496" t="s">
        <v>272</v>
      </c>
      <c r="C1496">
        <v>91002741</v>
      </c>
      <c r="D1496">
        <v>140</v>
      </c>
      <c r="E1496" s="4">
        <v>-3249241.17</v>
      </c>
      <c r="F1496" t="s">
        <v>80</v>
      </c>
      <c r="G1496">
        <v>0</v>
      </c>
      <c r="H1496" s="32" t="str">
        <f ca="1">+IF(B1496&gt;'sap nuevo'!$V$1,"cargar",IF(C1496="","cargar","pagado"))</f>
        <v>cargar</v>
      </c>
      <c r="I1496" s="32">
        <f t="shared" si="200"/>
        <v>2025</v>
      </c>
      <c r="J1496" s="32">
        <f t="shared" si="201"/>
        <v>12</v>
      </c>
    </row>
    <row r="1497" spans="1:10" x14ac:dyDescent="0.25">
      <c r="A1497" t="s">
        <v>21</v>
      </c>
      <c r="B1497" t="s">
        <v>273</v>
      </c>
      <c r="C1497">
        <v>91002749</v>
      </c>
      <c r="D1497">
        <v>140</v>
      </c>
      <c r="E1497" s="4">
        <v>-30000000</v>
      </c>
      <c r="F1497" t="s">
        <v>80</v>
      </c>
      <c r="G1497">
        <v>0</v>
      </c>
      <c r="H1497" s="32" t="str">
        <f ca="1">+IF(B1497&gt;'sap nuevo'!$V$1,"cargar",IF(C1497="","cargar","pagado"))</f>
        <v>cargar</v>
      </c>
      <c r="I1497" s="32">
        <f t="shared" si="200"/>
        <v>2025</v>
      </c>
      <c r="J1497" s="32">
        <f t="shared" si="201"/>
        <v>12</v>
      </c>
    </row>
    <row r="1498" spans="1:10" x14ac:dyDescent="0.25">
      <c r="A1498" t="s">
        <v>12</v>
      </c>
      <c r="B1498" t="s">
        <v>273</v>
      </c>
      <c r="C1498">
        <v>91002751</v>
      </c>
      <c r="D1498">
        <v>140</v>
      </c>
      <c r="E1498" s="4">
        <v>-25698560</v>
      </c>
      <c r="F1498" t="s">
        <v>82</v>
      </c>
      <c r="G1498">
        <v>0</v>
      </c>
      <c r="H1498" s="32" t="str">
        <f ca="1">+IF(B1498&gt;'sap nuevo'!$V$1,"cargar",IF(C1498="","cargar","pagado"))</f>
        <v>cargar</v>
      </c>
      <c r="I1498" s="32">
        <f t="shared" si="200"/>
        <v>2025</v>
      </c>
      <c r="J1498" s="32">
        <f t="shared" si="201"/>
        <v>12</v>
      </c>
    </row>
    <row r="1499" spans="1:10" x14ac:dyDescent="0.25">
      <c r="A1499" t="s">
        <v>21</v>
      </c>
      <c r="B1499" t="s">
        <v>273</v>
      </c>
      <c r="C1499">
        <v>91002752</v>
      </c>
      <c r="D1499">
        <v>140</v>
      </c>
      <c r="E1499" s="4">
        <v>-15138130.279999999</v>
      </c>
      <c r="F1499" t="s">
        <v>80</v>
      </c>
      <c r="G1499">
        <v>0</v>
      </c>
      <c r="H1499" s="32" t="str">
        <f ca="1">+IF(B1499&gt;'sap nuevo'!$V$1,"cargar",IF(C1499="","cargar","pagado"))</f>
        <v>cargar</v>
      </c>
      <c r="I1499" s="32">
        <f t="shared" si="200"/>
        <v>2025</v>
      </c>
      <c r="J1499" s="32">
        <f t="shared" si="201"/>
        <v>12</v>
      </c>
    </row>
    <row r="1500" spans="1:10" x14ac:dyDescent="0.25">
      <c r="A1500" t="s">
        <v>21</v>
      </c>
      <c r="B1500" t="s">
        <v>273</v>
      </c>
      <c r="C1500">
        <v>91002750</v>
      </c>
      <c r="D1500">
        <v>140</v>
      </c>
      <c r="E1500" s="4">
        <v>-14561285.220000001</v>
      </c>
      <c r="F1500" t="s">
        <v>80</v>
      </c>
      <c r="G1500">
        <v>0</v>
      </c>
      <c r="H1500" s="32" t="str">
        <f ca="1">+IF(B1500&gt;'sap nuevo'!$V$1,"cargar",IF(C1500="","cargar","pagado"))</f>
        <v>cargar</v>
      </c>
      <c r="I1500" s="32">
        <f t="shared" si="200"/>
        <v>2025</v>
      </c>
      <c r="J1500" s="32">
        <f t="shared" si="201"/>
        <v>12</v>
      </c>
    </row>
    <row r="1501" spans="1:10" x14ac:dyDescent="0.25">
      <c r="A1501" t="s">
        <v>12</v>
      </c>
      <c r="B1501" t="s">
        <v>273</v>
      </c>
      <c r="C1501">
        <v>91002743</v>
      </c>
      <c r="D1501">
        <v>140</v>
      </c>
      <c r="E1501" s="4">
        <v>-10090541.4</v>
      </c>
      <c r="F1501" t="s">
        <v>82</v>
      </c>
      <c r="G1501">
        <v>0</v>
      </c>
      <c r="H1501" s="32" t="str">
        <f ca="1">+IF(B1501&gt;'sap nuevo'!$V$1,"cargar",IF(C1501="","cargar","pagado"))</f>
        <v>cargar</v>
      </c>
      <c r="I1501" s="32">
        <f t="shared" si="200"/>
        <v>2025</v>
      </c>
      <c r="J1501" s="32">
        <f t="shared" si="201"/>
        <v>12</v>
      </c>
    </row>
    <row r="1502" spans="1:10" x14ac:dyDescent="0.25">
      <c r="A1502" t="s">
        <v>21</v>
      </c>
      <c r="B1502" t="s">
        <v>273</v>
      </c>
      <c r="C1502">
        <v>91002737</v>
      </c>
      <c r="D1502">
        <v>140</v>
      </c>
      <c r="E1502" s="4">
        <v>-6987960</v>
      </c>
      <c r="F1502" t="s">
        <v>80</v>
      </c>
      <c r="G1502">
        <v>0</v>
      </c>
      <c r="H1502" s="32" t="str">
        <f ca="1">+IF(B1502&gt;'sap nuevo'!$V$1,"cargar",IF(C1502="","cargar","pagado"))</f>
        <v>cargar</v>
      </c>
      <c r="I1502" s="32">
        <f t="shared" si="200"/>
        <v>2025</v>
      </c>
      <c r="J1502" s="32">
        <f t="shared" si="201"/>
        <v>12</v>
      </c>
    </row>
    <row r="1503" spans="1:10" x14ac:dyDescent="0.25">
      <c r="A1503" t="s">
        <v>21</v>
      </c>
      <c r="B1503" t="s">
        <v>273</v>
      </c>
      <c r="C1503">
        <v>91002718</v>
      </c>
      <c r="D1503">
        <v>140</v>
      </c>
      <c r="E1503" s="4">
        <v>-5192070</v>
      </c>
      <c r="F1503" t="s">
        <v>80</v>
      </c>
      <c r="G1503">
        <v>0</v>
      </c>
      <c r="H1503" s="32" t="str">
        <f ca="1">+IF(B1503&gt;'sap nuevo'!$V$1,"cargar",IF(C1503="","cargar","pagado"))</f>
        <v>cargar</v>
      </c>
      <c r="I1503" s="32">
        <f t="shared" si="200"/>
        <v>2025</v>
      </c>
      <c r="J1503" s="32">
        <f t="shared" si="201"/>
        <v>12</v>
      </c>
    </row>
    <row r="1504" spans="1:10" x14ac:dyDescent="0.25">
      <c r="A1504" t="s">
        <v>21</v>
      </c>
      <c r="B1504" t="s">
        <v>273</v>
      </c>
      <c r="C1504">
        <v>91002740</v>
      </c>
      <c r="D1504">
        <v>140</v>
      </c>
      <c r="E1504" s="4">
        <v>-4913173.05</v>
      </c>
      <c r="F1504" t="s">
        <v>80</v>
      </c>
      <c r="G1504">
        <v>0</v>
      </c>
      <c r="H1504" s="32" t="str">
        <f ca="1">+IF(B1504&gt;'sap nuevo'!$V$1,"cargar",IF(C1504="","cargar","pagado"))</f>
        <v>cargar</v>
      </c>
      <c r="I1504" s="32">
        <f t="shared" si="200"/>
        <v>2025</v>
      </c>
      <c r="J1504" s="32">
        <f t="shared" si="201"/>
        <v>12</v>
      </c>
    </row>
    <row r="1505" spans="1:10" x14ac:dyDescent="0.25">
      <c r="A1505" t="s">
        <v>877</v>
      </c>
      <c r="B1505" t="s">
        <v>274</v>
      </c>
      <c r="C1505">
        <v>1852</v>
      </c>
      <c r="D1505">
        <v>9999</v>
      </c>
      <c r="E1505" s="4">
        <v>-290000000</v>
      </c>
      <c r="F1505" t="s">
        <v>1670</v>
      </c>
      <c r="G1505">
        <v>1385</v>
      </c>
      <c r="H1505" s="32" t="str">
        <f ca="1">+IF(B1505&gt;'sap nuevo'!$V$1,"cargar",IF(C1505="","cargar","pagado"))</f>
        <v>cargar</v>
      </c>
      <c r="I1505" s="32">
        <f t="shared" si="200"/>
        <v>2025</v>
      </c>
      <c r="J1505" s="32">
        <f t="shared" si="201"/>
        <v>12</v>
      </c>
    </row>
    <row r="1506" spans="1:10" x14ac:dyDescent="0.25">
      <c r="A1506" t="s">
        <v>877</v>
      </c>
      <c r="B1506" t="s">
        <v>274</v>
      </c>
      <c r="C1506">
        <v>1851</v>
      </c>
      <c r="D1506">
        <v>9999</v>
      </c>
      <c r="E1506" s="4">
        <v>-290000000</v>
      </c>
      <c r="F1506" t="s">
        <v>1671</v>
      </c>
      <c r="G1506">
        <v>1385</v>
      </c>
      <c r="H1506" s="32" t="str">
        <f ca="1">+IF(B1506&gt;'sap nuevo'!$V$1,"cargar",IF(C1506="","cargar","pagado"))</f>
        <v>cargar</v>
      </c>
      <c r="I1506" s="32">
        <f t="shared" si="200"/>
        <v>2025</v>
      </c>
      <c r="J1506" s="32">
        <f t="shared" si="201"/>
        <v>12</v>
      </c>
    </row>
    <row r="1507" spans="1:10" x14ac:dyDescent="0.25">
      <c r="A1507" t="s">
        <v>877</v>
      </c>
      <c r="B1507" t="s">
        <v>274</v>
      </c>
      <c r="C1507">
        <v>1853</v>
      </c>
      <c r="D1507">
        <v>9999</v>
      </c>
      <c r="E1507" s="4">
        <v>-278717907.69999999</v>
      </c>
      <c r="F1507" t="s">
        <v>1672</v>
      </c>
      <c r="G1507">
        <v>1385</v>
      </c>
      <c r="H1507" s="32" t="str">
        <f ca="1">+IF(B1507&gt;'sap nuevo'!$V$1,"cargar",IF(C1507="","cargar","pagado"))</f>
        <v>cargar</v>
      </c>
      <c r="I1507" s="32">
        <f t="shared" si="200"/>
        <v>2025</v>
      </c>
      <c r="J1507" s="32">
        <f t="shared" si="201"/>
        <v>12</v>
      </c>
    </row>
    <row r="1508" spans="1:10" x14ac:dyDescent="0.25">
      <c r="A1508" t="s">
        <v>877</v>
      </c>
      <c r="B1508" t="s">
        <v>274</v>
      </c>
      <c r="C1508">
        <v>2015</v>
      </c>
      <c r="D1508">
        <v>9999</v>
      </c>
      <c r="E1508" s="4">
        <v>-49284747.119999997</v>
      </c>
      <c r="F1508" t="s">
        <v>1673</v>
      </c>
      <c r="G1508">
        <v>1385</v>
      </c>
      <c r="H1508" s="32" t="str">
        <f ca="1">+IF(B1508&gt;'sap nuevo'!$V$1,"cargar",IF(C1508="","cargar","pagado"))</f>
        <v>cargar</v>
      </c>
      <c r="I1508" s="32">
        <f t="shared" si="200"/>
        <v>2025</v>
      </c>
      <c r="J1508" s="32">
        <f t="shared" si="201"/>
        <v>12</v>
      </c>
    </row>
    <row r="1509" spans="1:10" x14ac:dyDescent="0.25">
      <c r="A1509" t="s">
        <v>877</v>
      </c>
      <c r="B1509" t="s">
        <v>274</v>
      </c>
      <c r="C1509">
        <v>2016</v>
      </c>
      <c r="D1509">
        <v>9999</v>
      </c>
      <c r="E1509" s="4">
        <v>-5067370</v>
      </c>
      <c r="F1509" t="s">
        <v>1674</v>
      </c>
      <c r="G1509">
        <v>1385</v>
      </c>
      <c r="H1509" s="32" t="str">
        <f ca="1">+IF(B1509&gt;'sap nuevo'!$V$1,"cargar",IF(C1509="","cargar","pagado"))</f>
        <v>cargar</v>
      </c>
      <c r="I1509" s="32">
        <f t="shared" si="200"/>
        <v>2025</v>
      </c>
      <c r="J1509" s="32">
        <f t="shared" si="201"/>
        <v>12</v>
      </c>
    </row>
    <row r="1510" spans="1:10" x14ac:dyDescent="0.25">
      <c r="A1510" t="s">
        <v>877</v>
      </c>
      <c r="B1510" t="s">
        <v>274</v>
      </c>
      <c r="C1510">
        <v>2019</v>
      </c>
      <c r="D1510">
        <v>9999</v>
      </c>
      <c r="E1510" s="4">
        <v>-5019561.09</v>
      </c>
      <c r="F1510" t="s">
        <v>1675</v>
      </c>
      <c r="G1510">
        <v>1385</v>
      </c>
      <c r="H1510" s="32" t="str">
        <f ca="1">+IF(B1510&gt;'sap nuevo'!$V$1,"cargar",IF(C1510="","cargar","pagado"))</f>
        <v>cargar</v>
      </c>
      <c r="I1510" s="32">
        <f t="shared" si="200"/>
        <v>2025</v>
      </c>
      <c r="J1510" s="32">
        <f t="shared" si="201"/>
        <v>12</v>
      </c>
    </row>
    <row r="1511" spans="1:10" x14ac:dyDescent="0.25">
      <c r="A1511" t="s">
        <v>877</v>
      </c>
      <c r="B1511" t="s">
        <v>274</v>
      </c>
      <c r="C1511">
        <v>2030</v>
      </c>
      <c r="D1511">
        <v>9999</v>
      </c>
      <c r="E1511" s="4">
        <v>-1361061.93</v>
      </c>
      <c r="F1511" t="s">
        <v>1676</v>
      </c>
      <c r="G1511">
        <v>1385</v>
      </c>
      <c r="H1511" s="32" t="str">
        <f ca="1">+IF(B1511&gt;'sap nuevo'!$V$1,"cargar",IF(C1511="","cargar","pagado"))</f>
        <v>cargar</v>
      </c>
      <c r="I1511" s="32">
        <f t="shared" si="200"/>
        <v>2025</v>
      </c>
      <c r="J1511" s="32">
        <f t="shared" si="201"/>
        <v>12</v>
      </c>
    </row>
    <row r="1512" spans="1:10" x14ac:dyDescent="0.25">
      <c r="A1512" t="s">
        <v>873</v>
      </c>
      <c r="B1512" t="s">
        <v>275</v>
      </c>
      <c r="C1512">
        <v>2022</v>
      </c>
      <c r="D1512">
        <v>9999</v>
      </c>
      <c r="E1512" s="4">
        <v>-7500000</v>
      </c>
      <c r="F1512" t="s">
        <v>1677</v>
      </c>
      <c r="G1512">
        <v>3520</v>
      </c>
      <c r="H1512" s="32" t="str">
        <f ca="1">+IF(B1512&gt;'sap nuevo'!$V$1,"cargar",IF(C1512="","cargar","pagado"))</f>
        <v>cargar</v>
      </c>
      <c r="I1512" s="32">
        <f t="shared" si="200"/>
        <v>2025</v>
      </c>
      <c r="J1512" s="32">
        <f t="shared" si="201"/>
        <v>12</v>
      </c>
    </row>
    <row r="1513" spans="1:10" x14ac:dyDescent="0.25">
      <c r="A1513" t="s">
        <v>873</v>
      </c>
      <c r="B1513" t="s">
        <v>275</v>
      </c>
      <c r="C1513">
        <v>2021</v>
      </c>
      <c r="D1513">
        <v>9999</v>
      </c>
      <c r="E1513" s="4">
        <v>-7500000</v>
      </c>
      <c r="F1513" t="s">
        <v>1678</v>
      </c>
      <c r="G1513">
        <v>3520</v>
      </c>
      <c r="H1513" s="32" t="str">
        <f ca="1">+IF(B1513&gt;'sap nuevo'!$V$1,"cargar",IF(C1513="","cargar","pagado"))</f>
        <v>cargar</v>
      </c>
      <c r="I1513" s="32">
        <f t="shared" si="200"/>
        <v>2025</v>
      </c>
      <c r="J1513" s="32">
        <f t="shared" si="201"/>
        <v>12</v>
      </c>
    </row>
    <row r="1514" spans="1:10" x14ac:dyDescent="0.25">
      <c r="A1514" t="s">
        <v>877</v>
      </c>
      <c r="B1514" t="s">
        <v>275</v>
      </c>
      <c r="C1514">
        <v>2025</v>
      </c>
      <c r="D1514">
        <v>9999</v>
      </c>
      <c r="E1514" s="4">
        <v>-15773880.84</v>
      </c>
      <c r="F1514" t="s">
        <v>1679</v>
      </c>
      <c r="G1514">
        <v>1385</v>
      </c>
      <c r="H1514" s="32" t="str">
        <f ca="1">+IF(B1514&gt;'sap nuevo'!$V$1,"cargar",IF(C1514="","cargar","pagado"))</f>
        <v>cargar</v>
      </c>
      <c r="I1514" s="32">
        <f t="shared" si="200"/>
        <v>2025</v>
      </c>
      <c r="J1514" s="32">
        <f t="shared" si="201"/>
        <v>12</v>
      </c>
    </row>
    <row r="1515" spans="1:10" x14ac:dyDescent="0.25">
      <c r="A1515" t="s">
        <v>877</v>
      </c>
      <c r="B1515" t="s">
        <v>275</v>
      </c>
      <c r="C1515">
        <v>2020</v>
      </c>
      <c r="D1515">
        <v>9999</v>
      </c>
      <c r="E1515" s="4">
        <v>-9863700</v>
      </c>
      <c r="F1515" t="s">
        <v>1680</v>
      </c>
      <c r="G1515">
        <v>1385</v>
      </c>
      <c r="H1515" s="32" t="str">
        <f ca="1">+IF(B1515&gt;'sap nuevo'!$V$1,"cargar",IF(C1515="","cargar","pagado"))</f>
        <v>cargar</v>
      </c>
      <c r="I1515" s="32">
        <f t="shared" si="200"/>
        <v>2025</v>
      </c>
      <c r="J1515" s="32">
        <f t="shared" si="201"/>
        <v>12</v>
      </c>
    </row>
    <row r="1516" spans="1:10" x14ac:dyDescent="0.25">
      <c r="A1516" t="s">
        <v>877</v>
      </c>
      <c r="B1516" t="s">
        <v>276</v>
      </c>
      <c r="C1516">
        <v>2018</v>
      </c>
      <c r="D1516">
        <v>9999</v>
      </c>
      <c r="E1516" s="4">
        <v>-14830193.33</v>
      </c>
      <c r="F1516" t="s">
        <v>1681</v>
      </c>
      <c r="G1516">
        <v>1385</v>
      </c>
      <c r="H1516" s="32" t="str">
        <f ca="1">+IF(B1516&gt;'sap nuevo'!$V$1,"cargar",IF(C1516="","cargar","pagado"))</f>
        <v>cargar</v>
      </c>
      <c r="I1516" s="32">
        <f t="shared" si="200"/>
        <v>2025</v>
      </c>
      <c r="J1516" s="32">
        <f t="shared" si="201"/>
        <v>12</v>
      </c>
    </row>
    <row r="1517" spans="1:10" x14ac:dyDescent="0.25">
      <c r="A1517" t="s">
        <v>877</v>
      </c>
      <c r="B1517" t="s">
        <v>276</v>
      </c>
      <c r="C1517">
        <v>2028</v>
      </c>
      <c r="D1517">
        <v>9999</v>
      </c>
      <c r="E1517" s="4">
        <v>-6003987.5</v>
      </c>
      <c r="F1517" t="s">
        <v>1682</v>
      </c>
      <c r="G1517">
        <v>1385</v>
      </c>
      <c r="H1517" s="32" t="str">
        <f ca="1">+IF(B1517&gt;'sap nuevo'!$V$1,"cargar",IF(C1517="","cargar","pagado"))</f>
        <v>cargar</v>
      </c>
      <c r="I1517" s="32">
        <f t="shared" si="200"/>
        <v>2025</v>
      </c>
      <c r="J1517" s="32">
        <f t="shared" si="201"/>
        <v>12</v>
      </c>
    </row>
    <row r="1518" spans="1:10" x14ac:dyDescent="0.25">
      <c r="A1518" t="s">
        <v>877</v>
      </c>
      <c r="B1518" t="s">
        <v>276</v>
      </c>
      <c r="C1518">
        <v>2029</v>
      </c>
      <c r="D1518">
        <v>9999</v>
      </c>
      <c r="E1518" s="4">
        <v>-5235682.05</v>
      </c>
      <c r="F1518" t="s">
        <v>1683</v>
      </c>
      <c r="G1518">
        <v>1385</v>
      </c>
      <c r="H1518" s="32" t="str">
        <f ca="1">+IF(B1518&gt;'sap nuevo'!$V$1,"cargar",IF(C1518="","cargar","pagado"))</f>
        <v>cargar</v>
      </c>
      <c r="I1518" s="32">
        <f t="shared" ref="I1518:I1537" si="202">+YEAR(B1518)</f>
        <v>2025</v>
      </c>
      <c r="J1518" s="32">
        <f t="shared" ref="J1518:J1537" si="203">+MONTH(B1518)</f>
        <v>12</v>
      </c>
    </row>
    <row r="1519" spans="1:10" x14ac:dyDescent="0.25">
      <c r="A1519" t="s">
        <v>877</v>
      </c>
      <c r="B1519" t="s">
        <v>276</v>
      </c>
      <c r="C1519">
        <v>2027</v>
      </c>
      <c r="D1519">
        <v>9999</v>
      </c>
      <c r="E1519" s="4">
        <v>-2837393.4</v>
      </c>
      <c r="F1519" t="s">
        <v>1684</v>
      </c>
      <c r="G1519">
        <v>1385</v>
      </c>
      <c r="H1519" s="32" t="str">
        <f ca="1">+IF(B1519&gt;'sap nuevo'!$V$1,"cargar",IF(C1519="","cargar","pagado"))</f>
        <v>cargar</v>
      </c>
      <c r="I1519" s="32">
        <f t="shared" si="202"/>
        <v>2025</v>
      </c>
      <c r="J1519" s="32">
        <f t="shared" si="203"/>
        <v>12</v>
      </c>
    </row>
    <row r="1520" spans="1:10" x14ac:dyDescent="0.25">
      <c r="A1520" t="s">
        <v>877</v>
      </c>
      <c r="B1520" t="s">
        <v>277</v>
      </c>
      <c r="C1520">
        <v>2013</v>
      </c>
      <c r="D1520">
        <v>9999</v>
      </c>
      <c r="E1520" s="4">
        <v>-12329601.82</v>
      </c>
      <c r="F1520" t="s">
        <v>1685</v>
      </c>
      <c r="G1520">
        <v>1385</v>
      </c>
      <c r="H1520" s="32" t="str">
        <f ca="1">+IF(B1520&gt;'sap nuevo'!$V$1,"cargar",IF(C1520="","cargar","pagado"))</f>
        <v>cargar</v>
      </c>
      <c r="I1520" s="32">
        <f t="shared" si="202"/>
        <v>2025</v>
      </c>
      <c r="J1520" s="32">
        <f t="shared" si="203"/>
        <v>12</v>
      </c>
    </row>
    <row r="1521" spans="1:10" x14ac:dyDescent="0.25">
      <c r="A1521" t="s">
        <v>21</v>
      </c>
      <c r="B1521" t="s">
        <v>276</v>
      </c>
      <c r="C1521">
        <v>91002736</v>
      </c>
      <c r="D1521">
        <v>140</v>
      </c>
      <c r="E1521" s="4">
        <v>-4233015.58</v>
      </c>
      <c r="F1521" t="s">
        <v>80</v>
      </c>
      <c r="G1521">
        <v>0</v>
      </c>
      <c r="H1521" s="32" t="str">
        <f ca="1">+IF(B1521&gt;'sap nuevo'!$V$1,"cargar",IF(C1521="","cargar","pagado"))</f>
        <v>cargar</v>
      </c>
      <c r="I1521" s="32">
        <f t="shared" si="202"/>
        <v>2025</v>
      </c>
      <c r="J1521" s="32">
        <f t="shared" si="203"/>
        <v>12</v>
      </c>
    </row>
    <row r="1522" spans="1:10" x14ac:dyDescent="0.25">
      <c r="A1522" t="s">
        <v>21</v>
      </c>
      <c r="B1522" t="s">
        <v>277</v>
      </c>
      <c r="C1522">
        <v>91002758</v>
      </c>
      <c r="D1522">
        <v>140</v>
      </c>
      <c r="E1522" s="4">
        <v>-19412454.25</v>
      </c>
      <c r="F1522" t="s">
        <v>80</v>
      </c>
      <c r="G1522">
        <v>0</v>
      </c>
      <c r="H1522" s="32" t="str">
        <f ca="1">+IF(B1522&gt;'sap nuevo'!$V$1,"cargar",IF(C1522="","cargar","pagado"))</f>
        <v>cargar</v>
      </c>
      <c r="I1522" s="32">
        <f t="shared" si="202"/>
        <v>2025</v>
      </c>
      <c r="J1522" s="32">
        <f t="shared" si="203"/>
        <v>12</v>
      </c>
    </row>
    <row r="1523" spans="1:10" x14ac:dyDescent="0.25">
      <c r="A1523" t="s">
        <v>21</v>
      </c>
      <c r="B1523" t="s">
        <v>277</v>
      </c>
      <c r="C1523">
        <v>91002756</v>
      </c>
      <c r="D1523">
        <v>140</v>
      </c>
      <c r="E1523" s="4">
        <v>-12806757.050000001</v>
      </c>
      <c r="F1523" t="s">
        <v>80</v>
      </c>
      <c r="G1523">
        <v>0</v>
      </c>
      <c r="H1523" s="32" t="str">
        <f ca="1">+IF(B1523&gt;'sap nuevo'!$V$1,"cargar",IF(C1523="","cargar","pagado"))</f>
        <v>cargar</v>
      </c>
      <c r="I1523" s="32">
        <f t="shared" si="202"/>
        <v>2025</v>
      </c>
      <c r="J1523" s="32">
        <f t="shared" si="203"/>
        <v>12</v>
      </c>
    </row>
    <row r="1524" spans="1:10" x14ac:dyDescent="0.25">
      <c r="A1524" t="s">
        <v>21</v>
      </c>
      <c r="B1524" t="s">
        <v>277</v>
      </c>
      <c r="C1524">
        <v>91002753</v>
      </c>
      <c r="D1524">
        <v>140</v>
      </c>
      <c r="E1524" s="4">
        <v>-8290612.7999999998</v>
      </c>
      <c r="F1524" t="s">
        <v>80</v>
      </c>
      <c r="G1524">
        <v>0</v>
      </c>
      <c r="H1524" s="32" t="str">
        <f ca="1">+IF(B1524&gt;'sap nuevo'!$V$1,"cargar",IF(C1524="","cargar","pagado"))</f>
        <v>cargar</v>
      </c>
      <c r="I1524" s="32">
        <f t="shared" si="202"/>
        <v>2025</v>
      </c>
      <c r="J1524" s="32">
        <f t="shared" si="203"/>
        <v>12</v>
      </c>
    </row>
    <row r="1525" spans="1:10" x14ac:dyDescent="0.25">
      <c r="A1525" t="s">
        <v>12</v>
      </c>
      <c r="B1525" t="s">
        <v>277</v>
      </c>
      <c r="C1525">
        <v>40273011</v>
      </c>
      <c r="D1525">
        <v>140</v>
      </c>
      <c r="E1525" s="4">
        <v>-6000000</v>
      </c>
      <c r="F1525" t="s">
        <v>82</v>
      </c>
      <c r="G1525">
        <v>0</v>
      </c>
      <c r="H1525" s="32" t="str">
        <f ca="1">+IF(B1525&gt;'sap nuevo'!$V$1,"cargar",IF(C1525="","cargar","pagado"))</f>
        <v>cargar</v>
      </c>
      <c r="I1525" s="32">
        <f t="shared" si="202"/>
        <v>2025</v>
      </c>
      <c r="J1525" s="32">
        <f t="shared" si="203"/>
        <v>12</v>
      </c>
    </row>
    <row r="1526" spans="1:10" x14ac:dyDescent="0.25">
      <c r="A1526" t="s">
        <v>12</v>
      </c>
      <c r="B1526" t="s">
        <v>277</v>
      </c>
      <c r="C1526">
        <v>40273013</v>
      </c>
      <c r="D1526">
        <v>140</v>
      </c>
      <c r="E1526" s="4">
        <v>-6000000</v>
      </c>
      <c r="F1526" t="s">
        <v>82</v>
      </c>
      <c r="G1526">
        <v>0</v>
      </c>
      <c r="H1526" s="32" t="str">
        <f ca="1">+IF(B1526&gt;'sap nuevo'!$V$1,"cargar",IF(C1526="","cargar","pagado"))</f>
        <v>cargar</v>
      </c>
      <c r="I1526" s="32">
        <f t="shared" si="202"/>
        <v>2025</v>
      </c>
      <c r="J1526" s="32">
        <f t="shared" si="203"/>
        <v>12</v>
      </c>
    </row>
    <row r="1527" spans="1:10" x14ac:dyDescent="0.25">
      <c r="A1527" t="s">
        <v>12</v>
      </c>
      <c r="B1527" t="s">
        <v>277</v>
      </c>
      <c r="C1527">
        <v>40273014</v>
      </c>
      <c r="D1527">
        <v>140</v>
      </c>
      <c r="E1527" s="4">
        <v>-5310822.6100000003</v>
      </c>
      <c r="F1527" t="s">
        <v>82</v>
      </c>
      <c r="G1527">
        <v>0</v>
      </c>
      <c r="H1527" s="32" t="str">
        <f ca="1">+IF(B1527&gt;'sap nuevo'!$V$1,"cargar",IF(C1527="","cargar","pagado"))</f>
        <v>cargar</v>
      </c>
      <c r="I1527" s="32">
        <f t="shared" si="202"/>
        <v>2025</v>
      </c>
      <c r="J1527" s="32">
        <f t="shared" si="203"/>
        <v>12</v>
      </c>
    </row>
    <row r="1528" spans="1:10" x14ac:dyDescent="0.25">
      <c r="A1528" t="s">
        <v>12</v>
      </c>
      <c r="B1528" t="s">
        <v>277</v>
      </c>
      <c r="C1528">
        <v>40273012</v>
      </c>
      <c r="D1528">
        <v>140</v>
      </c>
      <c r="E1528" s="4">
        <v>-5000000</v>
      </c>
      <c r="F1528" t="s">
        <v>82</v>
      </c>
      <c r="G1528">
        <v>0</v>
      </c>
      <c r="H1528" s="32" t="str">
        <f ca="1">+IF(B1528&gt;'sap nuevo'!$V$1,"cargar",IF(C1528="","cargar","pagado"))</f>
        <v>cargar</v>
      </c>
      <c r="I1528" s="32">
        <f t="shared" si="202"/>
        <v>2025</v>
      </c>
      <c r="J1528" s="32">
        <f t="shared" si="203"/>
        <v>12</v>
      </c>
    </row>
    <row r="1529" spans="1:10" x14ac:dyDescent="0.25">
      <c r="A1529" t="s">
        <v>21</v>
      </c>
      <c r="B1529" t="s">
        <v>277</v>
      </c>
      <c r="C1529">
        <v>91002704</v>
      </c>
      <c r="D1529">
        <v>140</v>
      </c>
      <c r="E1529" s="4">
        <v>-2116507.79</v>
      </c>
      <c r="F1529" t="s">
        <v>80</v>
      </c>
      <c r="G1529">
        <v>0</v>
      </c>
      <c r="H1529" s="32" t="str">
        <f ca="1">+IF(B1529&gt;'sap nuevo'!$V$1,"cargar",IF(C1529="","cargar","pagado"))</f>
        <v>cargar</v>
      </c>
      <c r="I1529" s="32">
        <f t="shared" si="202"/>
        <v>2025</v>
      </c>
      <c r="J1529" s="32">
        <f t="shared" si="203"/>
        <v>12</v>
      </c>
    </row>
    <row r="1530" spans="1:10" x14ac:dyDescent="0.25">
      <c r="A1530" t="s">
        <v>873</v>
      </c>
      <c r="B1530" t="s">
        <v>276</v>
      </c>
      <c r="C1530">
        <v>2024</v>
      </c>
      <c r="D1530">
        <v>9999</v>
      </c>
      <c r="E1530" s="4">
        <v>-7577609.0999999996</v>
      </c>
      <c r="F1530" t="s">
        <v>1686</v>
      </c>
      <c r="G1530">
        <v>3520</v>
      </c>
      <c r="H1530" s="32" t="str">
        <f ca="1">+IF(B1530&gt;'sap nuevo'!$V$1,"cargar",IF(C1530="","cargar","pagado"))</f>
        <v>cargar</v>
      </c>
      <c r="I1530" s="32">
        <f t="shared" si="202"/>
        <v>2025</v>
      </c>
      <c r="J1530" s="32">
        <f t="shared" si="203"/>
        <v>12</v>
      </c>
    </row>
    <row r="1531" spans="1:10" x14ac:dyDescent="0.25">
      <c r="A1531" t="s">
        <v>873</v>
      </c>
      <c r="B1531" t="s">
        <v>276</v>
      </c>
      <c r="C1531">
        <v>2023</v>
      </c>
      <c r="D1531">
        <v>9999</v>
      </c>
      <c r="E1531" s="4">
        <v>-7500000</v>
      </c>
      <c r="F1531" t="s">
        <v>1687</v>
      </c>
      <c r="G1531">
        <v>3520</v>
      </c>
      <c r="H1531" s="32" t="str">
        <f ca="1">+IF(B1531&gt;'sap nuevo'!$V$1,"cargar",IF(C1531="","cargar","pagado"))</f>
        <v>cargar</v>
      </c>
      <c r="I1531" s="32">
        <f t="shared" si="202"/>
        <v>2025</v>
      </c>
      <c r="J1531" s="32">
        <f t="shared" si="203"/>
        <v>12</v>
      </c>
    </row>
    <row r="1532" spans="1:10" x14ac:dyDescent="0.25">
      <c r="A1532" t="s">
        <v>873</v>
      </c>
      <c r="B1532" t="s">
        <v>278</v>
      </c>
      <c r="C1532">
        <v>1979</v>
      </c>
      <c r="D1532">
        <v>9999</v>
      </c>
      <c r="E1532" s="4">
        <v>-38039625</v>
      </c>
      <c r="F1532" t="s">
        <v>1688</v>
      </c>
      <c r="G1532">
        <v>3520</v>
      </c>
      <c r="H1532" s="32" t="str">
        <f ca="1">+IF(B1532&gt;'sap nuevo'!$V$1,"cargar",IF(C1532="","cargar","pagado"))</f>
        <v>cargar</v>
      </c>
      <c r="I1532" s="32">
        <f t="shared" si="202"/>
        <v>2025</v>
      </c>
      <c r="J1532" s="32">
        <f t="shared" si="203"/>
        <v>12</v>
      </c>
    </row>
    <row r="1533" spans="1:10" x14ac:dyDescent="0.25">
      <c r="A1533" t="s">
        <v>12</v>
      </c>
      <c r="B1533" t="s">
        <v>278</v>
      </c>
      <c r="C1533">
        <v>91002755</v>
      </c>
      <c r="D1533">
        <v>140</v>
      </c>
      <c r="E1533" s="4">
        <v>-7439002.6200000001</v>
      </c>
      <c r="F1533" t="s">
        <v>82</v>
      </c>
      <c r="G1533">
        <v>0</v>
      </c>
      <c r="H1533" s="32" t="str">
        <f ca="1">+IF(B1533&gt;'sap nuevo'!$V$1,"cargar",IF(C1533="","cargar","pagado"))</f>
        <v>cargar</v>
      </c>
      <c r="I1533" s="32">
        <f t="shared" si="202"/>
        <v>2025</v>
      </c>
      <c r="J1533" s="32">
        <f t="shared" si="203"/>
        <v>12</v>
      </c>
    </row>
    <row r="1534" spans="1:10" x14ac:dyDescent="0.25">
      <c r="A1534" t="s">
        <v>21</v>
      </c>
      <c r="B1534" t="s">
        <v>278</v>
      </c>
      <c r="C1534">
        <v>91002722</v>
      </c>
      <c r="D1534">
        <v>140</v>
      </c>
      <c r="E1534" s="4">
        <v>-2366630</v>
      </c>
      <c r="F1534" t="s">
        <v>80</v>
      </c>
      <c r="G1534">
        <v>0</v>
      </c>
      <c r="H1534" s="32" t="str">
        <f ca="1">+IF(B1534&gt;'sap nuevo'!$V$1,"cargar",IF(C1534="","cargar","pagado"))</f>
        <v>cargar</v>
      </c>
      <c r="I1534" s="32">
        <f t="shared" si="202"/>
        <v>2025</v>
      </c>
      <c r="J1534" s="32">
        <f t="shared" si="203"/>
        <v>12</v>
      </c>
    </row>
    <row r="1535" spans="1:10" x14ac:dyDescent="0.25">
      <c r="A1535" t="s">
        <v>1547</v>
      </c>
      <c r="B1535" t="s">
        <v>1689</v>
      </c>
      <c r="C1535">
        <v>7783</v>
      </c>
      <c r="D1535">
        <v>89</v>
      </c>
      <c r="E1535" s="4">
        <v>1628973.61</v>
      </c>
      <c r="F1535" t="s">
        <v>1690</v>
      </c>
      <c r="G1535">
        <v>6950</v>
      </c>
      <c r="H1535" s="32" t="str">
        <f ca="1">+IF(B1535&gt;'sap nuevo'!$V$1,"cargar",IF(C1535="","cargar","pagado"))</f>
        <v>cargar</v>
      </c>
      <c r="I1535" s="32">
        <f t="shared" si="202"/>
        <v>2025</v>
      </c>
      <c r="J1535" s="32">
        <f t="shared" si="203"/>
        <v>12</v>
      </c>
    </row>
    <row r="1536" spans="1:10" x14ac:dyDescent="0.25">
      <c r="A1536" t="s">
        <v>873</v>
      </c>
      <c r="B1536" t="s">
        <v>1689</v>
      </c>
      <c r="C1536">
        <v>2031</v>
      </c>
      <c r="D1536">
        <v>9999</v>
      </c>
      <c r="E1536" s="4">
        <v>-156310510</v>
      </c>
      <c r="F1536" t="s">
        <v>1691</v>
      </c>
      <c r="G1536">
        <v>3520</v>
      </c>
      <c r="H1536" s="32" t="str">
        <f ca="1">+IF(B1536&gt;'sap nuevo'!$V$1,"cargar",IF(C1536="","cargar","pagado"))</f>
        <v>cargar</v>
      </c>
      <c r="I1536" s="32">
        <f t="shared" si="202"/>
        <v>2025</v>
      </c>
      <c r="J1536" s="32">
        <f t="shared" si="203"/>
        <v>12</v>
      </c>
    </row>
    <row r="1537" spans="1:10" x14ac:dyDescent="0.25">
      <c r="A1537" t="s">
        <v>877</v>
      </c>
      <c r="B1537" t="s">
        <v>279</v>
      </c>
      <c r="C1537">
        <v>2014</v>
      </c>
      <c r="D1537">
        <v>9999</v>
      </c>
      <c r="E1537" s="4">
        <v>-6461513.2000000002</v>
      </c>
      <c r="F1537" t="s">
        <v>1692</v>
      </c>
      <c r="G1537">
        <v>1385</v>
      </c>
      <c r="H1537" s="32" t="str">
        <f ca="1">+IF(B1537&gt;'sap nuevo'!$V$1,"cargar",IF(C1537="","cargar","pagado"))</f>
        <v>cargar</v>
      </c>
      <c r="I1537" s="32">
        <f t="shared" si="202"/>
        <v>2025</v>
      </c>
      <c r="J1537" s="32">
        <f t="shared" si="203"/>
        <v>12</v>
      </c>
    </row>
    <row r="1538" spans="1:10" x14ac:dyDescent="0.25">
      <c r="A1538" t="s">
        <v>21</v>
      </c>
      <c r="B1538" t="s">
        <v>1689</v>
      </c>
      <c r="C1538">
        <v>91002768</v>
      </c>
      <c r="D1538">
        <v>140</v>
      </c>
      <c r="E1538" s="4">
        <v>-223718718.72999999</v>
      </c>
      <c r="F1538" t="s">
        <v>80</v>
      </c>
      <c r="G1538">
        <v>0</v>
      </c>
      <c r="H1538" s="32" t="str">
        <f ca="1">+IF(B1538&gt;'sap nuevo'!$V$1,"cargar",IF(C1538="","cargar","pagado"))</f>
        <v>cargar</v>
      </c>
      <c r="I1538" s="32">
        <f t="shared" ref="I1538:I1545" si="204">+YEAR(B1538)</f>
        <v>2025</v>
      </c>
      <c r="J1538" s="32">
        <f t="shared" ref="J1538:J1545" si="205">+MONTH(B1538)</f>
        <v>12</v>
      </c>
    </row>
    <row r="1539" spans="1:10" x14ac:dyDescent="0.25">
      <c r="A1539" t="s">
        <v>21</v>
      </c>
      <c r="B1539" t="s">
        <v>1689</v>
      </c>
      <c r="C1539">
        <v>91002763</v>
      </c>
      <c r="D1539">
        <v>140</v>
      </c>
      <c r="E1539" s="4">
        <v>-36987408.530000001</v>
      </c>
      <c r="F1539" t="s">
        <v>80</v>
      </c>
      <c r="G1539">
        <v>0</v>
      </c>
      <c r="H1539" s="32" t="str">
        <f ca="1">+IF(B1539&gt;'sap nuevo'!$V$1,"cargar",IF(C1539="","cargar","pagado"))</f>
        <v>cargar</v>
      </c>
      <c r="I1539" s="32">
        <f t="shared" si="204"/>
        <v>2025</v>
      </c>
      <c r="J1539" s="32">
        <f t="shared" si="205"/>
        <v>12</v>
      </c>
    </row>
    <row r="1540" spans="1:10" x14ac:dyDescent="0.25">
      <c r="A1540" t="s">
        <v>21</v>
      </c>
      <c r="B1540" t="s">
        <v>1689</v>
      </c>
      <c r="C1540">
        <v>91002761</v>
      </c>
      <c r="D1540">
        <v>140</v>
      </c>
      <c r="E1540" s="4">
        <v>-27173334.66</v>
      </c>
      <c r="F1540" t="s">
        <v>80</v>
      </c>
      <c r="G1540">
        <v>0</v>
      </c>
      <c r="H1540" s="32" t="str">
        <f ca="1">+IF(B1540&gt;'sap nuevo'!$V$1,"cargar",IF(C1540="","cargar","pagado"))</f>
        <v>cargar</v>
      </c>
      <c r="I1540" s="32">
        <f t="shared" si="204"/>
        <v>2025</v>
      </c>
      <c r="J1540" s="32">
        <f t="shared" si="205"/>
        <v>12</v>
      </c>
    </row>
    <row r="1541" spans="1:10" x14ac:dyDescent="0.25">
      <c r="A1541" t="s">
        <v>12</v>
      </c>
      <c r="B1541" t="s">
        <v>1689</v>
      </c>
      <c r="C1541">
        <v>40273008</v>
      </c>
      <c r="D1541">
        <v>140</v>
      </c>
      <c r="E1541" s="4">
        <v>-22000000</v>
      </c>
      <c r="F1541" t="s">
        <v>82</v>
      </c>
      <c r="G1541">
        <v>0</v>
      </c>
      <c r="H1541" s="32" t="str">
        <f ca="1">+IF(B1541&gt;'sap nuevo'!$V$1,"cargar",IF(C1541="","cargar","pagado"))</f>
        <v>cargar</v>
      </c>
      <c r="I1541" s="32">
        <f t="shared" si="204"/>
        <v>2025</v>
      </c>
      <c r="J1541" s="32">
        <f t="shared" si="205"/>
        <v>12</v>
      </c>
    </row>
    <row r="1542" spans="1:10" x14ac:dyDescent="0.25">
      <c r="A1542" t="s">
        <v>21</v>
      </c>
      <c r="B1542" t="s">
        <v>1689</v>
      </c>
      <c r="C1542">
        <v>91002759</v>
      </c>
      <c r="D1542">
        <v>140</v>
      </c>
      <c r="E1542" s="4">
        <v>-14815554.529999999</v>
      </c>
      <c r="F1542" t="s">
        <v>80</v>
      </c>
      <c r="G1542">
        <v>0</v>
      </c>
      <c r="H1542" s="32" t="str">
        <f ca="1">+IF(B1542&gt;'sap nuevo'!$V$1,"cargar",IF(C1542="","cargar","pagado"))</f>
        <v>cargar</v>
      </c>
      <c r="I1542" s="32">
        <f t="shared" si="204"/>
        <v>2025</v>
      </c>
      <c r="J1542" s="32">
        <f t="shared" si="205"/>
        <v>12</v>
      </c>
    </row>
    <row r="1543" spans="1:10" x14ac:dyDescent="0.25">
      <c r="A1543" t="s">
        <v>21</v>
      </c>
      <c r="B1543" t="s">
        <v>1689</v>
      </c>
      <c r="C1543">
        <v>91002767</v>
      </c>
      <c r="D1543">
        <v>140</v>
      </c>
      <c r="E1543" s="4">
        <v>-8748387.8599999994</v>
      </c>
      <c r="F1543" t="s">
        <v>80</v>
      </c>
      <c r="G1543">
        <v>0</v>
      </c>
      <c r="H1543" s="32" t="str">
        <f ca="1">+IF(B1543&gt;'sap nuevo'!$V$1,"cargar",IF(C1543="","cargar","pagado"))</f>
        <v>cargar</v>
      </c>
      <c r="I1543" s="32">
        <f t="shared" si="204"/>
        <v>2025</v>
      </c>
      <c r="J1543" s="32">
        <f t="shared" si="205"/>
        <v>12</v>
      </c>
    </row>
    <row r="1544" spans="1:10" x14ac:dyDescent="0.25">
      <c r="A1544" t="s">
        <v>21</v>
      </c>
      <c r="B1544" t="s">
        <v>1689</v>
      </c>
      <c r="C1544">
        <v>91002762</v>
      </c>
      <c r="D1544">
        <v>140</v>
      </c>
      <c r="E1544" s="4">
        <v>-7400693.4000000004</v>
      </c>
      <c r="F1544" t="s">
        <v>80</v>
      </c>
      <c r="G1544">
        <v>0</v>
      </c>
      <c r="H1544" s="32" t="str">
        <f ca="1">+IF(B1544&gt;'sap nuevo'!$V$1,"cargar",IF(C1544="","cargar","pagado"))</f>
        <v>cargar</v>
      </c>
      <c r="I1544" s="32">
        <f t="shared" si="204"/>
        <v>2025</v>
      </c>
      <c r="J1544" s="32">
        <f t="shared" si="205"/>
        <v>12</v>
      </c>
    </row>
    <row r="1545" spans="1:10" x14ac:dyDescent="0.25">
      <c r="A1545" t="s">
        <v>21</v>
      </c>
      <c r="B1545" t="s">
        <v>1689</v>
      </c>
      <c r="C1545">
        <v>91002769</v>
      </c>
      <c r="D1545">
        <v>140</v>
      </c>
      <c r="E1545" s="4">
        <v>-6478122.3200000003</v>
      </c>
      <c r="F1545" t="s">
        <v>80</v>
      </c>
      <c r="G1545">
        <v>0</v>
      </c>
      <c r="H1545" s="32" t="str">
        <f ca="1">+IF(B1545&gt;'sap nuevo'!$V$1,"cargar",IF(C1545="","cargar","pagado"))</f>
        <v>cargar</v>
      </c>
      <c r="I1545" s="32">
        <f t="shared" si="204"/>
        <v>2025</v>
      </c>
      <c r="J1545" s="32">
        <f t="shared" si="205"/>
        <v>12</v>
      </c>
    </row>
    <row r="1546" spans="1:10" x14ac:dyDescent="0.25">
      <c r="A1546" t="s">
        <v>21</v>
      </c>
      <c r="B1546" t="s">
        <v>279</v>
      </c>
      <c r="C1546">
        <v>91002764</v>
      </c>
      <c r="D1546">
        <v>140</v>
      </c>
      <c r="E1546" s="4">
        <v>-13268383.810000001</v>
      </c>
      <c r="F1546" t="s">
        <v>80</v>
      </c>
      <c r="G1546">
        <v>0</v>
      </c>
      <c r="H1546" s="32" t="str">
        <f ca="1">+IF(B1546&gt;'sap nuevo'!$V$1,"cargar",IF(C1546="","cargar","pagado"))</f>
        <v>cargar</v>
      </c>
      <c r="I1546" s="32">
        <f t="shared" ref="I1546:I1561" si="206">+YEAR(B1546)</f>
        <v>2025</v>
      </c>
      <c r="J1546" s="32">
        <f t="shared" ref="J1546:J1561" si="207">+MONTH(B1546)</f>
        <v>12</v>
      </c>
    </row>
    <row r="1547" spans="1:10" x14ac:dyDescent="0.25">
      <c r="A1547" t="s">
        <v>21</v>
      </c>
      <c r="B1547" t="s">
        <v>279</v>
      </c>
      <c r="C1547">
        <v>91002765</v>
      </c>
      <c r="D1547">
        <v>140</v>
      </c>
      <c r="E1547" s="4">
        <v>-12145106.65</v>
      </c>
      <c r="F1547" t="s">
        <v>80</v>
      </c>
      <c r="G1547">
        <v>0</v>
      </c>
      <c r="H1547" s="32" t="str">
        <f ca="1">+IF(B1547&gt;'sap nuevo'!$V$1,"cargar",IF(C1547="","cargar","pagado"))</f>
        <v>cargar</v>
      </c>
      <c r="I1547" s="32">
        <f t="shared" si="206"/>
        <v>2025</v>
      </c>
      <c r="J1547" s="32">
        <f t="shared" si="207"/>
        <v>12</v>
      </c>
    </row>
    <row r="1548" spans="1:10" x14ac:dyDescent="0.25">
      <c r="A1548" t="s">
        <v>12</v>
      </c>
      <c r="B1548" t="s">
        <v>279</v>
      </c>
      <c r="C1548">
        <v>91002766</v>
      </c>
      <c r="D1548">
        <v>140</v>
      </c>
      <c r="E1548" s="4">
        <v>-10585510.08</v>
      </c>
      <c r="F1548" t="s">
        <v>82</v>
      </c>
      <c r="G1548">
        <v>0</v>
      </c>
      <c r="H1548" s="32" t="str">
        <f ca="1">+IF(B1548&gt;'sap nuevo'!$V$1,"cargar",IF(C1548="","cargar","pagado"))</f>
        <v>cargar</v>
      </c>
      <c r="I1548" s="32">
        <f t="shared" si="206"/>
        <v>2025</v>
      </c>
      <c r="J1548" s="32">
        <f t="shared" si="207"/>
        <v>12</v>
      </c>
    </row>
    <row r="1549" spans="1:10" x14ac:dyDescent="0.25">
      <c r="A1549" t="s">
        <v>877</v>
      </c>
      <c r="B1549" t="s">
        <v>280</v>
      </c>
      <c r="C1549">
        <v>2033</v>
      </c>
      <c r="D1549">
        <v>9999</v>
      </c>
      <c r="E1549" s="4">
        <v>-14691201.279999999</v>
      </c>
      <c r="F1549" t="s">
        <v>1693</v>
      </c>
      <c r="G1549">
        <v>1385</v>
      </c>
      <c r="H1549" s="32" t="str">
        <f ca="1">+IF(B1549&gt;'sap nuevo'!$V$1,"cargar",IF(C1549="","cargar","pagado"))</f>
        <v>cargar</v>
      </c>
      <c r="I1549" s="32">
        <f t="shared" si="206"/>
        <v>2026</v>
      </c>
      <c r="J1549" s="32">
        <f t="shared" si="207"/>
        <v>1</v>
      </c>
    </row>
    <row r="1550" spans="1:10" x14ac:dyDescent="0.25">
      <c r="A1550" t="s">
        <v>877</v>
      </c>
      <c r="B1550" t="s">
        <v>280</v>
      </c>
      <c r="C1550">
        <v>2032</v>
      </c>
      <c r="D1550">
        <v>9999</v>
      </c>
      <c r="E1550" s="4">
        <v>-14686396.1</v>
      </c>
      <c r="F1550" t="s">
        <v>1694</v>
      </c>
      <c r="G1550">
        <v>1385</v>
      </c>
      <c r="H1550" s="32" t="str">
        <f ca="1">+IF(B1550&gt;'sap nuevo'!$V$1,"cargar",IF(C1550="","cargar","pagado"))</f>
        <v>cargar</v>
      </c>
      <c r="I1550" s="32">
        <f t="shared" si="206"/>
        <v>2026</v>
      </c>
      <c r="J1550" s="32">
        <f t="shared" si="207"/>
        <v>1</v>
      </c>
    </row>
    <row r="1551" spans="1:10" x14ac:dyDescent="0.25">
      <c r="A1551" t="s">
        <v>21</v>
      </c>
      <c r="B1551" t="s">
        <v>279</v>
      </c>
      <c r="C1551">
        <v>91002764</v>
      </c>
      <c r="D1551">
        <v>140</v>
      </c>
      <c r="E1551" s="4">
        <v>-13268383.810000001</v>
      </c>
      <c r="F1551" t="s">
        <v>80</v>
      </c>
      <c r="G1551">
        <v>0</v>
      </c>
      <c r="H1551" s="32" t="str">
        <f ca="1">+IF(B1551&gt;'sap nuevo'!$V$1,"cargar",IF(C1551="","cargar","pagado"))</f>
        <v>cargar</v>
      </c>
      <c r="I1551" s="32">
        <f t="shared" si="206"/>
        <v>2025</v>
      </c>
      <c r="J1551" s="32">
        <f t="shared" si="207"/>
        <v>12</v>
      </c>
    </row>
    <row r="1552" spans="1:10" x14ac:dyDescent="0.25">
      <c r="A1552" t="s">
        <v>21</v>
      </c>
      <c r="B1552" t="s">
        <v>279</v>
      </c>
      <c r="C1552">
        <v>91002765</v>
      </c>
      <c r="D1552">
        <v>140</v>
      </c>
      <c r="E1552" s="4">
        <v>-12145106.65</v>
      </c>
      <c r="F1552" t="s">
        <v>80</v>
      </c>
      <c r="G1552">
        <v>0</v>
      </c>
      <c r="H1552" s="32" t="str">
        <f ca="1">+IF(B1552&gt;'sap nuevo'!$V$1,"cargar",IF(C1552="","cargar","pagado"))</f>
        <v>cargar</v>
      </c>
      <c r="I1552" s="32">
        <f t="shared" si="206"/>
        <v>2025</v>
      </c>
      <c r="J1552" s="32">
        <f t="shared" si="207"/>
        <v>12</v>
      </c>
    </row>
    <row r="1553" spans="1:10" x14ac:dyDescent="0.25">
      <c r="A1553" t="s">
        <v>12</v>
      </c>
      <c r="B1553" t="s">
        <v>279</v>
      </c>
      <c r="C1553">
        <v>91002766</v>
      </c>
      <c r="D1553">
        <v>140</v>
      </c>
      <c r="E1553" s="4">
        <v>-10585510.08</v>
      </c>
      <c r="F1553" t="s">
        <v>82</v>
      </c>
      <c r="G1553">
        <v>0</v>
      </c>
      <c r="H1553" s="32" t="str">
        <f ca="1">+IF(B1553&gt;'sap nuevo'!$V$1,"cargar",IF(C1553="","cargar","pagado"))</f>
        <v>cargar</v>
      </c>
      <c r="I1553" s="32">
        <f t="shared" si="206"/>
        <v>2025</v>
      </c>
      <c r="J1553" s="32">
        <f t="shared" si="207"/>
        <v>12</v>
      </c>
    </row>
    <row r="1554" spans="1:10" x14ac:dyDescent="0.25">
      <c r="A1554" t="s">
        <v>21</v>
      </c>
      <c r="B1554" t="s">
        <v>280</v>
      </c>
      <c r="C1554">
        <v>91002757</v>
      </c>
      <c r="D1554">
        <v>140</v>
      </c>
      <c r="E1554" s="4">
        <v>-4233015.58</v>
      </c>
      <c r="F1554" t="s">
        <v>80</v>
      </c>
      <c r="G1554">
        <v>0</v>
      </c>
      <c r="H1554" s="32" t="str">
        <f ca="1">+IF(B1554&gt;'sap nuevo'!$V$1,"cargar",IF(C1554="","cargar","pagado"))</f>
        <v>cargar</v>
      </c>
      <c r="I1554" s="32">
        <f t="shared" si="206"/>
        <v>2026</v>
      </c>
      <c r="J1554" s="32">
        <f t="shared" si="207"/>
        <v>1</v>
      </c>
    </row>
    <row r="1555" spans="1:10" x14ac:dyDescent="0.25">
      <c r="A1555" t="s">
        <v>873</v>
      </c>
      <c r="B1555" t="s">
        <v>281</v>
      </c>
      <c r="C1555">
        <v>2040</v>
      </c>
      <c r="D1555">
        <v>9999</v>
      </c>
      <c r="E1555" s="4">
        <v>-26765484.539999999</v>
      </c>
      <c r="F1555" t="s">
        <v>1695</v>
      </c>
      <c r="G1555">
        <v>3520</v>
      </c>
      <c r="H1555" s="32" t="str">
        <f ca="1">+IF(B1555&gt;'sap nuevo'!$V$1,"cargar",IF(C1555="","cargar","pagado"))</f>
        <v>cargar</v>
      </c>
      <c r="I1555" s="32">
        <f t="shared" si="206"/>
        <v>2026</v>
      </c>
      <c r="J1555" s="32">
        <f t="shared" si="207"/>
        <v>1</v>
      </c>
    </row>
    <row r="1556" spans="1:10" x14ac:dyDescent="0.25">
      <c r="A1556" t="s">
        <v>873</v>
      </c>
      <c r="B1556" t="s">
        <v>281</v>
      </c>
      <c r="C1556">
        <v>2039</v>
      </c>
      <c r="D1556">
        <v>9999</v>
      </c>
      <c r="E1556" s="4">
        <v>-21546048.16</v>
      </c>
      <c r="F1556" t="s">
        <v>1696</v>
      </c>
      <c r="G1556">
        <v>3520</v>
      </c>
      <c r="H1556" s="32" t="str">
        <f ca="1">+IF(B1556&gt;'sap nuevo'!$V$1,"cargar",IF(C1556="","cargar","pagado"))</f>
        <v>cargar</v>
      </c>
      <c r="I1556" s="32">
        <f t="shared" si="206"/>
        <v>2026</v>
      </c>
      <c r="J1556" s="32">
        <f t="shared" si="207"/>
        <v>1</v>
      </c>
    </row>
    <row r="1557" spans="1:10" x14ac:dyDescent="0.25">
      <c r="A1557" t="s">
        <v>873</v>
      </c>
      <c r="B1557" t="s">
        <v>281</v>
      </c>
      <c r="C1557">
        <v>2026</v>
      </c>
      <c r="D1557">
        <v>9999</v>
      </c>
      <c r="E1557" s="4">
        <v>-15238103.4</v>
      </c>
      <c r="F1557" t="s">
        <v>1697</v>
      </c>
      <c r="G1557">
        <v>3520</v>
      </c>
      <c r="H1557" s="32" t="str">
        <f ca="1">+IF(B1557&gt;'sap nuevo'!$V$1,"cargar",IF(C1557="","cargar","pagado"))</f>
        <v>cargar</v>
      </c>
      <c r="I1557" s="32">
        <f t="shared" si="206"/>
        <v>2026</v>
      </c>
      <c r="J1557" s="32">
        <f t="shared" si="207"/>
        <v>1</v>
      </c>
    </row>
    <row r="1558" spans="1:10" x14ac:dyDescent="0.25">
      <c r="A1558" t="s">
        <v>877</v>
      </c>
      <c r="B1558" t="s">
        <v>281</v>
      </c>
      <c r="C1558">
        <v>2041</v>
      </c>
      <c r="D1558">
        <v>9999</v>
      </c>
      <c r="E1558" s="4">
        <v>-10513790.060000001</v>
      </c>
      <c r="F1558" t="s">
        <v>1698</v>
      </c>
      <c r="G1558">
        <v>1385</v>
      </c>
      <c r="H1558" s="32" t="str">
        <f ca="1">+IF(B1558&gt;'sap nuevo'!$V$1,"cargar",IF(C1558="","cargar","pagado"))</f>
        <v>cargar</v>
      </c>
      <c r="I1558" s="32">
        <f t="shared" si="206"/>
        <v>2026</v>
      </c>
      <c r="J1558" s="32">
        <f t="shared" si="207"/>
        <v>1</v>
      </c>
    </row>
    <row r="1559" spans="1:10" x14ac:dyDescent="0.25">
      <c r="A1559" t="s">
        <v>877</v>
      </c>
      <c r="B1559" t="s">
        <v>281</v>
      </c>
      <c r="C1559">
        <v>2036</v>
      </c>
      <c r="D1559">
        <v>9999</v>
      </c>
      <c r="E1559" s="4">
        <v>-8847001.4299999997</v>
      </c>
      <c r="F1559" t="s">
        <v>1699</v>
      </c>
      <c r="G1559">
        <v>1385</v>
      </c>
      <c r="H1559" s="32" t="str">
        <f ca="1">+IF(B1559&gt;'sap nuevo'!$V$1,"cargar",IF(C1559="","cargar","pagado"))</f>
        <v>cargar</v>
      </c>
      <c r="I1559" s="32">
        <f t="shared" si="206"/>
        <v>2026</v>
      </c>
      <c r="J1559" s="32">
        <f t="shared" si="207"/>
        <v>1</v>
      </c>
    </row>
    <row r="1560" spans="1:10" x14ac:dyDescent="0.25">
      <c r="A1560" t="s">
        <v>877</v>
      </c>
      <c r="B1560" t="s">
        <v>281</v>
      </c>
      <c r="C1560">
        <v>2037</v>
      </c>
      <c r="D1560">
        <v>9999</v>
      </c>
      <c r="E1560" s="4">
        <v>-6645510.5700000003</v>
      </c>
      <c r="F1560" t="s">
        <v>1700</v>
      </c>
      <c r="G1560">
        <v>1385</v>
      </c>
      <c r="H1560" s="32" t="str">
        <f ca="1">+IF(B1560&gt;'sap nuevo'!$V$1,"cargar",IF(C1560="","cargar","pagado"))</f>
        <v>cargar</v>
      </c>
      <c r="I1560" s="32">
        <f t="shared" si="206"/>
        <v>2026</v>
      </c>
      <c r="J1560" s="32">
        <f t="shared" si="207"/>
        <v>1</v>
      </c>
    </row>
    <row r="1561" spans="1:10" x14ac:dyDescent="0.25">
      <c r="A1561" t="s">
        <v>877</v>
      </c>
      <c r="B1561" t="s">
        <v>281</v>
      </c>
      <c r="C1561">
        <v>2034</v>
      </c>
      <c r="D1561">
        <v>9999</v>
      </c>
      <c r="E1561" s="4">
        <v>-3050226.7</v>
      </c>
      <c r="F1561" t="s">
        <v>1701</v>
      </c>
      <c r="G1561">
        <v>1385</v>
      </c>
      <c r="H1561" s="32" t="str">
        <f ca="1">+IF(B1561&gt;'sap nuevo'!$V$1,"cargar",IF(C1561="","cargar","pagado"))</f>
        <v>cargar</v>
      </c>
      <c r="I1561" s="32">
        <f t="shared" si="206"/>
        <v>2026</v>
      </c>
      <c r="J1561" s="32">
        <f t="shared" si="207"/>
        <v>1</v>
      </c>
    </row>
    <row r="1562" spans="1:10" x14ac:dyDescent="0.25">
      <c r="A1562" t="s">
        <v>877</v>
      </c>
      <c r="B1562" t="s">
        <v>282</v>
      </c>
      <c r="C1562">
        <v>2017</v>
      </c>
      <c r="D1562">
        <v>9999</v>
      </c>
      <c r="E1562" s="4">
        <v>-17057605</v>
      </c>
      <c r="F1562" t="s">
        <v>1702</v>
      </c>
      <c r="G1562">
        <v>1385</v>
      </c>
      <c r="H1562" s="32" t="str">
        <f ca="1">+IF(B1562&gt;'sap nuevo'!$V$1,"cargar",IF(C1562="","cargar","pagado"))</f>
        <v>cargar</v>
      </c>
      <c r="I1562" s="32">
        <f t="shared" ref="I1562:I1577" si="208">+YEAR(B1562)</f>
        <v>2026</v>
      </c>
      <c r="J1562" s="32">
        <f t="shared" ref="J1562:J1577" si="209">+MONTH(B1562)</f>
        <v>1</v>
      </c>
    </row>
    <row r="1563" spans="1:10" x14ac:dyDescent="0.25">
      <c r="A1563" t="s">
        <v>21</v>
      </c>
      <c r="B1563" t="s">
        <v>281</v>
      </c>
      <c r="C1563">
        <v>40273015</v>
      </c>
      <c r="D1563">
        <v>140</v>
      </c>
      <c r="E1563" s="4">
        <v>-3000000</v>
      </c>
      <c r="F1563" t="s">
        <v>80</v>
      </c>
      <c r="G1563">
        <v>0</v>
      </c>
      <c r="H1563" s="32" t="str">
        <f ca="1">+IF(B1563&gt;'sap nuevo'!$V$1,"cargar",IF(C1563="","cargar","pagado"))</f>
        <v>cargar</v>
      </c>
      <c r="I1563" s="32">
        <f t="shared" si="208"/>
        <v>2026</v>
      </c>
      <c r="J1563" s="32">
        <f t="shared" si="209"/>
        <v>1</v>
      </c>
    </row>
    <row r="1564" spans="1:10" x14ac:dyDescent="0.25">
      <c r="A1564" t="s">
        <v>21</v>
      </c>
      <c r="B1564" t="s">
        <v>282</v>
      </c>
      <c r="C1564">
        <v>91002760</v>
      </c>
      <c r="D1564">
        <v>140</v>
      </c>
      <c r="E1564" s="4">
        <v>-8239407.4000000004</v>
      </c>
      <c r="F1564" t="s">
        <v>80</v>
      </c>
      <c r="G1564">
        <v>0</v>
      </c>
      <c r="H1564" s="32" t="str">
        <f ca="1">+IF(B1564&gt;'sap nuevo'!$V$1,"cargar",IF(C1564="","cargar","pagado"))</f>
        <v>cargar</v>
      </c>
      <c r="I1564" s="32">
        <f t="shared" si="208"/>
        <v>2026</v>
      </c>
      <c r="J1564" s="32">
        <f t="shared" si="209"/>
        <v>1</v>
      </c>
    </row>
    <row r="1565" spans="1:10" x14ac:dyDescent="0.25">
      <c r="A1565" t="s">
        <v>21</v>
      </c>
      <c r="B1565" t="s">
        <v>1703</v>
      </c>
      <c r="C1565">
        <v>91002724</v>
      </c>
      <c r="D1565">
        <v>140</v>
      </c>
      <c r="E1565" s="4">
        <v>-3862482.91</v>
      </c>
      <c r="F1565" t="s">
        <v>80</v>
      </c>
      <c r="G1565">
        <v>0</v>
      </c>
      <c r="H1565" s="32" t="str">
        <f ca="1">+IF(B1565&gt;'sap nuevo'!$V$1,"cargar",IF(C1565="","cargar","pagado"))</f>
        <v>cargar</v>
      </c>
      <c r="I1565" s="32">
        <f t="shared" si="208"/>
        <v>2026</v>
      </c>
      <c r="J1565" s="32">
        <f t="shared" si="209"/>
        <v>1</v>
      </c>
    </row>
    <row r="1566" spans="1:10" x14ac:dyDescent="0.25">
      <c r="A1566" t="s">
        <v>12</v>
      </c>
      <c r="B1566" t="s">
        <v>283</v>
      </c>
      <c r="C1566">
        <v>91002774</v>
      </c>
      <c r="D1566">
        <v>140</v>
      </c>
      <c r="E1566" s="4">
        <v>-25000000</v>
      </c>
      <c r="F1566" t="s">
        <v>82</v>
      </c>
      <c r="G1566">
        <v>0</v>
      </c>
      <c r="H1566" s="32" t="str">
        <f ca="1">+IF(B1566&gt;'sap nuevo'!$V$1,"cargar",IF(C1566="","cargar","pagado"))</f>
        <v>cargar</v>
      </c>
      <c r="I1566" s="32">
        <f t="shared" si="208"/>
        <v>2026</v>
      </c>
      <c r="J1566" s="32">
        <f t="shared" si="209"/>
        <v>1</v>
      </c>
    </row>
    <row r="1567" spans="1:10" x14ac:dyDescent="0.25">
      <c r="A1567" t="s">
        <v>12</v>
      </c>
      <c r="B1567" t="s">
        <v>283</v>
      </c>
      <c r="C1567">
        <v>91002775</v>
      </c>
      <c r="D1567">
        <v>140</v>
      </c>
      <c r="E1567" s="4">
        <v>-21105938.68</v>
      </c>
      <c r="F1567" t="s">
        <v>82</v>
      </c>
      <c r="G1567">
        <v>0</v>
      </c>
      <c r="H1567" s="32" t="str">
        <f ca="1">+IF(B1567&gt;'sap nuevo'!$V$1,"cargar",IF(C1567="","cargar","pagado"))</f>
        <v>cargar</v>
      </c>
      <c r="I1567" s="32">
        <f t="shared" si="208"/>
        <v>2026</v>
      </c>
      <c r="J1567" s="32">
        <f t="shared" si="209"/>
        <v>1</v>
      </c>
    </row>
    <row r="1568" spans="1:10" x14ac:dyDescent="0.25">
      <c r="A1568" t="s">
        <v>21</v>
      </c>
      <c r="B1568" t="s">
        <v>283</v>
      </c>
      <c r="C1568">
        <v>91002773</v>
      </c>
      <c r="D1568">
        <v>140</v>
      </c>
      <c r="E1568" s="4">
        <v>-17081371.809999999</v>
      </c>
      <c r="F1568" t="s">
        <v>80</v>
      </c>
      <c r="G1568">
        <v>0</v>
      </c>
      <c r="H1568" s="32" t="str">
        <f ca="1">+IF(B1568&gt;'sap nuevo'!$V$1,"cargar",IF(C1568="","cargar","pagado"))</f>
        <v>cargar</v>
      </c>
      <c r="I1568" s="32">
        <f t="shared" si="208"/>
        <v>2026</v>
      </c>
      <c r="J1568" s="32">
        <f t="shared" si="209"/>
        <v>1</v>
      </c>
    </row>
    <row r="1569" spans="1:10" x14ac:dyDescent="0.25">
      <c r="A1569" t="s">
        <v>21</v>
      </c>
      <c r="B1569" t="s">
        <v>283</v>
      </c>
      <c r="C1569">
        <v>91002776</v>
      </c>
      <c r="D1569">
        <v>140</v>
      </c>
      <c r="E1569" s="4">
        <v>-12282235.4</v>
      </c>
      <c r="F1569" t="s">
        <v>80</v>
      </c>
      <c r="G1569">
        <v>0</v>
      </c>
      <c r="H1569" s="32" t="str">
        <f ca="1">+IF(B1569&gt;'sap nuevo'!$V$1,"cargar",IF(C1569="","cargar","pagado"))</f>
        <v>cargar</v>
      </c>
      <c r="I1569" s="32">
        <f t="shared" si="208"/>
        <v>2026</v>
      </c>
      <c r="J1569" s="32">
        <f t="shared" si="209"/>
        <v>1</v>
      </c>
    </row>
    <row r="1570" spans="1:10" x14ac:dyDescent="0.25">
      <c r="A1570" t="s">
        <v>21</v>
      </c>
      <c r="B1570" t="s">
        <v>283</v>
      </c>
      <c r="C1570">
        <v>91002772</v>
      </c>
      <c r="D1570">
        <v>140</v>
      </c>
      <c r="E1570" s="4">
        <v>-9203943.4000000004</v>
      </c>
      <c r="F1570" t="s">
        <v>80</v>
      </c>
      <c r="G1570">
        <v>0</v>
      </c>
      <c r="H1570" s="32" t="str">
        <f ca="1">+IF(B1570&gt;'sap nuevo'!$V$1,"cargar",IF(C1570="","cargar","pagado"))</f>
        <v>cargar</v>
      </c>
      <c r="I1570" s="32">
        <f t="shared" si="208"/>
        <v>2026</v>
      </c>
      <c r="J1570" s="32">
        <f t="shared" si="209"/>
        <v>1</v>
      </c>
    </row>
    <row r="1571" spans="1:10" x14ac:dyDescent="0.25">
      <c r="A1571" t="s">
        <v>21</v>
      </c>
      <c r="B1571" t="s">
        <v>283</v>
      </c>
      <c r="C1571">
        <v>91002778</v>
      </c>
      <c r="D1571">
        <v>140</v>
      </c>
      <c r="E1571" s="4">
        <v>-8065794.2999999998</v>
      </c>
      <c r="F1571" t="s">
        <v>80</v>
      </c>
      <c r="G1571">
        <v>0</v>
      </c>
      <c r="H1571" s="32" t="str">
        <f ca="1">+IF(B1571&gt;'sap nuevo'!$V$1,"cargar",IF(C1571="","cargar","pagado"))</f>
        <v>cargar</v>
      </c>
      <c r="I1571" s="32">
        <f t="shared" si="208"/>
        <v>2026</v>
      </c>
      <c r="J1571" s="32">
        <f t="shared" si="209"/>
        <v>1</v>
      </c>
    </row>
    <row r="1572" spans="1:10" x14ac:dyDescent="0.25">
      <c r="A1572" t="s">
        <v>21</v>
      </c>
      <c r="B1572" t="s">
        <v>283</v>
      </c>
      <c r="C1572">
        <v>91002770</v>
      </c>
      <c r="D1572">
        <v>140</v>
      </c>
      <c r="E1572" s="4">
        <v>-7822194.8099999996</v>
      </c>
      <c r="F1572" t="s">
        <v>80</v>
      </c>
      <c r="G1572">
        <v>0</v>
      </c>
      <c r="H1572" s="32" t="str">
        <f ca="1">+IF(B1572&gt;'sap nuevo'!$V$1,"cargar",IF(C1572="","cargar","pagado"))</f>
        <v>cargar</v>
      </c>
      <c r="I1572" s="32">
        <f t="shared" si="208"/>
        <v>2026</v>
      </c>
      <c r="J1572" s="32">
        <f t="shared" si="209"/>
        <v>1</v>
      </c>
    </row>
    <row r="1573" spans="1:10" x14ac:dyDescent="0.25">
      <c r="A1573" t="s">
        <v>21</v>
      </c>
      <c r="B1573" t="s">
        <v>283</v>
      </c>
      <c r="C1573">
        <v>91002777</v>
      </c>
      <c r="D1573">
        <v>140</v>
      </c>
      <c r="E1573" s="4">
        <v>-5790385.9000000004</v>
      </c>
      <c r="F1573" t="s">
        <v>80</v>
      </c>
      <c r="G1573">
        <v>0</v>
      </c>
      <c r="H1573" s="32" t="str">
        <f ca="1">+IF(B1573&gt;'sap nuevo'!$V$1,"cargar",IF(C1573="","cargar","pagado"))</f>
        <v>cargar</v>
      </c>
      <c r="I1573" s="32">
        <f t="shared" si="208"/>
        <v>2026</v>
      </c>
      <c r="J1573" s="32">
        <f t="shared" si="209"/>
        <v>1</v>
      </c>
    </row>
    <row r="1574" spans="1:10" x14ac:dyDescent="0.25">
      <c r="A1574" t="s">
        <v>21</v>
      </c>
      <c r="B1574" t="s">
        <v>283</v>
      </c>
      <c r="C1574">
        <v>91002779</v>
      </c>
      <c r="D1574">
        <v>140</v>
      </c>
      <c r="E1574" s="4">
        <v>-4356152.75</v>
      </c>
      <c r="F1574" t="s">
        <v>80</v>
      </c>
      <c r="G1574">
        <v>0</v>
      </c>
      <c r="H1574" s="32" t="str">
        <f ca="1">+IF(B1574&gt;'sap nuevo'!$V$1,"cargar",IF(C1574="","cargar","pagado"))</f>
        <v>cargar</v>
      </c>
      <c r="I1574" s="32">
        <f t="shared" si="208"/>
        <v>2026</v>
      </c>
      <c r="J1574" s="32">
        <f t="shared" si="209"/>
        <v>1</v>
      </c>
    </row>
    <row r="1575" spans="1:10" x14ac:dyDescent="0.25">
      <c r="A1575" t="s">
        <v>12</v>
      </c>
      <c r="B1575" t="s">
        <v>283</v>
      </c>
      <c r="C1575">
        <v>91002771</v>
      </c>
      <c r="D1575">
        <v>140</v>
      </c>
      <c r="E1575" s="4">
        <v>-4267925.32</v>
      </c>
      <c r="F1575" t="s">
        <v>82</v>
      </c>
      <c r="G1575">
        <v>0</v>
      </c>
      <c r="H1575" s="32" t="str">
        <f ca="1">+IF(B1575&gt;'sap nuevo'!$V$1,"cargar",IF(C1575="","cargar","pagado"))</f>
        <v>cargar</v>
      </c>
      <c r="I1575" s="32">
        <f t="shared" si="208"/>
        <v>2026</v>
      </c>
      <c r="J1575" s="32">
        <f t="shared" si="209"/>
        <v>1</v>
      </c>
    </row>
    <row r="1576" spans="1:10" x14ac:dyDescent="0.25">
      <c r="A1576" t="s">
        <v>21</v>
      </c>
      <c r="B1576" t="s">
        <v>284</v>
      </c>
      <c r="C1576">
        <v>91002780</v>
      </c>
      <c r="D1576">
        <v>140</v>
      </c>
      <c r="E1576" s="4">
        <v>-27643314.600000001</v>
      </c>
      <c r="F1576" t="s">
        <v>80</v>
      </c>
      <c r="G1576">
        <v>0</v>
      </c>
      <c r="H1576" s="32" t="str">
        <f ca="1">+IF(B1576&gt;'sap nuevo'!$V$1,"cargar",IF(C1576="","cargar","pagado"))</f>
        <v>cargar</v>
      </c>
      <c r="I1576" s="32">
        <f t="shared" si="208"/>
        <v>2026</v>
      </c>
      <c r="J1576" s="32">
        <f t="shared" si="209"/>
        <v>1</v>
      </c>
    </row>
    <row r="1577" spans="1:10" x14ac:dyDescent="0.25">
      <c r="A1577" t="s">
        <v>21</v>
      </c>
      <c r="B1577" t="s">
        <v>1704</v>
      </c>
      <c r="C1577">
        <v>91002784</v>
      </c>
      <c r="D1577">
        <v>140</v>
      </c>
      <c r="E1577" s="4">
        <v>-180000000</v>
      </c>
      <c r="F1577" t="s">
        <v>80</v>
      </c>
      <c r="G1577">
        <v>0</v>
      </c>
      <c r="H1577" s="32" t="str">
        <f ca="1">+IF(B1577&gt;'sap nuevo'!$V$1,"cargar",IF(C1577="","cargar","pagado"))</f>
        <v>cargar</v>
      </c>
      <c r="I1577" s="32">
        <f t="shared" si="208"/>
        <v>2026</v>
      </c>
      <c r="J1577" s="32">
        <f t="shared" si="209"/>
        <v>1</v>
      </c>
    </row>
    <row r="1578" spans="1:10" x14ac:dyDescent="0.25">
      <c r="A1578" t="s">
        <v>21</v>
      </c>
      <c r="B1578" t="s">
        <v>1704</v>
      </c>
      <c r="C1578">
        <v>91002788</v>
      </c>
      <c r="D1578">
        <v>140</v>
      </c>
      <c r="E1578" s="4">
        <v>-15000000</v>
      </c>
      <c r="F1578" t="s">
        <v>80</v>
      </c>
      <c r="G1578">
        <v>0</v>
      </c>
      <c r="H1578" s="32" t="str">
        <f ca="1">+IF(B1578&gt;'sap nuevo'!$V$1,"cargar",IF(C1578="","cargar","pagado"))</f>
        <v>cargar</v>
      </c>
      <c r="I1578" s="32">
        <f t="shared" ref="I1578:I1579" si="210">+YEAR(B1578)</f>
        <v>2026</v>
      </c>
      <c r="J1578" s="32">
        <f t="shared" ref="J1578:J1579" si="211">+MONTH(B1578)</f>
        <v>1</v>
      </c>
    </row>
    <row r="1579" spans="1:10" x14ac:dyDescent="0.25">
      <c r="A1579" t="s">
        <v>21</v>
      </c>
      <c r="B1579" t="s">
        <v>1704</v>
      </c>
      <c r="C1579">
        <v>91002781</v>
      </c>
      <c r="D1579">
        <v>140</v>
      </c>
      <c r="E1579" s="4">
        <v>-7984587.8899999997</v>
      </c>
      <c r="F1579" t="s">
        <v>80</v>
      </c>
      <c r="G1579">
        <v>0</v>
      </c>
      <c r="H1579" s="32" t="str">
        <f ca="1">+IF(B1579&gt;'sap nuevo'!$V$1,"cargar",IF(C1579="","cargar","pagado"))</f>
        <v>cargar</v>
      </c>
      <c r="I1579" s="32">
        <f t="shared" si="210"/>
        <v>2026</v>
      </c>
      <c r="J1579" s="32">
        <f t="shared" si="211"/>
        <v>1</v>
      </c>
    </row>
    <row r="1580" spans="1:10" x14ac:dyDescent="0.25">
      <c r="A1580" t="s">
        <v>21</v>
      </c>
      <c r="B1580" t="s">
        <v>285</v>
      </c>
      <c r="C1580">
        <v>91002785</v>
      </c>
      <c r="D1580">
        <v>140</v>
      </c>
      <c r="E1580" s="4">
        <v>-30000000</v>
      </c>
      <c r="F1580" t="s">
        <v>80</v>
      </c>
      <c r="G1580">
        <v>0</v>
      </c>
      <c r="H1580" s="32" t="str">
        <f ca="1">+IF(B1580&gt;'sap nuevo'!$V$1,"cargar",IF(C1580="","cargar","pagado"))</f>
        <v>cargar</v>
      </c>
      <c r="I1580" s="32">
        <f t="shared" ref="I1580:I1599" si="212">+YEAR(B1580)</f>
        <v>2026</v>
      </c>
      <c r="J1580" s="32">
        <f t="shared" ref="J1580:J1599" si="213">+MONTH(B1580)</f>
        <v>1</v>
      </c>
    </row>
    <row r="1581" spans="1:10" x14ac:dyDescent="0.25">
      <c r="A1581" t="s">
        <v>21</v>
      </c>
      <c r="B1581" t="s">
        <v>285</v>
      </c>
      <c r="C1581">
        <v>91002786</v>
      </c>
      <c r="D1581">
        <v>140</v>
      </c>
      <c r="E1581" s="4">
        <v>-22000000</v>
      </c>
      <c r="F1581" t="s">
        <v>80</v>
      </c>
      <c r="G1581">
        <v>0</v>
      </c>
      <c r="H1581" s="32" t="str">
        <f ca="1">+IF(B1581&gt;'sap nuevo'!$V$1,"cargar",IF(C1581="","cargar","pagado"))</f>
        <v>cargar</v>
      </c>
      <c r="I1581" s="32">
        <f t="shared" si="212"/>
        <v>2026</v>
      </c>
      <c r="J1581" s="32">
        <f t="shared" si="213"/>
        <v>1</v>
      </c>
    </row>
    <row r="1582" spans="1:10" x14ac:dyDescent="0.25">
      <c r="A1582" t="s">
        <v>21</v>
      </c>
      <c r="B1582" t="s">
        <v>285</v>
      </c>
      <c r="C1582">
        <v>91002787</v>
      </c>
      <c r="D1582">
        <v>140</v>
      </c>
      <c r="E1582" s="4">
        <v>-15000000</v>
      </c>
      <c r="F1582" t="s">
        <v>80</v>
      </c>
      <c r="G1582">
        <v>0</v>
      </c>
      <c r="H1582" s="32" t="str">
        <f ca="1">+IF(B1582&gt;'sap nuevo'!$V$1,"cargar",IF(C1582="","cargar","pagado"))</f>
        <v>cargar</v>
      </c>
      <c r="I1582" s="32">
        <f t="shared" si="212"/>
        <v>2026</v>
      </c>
      <c r="J1582" s="32">
        <f t="shared" si="213"/>
        <v>1</v>
      </c>
    </row>
    <row r="1583" spans="1:10" x14ac:dyDescent="0.25">
      <c r="A1583" t="s">
        <v>21</v>
      </c>
      <c r="B1583" t="s">
        <v>285</v>
      </c>
      <c r="C1583">
        <v>91002793</v>
      </c>
      <c r="D1583">
        <v>140</v>
      </c>
      <c r="E1583" s="4">
        <v>-14524218.029999999</v>
      </c>
      <c r="F1583" t="s">
        <v>80</v>
      </c>
      <c r="G1583">
        <v>0</v>
      </c>
      <c r="H1583" s="32" t="str">
        <f ca="1">+IF(B1583&gt;'sap nuevo'!$V$1,"cargar",IF(C1583="","cargar","pagado"))</f>
        <v>cargar</v>
      </c>
      <c r="I1583" s="32">
        <f t="shared" si="212"/>
        <v>2026</v>
      </c>
      <c r="J1583" s="32">
        <f t="shared" si="213"/>
        <v>1</v>
      </c>
    </row>
    <row r="1584" spans="1:10" x14ac:dyDescent="0.25">
      <c r="A1584" t="s">
        <v>21</v>
      </c>
      <c r="B1584" t="s">
        <v>285</v>
      </c>
      <c r="C1584">
        <v>91002791</v>
      </c>
      <c r="D1584">
        <v>140</v>
      </c>
      <c r="E1584" s="4">
        <v>-9496593.4000000004</v>
      </c>
      <c r="F1584" t="s">
        <v>80</v>
      </c>
      <c r="G1584">
        <v>0</v>
      </c>
      <c r="H1584" s="32" t="str">
        <f ca="1">+IF(B1584&gt;'sap nuevo'!$V$1,"cargar",IF(C1584="","cargar","pagado"))</f>
        <v>cargar</v>
      </c>
      <c r="I1584" s="32">
        <f t="shared" si="212"/>
        <v>2026</v>
      </c>
      <c r="J1584" s="32">
        <f t="shared" si="213"/>
        <v>1</v>
      </c>
    </row>
    <row r="1585" spans="1:10" x14ac:dyDescent="0.25">
      <c r="A1585" t="s">
        <v>21</v>
      </c>
      <c r="B1585" t="s">
        <v>285</v>
      </c>
      <c r="C1585">
        <v>91002782</v>
      </c>
      <c r="D1585">
        <v>140</v>
      </c>
      <c r="E1585" s="4">
        <v>-6943987.5</v>
      </c>
      <c r="F1585" t="s">
        <v>80</v>
      </c>
      <c r="G1585">
        <v>0</v>
      </c>
      <c r="H1585" s="32" t="str">
        <f ca="1">+IF(B1585&gt;'sap nuevo'!$V$1,"cargar",IF(C1585="","cargar","pagado"))</f>
        <v>cargar</v>
      </c>
      <c r="I1585" s="32">
        <f t="shared" si="212"/>
        <v>2026</v>
      </c>
      <c r="J1585" s="32">
        <f t="shared" si="213"/>
        <v>1</v>
      </c>
    </row>
    <row r="1586" spans="1:10" x14ac:dyDescent="0.25">
      <c r="A1586" t="s">
        <v>21</v>
      </c>
      <c r="B1586" t="s">
        <v>285</v>
      </c>
      <c r="C1586">
        <v>91002789</v>
      </c>
      <c r="D1586">
        <v>140</v>
      </c>
      <c r="E1586" s="4">
        <v>-6283909.9400000004</v>
      </c>
      <c r="F1586" t="s">
        <v>80</v>
      </c>
      <c r="G1586">
        <v>0</v>
      </c>
      <c r="H1586" s="32" t="str">
        <f ca="1">+IF(B1586&gt;'sap nuevo'!$V$1,"cargar",IF(C1586="","cargar","pagado"))</f>
        <v>cargar</v>
      </c>
      <c r="I1586" s="32">
        <f t="shared" si="212"/>
        <v>2026</v>
      </c>
      <c r="J1586" s="32">
        <f t="shared" si="213"/>
        <v>1</v>
      </c>
    </row>
    <row r="1587" spans="1:10" x14ac:dyDescent="0.25">
      <c r="A1587" t="s">
        <v>21</v>
      </c>
      <c r="B1587" t="s">
        <v>286</v>
      </c>
      <c r="C1587">
        <v>91002708</v>
      </c>
      <c r="D1587">
        <v>140</v>
      </c>
      <c r="E1587" s="4">
        <v>-35799705</v>
      </c>
      <c r="F1587" t="s">
        <v>80</v>
      </c>
      <c r="G1587">
        <v>0</v>
      </c>
      <c r="H1587" s="32" t="str">
        <f ca="1">+IF(B1587&gt;'sap nuevo'!$V$1,"cargar",IF(C1587="","cargar","pagado"))</f>
        <v>cargar</v>
      </c>
      <c r="I1587" s="32">
        <f t="shared" si="212"/>
        <v>2026</v>
      </c>
      <c r="J1587" s="32">
        <f t="shared" si="213"/>
        <v>1</v>
      </c>
    </row>
    <row r="1588" spans="1:10" x14ac:dyDescent="0.25">
      <c r="A1588" t="s">
        <v>21</v>
      </c>
      <c r="B1588" t="s">
        <v>286</v>
      </c>
      <c r="C1588">
        <v>91002799</v>
      </c>
      <c r="D1588">
        <v>140</v>
      </c>
      <c r="E1588" s="4">
        <v>-25360825.710000001</v>
      </c>
      <c r="F1588" t="s">
        <v>80</v>
      </c>
      <c r="G1588">
        <v>0</v>
      </c>
      <c r="H1588" s="32" t="str">
        <f ca="1">+IF(B1588&gt;'sap nuevo'!$V$1,"cargar",IF(C1588="","cargar","pagado"))</f>
        <v>cargar</v>
      </c>
      <c r="I1588" s="32">
        <f t="shared" si="212"/>
        <v>2026</v>
      </c>
      <c r="J1588" s="32">
        <f t="shared" si="213"/>
        <v>1</v>
      </c>
    </row>
    <row r="1589" spans="1:10" x14ac:dyDescent="0.25">
      <c r="A1589" t="s">
        <v>21</v>
      </c>
      <c r="B1589" t="s">
        <v>286</v>
      </c>
      <c r="C1589">
        <v>91002792</v>
      </c>
      <c r="D1589">
        <v>140</v>
      </c>
      <c r="E1589" s="4">
        <v>-14212748.4</v>
      </c>
      <c r="F1589" t="s">
        <v>80</v>
      </c>
      <c r="G1589">
        <v>0</v>
      </c>
      <c r="H1589" s="32" t="str">
        <f ca="1">+IF(B1589&gt;'sap nuevo'!$V$1,"cargar",IF(C1589="","cargar","pagado"))</f>
        <v>cargar</v>
      </c>
      <c r="I1589" s="32">
        <f t="shared" si="212"/>
        <v>2026</v>
      </c>
      <c r="J1589" s="32">
        <f t="shared" si="213"/>
        <v>1</v>
      </c>
    </row>
    <row r="1590" spans="1:10" x14ac:dyDescent="0.25">
      <c r="A1590" t="s">
        <v>21</v>
      </c>
      <c r="B1590" t="s">
        <v>286</v>
      </c>
      <c r="C1590">
        <v>91002798</v>
      </c>
      <c r="D1590">
        <v>140</v>
      </c>
      <c r="E1590" s="4">
        <v>-13145224.51</v>
      </c>
      <c r="F1590" t="s">
        <v>80</v>
      </c>
      <c r="G1590">
        <v>0</v>
      </c>
      <c r="H1590" s="32" t="str">
        <f ca="1">+IF(B1590&gt;'sap nuevo'!$V$1,"cargar",IF(C1590="","cargar","pagado"))</f>
        <v>cargar</v>
      </c>
      <c r="I1590" s="32">
        <f t="shared" si="212"/>
        <v>2026</v>
      </c>
      <c r="J1590" s="32">
        <f t="shared" si="213"/>
        <v>1</v>
      </c>
    </row>
    <row r="1591" spans="1:10" x14ac:dyDescent="0.25">
      <c r="A1591" t="s">
        <v>12</v>
      </c>
      <c r="B1591" t="s">
        <v>286</v>
      </c>
      <c r="C1591">
        <v>91002794</v>
      </c>
      <c r="D1591">
        <v>140</v>
      </c>
      <c r="E1591" s="4">
        <v>-10513957.99</v>
      </c>
      <c r="F1591" t="s">
        <v>82</v>
      </c>
      <c r="G1591">
        <v>0</v>
      </c>
      <c r="H1591" s="32" t="str">
        <f ca="1">+IF(B1591&gt;'sap nuevo'!$V$1,"cargar",IF(C1591="","cargar","pagado"))</f>
        <v>cargar</v>
      </c>
      <c r="I1591" s="32">
        <f t="shared" si="212"/>
        <v>2026</v>
      </c>
      <c r="J1591" s="32">
        <f t="shared" si="213"/>
        <v>1</v>
      </c>
    </row>
    <row r="1592" spans="1:10" x14ac:dyDescent="0.25">
      <c r="A1592" t="s">
        <v>21</v>
      </c>
      <c r="B1592" t="s">
        <v>286</v>
      </c>
      <c r="C1592">
        <v>91002796</v>
      </c>
      <c r="D1592">
        <v>140</v>
      </c>
      <c r="E1592" s="4">
        <v>-8974159.4199999999</v>
      </c>
      <c r="F1592" t="s">
        <v>80</v>
      </c>
      <c r="G1592">
        <v>0</v>
      </c>
      <c r="H1592" s="32" t="str">
        <f ca="1">+IF(B1592&gt;'sap nuevo'!$V$1,"cargar",IF(C1592="","cargar","pagado"))</f>
        <v>cargar</v>
      </c>
      <c r="I1592" s="32">
        <f t="shared" si="212"/>
        <v>2026</v>
      </c>
      <c r="J1592" s="32">
        <f t="shared" si="213"/>
        <v>1</v>
      </c>
    </row>
    <row r="1593" spans="1:10" x14ac:dyDescent="0.25">
      <c r="A1593" t="s">
        <v>21</v>
      </c>
      <c r="B1593" t="s">
        <v>286</v>
      </c>
      <c r="C1593">
        <v>91002797</v>
      </c>
      <c r="D1593">
        <v>140</v>
      </c>
      <c r="E1593" s="4">
        <v>-8973991.5</v>
      </c>
      <c r="F1593" t="s">
        <v>80</v>
      </c>
      <c r="G1593">
        <v>0</v>
      </c>
      <c r="H1593" s="32" t="str">
        <f ca="1">+IF(B1593&gt;'sap nuevo'!$V$1,"cargar",IF(C1593="","cargar","pagado"))</f>
        <v>cargar</v>
      </c>
      <c r="I1593" s="32">
        <f t="shared" si="212"/>
        <v>2026</v>
      </c>
      <c r="J1593" s="32">
        <f t="shared" si="213"/>
        <v>1</v>
      </c>
    </row>
    <row r="1594" spans="1:10" x14ac:dyDescent="0.25">
      <c r="A1594" t="s">
        <v>21</v>
      </c>
      <c r="B1594" t="s">
        <v>286</v>
      </c>
      <c r="C1594">
        <v>91002795</v>
      </c>
      <c r="D1594">
        <v>140</v>
      </c>
      <c r="E1594" s="4">
        <v>-6773476.4000000004</v>
      </c>
      <c r="F1594" t="s">
        <v>80</v>
      </c>
      <c r="G1594">
        <v>0</v>
      </c>
      <c r="H1594" s="32" t="str">
        <f ca="1">+IF(B1594&gt;'sap nuevo'!$V$1,"cargar",IF(C1594="","cargar","pagado"))</f>
        <v>cargar</v>
      </c>
      <c r="I1594" s="32">
        <f t="shared" si="212"/>
        <v>2026</v>
      </c>
      <c r="J1594" s="32">
        <f t="shared" si="213"/>
        <v>1</v>
      </c>
    </row>
    <row r="1595" spans="1:10" x14ac:dyDescent="0.25">
      <c r="A1595" t="s">
        <v>21</v>
      </c>
      <c r="B1595" t="s">
        <v>286</v>
      </c>
      <c r="C1595">
        <v>91002790</v>
      </c>
      <c r="D1595">
        <v>140</v>
      </c>
      <c r="E1595" s="4">
        <v>-5608563.4000000004</v>
      </c>
      <c r="F1595" t="s">
        <v>80</v>
      </c>
      <c r="G1595">
        <v>0</v>
      </c>
      <c r="H1595" s="32" t="str">
        <f ca="1">+IF(B1595&gt;'sap nuevo'!$V$1,"cargar",IF(C1595="","cargar","pagado"))</f>
        <v>cargar</v>
      </c>
      <c r="I1595" s="32">
        <f t="shared" si="212"/>
        <v>2026</v>
      </c>
      <c r="J1595" s="32">
        <f t="shared" si="213"/>
        <v>1</v>
      </c>
    </row>
    <row r="1596" spans="1:10" x14ac:dyDescent="0.25">
      <c r="A1596" t="s">
        <v>12</v>
      </c>
      <c r="B1596" t="s">
        <v>287</v>
      </c>
      <c r="C1596">
        <v>91002754</v>
      </c>
      <c r="D1596">
        <v>140</v>
      </c>
      <c r="E1596" s="4">
        <v>-4233015.58</v>
      </c>
      <c r="F1596" t="s">
        <v>82</v>
      </c>
      <c r="G1596">
        <v>0</v>
      </c>
      <c r="H1596" s="32" t="str">
        <f ca="1">+IF(B1596&gt;'sap nuevo'!$V$1,"cargar",IF(C1596="","cargar","pagado"))</f>
        <v>cargar</v>
      </c>
      <c r="I1596" s="32">
        <f t="shared" si="212"/>
        <v>2026</v>
      </c>
      <c r="J1596" s="32">
        <f t="shared" si="213"/>
        <v>1</v>
      </c>
    </row>
    <row r="1597" spans="1:10" x14ac:dyDescent="0.25">
      <c r="A1597" t="s">
        <v>21</v>
      </c>
      <c r="B1597" t="s">
        <v>288</v>
      </c>
      <c r="C1597">
        <v>40273018</v>
      </c>
      <c r="D1597">
        <v>140</v>
      </c>
      <c r="E1597" s="4">
        <v>-26036820</v>
      </c>
      <c r="F1597" t="s">
        <v>80</v>
      </c>
      <c r="G1597">
        <v>0</v>
      </c>
      <c r="H1597" s="32" t="str">
        <f ca="1">+IF(B1597&gt;'sap nuevo'!$V$1,"cargar",IF(C1597="","cargar","pagado"))</f>
        <v>cargar</v>
      </c>
      <c r="I1597" s="32">
        <f t="shared" si="212"/>
        <v>2026</v>
      </c>
      <c r="J1597" s="32">
        <f t="shared" si="213"/>
        <v>1</v>
      </c>
    </row>
    <row r="1598" spans="1:10" x14ac:dyDescent="0.25">
      <c r="A1598" t="s">
        <v>21</v>
      </c>
      <c r="B1598" t="s">
        <v>288</v>
      </c>
      <c r="C1598">
        <v>40273017</v>
      </c>
      <c r="D1598">
        <v>140</v>
      </c>
      <c r="E1598" s="4">
        <v>-2831611.26</v>
      </c>
      <c r="F1598" t="s">
        <v>80</v>
      </c>
      <c r="G1598">
        <v>0</v>
      </c>
      <c r="H1598" s="32" t="str">
        <f ca="1">+IF(B1598&gt;'sap nuevo'!$V$1,"cargar",IF(C1598="","cargar","pagado"))</f>
        <v>cargar</v>
      </c>
      <c r="I1598" s="32">
        <f t="shared" si="212"/>
        <v>2026</v>
      </c>
      <c r="J1598" s="32">
        <f t="shared" si="213"/>
        <v>1</v>
      </c>
    </row>
    <row r="1599" spans="1:10" x14ac:dyDescent="0.25">
      <c r="A1599" t="s">
        <v>21</v>
      </c>
      <c r="B1599" t="s">
        <v>288</v>
      </c>
      <c r="C1599">
        <v>40273016</v>
      </c>
      <c r="D1599">
        <v>140</v>
      </c>
      <c r="E1599" s="4">
        <v>-687000</v>
      </c>
      <c r="F1599" t="s">
        <v>80</v>
      </c>
      <c r="G1599">
        <v>0</v>
      </c>
      <c r="H1599" s="32" t="str">
        <f ca="1">+IF(B1599&gt;'sap nuevo'!$V$1,"cargar",IF(C1599="","cargar","pagado"))</f>
        <v>cargar</v>
      </c>
      <c r="I1599" s="32">
        <f t="shared" si="212"/>
        <v>2026</v>
      </c>
      <c r="J1599" s="32">
        <f t="shared" si="213"/>
        <v>1</v>
      </c>
    </row>
    <row r="1600" spans="1:10" x14ac:dyDescent="0.25">
      <c r="A1600" t="s">
        <v>873</v>
      </c>
      <c r="B1600" t="s">
        <v>285</v>
      </c>
      <c r="C1600">
        <v>2038</v>
      </c>
      <c r="D1600">
        <v>9999</v>
      </c>
      <c r="E1600" s="4">
        <v>-9970448.9199999999</v>
      </c>
      <c r="F1600" t="s">
        <v>1705</v>
      </c>
      <c r="G1600">
        <v>3520</v>
      </c>
      <c r="H1600" s="32" t="str">
        <f ca="1">+IF(B1600&gt;'sap nuevo'!$V$1,"cargar",IF(C1600="","cargar","pagado"))</f>
        <v>cargar</v>
      </c>
      <c r="I1600" s="32">
        <f t="shared" ref="I1600" si="214">+YEAR(B1600)</f>
        <v>2026</v>
      </c>
      <c r="J1600" s="32">
        <f t="shared" ref="J1600" si="215">+MONTH(B1600)</f>
        <v>1</v>
      </c>
    </row>
    <row r="1601" spans="1:10" x14ac:dyDescent="0.25">
      <c r="A1601" t="s">
        <v>21</v>
      </c>
      <c r="B1601" t="s">
        <v>289</v>
      </c>
      <c r="C1601">
        <v>91002812</v>
      </c>
      <c r="D1601">
        <v>140</v>
      </c>
      <c r="E1601" s="4">
        <v>-22000000</v>
      </c>
      <c r="F1601" t="s">
        <v>80</v>
      </c>
      <c r="G1601">
        <v>0</v>
      </c>
      <c r="H1601" s="32" t="str">
        <f ca="1">+IF(B1601&gt;'sap nuevo'!$V$1,"cargar",IF(C1601="","cargar","pagado"))</f>
        <v>cargar</v>
      </c>
      <c r="I1601" s="32">
        <f t="shared" ref="I1601:I1602" si="216">+YEAR(B1601)</f>
        <v>2026</v>
      </c>
      <c r="J1601" s="32">
        <f t="shared" ref="J1601:J1602" si="217">+MONTH(B1601)</f>
        <v>1</v>
      </c>
    </row>
    <row r="1602" spans="1:10" x14ac:dyDescent="0.25">
      <c r="A1602" t="s">
        <v>21</v>
      </c>
      <c r="B1602" t="s">
        <v>289</v>
      </c>
      <c r="C1602">
        <v>91002814</v>
      </c>
      <c r="D1602">
        <v>140</v>
      </c>
      <c r="E1602" s="4">
        <v>-20000000</v>
      </c>
      <c r="F1602" t="s">
        <v>80</v>
      </c>
      <c r="G1602">
        <v>0</v>
      </c>
      <c r="H1602" s="32" t="str">
        <f ca="1">+IF(B1602&gt;'sap nuevo'!$V$1,"cargar",IF(C1602="","cargar","pagado"))</f>
        <v>cargar</v>
      </c>
      <c r="I1602" s="32">
        <f t="shared" si="216"/>
        <v>2026</v>
      </c>
      <c r="J1602" s="32">
        <f t="shared" si="217"/>
        <v>1</v>
      </c>
    </row>
    <row r="1603" spans="1:10" x14ac:dyDescent="0.25">
      <c r="A1603" t="s">
        <v>21</v>
      </c>
      <c r="B1603" t="s">
        <v>289</v>
      </c>
      <c r="C1603">
        <v>91002804</v>
      </c>
      <c r="D1603">
        <v>140</v>
      </c>
      <c r="E1603" s="4">
        <v>-16771520.5</v>
      </c>
      <c r="F1603" t="s">
        <v>80</v>
      </c>
      <c r="G1603">
        <v>0</v>
      </c>
      <c r="H1603" s="32" t="str">
        <f ca="1">+IF(B1603&gt;'sap nuevo'!$V$1,"cargar",IF(C1603="","cargar","pagado"))</f>
        <v>cargar</v>
      </c>
      <c r="I1603" s="32">
        <f t="shared" ref="I1603:I1607" si="218">+YEAR(B1603)</f>
        <v>2026</v>
      </c>
      <c r="J1603" s="32">
        <f t="shared" ref="J1603:J1607" si="219">+MONTH(B1603)</f>
        <v>1</v>
      </c>
    </row>
    <row r="1604" spans="1:10" x14ac:dyDescent="0.25">
      <c r="A1604" t="s">
        <v>21</v>
      </c>
      <c r="B1604" t="s">
        <v>289</v>
      </c>
      <c r="C1604">
        <v>91002808</v>
      </c>
      <c r="D1604">
        <v>140</v>
      </c>
      <c r="E1604" s="4">
        <v>-8127954.9000000004</v>
      </c>
      <c r="F1604" t="s">
        <v>80</v>
      </c>
      <c r="G1604">
        <v>0</v>
      </c>
      <c r="H1604" s="32" t="str">
        <f ca="1">+IF(B1604&gt;'sap nuevo'!$V$1,"cargar",IF(C1604="","cargar","pagado"))</f>
        <v>cargar</v>
      </c>
      <c r="I1604" s="32">
        <f t="shared" si="218"/>
        <v>2026</v>
      </c>
      <c r="J1604" s="32">
        <f t="shared" si="219"/>
        <v>1</v>
      </c>
    </row>
    <row r="1605" spans="1:10" x14ac:dyDescent="0.25">
      <c r="A1605" t="s">
        <v>21</v>
      </c>
      <c r="B1605" t="s">
        <v>289</v>
      </c>
      <c r="C1605">
        <v>91002805</v>
      </c>
      <c r="D1605">
        <v>140</v>
      </c>
      <c r="E1605" s="4">
        <v>-5984978.4000000004</v>
      </c>
      <c r="F1605" t="s">
        <v>80</v>
      </c>
      <c r="G1605">
        <v>0</v>
      </c>
      <c r="H1605" s="32" t="str">
        <f ca="1">+IF(B1605&gt;'sap nuevo'!$V$1,"cargar",IF(C1605="","cargar","pagado"))</f>
        <v>cargar</v>
      </c>
      <c r="I1605" s="32">
        <f t="shared" si="218"/>
        <v>2026</v>
      </c>
      <c r="J1605" s="32">
        <f t="shared" si="219"/>
        <v>1</v>
      </c>
    </row>
    <row r="1606" spans="1:10" x14ac:dyDescent="0.25">
      <c r="A1606" t="s">
        <v>21</v>
      </c>
      <c r="B1606" t="s">
        <v>289</v>
      </c>
      <c r="C1606">
        <v>91002809</v>
      </c>
      <c r="D1606">
        <v>140</v>
      </c>
      <c r="E1606" s="4">
        <v>-5760237.8700000001</v>
      </c>
      <c r="F1606" t="s">
        <v>80</v>
      </c>
      <c r="G1606">
        <v>0</v>
      </c>
      <c r="H1606" s="32" t="str">
        <f ca="1">+IF(B1606&gt;'sap nuevo'!$V$1,"cargar",IF(C1606="","cargar","pagado"))</f>
        <v>cargar</v>
      </c>
      <c r="I1606" s="32">
        <f t="shared" si="218"/>
        <v>2026</v>
      </c>
      <c r="J1606" s="32">
        <f t="shared" si="219"/>
        <v>1</v>
      </c>
    </row>
    <row r="1607" spans="1:10" x14ac:dyDescent="0.25">
      <c r="A1607" t="s">
        <v>21</v>
      </c>
      <c r="B1607" t="s">
        <v>289</v>
      </c>
      <c r="C1607">
        <v>91002802</v>
      </c>
      <c r="D1607">
        <v>140</v>
      </c>
      <c r="E1607" s="4">
        <v>-3224588.06</v>
      </c>
      <c r="F1607" t="s">
        <v>80</v>
      </c>
      <c r="G1607">
        <v>0</v>
      </c>
      <c r="H1607" s="32" t="str">
        <f ca="1">+IF(B1607&gt;'sap nuevo'!$V$1,"cargar",IF(C1607="","cargar","pagado"))</f>
        <v>cargar</v>
      </c>
      <c r="I1607" s="32">
        <f t="shared" si="218"/>
        <v>2026</v>
      </c>
      <c r="J1607" s="32">
        <f t="shared" si="219"/>
        <v>1</v>
      </c>
    </row>
    <row r="1608" spans="1:10" x14ac:dyDescent="0.25">
      <c r="A1608" t="s">
        <v>21</v>
      </c>
      <c r="B1608" t="s">
        <v>292</v>
      </c>
      <c r="C1608">
        <v>40273019</v>
      </c>
      <c r="D1608">
        <v>140</v>
      </c>
      <c r="E1608" s="4">
        <v>-156975000</v>
      </c>
      <c r="F1608" t="s">
        <v>80</v>
      </c>
      <c r="G1608">
        <v>0</v>
      </c>
      <c r="H1608" s="32" t="str">
        <f ca="1">+IF(B1608&gt;'sap nuevo'!$V$1,"cargar",IF(C1608="","cargar","pagado"))</f>
        <v>cargar</v>
      </c>
      <c r="I1608" s="32">
        <f t="shared" ref="I1608:I1631" si="220">+YEAR(B1608)</f>
        <v>2026</v>
      </c>
      <c r="J1608" s="32">
        <f t="shared" ref="J1608:J1631" si="221">+MONTH(B1608)</f>
        <v>1</v>
      </c>
    </row>
    <row r="1609" spans="1:10" x14ac:dyDescent="0.25">
      <c r="A1609" t="s">
        <v>12</v>
      </c>
      <c r="B1609" t="s">
        <v>292</v>
      </c>
      <c r="C1609">
        <v>40273009</v>
      </c>
      <c r="D1609">
        <v>140</v>
      </c>
      <c r="E1609" s="4">
        <v>-22000000</v>
      </c>
      <c r="F1609" t="s">
        <v>82</v>
      </c>
      <c r="G1609">
        <v>0</v>
      </c>
      <c r="H1609" s="32" t="str">
        <f ca="1">+IF(B1609&gt;'sap nuevo'!$V$1,"cargar",IF(C1609="","cargar","pagado"))</f>
        <v>cargar</v>
      </c>
      <c r="I1609" s="32">
        <f t="shared" si="220"/>
        <v>2026</v>
      </c>
      <c r="J1609" s="32">
        <f t="shared" si="221"/>
        <v>1</v>
      </c>
    </row>
    <row r="1610" spans="1:10" x14ac:dyDescent="0.25">
      <c r="A1610" t="s">
        <v>21</v>
      </c>
      <c r="B1610" t="s">
        <v>292</v>
      </c>
      <c r="C1610">
        <v>91002815</v>
      </c>
      <c r="D1610">
        <v>140</v>
      </c>
      <c r="E1610" s="4">
        <v>-19919277.050000001</v>
      </c>
      <c r="F1610" t="s">
        <v>80</v>
      </c>
      <c r="G1610">
        <v>0</v>
      </c>
      <c r="H1610" s="32" t="str">
        <f ca="1">+IF(B1610&gt;'sap nuevo'!$V$1,"cargar",IF(C1610="","cargar","pagado"))</f>
        <v>cargar</v>
      </c>
      <c r="I1610" s="32">
        <f t="shared" si="220"/>
        <v>2026</v>
      </c>
      <c r="J1610" s="32">
        <f t="shared" si="221"/>
        <v>1</v>
      </c>
    </row>
    <row r="1611" spans="1:10" x14ac:dyDescent="0.25">
      <c r="A1611" t="s">
        <v>21</v>
      </c>
      <c r="B1611" t="s">
        <v>292</v>
      </c>
      <c r="C1611">
        <v>91002806</v>
      </c>
      <c r="D1611">
        <v>140</v>
      </c>
      <c r="E1611" s="4">
        <v>-17194788.699999999</v>
      </c>
      <c r="F1611" t="s">
        <v>80</v>
      </c>
      <c r="G1611">
        <v>0</v>
      </c>
      <c r="H1611" s="32" t="str">
        <f ca="1">+IF(B1611&gt;'sap nuevo'!$V$1,"cargar",IF(C1611="","cargar","pagado"))</f>
        <v>cargar</v>
      </c>
      <c r="I1611" s="32">
        <f t="shared" si="220"/>
        <v>2026</v>
      </c>
      <c r="J1611" s="32">
        <f t="shared" si="221"/>
        <v>1</v>
      </c>
    </row>
    <row r="1612" spans="1:10" x14ac:dyDescent="0.25">
      <c r="A1612" t="s">
        <v>21</v>
      </c>
      <c r="B1612" t="s">
        <v>292</v>
      </c>
      <c r="C1612">
        <v>91002811</v>
      </c>
      <c r="D1612">
        <v>140</v>
      </c>
      <c r="E1612" s="4">
        <v>-12551486.539999999</v>
      </c>
      <c r="F1612" t="s">
        <v>80</v>
      </c>
      <c r="G1612">
        <v>0</v>
      </c>
      <c r="H1612" s="32" t="str">
        <f ca="1">+IF(B1612&gt;'sap nuevo'!$V$1,"cargar",IF(C1612="","cargar","pagado"))</f>
        <v>cargar</v>
      </c>
      <c r="I1612" s="32">
        <f t="shared" si="220"/>
        <v>2026</v>
      </c>
      <c r="J1612" s="32">
        <f t="shared" si="221"/>
        <v>1</v>
      </c>
    </row>
    <row r="1613" spans="1:10" x14ac:dyDescent="0.25">
      <c r="A1613" t="s">
        <v>21</v>
      </c>
      <c r="B1613" t="s">
        <v>292</v>
      </c>
      <c r="C1613">
        <v>91002810</v>
      </c>
      <c r="D1613">
        <v>140</v>
      </c>
      <c r="E1613" s="4">
        <v>-12000000</v>
      </c>
      <c r="F1613" t="s">
        <v>80</v>
      </c>
      <c r="G1613">
        <v>0</v>
      </c>
      <c r="H1613" s="32" t="str">
        <f ca="1">+IF(B1613&gt;'sap nuevo'!$V$1,"cargar",IF(C1613="","cargar","pagado"))</f>
        <v>cargar</v>
      </c>
      <c r="I1613" s="32">
        <f t="shared" si="220"/>
        <v>2026</v>
      </c>
      <c r="J1613" s="32">
        <f t="shared" si="221"/>
        <v>1</v>
      </c>
    </row>
    <row r="1614" spans="1:10" x14ac:dyDescent="0.25">
      <c r="A1614" t="s">
        <v>21</v>
      </c>
      <c r="B1614" t="s">
        <v>292</v>
      </c>
      <c r="C1614">
        <v>91002807</v>
      </c>
      <c r="D1614">
        <v>140</v>
      </c>
      <c r="E1614" s="4">
        <v>-10390538.029999999</v>
      </c>
      <c r="F1614" t="s">
        <v>80</v>
      </c>
      <c r="G1614">
        <v>0</v>
      </c>
      <c r="H1614" s="32" t="str">
        <f ca="1">+IF(B1614&gt;'sap nuevo'!$V$1,"cargar",IF(C1614="","cargar","pagado"))</f>
        <v>cargar</v>
      </c>
      <c r="I1614" s="32">
        <f t="shared" si="220"/>
        <v>2026</v>
      </c>
      <c r="J1614" s="32">
        <f t="shared" si="221"/>
        <v>1</v>
      </c>
    </row>
    <row r="1615" spans="1:10" x14ac:dyDescent="0.25">
      <c r="A1615" t="s">
        <v>12</v>
      </c>
      <c r="B1615" t="s">
        <v>292</v>
      </c>
      <c r="C1615">
        <v>91002801</v>
      </c>
      <c r="D1615">
        <v>140</v>
      </c>
      <c r="E1615" s="4">
        <v>-10077823.800000001</v>
      </c>
      <c r="F1615" t="s">
        <v>82</v>
      </c>
      <c r="G1615">
        <v>0</v>
      </c>
      <c r="H1615" s="32" t="str">
        <f ca="1">+IF(B1615&gt;'sap nuevo'!$V$1,"cargar",IF(C1615="","cargar","pagado"))</f>
        <v>cargar</v>
      </c>
      <c r="I1615" s="32">
        <f t="shared" si="220"/>
        <v>2026</v>
      </c>
      <c r="J1615" s="32">
        <f t="shared" si="221"/>
        <v>1</v>
      </c>
    </row>
    <row r="1616" spans="1:10" x14ac:dyDescent="0.25">
      <c r="A1616" t="s">
        <v>21</v>
      </c>
      <c r="B1616" t="s">
        <v>290</v>
      </c>
      <c r="C1616">
        <v>91002817</v>
      </c>
      <c r="D1616">
        <v>140</v>
      </c>
      <c r="E1616" s="4">
        <v>-25000000</v>
      </c>
      <c r="F1616" t="s">
        <v>80</v>
      </c>
      <c r="G1616">
        <v>0</v>
      </c>
      <c r="H1616" s="32" t="str">
        <f ca="1">+IF(B1616&gt;'sap nuevo'!$V$1,"cargar",IF(C1616="","cargar","pagado"))</f>
        <v>cargar</v>
      </c>
      <c r="I1616" s="32">
        <f t="shared" si="220"/>
        <v>2026</v>
      </c>
      <c r="J1616" s="32">
        <f t="shared" si="221"/>
        <v>1</v>
      </c>
    </row>
    <row r="1617" spans="1:10" x14ac:dyDescent="0.25">
      <c r="A1617" t="s">
        <v>21</v>
      </c>
      <c r="B1617" t="s">
        <v>290</v>
      </c>
      <c r="C1617">
        <v>91002813</v>
      </c>
      <c r="D1617">
        <v>140</v>
      </c>
      <c r="E1617" s="4">
        <v>-22368343.399999999</v>
      </c>
      <c r="F1617" t="s">
        <v>80</v>
      </c>
      <c r="G1617">
        <v>0</v>
      </c>
      <c r="H1617" s="32" t="str">
        <f ca="1">+IF(B1617&gt;'sap nuevo'!$V$1,"cargar",IF(C1617="","cargar","pagado"))</f>
        <v>cargar</v>
      </c>
      <c r="I1617" s="32">
        <f t="shared" si="220"/>
        <v>2026</v>
      </c>
      <c r="J1617" s="32">
        <f t="shared" si="221"/>
        <v>1</v>
      </c>
    </row>
    <row r="1618" spans="1:10" x14ac:dyDescent="0.25">
      <c r="A1618" t="s">
        <v>21</v>
      </c>
      <c r="B1618" t="s">
        <v>290</v>
      </c>
      <c r="C1618">
        <v>91002819</v>
      </c>
      <c r="D1618">
        <v>140</v>
      </c>
      <c r="E1618" s="4">
        <v>-9831266.8000000007</v>
      </c>
      <c r="F1618" t="s">
        <v>80</v>
      </c>
      <c r="G1618">
        <v>0</v>
      </c>
      <c r="H1618" s="32" t="str">
        <f ca="1">+IF(B1618&gt;'sap nuevo'!$V$1,"cargar",IF(C1618="","cargar","pagado"))</f>
        <v>cargar</v>
      </c>
      <c r="I1618" s="32">
        <f t="shared" si="220"/>
        <v>2026</v>
      </c>
      <c r="J1618" s="32">
        <f t="shared" si="221"/>
        <v>1</v>
      </c>
    </row>
    <row r="1619" spans="1:10" x14ac:dyDescent="0.25">
      <c r="A1619" t="s">
        <v>21</v>
      </c>
      <c r="B1619" t="s">
        <v>290</v>
      </c>
      <c r="C1619">
        <v>91002816</v>
      </c>
      <c r="D1619">
        <v>140</v>
      </c>
      <c r="E1619" s="4">
        <v>-7055961.3499999996</v>
      </c>
      <c r="F1619" t="s">
        <v>80</v>
      </c>
      <c r="G1619">
        <v>0</v>
      </c>
      <c r="H1619" s="32" t="str">
        <f ca="1">+IF(B1619&gt;'sap nuevo'!$V$1,"cargar",IF(C1619="","cargar","pagado"))</f>
        <v>cargar</v>
      </c>
      <c r="I1619" s="32">
        <f t="shared" si="220"/>
        <v>2026</v>
      </c>
      <c r="J1619" s="32">
        <f t="shared" si="221"/>
        <v>1</v>
      </c>
    </row>
    <row r="1620" spans="1:10" x14ac:dyDescent="0.25">
      <c r="A1620" t="s">
        <v>21</v>
      </c>
      <c r="B1620" t="s">
        <v>290</v>
      </c>
      <c r="C1620">
        <v>91002821</v>
      </c>
      <c r="D1620">
        <v>140</v>
      </c>
      <c r="E1620" s="4">
        <v>-4515538.99</v>
      </c>
      <c r="F1620" t="s">
        <v>80</v>
      </c>
      <c r="G1620">
        <v>0</v>
      </c>
      <c r="H1620" s="32" t="str">
        <f ca="1">+IF(B1620&gt;'sap nuevo'!$V$1,"cargar",IF(C1620="","cargar","pagado"))</f>
        <v>cargar</v>
      </c>
      <c r="I1620" s="32">
        <f t="shared" si="220"/>
        <v>2026</v>
      </c>
      <c r="J1620" s="32">
        <f t="shared" si="221"/>
        <v>1</v>
      </c>
    </row>
    <row r="1621" spans="1:10" x14ac:dyDescent="0.25">
      <c r="A1621" t="s">
        <v>21</v>
      </c>
      <c r="B1621" t="s">
        <v>290</v>
      </c>
      <c r="C1621">
        <v>91002822</v>
      </c>
      <c r="D1621">
        <v>140</v>
      </c>
      <c r="E1621" s="4">
        <v>-4486995.75</v>
      </c>
      <c r="F1621" t="s">
        <v>80</v>
      </c>
      <c r="G1621">
        <v>0</v>
      </c>
      <c r="H1621" s="32" t="str">
        <f ca="1">+IF(B1621&gt;'sap nuevo'!$V$1,"cargar",IF(C1621="","cargar","pagado"))</f>
        <v>cargar</v>
      </c>
      <c r="I1621" s="32">
        <f t="shared" si="220"/>
        <v>2026</v>
      </c>
      <c r="J1621" s="32">
        <f t="shared" si="221"/>
        <v>1</v>
      </c>
    </row>
    <row r="1622" spans="1:10" x14ac:dyDescent="0.25">
      <c r="A1622" t="s">
        <v>21</v>
      </c>
      <c r="B1622" t="s">
        <v>291</v>
      </c>
      <c r="C1622">
        <v>91002818</v>
      </c>
      <c r="D1622">
        <v>140</v>
      </c>
      <c r="E1622" s="4">
        <v>-23280050</v>
      </c>
      <c r="F1622" t="s">
        <v>80</v>
      </c>
      <c r="G1622">
        <v>0</v>
      </c>
      <c r="H1622" s="32" t="str">
        <f ca="1">+IF(B1622&gt;'sap nuevo'!$V$1,"cargar",IF(C1622="","cargar","pagado"))</f>
        <v>cargar</v>
      </c>
      <c r="I1622" s="32">
        <f t="shared" si="220"/>
        <v>2026</v>
      </c>
      <c r="J1622" s="32">
        <f t="shared" si="221"/>
        <v>1</v>
      </c>
    </row>
    <row r="1623" spans="1:10" x14ac:dyDescent="0.25">
      <c r="A1623" t="s">
        <v>21</v>
      </c>
      <c r="B1623" t="s">
        <v>291</v>
      </c>
      <c r="C1623">
        <v>91002820</v>
      </c>
      <c r="D1623">
        <v>140</v>
      </c>
      <c r="E1623" s="4">
        <v>-14613832.859999999</v>
      </c>
      <c r="F1623" t="s">
        <v>80</v>
      </c>
      <c r="G1623">
        <v>0</v>
      </c>
      <c r="H1623" s="32" t="str">
        <f ca="1">+IF(B1623&gt;'sap nuevo'!$V$1,"cargar",IF(C1623="","cargar","pagado"))</f>
        <v>cargar</v>
      </c>
      <c r="I1623" s="32">
        <f t="shared" si="220"/>
        <v>2026</v>
      </c>
      <c r="J1623" s="32">
        <f t="shared" si="221"/>
        <v>1</v>
      </c>
    </row>
    <row r="1624" spans="1:10" x14ac:dyDescent="0.25">
      <c r="A1624" t="s">
        <v>12</v>
      </c>
      <c r="B1624" t="s">
        <v>291</v>
      </c>
      <c r="C1624">
        <v>91002824</v>
      </c>
      <c r="D1624">
        <v>140</v>
      </c>
      <c r="E1624" s="4">
        <v>-5256895.03</v>
      </c>
      <c r="F1624" t="s">
        <v>82</v>
      </c>
      <c r="G1624">
        <v>0</v>
      </c>
      <c r="H1624" s="32" t="str">
        <f ca="1">+IF(B1624&gt;'sap nuevo'!$V$1,"cargar",IF(C1624="","cargar","pagado"))</f>
        <v>cargar</v>
      </c>
      <c r="I1624" s="32">
        <f t="shared" si="220"/>
        <v>2026</v>
      </c>
      <c r="J1624" s="32">
        <f t="shared" si="221"/>
        <v>1</v>
      </c>
    </row>
    <row r="1625" spans="1:10" x14ac:dyDescent="0.25">
      <c r="A1625" t="s">
        <v>21</v>
      </c>
      <c r="B1625" t="s">
        <v>291</v>
      </c>
      <c r="C1625">
        <v>91002823</v>
      </c>
      <c r="D1625">
        <v>140</v>
      </c>
      <c r="E1625" s="4">
        <v>-4486995.75</v>
      </c>
      <c r="F1625" t="s">
        <v>80</v>
      </c>
      <c r="G1625">
        <v>0</v>
      </c>
      <c r="H1625" s="32" t="str">
        <f ca="1">+IF(B1625&gt;'sap nuevo'!$V$1,"cargar",IF(C1625="","cargar","pagado"))</f>
        <v>cargar</v>
      </c>
      <c r="I1625" s="32">
        <f t="shared" si="220"/>
        <v>2026</v>
      </c>
      <c r="J1625" s="32">
        <f t="shared" si="221"/>
        <v>1</v>
      </c>
    </row>
    <row r="1626" spans="1:10" x14ac:dyDescent="0.25">
      <c r="A1626" t="s">
        <v>21</v>
      </c>
      <c r="B1626" t="s">
        <v>291</v>
      </c>
      <c r="C1626">
        <v>91002800</v>
      </c>
      <c r="D1626">
        <v>140</v>
      </c>
      <c r="E1626" s="4">
        <v>-3813525</v>
      </c>
      <c r="F1626" t="s">
        <v>80</v>
      </c>
      <c r="G1626">
        <v>0</v>
      </c>
      <c r="H1626" s="32" t="str">
        <f ca="1">+IF(B1626&gt;'sap nuevo'!$V$1,"cargar",IF(C1626="","cargar","pagado"))</f>
        <v>cargar</v>
      </c>
      <c r="I1626" s="32">
        <f t="shared" si="220"/>
        <v>2026</v>
      </c>
      <c r="J1626" s="32">
        <f t="shared" si="221"/>
        <v>1</v>
      </c>
    </row>
    <row r="1627" spans="1:10" x14ac:dyDescent="0.25">
      <c r="A1627" t="s">
        <v>21</v>
      </c>
      <c r="B1627" t="s">
        <v>1706</v>
      </c>
      <c r="C1627">
        <v>91002829</v>
      </c>
      <c r="D1627">
        <v>140</v>
      </c>
      <c r="E1627" s="4">
        <v>-256051599.84</v>
      </c>
      <c r="F1627" t="s">
        <v>80</v>
      </c>
      <c r="G1627">
        <v>0</v>
      </c>
      <c r="H1627" s="32" t="str">
        <f ca="1">+IF(B1627&gt;'sap nuevo'!$V$1,"cargar",IF(C1627="","cargar","pagado"))</f>
        <v>cargar</v>
      </c>
      <c r="I1627" s="32">
        <f t="shared" si="220"/>
        <v>2026</v>
      </c>
      <c r="J1627" s="32">
        <f t="shared" si="221"/>
        <v>1</v>
      </c>
    </row>
    <row r="1628" spans="1:10" x14ac:dyDescent="0.25">
      <c r="A1628" t="s">
        <v>21</v>
      </c>
      <c r="B1628" t="s">
        <v>1706</v>
      </c>
      <c r="C1628">
        <v>91002840</v>
      </c>
      <c r="D1628">
        <v>140</v>
      </c>
      <c r="E1628" s="4">
        <v>-36351559.520000003</v>
      </c>
      <c r="F1628" t="s">
        <v>80</v>
      </c>
      <c r="G1628">
        <v>0</v>
      </c>
      <c r="H1628" s="32" t="str">
        <f ca="1">+IF(B1628&gt;'sap nuevo'!$V$1,"cargar",IF(C1628="","cargar","pagado"))</f>
        <v>cargar</v>
      </c>
      <c r="I1628" s="32">
        <f t="shared" si="220"/>
        <v>2026</v>
      </c>
      <c r="J1628" s="32">
        <f t="shared" si="221"/>
        <v>1</v>
      </c>
    </row>
    <row r="1629" spans="1:10" x14ac:dyDescent="0.25">
      <c r="A1629" t="s">
        <v>12</v>
      </c>
      <c r="B1629" t="s">
        <v>1706</v>
      </c>
      <c r="C1629">
        <v>91002830</v>
      </c>
      <c r="D1629">
        <v>140</v>
      </c>
      <c r="E1629" s="4">
        <v>-29747116.050000001</v>
      </c>
      <c r="F1629" t="s">
        <v>82</v>
      </c>
      <c r="G1629">
        <v>0</v>
      </c>
      <c r="H1629" s="32" t="str">
        <f ca="1">+IF(B1629&gt;'sap nuevo'!$V$1,"cargar",IF(C1629="","cargar","pagado"))</f>
        <v>cargar</v>
      </c>
      <c r="I1629" s="32">
        <f t="shared" si="220"/>
        <v>2026</v>
      </c>
      <c r="J1629" s="32">
        <f t="shared" si="221"/>
        <v>1</v>
      </c>
    </row>
    <row r="1630" spans="1:10" x14ac:dyDescent="0.25">
      <c r="A1630" t="s">
        <v>12</v>
      </c>
      <c r="B1630" t="s">
        <v>1706</v>
      </c>
      <c r="C1630">
        <v>91002826</v>
      </c>
      <c r="D1630">
        <v>140</v>
      </c>
      <c r="E1630" s="4">
        <v>-21449825.030000001</v>
      </c>
      <c r="F1630" t="s">
        <v>82</v>
      </c>
      <c r="G1630">
        <v>0</v>
      </c>
      <c r="H1630" s="32" t="str">
        <f ca="1">+IF(B1630&gt;'sap nuevo'!$V$1,"cargar",IF(C1630="","cargar","pagado"))</f>
        <v>cargar</v>
      </c>
      <c r="I1630" s="32">
        <f t="shared" si="220"/>
        <v>2026</v>
      </c>
      <c r="J1630" s="32">
        <f t="shared" si="221"/>
        <v>1</v>
      </c>
    </row>
    <row r="1631" spans="1:10" x14ac:dyDescent="0.25">
      <c r="A1631" t="s">
        <v>12</v>
      </c>
      <c r="B1631" t="s">
        <v>1706</v>
      </c>
      <c r="C1631">
        <v>91002831</v>
      </c>
      <c r="D1631">
        <v>140</v>
      </c>
      <c r="E1631" s="4">
        <v>-12433472.9</v>
      </c>
      <c r="F1631" t="s">
        <v>82</v>
      </c>
      <c r="G1631">
        <v>0</v>
      </c>
      <c r="H1631" s="32" t="str">
        <f ca="1">+IF(B1631&gt;'sap nuevo'!$V$1,"cargar",IF(C1631="","cargar","pagado"))</f>
        <v>cargar</v>
      </c>
      <c r="I1631" s="32">
        <f t="shared" si="220"/>
        <v>2026</v>
      </c>
      <c r="J1631" s="32">
        <f t="shared" si="221"/>
        <v>1</v>
      </c>
    </row>
    <row r="1632" spans="1:10" x14ac:dyDescent="0.25">
      <c r="A1632" t="s">
        <v>21</v>
      </c>
      <c r="B1632" t="s">
        <v>293</v>
      </c>
      <c r="C1632">
        <v>91002834</v>
      </c>
      <c r="D1632">
        <v>140</v>
      </c>
      <c r="E1632" s="4">
        <v>-20362740.280000001</v>
      </c>
      <c r="F1632" t="s">
        <v>80</v>
      </c>
      <c r="G1632">
        <v>0</v>
      </c>
      <c r="H1632" s="32" t="str">
        <f ca="1">+IF(B1632&gt;'sap nuevo'!$V$1,"cargar",IF(C1632="","cargar","pagado"))</f>
        <v>cargar</v>
      </c>
      <c r="I1632" s="32">
        <f t="shared" ref="I1632:I1641" si="222">+YEAR(B1632)</f>
        <v>2026</v>
      </c>
      <c r="J1632" s="32">
        <f t="shared" ref="J1632:J1641" si="223">+MONTH(B1632)</f>
        <v>1</v>
      </c>
    </row>
    <row r="1633" spans="1:10" x14ac:dyDescent="0.25">
      <c r="A1633" t="s">
        <v>21</v>
      </c>
      <c r="B1633" t="s">
        <v>293</v>
      </c>
      <c r="C1633">
        <v>91002841</v>
      </c>
      <c r="D1633">
        <v>140</v>
      </c>
      <c r="E1633" s="4">
        <v>-19722454.359999999</v>
      </c>
      <c r="F1633" t="s">
        <v>80</v>
      </c>
      <c r="G1633">
        <v>0</v>
      </c>
      <c r="H1633" s="32" t="str">
        <f ca="1">+IF(B1633&gt;'sap nuevo'!$V$1,"cargar",IF(C1633="","cargar","pagado"))</f>
        <v>cargar</v>
      </c>
      <c r="I1633" s="32">
        <f t="shared" si="222"/>
        <v>2026</v>
      </c>
      <c r="J1633" s="32">
        <f t="shared" si="223"/>
        <v>1</v>
      </c>
    </row>
    <row r="1634" spans="1:10" x14ac:dyDescent="0.25">
      <c r="A1634" t="s">
        <v>21</v>
      </c>
      <c r="B1634" t="s">
        <v>293</v>
      </c>
      <c r="C1634">
        <v>91002836</v>
      </c>
      <c r="D1634">
        <v>140</v>
      </c>
      <c r="E1634" s="4">
        <v>-15110549.279999999</v>
      </c>
      <c r="F1634" t="s">
        <v>80</v>
      </c>
      <c r="G1634">
        <v>0</v>
      </c>
      <c r="H1634" s="32" t="str">
        <f ca="1">+IF(B1634&gt;'sap nuevo'!$V$1,"cargar",IF(C1634="","cargar","pagado"))</f>
        <v>cargar</v>
      </c>
      <c r="I1634" s="32">
        <f t="shared" si="222"/>
        <v>2026</v>
      </c>
      <c r="J1634" s="32">
        <f t="shared" si="223"/>
        <v>1</v>
      </c>
    </row>
    <row r="1635" spans="1:10" x14ac:dyDescent="0.25">
      <c r="A1635" t="s">
        <v>21</v>
      </c>
      <c r="B1635" t="s">
        <v>293</v>
      </c>
      <c r="C1635">
        <v>91002827</v>
      </c>
      <c r="D1635">
        <v>140</v>
      </c>
      <c r="E1635" s="4">
        <v>-3036764.4</v>
      </c>
      <c r="F1635" t="s">
        <v>80</v>
      </c>
      <c r="G1635">
        <v>0</v>
      </c>
      <c r="H1635" s="32" t="str">
        <f ca="1">+IF(B1635&gt;'sap nuevo'!$V$1,"cargar",IF(C1635="","cargar","pagado"))</f>
        <v>cargar</v>
      </c>
      <c r="I1635" s="32">
        <f t="shared" si="222"/>
        <v>2026</v>
      </c>
      <c r="J1635" s="32">
        <f t="shared" si="223"/>
        <v>1</v>
      </c>
    </row>
    <row r="1636" spans="1:10" x14ac:dyDescent="0.25">
      <c r="A1636" t="s">
        <v>12</v>
      </c>
      <c r="B1636" t="s">
        <v>293</v>
      </c>
      <c r="C1636">
        <v>91002835</v>
      </c>
      <c r="D1636">
        <v>140</v>
      </c>
      <c r="E1636" s="4">
        <v>-2628447.5099999998</v>
      </c>
      <c r="F1636" t="s">
        <v>82</v>
      </c>
      <c r="G1636">
        <v>0</v>
      </c>
      <c r="H1636" s="32" t="str">
        <f ca="1">+IF(B1636&gt;'sap nuevo'!$V$1,"cargar",IF(C1636="","cargar","pagado"))</f>
        <v>cargar</v>
      </c>
      <c r="I1636" s="32">
        <f t="shared" si="222"/>
        <v>2026</v>
      </c>
      <c r="J1636" s="32">
        <f t="shared" si="223"/>
        <v>1</v>
      </c>
    </row>
    <row r="1637" spans="1:10" x14ac:dyDescent="0.25">
      <c r="A1637" t="s">
        <v>21</v>
      </c>
      <c r="B1637" t="s">
        <v>1707</v>
      </c>
      <c r="C1637">
        <v>91002839</v>
      </c>
      <c r="D1637">
        <v>140</v>
      </c>
      <c r="E1637" s="4">
        <v>-17748570.359999999</v>
      </c>
      <c r="F1637" t="s">
        <v>80</v>
      </c>
      <c r="G1637">
        <v>0</v>
      </c>
      <c r="H1637" s="32" t="str">
        <f ca="1">+IF(B1637&gt;'sap nuevo'!$V$1,"cargar",IF(C1637="","cargar","pagado"))</f>
        <v>cargar</v>
      </c>
      <c r="I1637" s="32">
        <f t="shared" si="222"/>
        <v>2026</v>
      </c>
      <c r="J1637" s="32">
        <f t="shared" si="223"/>
        <v>2</v>
      </c>
    </row>
    <row r="1638" spans="1:10" x14ac:dyDescent="0.25">
      <c r="A1638" t="s">
        <v>12</v>
      </c>
      <c r="B1638" t="s">
        <v>1707</v>
      </c>
      <c r="C1638">
        <v>91002837</v>
      </c>
      <c r="D1638">
        <v>140</v>
      </c>
      <c r="E1638" s="4">
        <v>-13284723.9</v>
      </c>
      <c r="F1638" t="s">
        <v>82</v>
      </c>
      <c r="G1638">
        <v>0</v>
      </c>
      <c r="H1638" s="32" t="str">
        <f ca="1">+IF(B1638&gt;'sap nuevo'!$V$1,"cargar",IF(C1638="","cargar","pagado"))</f>
        <v>cargar</v>
      </c>
      <c r="I1638" s="32">
        <f t="shared" si="222"/>
        <v>2026</v>
      </c>
      <c r="J1638" s="32">
        <f t="shared" si="223"/>
        <v>2</v>
      </c>
    </row>
    <row r="1639" spans="1:10" x14ac:dyDescent="0.25">
      <c r="A1639" t="s">
        <v>12</v>
      </c>
      <c r="B1639" t="s">
        <v>1707</v>
      </c>
      <c r="C1639">
        <v>91002833</v>
      </c>
      <c r="D1639">
        <v>140</v>
      </c>
      <c r="E1639" s="4">
        <v>-10690155</v>
      </c>
      <c r="F1639" t="s">
        <v>82</v>
      </c>
      <c r="G1639">
        <v>0</v>
      </c>
      <c r="H1639" s="32" t="str">
        <f ca="1">+IF(B1639&gt;'sap nuevo'!$V$1,"cargar",IF(C1639="","cargar","pagado"))</f>
        <v>cargar</v>
      </c>
      <c r="I1639" s="32">
        <f t="shared" si="222"/>
        <v>2026</v>
      </c>
      <c r="J1639" s="32">
        <f t="shared" si="223"/>
        <v>2</v>
      </c>
    </row>
    <row r="1640" spans="1:10" x14ac:dyDescent="0.25">
      <c r="A1640" t="s">
        <v>21</v>
      </c>
      <c r="B1640" t="s">
        <v>1707</v>
      </c>
      <c r="C1640">
        <v>91002825</v>
      </c>
      <c r="D1640">
        <v>140</v>
      </c>
      <c r="E1640" s="4">
        <v>-9597592.5600000005</v>
      </c>
      <c r="F1640" t="s">
        <v>80</v>
      </c>
      <c r="G1640">
        <v>0</v>
      </c>
      <c r="H1640" s="32" t="str">
        <f ca="1">+IF(B1640&gt;'sap nuevo'!$V$1,"cargar",IF(C1640="","cargar","pagado"))</f>
        <v>cargar</v>
      </c>
      <c r="I1640" s="32">
        <f t="shared" si="222"/>
        <v>2026</v>
      </c>
      <c r="J1640" s="32">
        <f t="shared" si="223"/>
        <v>2</v>
      </c>
    </row>
    <row r="1641" spans="1:10" x14ac:dyDescent="0.25">
      <c r="A1641" t="s">
        <v>21</v>
      </c>
      <c r="B1641" t="s">
        <v>1707</v>
      </c>
      <c r="C1641">
        <v>91002838</v>
      </c>
      <c r="D1641">
        <v>140</v>
      </c>
      <c r="E1641" s="4">
        <v>-9067788</v>
      </c>
      <c r="F1641" t="s">
        <v>80</v>
      </c>
      <c r="G1641">
        <v>0</v>
      </c>
      <c r="H1641" s="32" t="str">
        <f ca="1">+IF(B1641&gt;'sap nuevo'!$V$1,"cargar",IF(C1641="","cargar","pagado"))</f>
        <v>cargar</v>
      </c>
      <c r="I1641" s="32">
        <f t="shared" si="222"/>
        <v>2026</v>
      </c>
      <c r="J1641" s="32">
        <f t="shared" si="223"/>
        <v>2</v>
      </c>
    </row>
    <row r="1642" spans="1:10" x14ac:dyDescent="0.25">
      <c r="A1642" t="s">
        <v>21</v>
      </c>
      <c r="B1642" t="s">
        <v>1708</v>
      </c>
      <c r="C1642">
        <v>91002783</v>
      </c>
      <c r="D1642">
        <v>140</v>
      </c>
      <c r="E1642" s="4">
        <v>-5050299.0199999996</v>
      </c>
      <c r="F1642" t="s">
        <v>80</v>
      </c>
      <c r="G1642">
        <v>0</v>
      </c>
      <c r="H1642" s="32" t="str">
        <f ca="1">+IF(B1642&gt;'sap nuevo'!$V$1,"cargar",IF(C1642="","cargar","pagado"))</f>
        <v>cargar</v>
      </c>
      <c r="I1642" s="32">
        <f t="shared" ref="I1642:I1651" si="224">+YEAR(B1642)</f>
        <v>2026</v>
      </c>
      <c r="J1642" s="32">
        <f t="shared" ref="J1642:J1651" si="225">+MONTH(B1642)</f>
        <v>2</v>
      </c>
    </row>
    <row r="1643" spans="1:10" x14ac:dyDescent="0.25">
      <c r="A1643" t="s">
        <v>21</v>
      </c>
      <c r="B1643" t="s">
        <v>1708</v>
      </c>
      <c r="C1643">
        <v>91002828</v>
      </c>
      <c r="D1643">
        <v>140</v>
      </c>
      <c r="E1643" s="4">
        <v>-3059020.08</v>
      </c>
      <c r="F1643" t="s">
        <v>80</v>
      </c>
      <c r="G1643">
        <v>0</v>
      </c>
      <c r="H1643" s="32" t="str">
        <f ca="1">+IF(B1643&gt;'sap nuevo'!$V$1,"cargar",IF(C1643="","cargar","pagado"))</f>
        <v>cargar</v>
      </c>
      <c r="I1643" s="32">
        <f t="shared" si="224"/>
        <v>2026</v>
      </c>
      <c r="J1643" s="32">
        <f t="shared" si="225"/>
        <v>2</v>
      </c>
    </row>
    <row r="1644" spans="1:10" x14ac:dyDescent="0.25">
      <c r="A1644" t="s">
        <v>21</v>
      </c>
      <c r="B1644" t="s">
        <v>295</v>
      </c>
      <c r="C1644">
        <v>91002803</v>
      </c>
      <c r="D1644">
        <v>140</v>
      </c>
      <c r="E1644" s="4">
        <v>-5545687.6100000003</v>
      </c>
      <c r="F1644" t="s">
        <v>80</v>
      </c>
      <c r="G1644">
        <v>0</v>
      </c>
      <c r="H1644" s="32" t="str">
        <f ca="1">+IF(B1644&gt;'sap nuevo'!$V$1,"cargar",IF(C1644="","cargar","pagado"))</f>
        <v>cargar</v>
      </c>
      <c r="I1644" s="32">
        <f t="shared" si="224"/>
        <v>2026</v>
      </c>
      <c r="J1644" s="32">
        <f t="shared" si="225"/>
        <v>2</v>
      </c>
    </row>
    <row r="1645" spans="1:10" x14ac:dyDescent="0.25">
      <c r="A1645" t="s">
        <v>873</v>
      </c>
      <c r="B1645" t="s">
        <v>296</v>
      </c>
      <c r="C1645">
        <v>1980</v>
      </c>
      <c r="D1645">
        <v>9999</v>
      </c>
      <c r="E1645" s="4">
        <v>-38042804.490000002</v>
      </c>
      <c r="F1645" t="s">
        <v>1709</v>
      </c>
      <c r="G1645">
        <v>3520</v>
      </c>
      <c r="H1645" s="32" t="str">
        <f ca="1">+IF(B1645&gt;'sap nuevo'!$V$1,"cargar",IF(C1645="","cargar","pagado"))</f>
        <v>cargar</v>
      </c>
      <c r="I1645" s="32">
        <f t="shared" si="224"/>
        <v>2026</v>
      </c>
      <c r="J1645" s="32">
        <f t="shared" si="225"/>
        <v>2</v>
      </c>
    </row>
    <row r="1646" spans="1:10" x14ac:dyDescent="0.25">
      <c r="A1646" t="s">
        <v>21</v>
      </c>
      <c r="B1646" t="s">
        <v>298</v>
      </c>
      <c r="C1646">
        <v>91002844</v>
      </c>
      <c r="D1646">
        <v>140</v>
      </c>
      <c r="E1646" s="4">
        <v>-14238071.25</v>
      </c>
      <c r="F1646" t="s">
        <v>80</v>
      </c>
      <c r="G1646">
        <v>0</v>
      </c>
      <c r="H1646" s="32" t="str">
        <f ca="1">+IF(B1646&gt;'sap nuevo'!$V$1,"cargar",IF(C1646="","cargar","pagado"))</f>
        <v>cargar</v>
      </c>
      <c r="I1646" s="32">
        <f t="shared" si="224"/>
        <v>2026</v>
      </c>
      <c r="J1646" s="32">
        <f t="shared" si="225"/>
        <v>2</v>
      </c>
    </row>
    <row r="1647" spans="1:10" x14ac:dyDescent="0.25">
      <c r="A1647" t="s">
        <v>21</v>
      </c>
      <c r="B1647" t="s">
        <v>298</v>
      </c>
      <c r="C1647">
        <v>91002843</v>
      </c>
      <c r="D1647">
        <v>140</v>
      </c>
      <c r="E1647" s="4">
        <v>-7597267</v>
      </c>
      <c r="F1647" t="s">
        <v>80</v>
      </c>
      <c r="G1647">
        <v>0</v>
      </c>
      <c r="H1647" s="32" t="str">
        <f ca="1">+IF(B1647&gt;'sap nuevo'!$V$1,"cargar",IF(C1647="","cargar","pagado"))</f>
        <v>cargar</v>
      </c>
      <c r="I1647" s="32">
        <f t="shared" si="224"/>
        <v>2026</v>
      </c>
      <c r="J1647" s="32">
        <f t="shared" si="225"/>
        <v>2</v>
      </c>
    </row>
    <row r="1648" spans="1:10" x14ac:dyDescent="0.25">
      <c r="A1648" t="s">
        <v>21</v>
      </c>
      <c r="B1648" t="s">
        <v>298</v>
      </c>
      <c r="C1648">
        <v>91002845</v>
      </c>
      <c r="D1648">
        <v>140</v>
      </c>
      <c r="E1648" s="4">
        <v>-7153041.7400000002</v>
      </c>
      <c r="F1648" t="s">
        <v>80</v>
      </c>
      <c r="G1648">
        <v>0</v>
      </c>
      <c r="H1648" s="32" t="str">
        <f ca="1">+IF(B1648&gt;'sap nuevo'!$V$1,"cargar",IF(C1648="","cargar","pagado"))</f>
        <v>cargar</v>
      </c>
      <c r="I1648" s="32">
        <f t="shared" si="224"/>
        <v>2026</v>
      </c>
      <c r="J1648" s="32">
        <f t="shared" si="225"/>
        <v>2</v>
      </c>
    </row>
    <row r="1649" spans="1:10" x14ac:dyDescent="0.25">
      <c r="A1649" t="s">
        <v>21</v>
      </c>
      <c r="B1649" t="s">
        <v>299</v>
      </c>
      <c r="C1649">
        <v>91002848</v>
      </c>
      <c r="D1649">
        <v>140</v>
      </c>
      <c r="E1649" s="4">
        <v>-37544980.119999997</v>
      </c>
      <c r="F1649" t="s">
        <v>80</v>
      </c>
      <c r="G1649">
        <v>0</v>
      </c>
      <c r="H1649" s="32" t="str">
        <f ca="1">+IF(B1649&gt;'sap nuevo'!$V$1,"cargar",IF(C1649="","cargar","pagado"))</f>
        <v>cargar</v>
      </c>
      <c r="I1649" s="32">
        <f t="shared" si="224"/>
        <v>2026</v>
      </c>
      <c r="J1649" s="32">
        <f t="shared" si="225"/>
        <v>2</v>
      </c>
    </row>
    <row r="1650" spans="1:10" x14ac:dyDescent="0.25">
      <c r="A1650" t="s">
        <v>21</v>
      </c>
      <c r="B1650" t="s">
        <v>299</v>
      </c>
      <c r="C1650">
        <v>91002846</v>
      </c>
      <c r="D1650">
        <v>140</v>
      </c>
      <c r="E1650" s="4">
        <v>-22435146.670000002</v>
      </c>
      <c r="F1650" t="s">
        <v>80</v>
      </c>
      <c r="G1650">
        <v>0</v>
      </c>
      <c r="H1650" s="32" t="str">
        <f ca="1">+IF(B1650&gt;'sap nuevo'!$V$1,"cargar",IF(C1650="","cargar","pagado"))</f>
        <v>cargar</v>
      </c>
      <c r="I1650" s="32">
        <f t="shared" si="224"/>
        <v>2026</v>
      </c>
      <c r="J1650" s="32">
        <f t="shared" si="225"/>
        <v>2</v>
      </c>
    </row>
    <row r="1651" spans="1:10" x14ac:dyDescent="0.25">
      <c r="A1651" t="s">
        <v>21</v>
      </c>
      <c r="B1651" t="s">
        <v>299</v>
      </c>
      <c r="C1651">
        <v>91002849</v>
      </c>
      <c r="D1651">
        <v>140</v>
      </c>
      <c r="E1651" s="4">
        <v>-17191145.800000001</v>
      </c>
      <c r="F1651" t="s">
        <v>80</v>
      </c>
      <c r="G1651">
        <v>0</v>
      </c>
      <c r="H1651" s="32" t="str">
        <f ca="1">+IF(B1651&gt;'sap nuevo'!$V$1,"cargar",IF(C1651="","cargar","pagado"))</f>
        <v>cargar</v>
      </c>
      <c r="I1651" s="32">
        <f t="shared" si="224"/>
        <v>2026</v>
      </c>
      <c r="J1651" s="32">
        <f t="shared" si="225"/>
        <v>2</v>
      </c>
    </row>
    <row r="1652" spans="1:10" x14ac:dyDescent="0.25">
      <c r="A1652" t="s">
        <v>21</v>
      </c>
      <c r="B1652" t="s">
        <v>299</v>
      </c>
      <c r="C1652">
        <v>91002847</v>
      </c>
      <c r="D1652">
        <v>140</v>
      </c>
      <c r="E1652" s="4">
        <v>-8974159.4199999999</v>
      </c>
      <c r="F1652" t="s">
        <v>80</v>
      </c>
      <c r="G1652">
        <v>0</v>
      </c>
      <c r="H1652" s="32" t="str">
        <f ca="1">+IF(B1652&gt;'sap nuevo'!$V$1,"cargar",IF(C1652="","cargar","pagado"))</f>
        <v>cargar</v>
      </c>
      <c r="I1652" s="32">
        <f t="shared" ref="I1652:I1653" si="226">+YEAR(B1652)</f>
        <v>2026</v>
      </c>
      <c r="J1652" s="32">
        <f t="shared" ref="J1652:J1653" si="227">+MONTH(B1652)</f>
        <v>2</v>
      </c>
    </row>
    <row r="1653" spans="1:10" x14ac:dyDescent="0.25">
      <c r="A1653" t="s">
        <v>21</v>
      </c>
      <c r="B1653" t="s">
        <v>299</v>
      </c>
      <c r="C1653">
        <v>40273020</v>
      </c>
      <c r="D1653">
        <v>140</v>
      </c>
      <c r="E1653" s="4">
        <v>-3000000</v>
      </c>
      <c r="F1653" t="s">
        <v>80</v>
      </c>
      <c r="G1653">
        <v>0</v>
      </c>
      <c r="H1653" s="32" t="str">
        <f ca="1">+IF(B1653&gt;'sap nuevo'!$V$1,"cargar",IF(C1653="","cargar","pagado"))</f>
        <v>cargar</v>
      </c>
      <c r="I1653" s="32">
        <f t="shared" si="226"/>
        <v>2026</v>
      </c>
      <c r="J1653" s="32">
        <f t="shared" si="227"/>
        <v>2</v>
      </c>
    </row>
    <row r="1654" spans="1:10" x14ac:dyDescent="0.25">
      <c r="A1654" t="s">
        <v>21</v>
      </c>
      <c r="B1654" t="s">
        <v>300</v>
      </c>
      <c r="C1654">
        <v>91002850</v>
      </c>
      <c r="D1654">
        <v>140</v>
      </c>
      <c r="E1654" s="4">
        <v>-11870000</v>
      </c>
      <c r="F1654" t="s">
        <v>80</v>
      </c>
      <c r="G1654">
        <v>0</v>
      </c>
      <c r="H1654" s="32" t="str">
        <f ca="1">+IF(B1654&gt;'sap nuevo'!$V$1,"cargar",IF(C1654="","cargar","pagado"))</f>
        <v>cargar</v>
      </c>
      <c r="I1654" s="32">
        <f t="shared" ref="I1654" si="228">+YEAR(B1654)</f>
        <v>2026</v>
      </c>
      <c r="J1654" s="32">
        <f t="shared" ref="J1654" si="229">+MONTH(B1654)</f>
        <v>2</v>
      </c>
    </row>
    <row r="1655" spans="1:10" x14ac:dyDescent="0.25">
      <c r="A1655" t="s">
        <v>21</v>
      </c>
      <c r="B1655" t="s">
        <v>301</v>
      </c>
      <c r="C1655">
        <v>91002875</v>
      </c>
      <c r="D1655">
        <v>140</v>
      </c>
      <c r="E1655" s="4">
        <v>-120000000</v>
      </c>
      <c r="F1655" t="s">
        <v>80</v>
      </c>
      <c r="G1655">
        <v>0</v>
      </c>
      <c r="H1655" s="32" t="str">
        <f ca="1">+IF(B1655&gt;'sap nuevo'!$V$1,"cargar",IF(C1655="","cargar","pagado"))</f>
        <v>cargar</v>
      </c>
      <c r="I1655" s="32">
        <f t="shared" ref="I1655:I1660" si="230">+YEAR(B1655)</f>
        <v>2026</v>
      </c>
      <c r="J1655" s="32">
        <f t="shared" ref="J1655:J1660" si="231">+MONTH(B1655)</f>
        <v>2</v>
      </c>
    </row>
    <row r="1656" spans="1:10" x14ac:dyDescent="0.25">
      <c r="A1656" t="s">
        <v>21</v>
      </c>
      <c r="B1656" t="s">
        <v>301</v>
      </c>
      <c r="C1656">
        <v>91002862</v>
      </c>
      <c r="D1656">
        <v>140</v>
      </c>
      <c r="E1656" s="4">
        <v>-85000000</v>
      </c>
      <c r="F1656" t="s">
        <v>80</v>
      </c>
      <c r="G1656">
        <v>0</v>
      </c>
      <c r="H1656" s="32" t="str">
        <f ca="1">+IF(B1656&gt;'sap nuevo'!$V$1,"cargar",IF(C1656="","cargar","pagado"))</f>
        <v>cargar</v>
      </c>
      <c r="I1656" s="32">
        <f t="shared" si="230"/>
        <v>2026</v>
      </c>
      <c r="J1656" s="32">
        <f t="shared" si="231"/>
        <v>2</v>
      </c>
    </row>
    <row r="1657" spans="1:10" x14ac:dyDescent="0.25">
      <c r="A1657" t="s">
        <v>12</v>
      </c>
      <c r="B1657" t="s">
        <v>301</v>
      </c>
      <c r="C1657">
        <v>91002868</v>
      </c>
      <c r="D1657">
        <v>140</v>
      </c>
      <c r="E1657" s="4">
        <v>-20000000</v>
      </c>
      <c r="F1657" t="s">
        <v>82</v>
      </c>
      <c r="G1657">
        <v>0</v>
      </c>
      <c r="H1657" s="32" t="str">
        <f ca="1">+IF(B1657&gt;'sap nuevo'!$V$1,"cargar",IF(C1657="","cargar","pagado"))</f>
        <v>cargar</v>
      </c>
      <c r="I1657" s="32">
        <f t="shared" si="230"/>
        <v>2026</v>
      </c>
      <c r="J1657" s="32">
        <f t="shared" si="231"/>
        <v>2</v>
      </c>
    </row>
    <row r="1658" spans="1:10" x14ac:dyDescent="0.25">
      <c r="A1658" t="s">
        <v>21</v>
      </c>
      <c r="B1658" t="s">
        <v>301</v>
      </c>
      <c r="C1658">
        <v>91002872</v>
      </c>
      <c r="D1658">
        <v>140</v>
      </c>
      <c r="E1658" s="4">
        <v>-12000000</v>
      </c>
      <c r="F1658" t="s">
        <v>80</v>
      </c>
      <c r="G1658">
        <v>0</v>
      </c>
      <c r="H1658" s="32" t="str">
        <f ca="1">+IF(B1658&gt;'sap nuevo'!$V$1,"cargar",IF(C1658="","cargar","pagado"))</f>
        <v>cargar</v>
      </c>
      <c r="I1658" s="32">
        <f t="shared" si="230"/>
        <v>2026</v>
      </c>
      <c r="J1658" s="32">
        <f t="shared" si="231"/>
        <v>2</v>
      </c>
    </row>
    <row r="1659" spans="1:10" x14ac:dyDescent="0.25">
      <c r="A1659" t="s">
        <v>21</v>
      </c>
      <c r="B1659" t="s">
        <v>301</v>
      </c>
      <c r="C1659">
        <v>91002873</v>
      </c>
      <c r="D1659">
        <v>140</v>
      </c>
      <c r="E1659" s="4">
        <v>-7000000</v>
      </c>
      <c r="F1659" t="s">
        <v>80</v>
      </c>
      <c r="G1659">
        <v>0</v>
      </c>
      <c r="H1659" s="32" t="str">
        <f ca="1">+IF(B1659&gt;'sap nuevo'!$V$1,"cargar",IF(C1659="","cargar","pagado"))</f>
        <v>cargar</v>
      </c>
      <c r="I1659" s="32">
        <f t="shared" si="230"/>
        <v>2026</v>
      </c>
      <c r="J1659" s="32">
        <f t="shared" si="231"/>
        <v>2</v>
      </c>
    </row>
    <row r="1660" spans="1:10" x14ac:dyDescent="0.25">
      <c r="A1660" t="s">
        <v>21</v>
      </c>
      <c r="B1660" t="s">
        <v>301</v>
      </c>
      <c r="C1660">
        <v>91002879</v>
      </c>
      <c r="D1660">
        <v>140</v>
      </c>
      <c r="E1660" s="4">
        <v>-5608563.4000000004</v>
      </c>
      <c r="F1660" t="s">
        <v>80</v>
      </c>
      <c r="G1660">
        <v>0</v>
      </c>
      <c r="H1660" s="32" t="str">
        <f ca="1">+IF(B1660&gt;'sap nuevo'!$V$1,"cargar",IF(C1660="","cargar","pagado"))</f>
        <v>cargar</v>
      </c>
      <c r="I1660" s="32">
        <f t="shared" si="230"/>
        <v>2026</v>
      </c>
      <c r="J1660" s="32">
        <f t="shared" si="231"/>
        <v>2</v>
      </c>
    </row>
    <row r="1661" spans="1:10" x14ac:dyDescent="0.25">
      <c r="A1661" t="s">
        <v>21</v>
      </c>
      <c r="B1661" t="s">
        <v>302</v>
      </c>
      <c r="C1661">
        <v>91002863</v>
      </c>
      <c r="D1661">
        <v>140</v>
      </c>
      <c r="E1661" s="4">
        <v>-80020760.019999996</v>
      </c>
      <c r="F1661" t="s">
        <v>80</v>
      </c>
      <c r="G1661">
        <v>0</v>
      </c>
      <c r="H1661" s="32" t="str">
        <f ca="1">+IF(B1661&gt;'sap nuevo'!$V$1,"cargar",IF(C1661="","cargar","pagado"))</f>
        <v>cargar</v>
      </c>
      <c r="I1661" s="32">
        <f t="shared" ref="I1661:I1676" si="232">+YEAR(B1661)</f>
        <v>2026</v>
      </c>
      <c r="J1661" s="32">
        <f t="shared" ref="J1661:J1676" si="233">+MONTH(B1661)</f>
        <v>2</v>
      </c>
    </row>
    <row r="1662" spans="1:10" x14ac:dyDescent="0.25">
      <c r="A1662" t="s">
        <v>21</v>
      </c>
      <c r="B1662" t="s">
        <v>302</v>
      </c>
      <c r="C1662">
        <v>91002882</v>
      </c>
      <c r="D1662">
        <v>140</v>
      </c>
      <c r="E1662" s="4">
        <v>-38463121.780000001</v>
      </c>
      <c r="F1662" t="s">
        <v>80</v>
      </c>
      <c r="G1662">
        <v>0</v>
      </c>
      <c r="H1662" s="32" t="str">
        <f ca="1">+IF(B1662&gt;'sap nuevo'!$V$1,"cargar",IF(C1662="","cargar","pagado"))</f>
        <v>cargar</v>
      </c>
      <c r="I1662" s="32">
        <f t="shared" si="232"/>
        <v>2026</v>
      </c>
      <c r="J1662" s="32">
        <f t="shared" si="233"/>
        <v>2</v>
      </c>
    </row>
    <row r="1663" spans="1:10" x14ac:dyDescent="0.25">
      <c r="A1663" t="s">
        <v>12</v>
      </c>
      <c r="B1663" t="s">
        <v>302</v>
      </c>
      <c r="C1663">
        <v>91002871</v>
      </c>
      <c r="D1663">
        <v>140</v>
      </c>
      <c r="E1663" s="4">
        <v>-36620633.600000001</v>
      </c>
      <c r="F1663" t="s">
        <v>82</v>
      </c>
      <c r="G1663">
        <v>0</v>
      </c>
      <c r="H1663" s="32" t="str">
        <f ca="1">+IF(B1663&gt;'sap nuevo'!$V$1,"cargar",IF(C1663="","cargar","pagado"))</f>
        <v>cargar</v>
      </c>
      <c r="I1663" s="32">
        <f t="shared" si="232"/>
        <v>2026</v>
      </c>
      <c r="J1663" s="32">
        <f t="shared" si="233"/>
        <v>2</v>
      </c>
    </row>
    <row r="1664" spans="1:10" x14ac:dyDescent="0.25">
      <c r="A1664" t="s">
        <v>21</v>
      </c>
      <c r="B1664" t="s">
        <v>302</v>
      </c>
      <c r="C1664">
        <v>91002709</v>
      </c>
      <c r="D1664">
        <v>140</v>
      </c>
      <c r="E1664" s="4">
        <v>-35813360.630000003</v>
      </c>
      <c r="F1664" t="s">
        <v>80</v>
      </c>
      <c r="G1664">
        <v>0</v>
      </c>
      <c r="H1664" s="32" t="str">
        <f ca="1">+IF(B1664&gt;'sap nuevo'!$V$1,"cargar",IF(C1664="","cargar","pagado"))</f>
        <v>cargar</v>
      </c>
      <c r="I1664" s="32">
        <f t="shared" si="232"/>
        <v>2026</v>
      </c>
      <c r="J1664" s="32">
        <f t="shared" si="233"/>
        <v>2</v>
      </c>
    </row>
    <row r="1665" spans="1:10" x14ac:dyDescent="0.25">
      <c r="A1665" t="s">
        <v>21</v>
      </c>
      <c r="B1665" t="s">
        <v>302</v>
      </c>
      <c r="C1665">
        <v>91002864</v>
      </c>
      <c r="D1665">
        <v>140</v>
      </c>
      <c r="E1665" s="4">
        <v>-30691564.98</v>
      </c>
      <c r="F1665" t="s">
        <v>80</v>
      </c>
      <c r="G1665">
        <v>0</v>
      </c>
      <c r="H1665" s="32" t="str">
        <f ca="1">+IF(B1665&gt;'sap nuevo'!$V$1,"cargar",IF(C1665="","cargar","pagado"))</f>
        <v>cargar</v>
      </c>
      <c r="I1665" s="32">
        <f t="shared" si="232"/>
        <v>2026</v>
      </c>
      <c r="J1665" s="32">
        <f t="shared" si="233"/>
        <v>2</v>
      </c>
    </row>
    <row r="1666" spans="1:10" x14ac:dyDescent="0.25">
      <c r="A1666" t="s">
        <v>12</v>
      </c>
      <c r="B1666" t="s">
        <v>302</v>
      </c>
      <c r="C1666">
        <v>91002870</v>
      </c>
      <c r="D1666">
        <v>140</v>
      </c>
      <c r="E1666" s="4">
        <v>-30000000</v>
      </c>
      <c r="F1666" t="s">
        <v>82</v>
      </c>
      <c r="G1666">
        <v>0</v>
      </c>
      <c r="H1666" s="32" t="str">
        <f ca="1">+IF(B1666&gt;'sap nuevo'!$V$1,"cargar",IF(C1666="","cargar","pagado"))</f>
        <v>cargar</v>
      </c>
      <c r="I1666" s="32">
        <f t="shared" si="232"/>
        <v>2026</v>
      </c>
      <c r="J1666" s="32">
        <f t="shared" si="233"/>
        <v>2</v>
      </c>
    </row>
    <row r="1667" spans="1:10" x14ac:dyDescent="0.25">
      <c r="A1667" t="s">
        <v>21</v>
      </c>
      <c r="B1667" t="s">
        <v>302</v>
      </c>
      <c r="C1667">
        <v>91002842</v>
      </c>
      <c r="D1667">
        <v>140</v>
      </c>
      <c r="E1667" s="4">
        <v>-23775738.850000001</v>
      </c>
      <c r="F1667" t="s">
        <v>80</v>
      </c>
      <c r="G1667">
        <v>0</v>
      </c>
      <c r="H1667" s="32" t="str">
        <f ca="1">+IF(B1667&gt;'sap nuevo'!$V$1,"cargar",IF(C1667="","cargar","pagado"))</f>
        <v>cargar</v>
      </c>
      <c r="I1667" s="32">
        <f t="shared" si="232"/>
        <v>2026</v>
      </c>
      <c r="J1667" s="32">
        <f t="shared" si="233"/>
        <v>2</v>
      </c>
    </row>
    <row r="1668" spans="1:10" x14ac:dyDescent="0.25">
      <c r="A1668" t="s">
        <v>12</v>
      </c>
      <c r="B1668" t="s">
        <v>302</v>
      </c>
      <c r="C1668">
        <v>91002869</v>
      </c>
      <c r="D1668">
        <v>140</v>
      </c>
      <c r="E1668" s="4">
        <v>-20176442.02</v>
      </c>
      <c r="F1668" t="s">
        <v>82</v>
      </c>
      <c r="G1668">
        <v>0</v>
      </c>
      <c r="H1668" s="32" t="str">
        <f ca="1">+IF(B1668&gt;'sap nuevo'!$V$1,"cargar",IF(C1668="","cargar","pagado"))</f>
        <v>cargar</v>
      </c>
      <c r="I1668" s="32">
        <f t="shared" si="232"/>
        <v>2026</v>
      </c>
      <c r="J1668" s="32">
        <f t="shared" si="233"/>
        <v>2</v>
      </c>
    </row>
    <row r="1669" spans="1:10" x14ac:dyDescent="0.25">
      <c r="A1669" t="s">
        <v>21</v>
      </c>
      <c r="B1669" t="s">
        <v>302</v>
      </c>
      <c r="C1669">
        <v>91002881</v>
      </c>
      <c r="D1669">
        <v>140</v>
      </c>
      <c r="E1669" s="4">
        <v>-13546784.869999999</v>
      </c>
      <c r="F1669" t="s">
        <v>80</v>
      </c>
      <c r="G1669">
        <v>0</v>
      </c>
      <c r="H1669" s="32" t="str">
        <f ca="1">+IF(B1669&gt;'sap nuevo'!$V$1,"cargar",IF(C1669="","cargar","pagado"))</f>
        <v>cargar</v>
      </c>
      <c r="I1669" s="32">
        <f t="shared" si="232"/>
        <v>2026</v>
      </c>
      <c r="J1669" s="32">
        <f t="shared" si="233"/>
        <v>2</v>
      </c>
    </row>
    <row r="1670" spans="1:10" x14ac:dyDescent="0.25">
      <c r="A1670" t="s">
        <v>21</v>
      </c>
      <c r="B1670" t="s">
        <v>302</v>
      </c>
      <c r="C1670">
        <v>91002832</v>
      </c>
      <c r="D1670">
        <v>140</v>
      </c>
      <c r="E1670" s="4">
        <v>-13294432.130000001</v>
      </c>
      <c r="F1670" t="s">
        <v>80</v>
      </c>
      <c r="G1670">
        <v>0</v>
      </c>
      <c r="H1670" s="32" t="str">
        <f ca="1">+IF(B1670&gt;'sap nuevo'!$V$1,"cargar",IF(C1670="","cargar","pagado"))</f>
        <v>cargar</v>
      </c>
      <c r="I1670" s="32">
        <f t="shared" si="232"/>
        <v>2026</v>
      </c>
      <c r="J1670" s="32">
        <f t="shared" si="233"/>
        <v>2</v>
      </c>
    </row>
    <row r="1671" spans="1:10" x14ac:dyDescent="0.25">
      <c r="A1671" t="s">
        <v>21</v>
      </c>
      <c r="B1671" t="s">
        <v>302</v>
      </c>
      <c r="C1671">
        <v>91002867</v>
      </c>
      <c r="D1671">
        <v>140</v>
      </c>
      <c r="E1671" s="4">
        <v>-11799074.5</v>
      </c>
      <c r="F1671" t="s">
        <v>80</v>
      </c>
      <c r="G1671">
        <v>0</v>
      </c>
      <c r="H1671" s="32" t="str">
        <f ca="1">+IF(B1671&gt;'sap nuevo'!$V$1,"cargar",IF(C1671="","cargar","pagado"))</f>
        <v>cargar</v>
      </c>
      <c r="I1671" s="32">
        <f t="shared" si="232"/>
        <v>2026</v>
      </c>
      <c r="J1671" s="32">
        <f t="shared" si="233"/>
        <v>2</v>
      </c>
    </row>
    <row r="1672" spans="1:10" x14ac:dyDescent="0.25">
      <c r="A1672" t="s">
        <v>12</v>
      </c>
      <c r="B1672" t="s">
        <v>302</v>
      </c>
      <c r="C1672">
        <v>91002880</v>
      </c>
      <c r="D1672">
        <v>140</v>
      </c>
      <c r="E1672" s="4">
        <v>-10899983.93</v>
      </c>
      <c r="F1672" t="s">
        <v>82</v>
      </c>
      <c r="G1672">
        <v>0</v>
      </c>
      <c r="H1672" s="32" t="str">
        <f ca="1">+IF(B1672&gt;'sap nuevo'!$V$1,"cargar",IF(C1672="","cargar","pagado"))</f>
        <v>cargar</v>
      </c>
      <c r="I1672" s="32">
        <f t="shared" si="232"/>
        <v>2026</v>
      </c>
      <c r="J1672" s="32">
        <f t="shared" si="233"/>
        <v>2</v>
      </c>
    </row>
    <row r="1673" spans="1:10" x14ac:dyDescent="0.25">
      <c r="A1673" t="s">
        <v>21</v>
      </c>
      <c r="B1673" t="s">
        <v>302</v>
      </c>
      <c r="C1673">
        <v>91002860</v>
      </c>
      <c r="D1673">
        <v>140</v>
      </c>
      <c r="E1673" s="4">
        <v>-6765336.3399999999</v>
      </c>
      <c r="F1673" t="s">
        <v>80</v>
      </c>
      <c r="G1673">
        <v>0</v>
      </c>
      <c r="H1673" s="32" t="str">
        <f ca="1">+IF(B1673&gt;'sap nuevo'!$V$1,"cargar",IF(C1673="","cargar","pagado"))</f>
        <v>cargar</v>
      </c>
      <c r="I1673" s="32">
        <f t="shared" si="232"/>
        <v>2026</v>
      </c>
      <c r="J1673" s="32">
        <f t="shared" si="233"/>
        <v>2</v>
      </c>
    </row>
    <row r="1674" spans="1:10" x14ac:dyDescent="0.25">
      <c r="A1674" t="s">
        <v>21</v>
      </c>
      <c r="B1674" t="s">
        <v>302</v>
      </c>
      <c r="C1674">
        <v>91002865</v>
      </c>
      <c r="D1674">
        <v>140</v>
      </c>
      <c r="E1674" s="4">
        <v>-5000000</v>
      </c>
      <c r="F1674" t="s">
        <v>80</v>
      </c>
      <c r="G1674">
        <v>0</v>
      </c>
      <c r="H1674" s="32" t="str">
        <f ca="1">+IF(B1674&gt;'sap nuevo'!$V$1,"cargar",IF(C1674="","cargar","pagado"))</f>
        <v>cargar</v>
      </c>
      <c r="I1674" s="32">
        <f t="shared" si="232"/>
        <v>2026</v>
      </c>
      <c r="J1674" s="32">
        <f t="shared" si="233"/>
        <v>2</v>
      </c>
    </row>
    <row r="1675" spans="1:10" x14ac:dyDescent="0.25">
      <c r="A1675" t="s">
        <v>21</v>
      </c>
      <c r="B1675" t="s">
        <v>302</v>
      </c>
      <c r="C1675">
        <v>91002866</v>
      </c>
      <c r="D1675">
        <v>140</v>
      </c>
      <c r="E1675" s="4">
        <v>-5000000</v>
      </c>
      <c r="F1675" t="s">
        <v>80</v>
      </c>
      <c r="G1675">
        <v>0</v>
      </c>
      <c r="H1675" s="32" t="str">
        <f ca="1">+IF(B1675&gt;'sap nuevo'!$V$1,"cargar",IF(C1675="","cargar","pagado"))</f>
        <v>cargar</v>
      </c>
      <c r="I1675" s="32">
        <f t="shared" si="232"/>
        <v>2026</v>
      </c>
      <c r="J1675" s="32">
        <f t="shared" si="233"/>
        <v>2</v>
      </c>
    </row>
    <row r="1676" spans="1:10" x14ac:dyDescent="0.25">
      <c r="A1676" t="s">
        <v>21</v>
      </c>
      <c r="B1676" t="s">
        <v>302</v>
      </c>
      <c r="C1676">
        <v>91002874</v>
      </c>
      <c r="D1676">
        <v>140</v>
      </c>
      <c r="E1676" s="4">
        <v>-4500000</v>
      </c>
      <c r="F1676" t="s">
        <v>80</v>
      </c>
      <c r="G1676">
        <v>0</v>
      </c>
      <c r="H1676" s="32" t="str">
        <f ca="1">+IF(B1676&gt;'sap nuevo'!$V$1,"cargar",IF(C1676="","cargar","pagado"))</f>
        <v>cargar</v>
      </c>
      <c r="I1676" s="32">
        <f t="shared" si="232"/>
        <v>2026</v>
      </c>
      <c r="J1676" s="32">
        <f t="shared" si="233"/>
        <v>2</v>
      </c>
    </row>
    <row r="1677" spans="1:10" x14ac:dyDescent="0.25">
      <c r="A1677" t="s">
        <v>21</v>
      </c>
      <c r="B1677" t="s">
        <v>303</v>
      </c>
      <c r="C1677">
        <v>91002876</v>
      </c>
      <c r="D1677">
        <v>140</v>
      </c>
      <c r="E1677" s="4">
        <v>-135844373.69</v>
      </c>
      <c r="F1677" t="s">
        <v>80</v>
      </c>
      <c r="G1677">
        <v>0</v>
      </c>
      <c r="H1677" s="32" t="str">
        <f ca="1">+IF(B1677&gt;'sap nuevo'!$V$1,"cargar",IF(C1677="","cargar","pagado"))</f>
        <v>cargar</v>
      </c>
      <c r="I1677" s="32">
        <f t="shared" ref="I1677:I1689" si="234">+YEAR(B1677)</f>
        <v>2026</v>
      </c>
      <c r="J1677" s="32">
        <f t="shared" ref="J1677:J1689" si="235">+MONTH(B1677)</f>
        <v>2</v>
      </c>
    </row>
    <row r="1678" spans="1:10" x14ac:dyDescent="0.25">
      <c r="A1678" t="s">
        <v>21</v>
      </c>
      <c r="B1678" t="s">
        <v>303</v>
      </c>
      <c r="C1678">
        <v>91002894</v>
      </c>
      <c r="D1678">
        <v>140</v>
      </c>
      <c r="E1678" s="4">
        <v>-25314860</v>
      </c>
      <c r="F1678" t="s">
        <v>80</v>
      </c>
      <c r="G1678">
        <v>0</v>
      </c>
      <c r="H1678" s="32" t="str">
        <f ca="1">+IF(B1678&gt;'sap nuevo'!$V$1,"cargar",IF(C1678="","cargar","pagado"))</f>
        <v>cargar</v>
      </c>
      <c r="I1678" s="32">
        <f t="shared" si="234"/>
        <v>2026</v>
      </c>
      <c r="J1678" s="32">
        <f t="shared" si="235"/>
        <v>2</v>
      </c>
    </row>
    <row r="1679" spans="1:10" x14ac:dyDescent="0.25">
      <c r="A1679" t="s">
        <v>21</v>
      </c>
      <c r="B1679" t="s">
        <v>303</v>
      </c>
      <c r="C1679">
        <v>91002893</v>
      </c>
      <c r="D1679">
        <v>140</v>
      </c>
      <c r="E1679" s="4">
        <v>-6982588.7800000003</v>
      </c>
      <c r="F1679" t="s">
        <v>80</v>
      </c>
      <c r="G1679">
        <v>0</v>
      </c>
      <c r="H1679" s="32" t="str">
        <f ca="1">+IF(B1679&gt;'sap nuevo'!$V$1,"cargar",IF(C1679="","cargar","pagado"))</f>
        <v>cargar</v>
      </c>
      <c r="I1679" s="32">
        <f t="shared" si="234"/>
        <v>2026</v>
      </c>
      <c r="J1679" s="32">
        <f t="shared" si="235"/>
        <v>2</v>
      </c>
    </row>
    <row r="1680" spans="1:10" x14ac:dyDescent="0.25">
      <c r="A1680" t="s">
        <v>21</v>
      </c>
      <c r="B1680" t="s">
        <v>303</v>
      </c>
      <c r="C1680">
        <v>91002887</v>
      </c>
      <c r="D1680">
        <v>140</v>
      </c>
      <c r="E1680" s="4">
        <v>-6773308.4900000002</v>
      </c>
      <c r="F1680" t="s">
        <v>80</v>
      </c>
      <c r="G1680">
        <v>0</v>
      </c>
      <c r="H1680" s="32" t="str">
        <f ca="1">+IF(B1680&gt;'sap nuevo'!$V$1,"cargar",IF(C1680="","cargar","pagado"))</f>
        <v>cargar</v>
      </c>
      <c r="I1680" s="32">
        <f t="shared" si="234"/>
        <v>2026</v>
      </c>
      <c r="J1680" s="32">
        <f t="shared" si="235"/>
        <v>2</v>
      </c>
    </row>
    <row r="1681" spans="1:10" x14ac:dyDescent="0.25">
      <c r="A1681" t="s">
        <v>21</v>
      </c>
      <c r="B1681" t="s">
        <v>303</v>
      </c>
      <c r="C1681">
        <v>91002892</v>
      </c>
      <c r="D1681">
        <v>140</v>
      </c>
      <c r="E1681" s="4">
        <v>-5214080.0999999996</v>
      </c>
      <c r="F1681" t="s">
        <v>80</v>
      </c>
      <c r="G1681">
        <v>0</v>
      </c>
      <c r="H1681" s="32" t="str">
        <f ca="1">+IF(B1681&gt;'sap nuevo'!$V$1,"cargar",IF(C1681="","cargar","pagado"))</f>
        <v>cargar</v>
      </c>
      <c r="I1681" s="32">
        <f t="shared" si="234"/>
        <v>2026</v>
      </c>
      <c r="J1681" s="32">
        <f t="shared" si="235"/>
        <v>2</v>
      </c>
    </row>
    <row r="1682" spans="1:10" x14ac:dyDescent="0.25">
      <c r="A1682" t="s">
        <v>21</v>
      </c>
      <c r="B1682" t="s">
        <v>303</v>
      </c>
      <c r="C1682">
        <v>91002888</v>
      </c>
      <c r="D1682">
        <v>140</v>
      </c>
      <c r="E1682" s="4">
        <v>-4515538.99</v>
      </c>
      <c r="F1682" t="s">
        <v>80</v>
      </c>
      <c r="G1682">
        <v>0</v>
      </c>
      <c r="H1682" s="32" t="str">
        <f ca="1">+IF(B1682&gt;'sap nuevo'!$V$1,"cargar",IF(C1682="","cargar","pagado"))</f>
        <v>cargar</v>
      </c>
      <c r="I1682" s="32">
        <f t="shared" si="234"/>
        <v>2026</v>
      </c>
      <c r="J1682" s="32">
        <f t="shared" si="235"/>
        <v>2</v>
      </c>
    </row>
    <row r="1683" spans="1:10" x14ac:dyDescent="0.25">
      <c r="A1683" t="s">
        <v>21</v>
      </c>
      <c r="B1683" t="s">
        <v>303</v>
      </c>
      <c r="C1683">
        <v>91002885</v>
      </c>
      <c r="D1683">
        <v>140</v>
      </c>
      <c r="E1683" s="4">
        <v>-3551708.4</v>
      </c>
      <c r="F1683" t="s">
        <v>80</v>
      </c>
      <c r="G1683">
        <v>0</v>
      </c>
      <c r="H1683" s="32" t="str">
        <f ca="1">+IF(B1683&gt;'sap nuevo'!$V$1,"cargar",IF(C1683="","cargar","pagado"))</f>
        <v>cargar</v>
      </c>
      <c r="I1683" s="32">
        <f t="shared" si="234"/>
        <v>2026</v>
      </c>
      <c r="J1683" s="32">
        <f t="shared" si="235"/>
        <v>2</v>
      </c>
    </row>
    <row r="1684" spans="1:10" x14ac:dyDescent="0.25">
      <c r="A1684" t="s">
        <v>21</v>
      </c>
      <c r="B1684" t="s">
        <v>304</v>
      </c>
      <c r="C1684">
        <v>91002891</v>
      </c>
      <c r="D1684">
        <v>140</v>
      </c>
      <c r="E1684" s="4">
        <v>-44368343.399999999</v>
      </c>
      <c r="F1684" t="s">
        <v>80</v>
      </c>
      <c r="G1684">
        <v>0</v>
      </c>
      <c r="H1684" s="32" t="str">
        <f ca="1">+IF(B1684&gt;'sap nuevo'!$V$1,"cargar",IF(C1684="","cargar","pagado"))</f>
        <v>cargar</v>
      </c>
      <c r="I1684" s="32">
        <f t="shared" si="234"/>
        <v>2026</v>
      </c>
      <c r="J1684" s="32">
        <f t="shared" si="235"/>
        <v>2</v>
      </c>
    </row>
    <row r="1685" spans="1:10" x14ac:dyDescent="0.25">
      <c r="A1685" t="s">
        <v>21</v>
      </c>
      <c r="B1685" t="s">
        <v>304</v>
      </c>
      <c r="C1685">
        <v>91002890</v>
      </c>
      <c r="D1685">
        <v>140</v>
      </c>
      <c r="E1685" s="4">
        <v>-20191480.879999999</v>
      </c>
      <c r="F1685" t="s">
        <v>80</v>
      </c>
      <c r="G1685">
        <v>0</v>
      </c>
      <c r="H1685" s="32" t="str">
        <f ca="1">+IF(B1685&gt;'sap nuevo'!$V$1,"cargar",IF(C1685="","cargar","pagado"))</f>
        <v>cargar</v>
      </c>
      <c r="I1685" s="32">
        <f t="shared" si="234"/>
        <v>2026</v>
      </c>
      <c r="J1685" s="32">
        <f t="shared" si="235"/>
        <v>2</v>
      </c>
    </row>
    <row r="1686" spans="1:10" x14ac:dyDescent="0.25">
      <c r="A1686" t="s">
        <v>21</v>
      </c>
      <c r="B1686" t="s">
        <v>304</v>
      </c>
      <c r="C1686">
        <v>91002889</v>
      </c>
      <c r="D1686">
        <v>140</v>
      </c>
      <c r="E1686" s="4">
        <v>-18235288.73</v>
      </c>
      <c r="F1686" t="s">
        <v>80</v>
      </c>
      <c r="G1686">
        <v>0</v>
      </c>
      <c r="H1686" s="32" t="str">
        <f ca="1">+IF(B1686&gt;'sap nuevo'!$V$1,"cargar",IF(C1686="","cargar","pagado"))</f>
        <v>cargar</v>
      </c>
      <c r="I1686" s="32">
        <f t="shared" si="234"/>
        <v>2026</v>
      </c>
      <c r="J1686" s="32">
        <f t="shared" si="235"/>
        <v>2</v>
      </c>
    </row>
    <row r="1687" spans="1:10" x14ac:dyDescent="0.25">
      <c r="A1687" t="s">
        <v>21</v>
      </c>
      <c r="B1687" t="s">
        <v>304</v>
      </c>
      <c r="C1687">
        <v>91002886</v>
      </c>
      <c r="D1687">
        <v>140</v>
      </c>
      <c r="E1687" s="4">
        <v>-9848493.5199999996</v>
      </c>
      <c r="F1687" t="s">
        <v>80</v>
      </c>
      <c r="G1687">
        <v>0</v>
      </c>
      <c r="H1687" s="32" t="str">
        <f ca="1">+IF(B1687&gt;'sap nuevo'!$V$1,"cargar",IF(C1687="","cargar","pagado"))</f>
        <v>cargar</v>
      </c>
      <c r="I1687" s="32">
        <f t="shared" si="234"/>
        <v>2026</v>
      </c>
      <c r="J1687" s="32">
        <f t="shared" si="235"/>
        <v>2</v>
      </c>
    </row>
    <row r="1688" spans="1:10" x14ac:dyDescent="0.25">
      <c r="A1688" t="s">
        <v>12</v>
      </c>
      <c r="B1688" t="s">
        <v>305</v>
      </c>
      <c r="C1688">
        <v>40273010</v>
      </c>
      <c r="D1688">
        <v>140</v>
      </c>
      <c r="E1688" s="4">
        <v>-21631711.25</v>
      </c>
      <c r="F1688" t="s">
        <v>82</v>
      </c>
      <c r="G1688">
        <v>0</v>
      </c>
      <c r="H1688" s="32" t="str">
        <f ca="1">+IF(B1688&gt;'sap nuevo'!$V$1,"cargar",IF(C1688="","cargar","pagado"))</f>
        <v>cargar</v>
      </c>
      <c r="I1688" s="32">
        <f t="shared" si="234"/>
        <v>2026</v>
      </c>
      <c r="J1688" s="32">
        <f t="shared" si="235"/>
        <v>2</v>
      </c>
    </row>
    <row r="1689" spans="1:10" x14ac:dyDescent="0.25">
      <c r="A1689" t="s">
        <v>873</v>
      </c>
      <c r="B1689" s="3">
        <v>46079</v>
      </c>
      <c r="C1689">
        <v>2042</v>
      </c>
      <c r="D1689">
        <v>9999</v>
      </c>
      <c r="E1689" s="4">
        <v>172055660</v>
      </c>
      <c r="F1689" t="s">
        <v>1710</v>
      </c>
      <c r="G1689" s="18">
        <v>3520</v>
      </c>
      <c r="H1689" s="32" t="str">
        <f ca="1">+IF(B1689&gt;'sap nuevo'!$V$1,"cargar",IF(C1689="","cargar","pagado"))</f>
        <v>pagado</v>
      </c>
      <c r="I1689" s="32">
        <f t="shared" si="234"/>
        <v>2026</v>
      </c>
      <c r="J1689" s="32">
        <f t="shared" si="235"/>
        <v>2</v>
      </c>
    </row>
    <row r="1690" spans="1:10" x14ac:dyDescent="0.25">
      <c r="A1690" t="s">
        <v>21</v>
      </c>
      <c r="B1690" t="s">
        <v>306</v>
      </c>
      <c r="C1690">
        <v>91002896</v>
      </c>
      <c r="D1690">
        <v>140</v>
      </c>
      <c r="E1690" s="4">
        <v>-100000000</v>
      </c>
      <c r="F1690" t="s">
        <v>80</v>
      </c>
      <c r="G1690">
        <v>0</v>
      </c>
      <c r="H1690" s="32" t="str">
        <f ca="1">+IF(B1690&gt;'sap nuevo'!$V$1,"cargar",IF(C1690="","cargar","pagado"))</f>
        <v>cargar</v>
      </c>
      <c r="I1690" s="32">
        <f t="shared" ref="I1690:I1702" si="236">+YEAR(B1690)</f>
        <v>2026</v>
      </c>
      <c r="J1690" s="32">
        <f t="shared" ref="J1690:J1702" si="237">+MONTH(B1690)</f>
        <v>2</v>
      </c>
    </row>
    <row r="1691" spans="1:10" x14ac:dyDescent="0.25">
      <c r="A1691" t="s">
        <v>12</v>
      </c>
      <c r="B1691" t="s">
        <v>306</v>
      </c>
      <c r="C1691">
        <v>91002900</v>
      </c>
      <c r="D1691">
        <v>140</v>
      </c>
      <c r="E1691" s="4">
        <v>-13349995.869999999</v>
      </c>
      <c r="F1691" t="s">
        <v>82</v>
      </c>
      <c r="G1691">
        <v>0</v>
      </c>
      <c r="H1691" s="32" t="str">
        <f ca="1">+IF(B1691&gt;'sap nuevo'!$V$1,"cargar",IF(C1691="","cargar","pagado"))</f>
        <v>cargar</v>
      </c>
      <c r="I1691" s="32">
        <f t="shared" si="236"/>
        <v>2026</v>
      </c>
      <c r="J1691" s="32">
        <f t="shared" si="237"/>
        <v>2</v>
      </c>
    </row>
    <row r="1692" spans="1:10" x14ac:dyDescent="0.25">
      <c r="A1692" t="s">
        <v>12</v>
      </c>
      <c r="B1692" t="s">
        <v>306</v>
      </c>
      <c r="C1692">
        <v>91002901</v>
      </c>
      <c r="D1692">
        <v>140</v>
      </c>
      <c r="E1692" s="4">
        <v>-10913343.4</v>
      </c>
      <c r="F1692" t="s">
        <v>82</v>
      </c>
      <c r="G1692">
        <v>0</v>
      </c>
      <c r="H1692" s="32" t="str">
        <f ca="1">+IF(B1692&gt;'sap nuevo'!$V$1,"cargar",IF(C1692="","cargar","pagado"))</f>
        <v>cargar</v>
      </c>
      <c r="I1692" s="32">
        <f t="shared" si="236"/>
        <v>2026</v>
      </c>
      <c r="J1692" s="32">
        <f t="shared" si="237"/>
        <v>2</v>
      </c>
    </row>
    <row r="1693" spans="1:10" x14ac:dyDescent="0.25">
      <c r="A1693" t="s">
        <v>12</v>
      </c>
      <c r="B1693" t="s">
        <v>306</v>
      </c>
      <c r="C1693">
        <v>91002899</v>
      </c>
      <c r="D1693">
        <v>140</v>
      </c>
      <c r="E1693" s="4">
        <v>-9568920.6600000001</v>
      </c>
      <c r="F1693" t="s">
        <v>82</v>
      </c>
      <c r="G1693">
        <v>0</v>
      </c>
      <c r="H1693" s="32" t="str">
        <f ca="1">+IF(B1693&gt;'sap nuevo'!$V$1,"cargar",IF(C1693="","cargar","pagado"))</f>
        <v>cargar</v>
      </c>
      <c r="I1693" s="32">
        <f t="shared" si="236"/>
        <v>2026</v>
      </c>
      <c r="J1693" s="32">
        <f t="shared" si="237"/>
        <v>2</v>
      </c>
    </row>
    <row r="1694" spans="1:10" x14ac:dyDescent="0.25">
      <c r="A1694" t="s">
        <v>21</v>
      </c>
      <c r="B1694" t="s">
        <v>306</v>
      </c>
      <c r="C1694">
        <v>91002861</v>
      </c>
      <c r="D1694">
        <v>140</v>
      </c>
      <c r="E1694" s="4">
        <v>-8895951.4000000004</v>
      </c>
      <c r="F1694" t="s">
        <v>80</v>
      </c>
      <c r="G1694">
        <v>0</v>
      </c>
      <c r="H1694" s="32" t="str">
        <f ca="1">+IF(B1694&gt;'sap nuevo'!$V$1,"cargar",IF(C1694="","cargar","pagado"))</f>
        <v>cargar</v>
      </c>
      <c r="I1694" s="32">
        <f t="shared" si="236"/>
        <v>2026</v>
      </c>
      <c r="J1694" s="32">
        <f t="shared" si="237"/>
        <v>2</v>
      </c>
    </row>
    <row r="1695" spans="1:10" x14ac:dyDescent="0.25">
      <c r="A1695" t="s">
        <v>21</v>
      </c>
      <c r="B1695" t="s">
        <v>306</v>
      </c>
      <c r="C1695">
        <v>91002895</v>
      </c>
      <c r="D1695">
        <v>140</v>
      </c>
      <c r="E1695" s="4">
        <v>-8719172.5199999996</v>
      </c>
      <c r="F1695" t="s">
        <v>80</v>
      </c>
      <c r="G1695">
        <v>0</v>
      </c>
      <c r="H1695" s="32" t="str">
        <f ca="1">+IF(B1695&gt;'sap nuevo'!$V$1,"cargar",IF(C1695="","cargar","pagado"))</f>
        <v>cargar</v>
      </c>
      <c r="I1695" s="32">
        <f t="shared" si="236"/>
        <v>2026</v>
      </c>
      <c r="J1695" s="32">
        <f t="shared" si="237"/>
        <v>2</v>
      </c>
    </row>
    <row r="1696" spans="1:10" x14ac:dyDescent="0.25">
      <c r="A1696" t="s">
        <v>21</v>
      </c>
      <c r="B1696" t="s">
        <v>306</v>
      </c>
      <c r="C1696">
        <v>91002903</v>
      </c>
      <c r="D1696">
        <v>140</v>
      </c>
      <c r="E1696" s="4">
        <v>-6046035.9000000004</v>
      </c>
      <c r="F1696" t="s">
        <v>80</v>
      </c>
      <c r="G1696">
        <v>0</v>
      </c>
      <c r="H1696" s="32" t="str">
        <f ca="1">+IF(B1696&gt;'sap nuevo'!$V$1,"cargar",IF(C1696="","cargar","pagado"))</f>
        <v>cargar</v>
      </c>
      <c r="I1696" s="32">
        <f t="shared" si="236"/>
        <v>2026</v>
      </c>
      <c r="J1696" s="32">
        <f t="shared" si="237"/>
        <v>2</v>
      </c>
    </row>
    <row r="1697" spans="1:10" x14ac:dyDescent="0.25">
      <c r="A1697" t="s">
        <v>21</v>
      </c>
      <c r="B1697" t="s">
        <v>307</v>
      </c>
      <c r="C1697">
        <v>91002897</v>
      </c>
      <c r="D1697">
        <v>140</v>
      </c>
      <c r="E1697" s="4">
        <v>-112375717.95999999</v>
      </c>
      <c r="F1697" t="s">
        <v>80</v>
      </c>
      <c r="G1697">
        <v>0</v>
      </c>
      <c r="H1697" s="32" t="str">
        <f ca="1">+IF(B1697&gt;'sap nuevo'!$V$1,"cargar",IF(C1697="","cargar","pagado"))</f>
        <v>cargar</v>
      </c>
      <c r="I1697" s="32">
        <f t="shared" si="236"/>
        <v>2026</v>
      </c>
      <c r="J1697" s="32">
        <f t="shared" si="237"/>
        <v>2</v>
      </c>
    </row>
    <row r="1698" spans="1:10" x14ac:dyDescent="0.25">
      <c r="A1698" t="s">
        <v>21</v>
      </c>
      <c r="B1698" t="s">
        <v>307</v>
      </c>
      <c r="C1698">
        <v>91002898</v>
      </c>
      <c r="D1698">
        <v>140</v>
      </c>
      <c r="E1698" s="4">
        <v>-26463187.379999999</v>
      </c>
      <c r="F1698" t="s">
        <v>80</v>
      </c>
      <c r="G1698">
        <v>0</v>
      </c>
      <c r="H1698" s="32" t="str">
        <f ca="1">+IF(B1698&gt;'sap nuevo'!$V$1,"cargar",IF(C1698="","cargar","pagado"))</f>
        <v>cargar</v>
      </c>
      <c r="I1698" s="32">
        <f t="shared" si="236"/>
        <v>2026</v>
      </c>
      <c r="J1698" s="32">
        <f t="shared" si="237"/>
        <v>2</v>
      </c>
    </row>
    <row r="1699" spans="1:10" x14ac:dyDescent="0.25">
      <c r="A1699" t="s">
        <v>12</v>
      </c>
      <c r="B1699" t="s">
        <v>307</v>
      </c>
      <c r="C1699">
        <v>91002851</v>
      </c>
      <c r="D1699">
        <v>140</v>
      </c>
      <c r="E1699" s="4">
        <v>-5275000</v>
      </c>
      <c r="F1699" t="s">
        <v>82</v>
      </c>
      <c r="G1699">
        <v>0</v>
      </c>
      <c r="H1699" s="32" t="str">
        <f ca="1">+IF(B1699&gt;'sap nuevo'!$V$1,"cargar",IF(C1699="","cargar","pagado"))</f>
        <v>cargar</v>
      </c>
      <c r="I1699" s="32">
        <f t="shared" si="236"/>
        <v>2026</v>
      </c>
      <c r="J1699" s="32">
        <f t="shared" si="237"/>
        <v>2</v>
      </c>
    </row>
    <row r="1700" spans="1:10" x14ac:dyDescent="0.25">
      <c r="A1700" t="s">
        <v>21</v>
      </c>
      <c r="B1700" t="s">
        <v>307</v>
      </c>
      <c r="C1700">
        <v>91002877</v>
      </c>
      <c r="D1700">
        <v>140</v>
      </c>
      <c r="E1700" s="4">
        <v>-4503359.4000000004</v>
      </c>
      <c r="F1700" t="s">
        <v>80</v>
      </c>
      <c r="G1700">
        <v>0</v>
      </c>
      <c r="H1700" s="32" t="str">
        <f ca="1">+IF(B1700&gt;'sap nuevo'!$V$1,"cargar",IF(C1700="","cargar","pagado"))</f>
        <v>cargar</v>
      </c>
      <c r="I1700" s="32">
        <f t="shared" si="236"/>
        <v>2026</v>
      </c>
      <c r="J1700" s="32">
        <f t="shared" si="237"/>
        <v>2</v>
      </c>
    </row>
    <row r="1701" spans="1:10" x14ac:dyDescent="0.25">
      <c r="A1701" t="s">
        <v>21</v>
      </c>
      <c r="B1701" t="s">
        <v>308</v>
      </c>
      <c r="C1701">
        <v>91002883</v>
      </c>
      <c r="D1701">
        <v>140</v>
      </c>
      <c r="E1701" s="4">
        <v>-13150000</v>
      </c>
      <c r="F1701" t="s">
        <v>80</v>
      </c>
      <c r="G1701">
        <v>0</v>
      </c>
      <c r="H1701" s="32" t="str">
        <f ca="1">+IF(B1701&gt;'sap nuevo'!$V$1,"cargar",IF(C1701="","cargar","pagado"))</f>
        <v>cargar</v>
      </c>
      <c r="I1701" s="32">
        <f t="shared" si="236"/>
        <v>2026</v>
      </c>
      <c r="J1701" s="32">
        <f t="shared" si="237"/>
        <v>3</v>
      </c>
    </row>
    <row r="1702" spans="1:10" x14ac:dyDescent="0.25">
      <c r="A1702" t="s">
        <v>21</v>
      </c>
      <c r="B1702" t="s">
        <v>309</v>
      </c>
      <c r="C1702">
        <v>91002878</v>
      </c>
      <c r="D1702">
        <v>140</v>
      </c>
      <c r="E1702" s="4">
        <v>-6333148.8899999997</v>
      </c>
      <c r="F1702" t="s">
        <v>80</v>
      </c>
      <c r="G1702">
        <v>0</v>
      </c>
      <c r="H1702" s="32" t="str">
        <f ca="1">+IF(B1702&gt;'sap nuevo'!$V$1,"cargar",IF(C1702="","cargar","pagado"))</f>
        <v>cargar</v>
      </c>
      <c r="I1702" s="32">
        <f t="shared" si="236"/>
        <v>2026</v>
      </c>
      <c r="J1702" s="32">
        <f t="shared" si="237"/>
        <v>3</v>
      </c>
    </row>
    <row r="1703" spans="1:10" x14ac:dyDescent="0.25">
      <c r="A1703" t="s">
        <v>12</v>
      </c>
      <c r="B1703" t="s">
        <v>1711</v>
      </c>
      <c r="C1703">
        <v>91002904</v>
      </c>
      <c r="D1703">
        <v>140</v>
      </c>
      <c r="E1703" s="4">
        <v>-5000000</v>
      </c>
      <c r="F1703" t="s">
        <v>82</v>
      </c>
      <c r="G1703">
        <v>0</v>
      </c>
      <c r="H1703" s="32" t="str">
        <f ca="1">+IF(B1703&gt;'sap nuevo'!$V$1,"cargar",IF(C1703="","cargar","pagado"))</f>
        <v>cargar</v>
      </c>
      <c r="I1703" s="32">
        <f t="shared" ref="I1703:I1719" si="238">+YEAR(B1703)</f>
        <v>2026</v>
      </c>
      <c r="J1703" s="32">
        <f t="shared" ref="J1703:J1719" si="239">+MONTH(B1703)</f>
        <v>3</v>
      </c>
    </row>
    <row r="1704" spans="1:10" x14ac:dyDescent="0.25">
      <c r="A1704" t="s">
        <v>12</v>
      </c>
      <c r="B1704" t="s">
        <v>1711</v>
      </c>
      <c r="C1704">
        <v>91002905</v>
      </c>
      <c r="D1704">
        <v>140</v>
      </c>
      <c r="E1704" s="4">
        <v>-5000000</v>
      </c>
      <c r="F1704" t="s">
        <v>82</v>
      </c>
      <c r="G1704">
        <v>0</v>
      </c>
      <c r="H1704" s="32" t="str">
        <f ca="1">+IF(B1704&gt;'sap nuevo'!$V$1,"cargar",IF(C1704="","cargar","pagado"))</f>
        <v>cargar</v>
      </c>
      <c r="I1704" s="32">
        <f t="shared" si="238"/>
        <v>2026</v>
      </c>
      <c r="J1704" s="32">
        <f t="shared" si="239"/>
        <v>3</v>
      </c>
    </row>
    <row r="1705" spans="1:10" x14ac:dyDescent="0.25">
      <c r="A1705" t="s">
        <v>21</v>
      </c>
      <c r="B1705" t="s">
        <v>536</v>
      </c>
      <c r="C1705">
        <v>91002910</v>
      </c>
      <c r="D1705">
        <v>140</v>
      </c>
      <c r="E1705" s="4">
        <v>-9247855.4000000004</v>
      </c>
      <c r="F1705" t="s">
        <v>80</v>
      </c>
      <c r="G1705">
        <v>0</v>
      </c>
      <c r="H1705" s="32" t="str">
        <f ca="1">+IF(B1705&gt;'sap nuevo'!$V$1,"cargar",IF(C1705="","cargar","pagado"))</f>
        <v>cargar</v>
      </c>
      <c r="I1705" s="32">
        <f t="shared" si="238"/>
        <v>2026</v>
      </c>
      <c r="J1705" s="32">
        <f t="shared" si="239"/>
        <v>3</v>
      </c>
    </row>
    <row r="1706" spans="1:10" x14ac:dyDescent="0.25">
      <c r="A1706" t="s">
        <v>21</v>
      </c>
      <c r="B1706" t="s">
        <v>536</v>
      </c>
      <c r="C1706">
        <v>91002911</v>
      </c>
      <c r="D1706">
        <v>140</v>
      </c>
      <c r="E1706" s="4">
        <v>-5944273.4000000004</v>
      </c>
      <c r="F1706" t="s">
        <v>80</v>
      </c>
      <c r="G1706">
        <v>0</v>
      </c>
      <c r="H1706" s="32" t="str">
        <f ca="1">+IF(B1706&gt;'sap nuevo'!$V$1,"cargar",IF(C1706="","cargar","pagado"))</f>
        <v>cargar</v>
      </c>
      <c r="I1706" s="32">
        <f t="shared" si="238"/>
        <v>2026</v>
      </c>
      <c r="J1706" s="32">
        <f t="shared" si="239"/>
        <v>3</v>
      </c>
    </row>
    <row r="1707" spans="1:10" x14ac:dyDescent="0.25">
      <c r="A1707" t="s">
        <v>21</v>
      </c>
      <c r="B1707" t="s">
        <v>536</v>
      </c>
      <c r="C1707">
        <v>91002907</v>
      </c>
      <c r="D1707">
        <v>140</v>
      </c>
      <c r="E1707" s="4">
        <v>-4257678.87</v>
      </c>
      <c r="F1707" t="s">
        <v>80</v>
      </c>
      <c r="G1707">
        <v>0</v>
      </c>
      <c r="H1707" s="32" t="str">
        <f ca="1">+IF(B1707&gt;'sap nuevo'!$V$1,"cargar",IF(C1707="","cargar","pagado"))</f>
        <v>cargar</v>
      </c>
      <c r="I1707" s="32">
        <f t="shared" si="238"/>
        <v>2026</v>
      </c>
      <c r="J1707" s="32">
        <f t="shared" si="239"/>
        <v>3</v>
      </c>
    </row>
    <row r="1708" spans="1:10" x14ac:dyDescent="0.25">
      <c r="A1708" t="s">
        <v>21</v>
      </c>
      <c r="B1708" t="s">
        <v>538</v>
      </c>
      <c r="C1708">
        <v>91002916</v>
      </c>
      <c r="D1708">
        <v>140</v>
      </c>
      <c r="E1708" s="4">
        <v>-24000000</v>
      </c>
      <c r="F1708" t="s">
        <v>80</v>
      </c>
      <c r="G1708">
        <v>0</v>
      </c>
      <c r="H1708" s="32" t="str">
        <f ca="1">+IF(B1708&gt;'sap nuevo'!$V$1,"cargar",IF(C1708="","cargar","pagado"))</f>
        <v>cargar</v>
      </c>
      <c r="I1708" s="32">
        <f t="shared" si="238"/>
        <v>2026</v>
      </c>
      <c r="J1708" s="32">
        <f t="shared" si="239"/>
        <v>3</v>
      </c>
    </row>
    <row r="1709" spans="1:10" x14ac:dyDescent="0.25">
      <c r="A1709" t="s">
        <v>21</v>
      </c>
      <c r="B1709" t="s">
        <v>538</v>
      </c>
      <c r="C1709">
        <v>91002909</v>
      </c>
      <c r="D1709">
        <v>140</v>
      </c>
      <c r="E1709" s="4">
        <v>-16207253.939999999</v>
      </c>
      <c r="F1709" t="s">
        <v>80</v>
      </c>
      <c r="G1709">
        <v>0</v>
      </c>
      <c r="H1709" s="32" t="str">
        <f ca="1">+IF(B1709&gt;'sap nuevo'!$V$1,"cargar",IF(C1709="","cargar","pagado"))</f>
        <v>cargar</v>
      </c>
      <c r="I1709" s="32">
        <f t="shared" si="238"/>
        <v>2026</v>
      </c>
      <c r="J1709" s="32">
        <f t="shared" si="239"/>
        <v>3</v>
      </c>
    </row>
    <row r="1710" spans="1:10" x14ac:dyDescent="0.25">
      <c r="A1710" t="s">
        <v>21</v>
      </c>
      <c r="B1710" t="s">
        <v>538</v>
      </c>
      <c r="C1710">
        <v>91002908</v>
      </c>
      <c r="D1710">
        <v>140</v>
      </c>
      <c r="E1710" s="4">
        <v>-15545939.09</v>
      </c>
      <c r="F1710" t="s">
        <v>80</v>
      </c>
      <c r="G1710">
        <v>0</v>
      </c>
      <c r="H1710" s="32" t="str">
        <f ca="1">+IF(B1710&gt;'sap nuevo'!$V$1,"cargar",IF(C1710="","cargar","pagado"))</f>
        <v>cargar</v>
      </c>
      <c r="I1710" s="32">
        <f t="shared" si="238"/>
        <v>2026</v>
      </c>
      <c r="J1710" s="32">
        <f t="shared" si="239"/>
        <v>3</v>
      </c>
    </row>
    <row r="1711" spans="1:10" x14ac:dyDescent="0.25">
      <c r="A1711" t="s">
        <v>21</v>
      </c>
      <c r="B1711" t="s">
        <v>538</v>
      </c>
      <c r="C1711">
        <v>91002912</v>
      </c>
      <c r="D1711">
        <v>140</v>
      </c>
      <c r="E1711" s="4">
        <v>-14168764.220000001</v>
      </c>
      <c r="F1711" t="s">
        <v>80</v>
      </c>
      <c r="G1711">
        <v>0</v>
      </c>
      <c r="H1711" s="32" t="str">
        <f ca="1">+IF(B1711&gt;'sap nuevo'!$V$1,"cargar",IF(C1711="","cargar","pagado"))</f>
        <v>cargar</v>
      </c>
      <c r="I1711" s="32">
        <f t="shared" si="238"/>
        <v>2026</v>
      </c>
      <c r="J1711" s="32">
        <f t="shared" si="239"/>
        <v>3</v>
      </c>
    </row>
    <row r="1712" spans="1:10" x14ac:dyDescent="0.25">
      <c r="A1712" t="s">
        <v>21</v>
      </c>
      <c r="B1712" t="s">
        <v>538</v>
      </c>
      <c r="C1712">
        <v>91002915</v>
      </c>
      <c r="D1712">
        <v>140</v>
      </c>
      <c r="E1712" s="4">
        <v>-12611263.4</v>
      </c>
      <c r="F1712" t="s">
        <v>80</v>
      </c>
      <c r="G1712">
        <v>0</v>
      </c>
      <c r="H1712" s="32" t="str">
        <f ca="1">+IF(B1712&gt;'sap nuevo'!$V$1,"cargar",IF(C1712="","cargar","pagado"))</f>
        <v>cargar</v>
      </c>
      <c r="I1712" s="32">
        <f t="shared" si="238"/>
        <v>2026</v>
      </c>
      <c r="J1712" s="32">
        <f t="shared" si="239"/>
        <v>3</v>
      </c>
    </row>
    <row r="1713" spans="1:10" x14ac:dyDescent="0.25">
      <c r="A1713" t="s">
        <v>21</v>
      </c>
      <c r="B1713" t="s">
        <v>538</v>
      </c>
      <c r="C1713">
        <v>91002913</v>
      </c>
      <c r="D1713">
        <v>140</v>
      </c>
      <c r="E1713" s="4">
        <v>-11385095.9</v>
      </c>
      <c r="F1713" t="s">
        <v>80</v>
      </c>
      <c r="G1713">
        <v>0</v>
      </c>
      <c r="H1713" s="32" t="str">
        <f ca="1">+IF(B1713&gt;'sap nuevo'!$V$1,"cargar",IF(C1713="","cargar","pagado"))</f>
        <v>cargar</v>
      </c>
      <c r="I1713" s="32">
        <f t="shared" si="238"/>
        <v>2026</v>
      </c>
      <c r="J1713" s="32">
        <f t="shared" si="239"/>
        <v>3</v>
      </c>
    </row>
    <row r="1714" spans="1:10" x14ac:dyDescent="0.25">
      <c r="A1714" t="s">
        <v>21</v>
      </c>
      <c r="B1714" t="s">
        <v>538</v>
      </c>
      <c r="C1714">
        <v>91002902</v>
      </c>
      <c r="D1714">
        <v>140</v>
      </c>
      <c r="E1714" s="4">
        <v>-5708969.2800000003</v>
      </c>
      <c r="F1714" t="s">
        <v>80</v>
      </c>
      <c r="G1714">
        <v>0</v>
      </c>
      <c r="H1714" s="32" t="str">
        <f ca="1">+IF(B1714&gt;'sap nuevo'!$V$1,"cargar",IF(C1714="","cargar","pagado"))</f>
        <v>cargar</v>
      </c>
      <c r="I1714" s="32">
        <f t="shared" si="238"/>
        <v>2026</v>
      </c>
      <c r="J1714" s="32">
        <f t="shared" si="239"/>
        <v>3</v>
      </c>
    </row>
    <row r="1715" spans="1:10" x14ac:dyDescent="0.25">
      <c r="A1715" t="s">
        <v>12</v>
      </c>
      <c r="B1715" t="s">
        <v>538</v>
      </c>
      <c r="C1715">
        <v>91002906</v>
      </c>
      <c r="D1715">
        <v>140</v>
      </c>
      <c r="E1715" s="4">
        <v>-5164541.66</v>
      </c>
      <c r="F1715" t="s">
        <v>82</v>
      </c>
      <c r="G1715">
        <v>0</v>
      </c>
      <c r="H1715" s="32" t="str">
        <f ca="1">+IF(B1715&gt;'sap nuevo'!$V$1,"cargar",IF(C1715="","cargar","pagado"))</f>
        <v>cargar</v>
      </c>
      <c r="I1715" s="32">
        <f t="shared" si="238"/>
        <v>2026</v>
      </c>
      <c r="J1715" s="32">
        <f t="shared" si="239"/>
        <v>3</v>
      </c>
    </row>
    <row r="1716" spans="1:10" x14ac:dyDescent="0.25">
      <c r="A1716" t="s">
        <v>21</v>
      </c>
      <c r="B1716" t="s">
        <v>539</v>
      </c>
      <c r="C1716">
        <v>91002917</v>
      </c>
      <c r="D1716">
        <v>140</v>
      </c>
      <c r="E1716" s="4">
        <v>-23219117.920000002</v>
      </c>
      <c r="F1716" t="s">
        <v>80</v>
      </c>
      <c r="G1716">
        <v>0</v>
      </c>
      <c r="H1716" s="32" t="str">
        <f ca="1">+IF(B1716&gt;'sap nuevo'!$V$1,"cargar",IF(C1716="","cargar","pagado"))</f>
        <v>cargar</v>
      </c>
      <c r="I1716" s="32">
        <f t="shared" si="238"/>
        <v>2026</v>
      </c>
      <c r="J1716" s="32">
        <f t="shared" si="239"/>
        <v>3</v>
      </c>
    </row>
    <row r="1717" spans="1:10" x14ac:dyDescent="0.25">
      <c r="A1717" t="s">
        <v>21</v>
      </c>
      <c r="B1717" t="s">
        <v>539</v>
      </c>
      <c r="C1717">
        <v>91002914</v>
      </c>
      <c r="D1717">
        <v>140</v>
      </c>
      <c r="E1717" s="4">
        <v>-22312745.579999998</v>
      </c>
      <c r="F1717" t="s">
        <v>80</v>
      </c>
      <c r="G1717">
        <v>0</v>
      </c>
      <c r="H1717" s="32" t="str">
        <f ca="1">+IF(B1717&gt;'sap nuevo'!$V$1,"cargar",IF(C1717="","cargar","pagado"))</f>
        <v>cargar</v>
      </c>
      <c r="I1717" s="32">
        <f t="shared" si="238"/>
        <v>2026</v>
      </c>
      <c r="J1717" s="32">
        <f t="shared" si="239"/>
        <v>3</v>
      </c>
    </row>
    <row r="1718" spans="1:10" x14ac:dyDescent="0.25">
      <c r="A1718" t="s">
        <v>21</v>
      </c>
      <c r="B1718" t="s">
        <v>539</v>
      </c>
      <c r="C1718">
        <v>91002921</v>
      </c>
      <c r="D1718">
        <v>140</v>
      </c>
      <c r="E1718" s="4">
        <v>-11580847.17</v>
      </c>
      <c r="F1718" t="s">
        <v>80</v>
      </c>
      <c r="G1718">
        <v>0</v>
      </c>
      <c r="H1718" s="32" t="str">
        <f ca="1">+IF(B1718&gt;'sap nuevo'!$V$1,"cargar",IF(C1718="","cargar","pagado"))</f>
        <v>cargar</v>
      </c>
      <c r="I1718" s="32">
        <f t="shared" si="238"/>
        <v>2026</v>
      </c>
      <c r="J1718" s="32">
        <f t="shared" si="239"/>
        <v>3</v>
      </c>
    </row>
    <row r="1719" spans="1:10" x14ac:dyDescent="0.25">
      <c r="A1719" t="s">
        <v>21</v>
      </c>
      <c r="B1719" t="s">
        <v>539</v>
      </c>
      <c r="C1719">
        <v>91002920</v>
      </c>
      <c r="D1719">
        <v>140</v>
      </c>
      <c r="E1719" s="4">
        <v>-10645663.710000001</v>
      </c>
      <c r="F1719" t="s">
        <v>80</v>
      </c>
      <c r="G1719">
        <v>0</v>
      </c>
      <c r="H1719" s="32" t="str">
        <f ca="1">+IF(B1719&gt;'sap nuevo'!$V$1,"cargar",IF(C1719="","cargar","pagado"))</f>
        <v>cargar</v>
      </c>
      <c r="I1719" s="32">
        <f t="shared" si="238"/>
        <v>2026</v>
      </c>
      <c r="J1719" s="32">
        <f t="shared" si="239"/>
        <v>3</v>
      </c>
    </row>
    <row r="1720" spans="1:10" x14ac:dyDescent="0.25">
      <c r="A1720" t="s">
        <v>21</v>
      </c>
      <c r="B1720" t="s">
        <v>544</v>
      </c>
      <c r="C1720">
        <v>91002918</v>
      </c>
      <c r="D1720">
        <v>140</v>
      </c>
      <c r="E1720" s="4">
        <v>-11596731.74</v>
      </c>
      <c r="F1720" t="s">
        <v>80</v>
      </c>
      <c r="G1720">
        <v>0</v>
      </c>
      <c r="H1720" s="32" t="str">
        <f ca="1">+IF(B1720&gt;'sap nuevo'!$V$1,"cargar",IF(C1720="","cargar","pagado"))</f>
        <v>cargar</v>
      </c>
      <c r="I1720" s="32">
        <f t="shared" ref="I1720:I1783" si="240">+YEAR(B1720)</f>
        <v>2026</v>
      </c>
      <c r="J1720" s="32">
        <f t="shared" ref="J1720:J1783" si="241">+MONTH(B1720)</f>
        <v>3</v>
      </c>
    </row>
    <row r="1721" spans="1:10" x14ac:dyDescent="0.25">
      <c r="A1721" t="s">
        <v>21</v>
      </c>
      <c r="B1721" t="s">
        <v>1712</v>
      </c>
      <c r="C1721">
        <v>91002926</v>
      </c>
      <c r="D1721">
        <v>140</v>
      </c>
      <c r="E1721" s="4">
        <v>-22434978.77</v>
      </c>
      <c r="F1721" t="s">
        <v>80</v>
      </c>
      <c r="G1721">
        <v>0</v>
      </c>
      <c r="H1721" s="32" t="str">
        <f ca="1">+IF(B1721&gt;'sap nuevo'!$V$1,"cargar",IF(C1721="","cargar","pagado"))</f>
        <v>cargar</v>
      </c>
      <c r="I1721" s="32">
        <f t="shared" si="240"/>
        <v>2026</v>
      </c>
      <c r="J1721" s="32">
        <f t="shared" si="241"/>
        <v>3</v>
      </c>
    </row>
    <row r="1722" spans="1:10" x14ac:dyDescent="0.25">
      <c r="A1722" t="s">
        <v>21</v>
      </c>
      <c r="B1722" t="s">
        <v>1712</v>
      </c>
      <c r="C1722">
        <v>91002925</v>
      </c>
      <c r="D1722">
        <v>140</v>
      </c>
      <c r="E1722" s="4">
        <v>-15837686.890000001</v>
      </c>
      <c r="F1722" t="s">
        <v>80</v>
      </c>
      <c r="G1722">
        <v>0</v>
      </c>
      <c r="H1722" s="32" t="str">
        <f ca="1">+IF(B1722&gt;'sap nuevo'!$V$1,"cargar",IF(C1722="","cargar","pagado"))</f>
        <v>cargar</v>
      </c>
      <c r="I1722" s="32">
        <f t="shared" si="240"/>
        <v>2026</v>
      </c>
      <c r="J1722" s="32">
        <f t="shared" si="241"/>
        <v>3</v>
      </c>
    </row>
    <row r="1723" spans="1:10" x14ac:dyDescent="0.25">
      <c r="A1723" t="s">
        <v>21</v>
      </c>
      <c r="B1723" t="s">
        <v>1712</v>
      </c>
      <c r="C1723">
        <v>91002924</v>
      </c>
      <c r="D1723">
        <v>140</v>
      </c>
      <c r="E1723" s="4">
        <v>-9496593.4000000004</v>
      </c>
      <c r="F1723" t="s">
        <v>80</v>
      </c>
      <c r="G1723">
        <v>0</v>
      </c>
      <c r="H1723" s="32" t="str">
        <f ca="1">+IF(B1723&gt;'sap nuevo'!$V$1,"cargar",IF(C1723="","cargar","pagado"))</f>
        <v>cargar</v>
      </c>
      <c r="I1723" s="32">
        <f t="shared" si="240"/>
        <v>2026</v>
      </c>
      <c r="J1723" s="32">
        <f t="shared" si="241"/>
        <v>3</v>
      </c>
    </row>
    <row r="1724" spans="1:10" x14ac:dyDescent="0.25">
      <c r="A1724" t="s">
        <v>12</v>
      </c>
      <c r="B1724" t="s">
        <v>1712</v>
      </c>
      <c r="C1724">
        <v>91002922</v>
      </c>
      <c r="D1724">
        <v>140</v>
      </c>
      <c r="E1724" s="4">
        <v>-7243773.4500000002</v>
      </c>
      <c r="F1724" t="s">
        <v>82</v>
      </c>
      <c r="G1724">
        <v>0</v>
      </c>
      <c r="H1724" s="32" t="str">
        <f ca="1">+IF(B1724&gt;'sap nuevo'!$V$1,"cargar",IF(C1724="","cargar","pagado"))</f>
        <v>cargar</v>
      </c>
      <c r="I1724" s="32">
        <f t="shared" si="240"/>
        <v>2026</v>
      </c>
      <c r="J1724" s="32">
        <f t="shared" si="241"/>
        <v>3</v>
      </c>
    </row>
    <row r="1725" spans="1:10" x14ac:dyDescent="0.25">
      <c r="A1725" t="s">
        <v>21</v>
      </c>
      <c r="B1725" t="s">
        <v>1712</v>
      </c>
      <c r="C1725">
        <v>91002919</v>
      </c>
      <c r="D1725">
        <v>140</v>
      </c>
      <c r="E1725" s="4">
        <v>-5000000</v>
      </c>
      <c r="F1725" t="s">
        <v>80</v>
      </c>
      <c r="G1725">
        <v>0</v>
      </c>
      <c r="H1725" s="32" t="str">
        <f ca="1">+IF(B1725&gt;'sap nuevo'!$V$1,"cargar",IF(C1725="","cargar","pagado"))</f>
        <v>cargar</v>
      </c>
      <c r="I1725" s="32">
        <f t="shared" si="240"/>
        <v>2026</v>
      </c>
      <c r="J1725" s="32">
        <f t="shared" si="241"/>
        <v>3</v>
      </c>
    </row>
    <row r="1726" spans="1:10" x14ac:dyDescent="0.25">
      <c r="A1726" t="s">
        <v>21</v>
      </c>
      <c r="B1726" t="s">
        <v>551</v>
      </c>
      <c r="C1726">
        <v>91002923</v>
      </c>
      <c r="D1726">
        <v>140</v>
      </c>
      <c r="E1726" s="4">
        <v>-4592578.8899999997</v>
      </c>
      <c r="F1726" t="s">
        <v>80</v>
      </c>
      <c r="G1726">
        <v>0</v>
      </c>
      <c r="H1726" s="32" t="str">
        <f ca="1">+IF(B1726&gt;'sap nuevo'!$V$1,"cargar",IF(C1726="","cargar","pagado"))</f>
        <v>cargar</v>
      </c>
      <c r="I1726" s="32">
        <f t="shared" si="240"/>
        <v>2026</v>
      </c>
      <c r="J1726" s="32">
        <f t="shared" si="241"/>
        <v>3</v>
      </c>
    </row>
    <row r="1727" spans="1:10" x14ac:dyDescent="0.25">
      <c r="A1727" t="s">
        <v>21</v>
      </c>
      <c r="B1727" t="s">
        <v>552</v>
      </c>
      <c r="C1727">
        <v>91002943</v>
      </c>
      <c r="D1727">
        <v>140</v>
      </c>
      <c r="E1727" s="4">
        <v>-80000000</v>
      </c>
      <c r="F1727" t="s">
        <v>80</v>
      </c>
      <c r="G1727">
        <v>0</v>
      </c>
      <c r="H1727" s="32" t="str">
        <f ca="1">+IF(B1727&gt;'sap nuevo'!$V$1,"cargar",IF(C1727="","cargar","pagado"))</f>
        <v>cargar</v>
      </c>
      <c r="I1727" s="32">
        <f t="shared" si="240"/>
        <v>2026</v>
      </c>
      <c r="J1727" s="32">
        <f t="shared" si="241"/>
        <v>3</v>
      </c>
    </row>
    <row r="1728" spans="1:10" x14ac:dyDescent="0.25">
      <c r="A1728" t="s">
        <v>21</v>
      </c>
      <c r="B1728" t="s">
        <v>553</v>
      </c>
      <c r="C1728">
        <v>91002938</v>
      </c>
      <c r="D1728">
        <v>140</v>
      </c>
      <c r="E1728" s="4">
        <v>-170000000</v>
      </c>
      <c r="F1728" t="s">
        <v>80</v>
      </c>
      <c r="G1728">
        <v>0</v>
      </c>
      <c r="H1728" s="32" t="str">
        <f ca="1">+IF(B1728&gt;'sap nuevo'!$V$1,"cargar",IF(C1728="","cargar","pagado"))</f>
        <v>cargar</v>
      </c>
      <c r="I1728" s="32">
        <f t="shared" si="240"/>
        <v>2026</v>
      </c>
      <c r="J1728" s="32">
        <f t="shared" si="241"/>
        <v>3</v>
      </c>
    </row>
    <row r="1729" spans="1:10" x14ac:dyDescent="0.25">
      <c r="A1729" t="s">
        <v>21</v>
      </c>
      <c r="B1729" t="s">
        <v>553</v>
      </c>
      <c r="C1729">
        <v>91002945</v>
      </c>
      <c r="D1729">
        <v>140</v>
      </c>
      <c r="E1729" s="4">
        <v>-100000000</v>
      </c>
      <c r="F1729" t="s">
        <v>80</v>
      </c>
      <c r="G1729">
        <v>0</v>
      </c>
      <c r="H1729" s="32" t="str">
        <f ca="1">+IF(B1729&gt;'sap nuevo'!$V$1,"cargar",IF(C1729="","cargar","pagado"))</f>
        <v>cargar</v>
      </c>
      <c r="I1729" s="32">
        <f t="shared" si="240"/>
        <v>2026</v>
      </c>
      <c r="J1729" s="32">
        <f t="shared" si="241"/>
        <v>3</v>
      </c>
    </row>
    <row r="1730" spans="1:10" x14ac:dyDescent="0.25">
      <c r="A1730" t="s">
        <v>21</v>
      </c>
      <c r="B1730" t="s">
        <v>553</v>
      </c>
      <c r="C1730">
        <v>91002944</v>
      </c>
      <c r="D1730">
        <v>140</v>
      </c>
      <c r="E1730" s="4">
        <v>-75572794.780000001</v>
      </c>
      <c r="F1730" t="s">
        <v>80</v>
      </c>
      <c r="G1730">
        <v>0</v>
      </c>
      <c r="H1730" s="32" t="str">
        <f ca="1">+IF(B1730&gt;'sap nuevo'!$V$1,"cargar",IF(C1730="","cargar","pagado"))</f>
        <v>cargar</v>
      </c>
      <c r="I1730" s="32">
        <f t="shared" si="240"/>
        <v>2026</v>
      </c>
      <c r="J1730" s="32">
        <f t="shared" si="241"/>
        <v>3</v>
      </c>
    </row>
    <row r="1731" spans="1:10" x14ac:dyDescent="0.25">
      <c r="A1731" t="s">
        <v>21</v>
      </c>
      <c r="B1731" t="s">
        <v>553</v>
      </c>
      <c r="C1731">
        <v>91002933</v>
      </c>
      <c r="D1731">
        <v>140</v>
      </c>
      <c r="E1731" s="4">
        <v>-30000000</v>
      </c>
      <c r="F1731" t="s">
        <v>80</v>
      </c>
      <c r="G1731">
        <v>0</v>
      </c>
      <c r="H1731" s="32" t="str">
        <f ca="1">+IF(B1731&gt;'sap nuevo'!$V$1,"cargar",IF(C1731="","cargar","pagado"))</f>
        <v>cargar</v>
      </c>
      <c r="I1731" s="32">
        <f t="shared" si="240"/>
        <v>2026</v>
      </c>
      <c r="J1731" s="32">
        <f t="shared" si="241"/>
        <v>3</v>
      </c>
    </row>
    <row r="1732" spans="1:10" x14ac:dyDescent="0.25">
      <c r="A1732" t="s">
        <v>21</v>
      </c>
      <c r="B1732" t="s">
        <v>553</v>
      </c>
      <c r="C1732">
        <v>91002937</v>
      </c>
      <c r="D1732">
        <v>140</v>
      </c>
      <c r="E1732" s="4">
        <v>-23965867.300000001</v>
      </c>
      <c r="F1732" t="s">
        <v>80</v>
      </c>
      <c r="G1732">
        <v>0</v>
      </c>
      <c r="H1732" s="32" t="str">
        <f ca="1">+IF(B1732&gt;'sap nuevo'!$V$1,"cargar",IF(C1732="","cargar","pagado"))</f>
        <v>cargar</v>
      </c>
      <c r="I1732" s="32">
        <f t="shared" si="240"/>
        <v>2026</v>
      </c>
      <c r="J1732" s="32">
        <f t="shared" si="241"/>
        <v>3</v>
      </c>
    </row>
    <row r="1733" spans="1:10" x14ac:dyDescent="0.25">
      <c r="A1733" t="s">
        <v>21</v>
      </c>
      <c r="B1733" t="s">
        <v>553</v>
      </c>
      <c r="C1733">
        <v>91002927</v>
      </c>
      <c r="D1733">
        <v>140</v>
      </c>
      <c r="E1733" s="4">
        <v>-22000000</v>
      </c>
      <c r="F1733" t="s">
        <v>80</v>
      </c>
      <c r="G1733">
        <v>0</v>
      </c>
      <c r="H1733" s="32" t="str">
        <f ca="1">+IF(B1733&gt;'sap nuevo'!$V$1,"cargar",IF(C1733="","cargar","pagado"))</f>
        <v>cargar</v>
      </c>
      <c r="I1733" s="32">
        <f t="shared" si="240"/>
        <v>2026</v>
      </c>
      <c r="J1733" s="32">
        <f t="shared" si="241"/>
        <v>3</v>
      </c>
    </row>
    <row r="1734" spans="1:10" x14ac:dyDescent="0.25">
      <c r="A1734" t="s">
        <v>12</v>
      </c>
      <c r="B1734" t="s">
        <v>553</v>
      </c>
      <c r="C1734">
        <v>91002929</v>
      </c>
      <c r="D1734">
        <v>140</v>
      </c>
      <c r="E1734" s="4">
        <v>-20466569.289999999</v>
      </c>
      <c r="F1734" t="s">
        <v>82</v>
      </c>
      <c r="G1734">
        <v>0</v>
      </c>
      <c r="H1734" s="32" t="str">
        <f ca="1">+IF(B1734&gt;'sap nuevo'!$V$1,"cargar",IF(C1734="","cargar","pagado"))</f>
        <v>cargar</v>
      </c>
      <c r="I1734" s="32">
        <f t="shared" si="240"/>
        <v>2026</v>
      </c>
      <c r="J1734" s="32">
        <f t="shared" si="241"/>
        <v>3</v>
      </c>
    </row>
    <row r="1735" spans="1:10" x14ac:dyDescent="0.25">
      <c r="A1735" t="s">
        <v>12</v>
      </c>
      <c r="B1735" t="s">
        <v>553</v>
      </c>
      <c r="C1735">
        <v>91002935</v>
      </c>
      <c r="D1735">
        <v>140</v>
      </c>
      <c r="E1735" s="4">
        <v>-20000000</v>
      </c>
      <c r="F1735" t="s">
        <v>82</v>
      </c>
      <c r="G1735">
        <v>0</v>
      </c>
      <c r="H1735" s="32" t="str">
        <f ca="1">+IF(B1735&gt;'sap nuevo'!$V$1,"cargar",IF(C1735="","cargar","pagado"))</f>
        <v>cargar</v>
      </c>
      <c r="I1735" s="32">
        <f t="shared" si="240"/>
        <v>2026</v>
      </c>
      <c r="J1735" s="32">
        <f t="shared" si="241"/>
        <v>3</v>
      </c>
    </row>
    <row r="1736" spans="1:10" x14ac:dyDescent="0.25">
      <c r="A1736" t="s">
        <v>21</v>
      </c>
      <c r="B1736" t="s">
        <v>553</v>
      </c>
      <c r="C1736">
        <v>91002930</v>
      </c>
      <c r="D1736">
        <v>140</v>
      </c>
      <c r="E1736" s="4">
        <v>-5557213.0199999996</v>
      </c>
      <c r="F1736" t="s">
        <v>80</v>
      </c>
      <c r="G1736">
        <v>0</v>
      </c>
      <c r="H1736" s="32" t="str">
        <f ca="1">+IF(B1736&gt;'sap nuevo'!$V$1,"cargar",IF(C1736="","cargar","pagado"))</f>
        <v>cargar</v>
      </c>
      <c r="I1736" s="32">
        <f t="shared" si="240"/>
        <v>2026</v>
      </c>
      <c r="J1736" s="32">
        <f t="shared" si="241"/>
        <v>3</v>
      </c>
    </row>
    <row r="1737" spans="1:10" x14ac:dyDescent="0.25">
      <c r="A1737" t="s">
        <v>21</v>
      </c>
      <c r="B1737" t="s">
        <v>553</v>
      </c>
      <c r="C1737">
        <v>91002931</v>
      </c>
      <c r="D1737">
        <v>140</v>
      </c>
      <c r="E1737" s="4">
        <v>-4901728.8099999996</v>
      </c>
      <c r="F1737" t="s">
        <v>80</v>
      </c>
      <c r="G1737">
        <v>0</v>
      </c>
      <c r="H1737" s="32" t="str">
        <f ca="1">+IF(B1737&gt;'sap nuevo'!$V$1,"cargar",IF(C1737="","cargar","pagado"))</f>
        <v>cargar</v>
      </c>
      <c r="I1737" s="32">
        <f t="shared" si="240"/>
        <v>2026</v>
      </c>
      <c r="J1737" s="32">
        <f t="shared" si="241"/>
        <v>3</v>
      </c>
    </row>
    <row r="1738" spans="1:10" x14ac:dyDescent="0.25">
      <c r="A1738" t="s">
        <v>21</v>
      </c>
      <c r="B1738" t="s">
        <v>557</v>
      </c>
      <c r="C1738">
        <v>91002942</v>
      </c>
      <c r="D1738">
        <v>140</v>
      </c>
      <c r="E1738" s="4">
        <v>-72608590.819999993</v>
      </c>
      <c r="F1738" t="s">
        <v>80</v>
      </c>
      <c r="G1738">
        <v>0</v>
      </c>
      <c r="H1738" s="32" t="str">
        <f ca="1">+IF(B1738&gt;'sap nuevo'!$V$1,"cargar",IF(C1738="","cargar","pagado"))</f>
        <v>cargar</v>
      </c>
      <c r="I1738" s="32">
        <f t="shared" si="240"/>
        <v>2026</v>
      </c>
      <c r="J1738" s="32">
        <f t="shared" si="241"/>
        <v>3</v>
      </c>
    </row>
    <row r="1739" spans="1:10" x14ac:dyDescent="0.25">
      <c r="A1739" t="s">
        <v>21</v>
      </c>
      <c r="B1739" t="s">
        <v>557</v>
      </c>
      <c r="C1739">
        <v>91002946</v>
      </c>
      <c r="D1739">
        <v>140</v>
      </c>
      <c r="E1739" s="4">
        <v>-65247619.82</v>
      </c>
      <c r="F1739" t="s">
        <v>80</v>
      </c>
      <c r="G1739">
        <v>0</v>
      </c>
      <c r="H1739" s="32" t="str">
        <f ca="1">+IF(B1739&gt;'sap nuevo'!$V$1,"cargar",IF(C1739="","cargar","pagado"))</f>
        <v>cargar</v>
      </c>
      <c r="I1739" s="32">
        <f t="shared" si="240"/>
        <v>2026</v>
      </c>
      <c r="J1739" s="32">
        <f t="shared" si="241"/>
        <v>3</v>
      </c>
    </row>
    <row r="1740" spans="1:10" x14ac:dyDescent="0.25">
      <c r="A1740" t="s">
        <v>21</v>
      </c>
      <c r="B1740" t="s">
        <v>557</v>
      </c>
      <c r="C1740">
        <v>91002934</v>
      </c>
      <c r="D1740">
        <v>140</v>
      </c>
      <c r="E1740" s="4">
        <v>-30121126.440000001</v>
      </c>
      <c r="F1740" t="s">
        <v>80</v>
      </c>
      <c r="G1740">
        <v>0</v>
      </c>
      <c r="H1740" s="32" t="str">
        <f ca="1">+IF(B1740&gt;'sap nuevo'!$V$1,"cargar",IF(C1740="","cargar","pagado"))</f>
        <v>cargar</v>
      </c>
      <c r="I1740" s="32">
        <f t="shared" si="240"/>
        <v>2026</v>
      </c>
      <c r="J1740" s="32">
        <f t="shared" si="241"/>
        <v>3</v>
      </c>
    </row>
    <row r="1741" spans="1:10" x14ac:dyDescent="0.25">
      <c r="A1741" t="s">
        <v>21</v>
      </c>
      <c r="B1741" t="s">
        <v>557</v>
      </c>
      <c r="C1741">
        <v>91002951</v>
      </c>
      <c r="D1741">
        <v>140</v>
      </c>
      <c r="E1741" s="4">
        <v>-28168255.800000001</v>
      </c>
      <c r="F1741" t="s">
        <v>80</v>
      </c>
      <c r="G1741">
        <v>0</v>
      </c>
      <c r="H1741" s="32" t="str">
        <f ca="1">+IF(B1741&gt;'sap nuevo'!$V$1,"cargar",IF(C1741="","cargar","pagado"))</f>
        <v>cargar</v>
      </c>
      <c r="I1741" s="32">
        <f t="shared" si="240"/>
        <v>2026</v>
      </c>
      <c r="J1741" s="32">
        <f t="shared" si="241"/>
        <v>3</v>
      </c>
    </row>
    <row r="1742" spans="1:10" x14ac:dyDescent="0.25">
      <c r="A1742" t="s">
        <v>21</v>
      </c>
      <c r="B1742" t="s">
        <v>557</v>
      </c>
      <c r="C1742">
        <v>91002953</v>
      </c>
      <c r="D1742">
        <v>140</v>
      </c>
      <c r="E1742" s="4">
        <v>-27972869.77</v>
      </c>
      <c r="F1742" t="s">
        <v>80</v>
      </c>
      <c r="G1742">
        <v>0</v>
      </c>
      <c r="H1742" s="32" t="str">
        <f ca="1">+IF(B1742&gt;'sap nuevo'!$V$1,"cargar",IF(C1742="","cargar","pagado"))</f>
        <v>cargar</v>
      </c>
      <c r="I1742" s="32">
        <f t="shared" si="240"/>
        <v>2026</v>
      </c>
      <c r="J1742" s="32">
        <f t="shared" si="241"/>
        <v>3</v>
      </c>
    </row>
    <row r="1743" spans="1:10" x14ac:dyDescent="0.25">
      <c r="A1743" t="s">
        <v>12</v>
      </c>
      <c r="B1743" t="s">
        <v>557</v>
      </c>
      <c r="C1743">
        <v>91002932</v>
      </c>
      <c r="D1743">
        <v>140</v>
      </c>
      <c r="E1743" s="4">
        <v>-25658700</v>
      </c>
      <c r="F1743" t="s">
        <v>82</v>
      </c>
      <c r="G1743">
        <v>0</v>
      </c>
      <c r="H1743" s="32" t="str">
        <f ca="1">+IF(B1743&gt;'sap nuevo'!$V$1,"cargar",IF(C1743="","cargar","pagado"))</f>
        <v>cargar</v>
      </c>
      <c r="I1743" s="32">
        <f t="shared" si="240"/>
        <v>2026</v>
      </c>
      <c r="J1743" s="32">
        <f t="shared" si="241"/>
        <v>3</v>
      </c>
    </row>
    <row r="1744" spans="1:10" x14ac:dyDescent="0.25">
      <c r="A1744" t="s">
        <v>21</v>
      </c>
      <c r="B1744" t="s">
        <v>557</v>
      </c>
      <c r="C1744">
        <v>91002939</v>
      </c>
      <c r="D1744">
        <v>140</v>
      </c>
      <c r="E1744" s="4">
        <v>-20517619</v>
      </c>
      <c r="F1744" t="s">
        <v>80</v>
      </c>
      <c r="G1744">
        <v>0</v>
      </c>
      <c r="H1744" s="32" t="str">
        <f ca="1">+IF(B1744&gt;'sap nuevo'!$V$1,"cargar",IF(C1744="","cargar","pagado"))</f>
        <v>cargar</v>
      </c>
      <c r="I1744" s="32">
        <f t="shared" si="240"/>
        <v>2026</v>
      </c>
      <c r="J1744" s="32">
        <f t="shared" si="241"/>
        <v>3</v>
      </c>
    </row>
    <row r="1745" spans="1:10" x14ac:dyDescent="0.25">
      <c r="A1745" t="s">
        <v>21</v>
      </c>
      <c r="B1745" t="s">
        <v>557</v>
      </c>
      <c r="C1745">
        <v>91002947</v>
      </c>
      <c r="D1745">
        <v>140</v>
      </c>
      <c r="E1745" s="4">
        <v>-18806192.920000002</v>
      </c>
      <c r="F1745" t="s">
        <v>80</v>
      </c>
      <c r="G1745">
        <v>0</v>
      </c>
      <c r="H1745" s="32" t="str">
        <f ca="1">+IF(B1745&gt;'sap nuevo'!$V$1,"cargar",IF(C1745="","cargar","pagado"))</f>
        <v>cargar</v>
      </c>
      <c r="I1745" s="32">
        <f t="shared" si="240"/>
        <v>2026</v>
      </c>
      <c r="J1745" s="32">
        <f t="shared" si="241"/>
        <v>3</v>
      </c>
    </row>
    <row r="1746" spans="1:10" x14ac:dyDescent="0.25">
      <c r="A1746" t="s">
        <v>21</v>
      </c>
      <c r="B1746" t="s">
        <v>557</v>
      </c>
      <c r="C1746">
        <v>91002952</v>
      </c>
      <c r="D1746">
        <v>140</v>
      </c>
      <c r="E1746" s="4">
        <v>-11058717.779999999</v>
      </c>
      <c r="F1746" t="s">
        <v>80</v>
      </c>
      <c r="G1746">
        <v>0</v>
      </c>
      <c r="H1746" s="32" t="str">
        <f ca="1">+IF(B1746&gt;'sap nuevo'!$V$1,"cargar",IF(C1746="","cargar","pagado"))</f>
        <v>cargar</v>
      </c>
      <c r="I1746" s="32">
        <f t="shared" si="240"/>
        <v>2026</v>
      </c>
      <c r="J1746" s="32">
        <f t="shared" si="241"/>
        <v>3</v>
      </c>
    </row>
    <row r="1747" spans="1:10" x14ac:dyDescent="0.25">
      <c r="A1747" t="s">
        <v>12</v>
      </c>
      <c r="B1747" t="s">
        <v>557</v>
      </c>
      <c r="C1747">
        <v>40273021</v>
      </c>
      <c r="D1747">
        <v>140</v>
      </c>
      <c r="E1747" s="4">
        <v>-11000000</v>
      </c>
      <c r="F1747" t="s">
        <v>82</v>
      </c>
      <c r="G1747">
        <v>0</v>
      </c>
      <c r="H1747" s="32" t="str">
        <f ca="1">+IF(B1747&gt;'sap nuevo'!$V$1,"cargar",IF(C1747="","cargar","pagado"))</f>
        <v>cargar</v>
      </c>
      <c r="I1747" s="32">
        <f t="shared" si="240"/>
        <v>2026</v>
      </c>
      <c r="J1747" s="32">
        <f t="shared" si="241"/>
        <v>3</v>
      </c>
    </row>
    <row r="1748" spans="1:10" x14ac:dyDescent="0.25">
      <c r="A1748" t="s">
        <v>21</v>
      </c>
      <c r="B1748" t="s">
        <v>557</v>
      </c>
      <c r="C1748">
        <v>91002940</v>
      </c>
      <c r="D1748">
        <v>140</v>
      </c>
      <c r="E1748" s="4">
        <v>-8316000</v>
      </c>
      <c r="F1748" t="s">
        <v>80</v>
      </c>
      <c r="G1748">
        <v>0</v>
      </c>
      <c r="H1748" s="32" t="str">
        <f ca="1">+IF(B1748&gt;'sap nuevo'!$V$1,"cargar",IF(C1748="","cargar","pagado"))</f>
        <v>cargar</v>
      </c>
      <c r="I1748" s="32">
        <f t="shared" si="240"/>
        <v>2026</v>
      </c>
      <c r="J1748" s="32">
        <f t="shared" si="241"/>
        <v>3</v>
      </c>
    </row>
    <row r="1749" spans="1:10" x14ac:dyDescent="0.25">
      <c r="A1749" t="s">
        <v>12</v>
      </c>
      <c r="B1749" t="s">
        <v>557</v>
      </c>
      <c r="C1749">
        <v>91002941</v>
      </c>
      <c r="D1749">
        <v>140</v>
      </c>
      <c r="E1749" s="4">
        <v>-7704000</v>
      </c>
      <c r="F1749" t="s">
        <v>82</v>
      </c>
      <c r="G1749">
        <v>0</v>
      </c>
      <c r="H1749" s="32" t="str">
        <f ca="1">+IF(B1749&gt;'sap nuevo'!$V$1,"cargar",IF(C1749="","cargar","pagado"))</f>
        <v>cargar</v>
      </c>
      <c r="I1749" s="32">
        <f t="shared" si="240"/>
        <v>2026</v>
      </c>
      <c r="J1749" s="32">
        <f t="shared" si="241"/>
        <v>3</v>
      </c>
    </row>
    <row r="1750" spans="1:10" x14ac:dyDescent="0.25">
      <c r="A1750" t="s">
        <v>21</v>
      </c>
      <c r="B1750" t="s">
        <v>558</v>
      </c>
      <c r="C1750">
        <v>91002928</v>
      </c>
      <c r="D1750">
        <v>140</v>
      </c>
      <c r="E1750" s="4">
        <v>-22368343.399999999</v>
      </c>
      <c r="F1750" t="s">
        <v>80</v>
      </c>
      <c r="G1750">
        <v>0</v>
      </c>
      <c r="H1750" s="32" t="str">
        <f ca="1">+IF(B1750&gt;'sap nuevo'!$V$1,"cargar",IF(C1750="","cargar","pagado"))</f>
        <v>cargar</v>
      </c>
      <c r="I1750" s="32">
        <f t="shared" si="240"/>
        <v>2026</v>
      </c>
      <c r="J1750" s="32">
        <f t="shared" si="241"/>
        <v>3</v>
      </c>
    </row>
    <row r="1751" spans="1:10" x14ac:dyDescent="0.25">
      <c r="A1751" t="s">
        <v>21</v>
      </c>
      <c r="B1751" t="s">
        <v>558</v>
      </c>
      <c r="C1751">
        <v>91002950</v>
      </c>
      <c r="D1751">
        <v>140</v>
      </c>
      <c r="E1751" s="4">
        <v>-6730493.6399999997</v>
      </c>
      <c r="F1751" t="s">
        <v>80</v>
      </c>
      <c r="G1751">
        <v>0</v>
      </c>
      <c r="H1751" s="32" t="str">
        <f ca="1">+IF(B1751&gt;'sap nuevo'!$V$1,"cargar",IF(C1751="","cargar","pagado"))</f>
        <v>cargar</v>
      </c>
      <c r="I1751" s="32">
        <f t="shared" si="240"/>
        <v>2026</v>
      </c>
      <c r="J1751" s="32">
        <f t="shared" si="241"/>
        <v>3</v>
      </c>
    </row>
    <row r="1752" spans="1:10" x14ac:dyDescent="0.25">
      <c r="A1752" t="s">
        <v>12</v>
      </c>
      <c r="B1752" t="s">
        <v>558</v>
      </c>
      <c r="C1752">
        <v>91002948</v>
      </c>
      <c r="D1752">
        <v>140</v>
      </c>
      <c r="E1752" s="4">
        <v>-4487163.67</v>
      </c>
      <c r="F1752" t="s">
        <v>82</v>
      </c>
      <c r="G1752">
        <v>0</v>
      </c>
      <c r="H1752" s="32" t="str">
        <f ca="1">+IF(B1752&gt;'sap nuevo'!$V$1,"cargar",IF(C1752="","cargar","pagado"))</f>
        <v>cargar</v>
      </c>
      <c r="I1752" s="32">
        <f t="shared" si="240"/>
        <v>2026</v>
      </c>
      <c r="J1752" s="32">
        <f t="shared" si="241"/>
        <v>3</v>
      </c>
    </row>
    <row r="1753" spans="1:10" x14ac:dyDescent="0.25">
      <c r="A1753" t="s">
        <v>21</v>
      </c>
      <c r="B1753" t="s">
        <v>558</v>
      </c>
      <c r="C1753">
        <v>91002949</v>
      </c>
      <c r="D1753">
        <v>140</v>
      </c>
      <c r="E1753" s="4">
        <v>-4486995.76</v>
      </c>
      <c r="F1753" t="s">
        <v>80</v>
      </c>
      <c r="G1753">
        <v>0</v>
      </c>
      <c r="H1753" s="32" t="str">
        <f ca="1">+IF(B1753&gt;'sap nuevo'!$V$1,"cargar",IF(C1753="","cargar","pagado"))</f>
        <v>cargar</v>
      </c>
      <c r="I1753" s="32">
        <f t="shared" si="240"/>
        <v>2026</v>
      </c>
      <c r="J1753" s="32">
        <f t="shared" si="241"/>
        <v>3</v>
      </c>
    </row>
    <row r="1754" spans="1:10" x14ac:dyDescent="0.25">
      <c r="A1754" t="s">
        <v>873</v>
      </c>
      <c r="B1754" t="s">
        <v>558</v>
      </c>
      <c r="C1754">
        <v>2043</v>
      </c>
      <c r="D1754">
        <v>9999</v>
      </c>
      <c r="E1754" s="4">
        <v>-197261290</v>
      </c>
      <c r="F1754" t="s">
        <v>1713</v>
      </c>
      <c r="G1754">
        <v>3520</v>
      </c>
      <c r="H1754" s="32" t="str">
        <f ca="1">+IF(B1754&gt;'sap nuevo'!$V$1,"cargar",IF(C1754="","cargar","pagado"))</f>
        <v>cargar</v>
      </c>
      <c r="I1754" s="32">
        <f t="shared" si="240"/>
        <v>2026</v>
      </c>
      <c r="J1754" s="32">
        <f t="shared" si="241"/>
        <v>3</v>
      </c>
    </row>
    <row r="1755" spans="1:10" x14ac:dyDescent="0.25">
      <c r="A1755" t="s">
        <v>21</v>
      </c>
      <c r="B1755" t="s">
        <v>1714</v>
      </c>
      <c r="C1755">
        <v>40273024</v>
      </c>
      <c r="D1755">
        <v>140</v>
      </c>
      <c r="E1755" s="4">
        <v>-1670899.79</v>
      </c>
      <c r="F1755" t="s">
        <v>80</v>
      </c>
      <c r="G1755">
        <v>0</v>
      </c>
      <c r="H1755" s="32" t="str">
        <f ca="1">+IF(B1755&gt;'sap nuevo'!$V$1,"cargar",IF(C1755="","cargar","pagado"))</f>
        <v>cargar</v>
      </c>
      <c r="I1755" s="32">
        <f t="shared" si="240"/>
        <v>2026</v>
      </c>
      <c r="J1755" s="32">
        <f t="shared" si="241"/>
        <v>3</v>
      </c>
    </row>
    <row r="1756" spans="1:10" x14ac:dyDescent="0.25">
      <c r="A1756" t="s">
        <v>21</v>
      </c>
      <c r="B1756" t="s">
        <v>559</v>
      </c>
      <c r="C1756">
        <v>91002958</v>
      </c>
      <c r="D1756">
        <v>140</v>
      </c>
      <c r="E1756" s="4">
        <v>-70000000</v>
      </c>
      <c r="F1756" t="s">
        <v>80</v>
      </c>
      <c r="G1756">
        <v>0</v>
      </c>
      <c r="H1756" s="32" t="str">
        <f ca="1">+IF(B1756&gt;'sap nuevo'!$V$1,"cargar",IF(C1756="","cargar","pagado"))</f>
        <v>cargar</v>
      </c>
      <c r="I1756" s="32">
        <f t="shared" si="240"/>
        <v>2026</v>
      </c>
      <c r="J1756" s="32">
        <f t="shared" si="241"/>
        <v>3</v>
      </c>
    </row>
    <row r="1757" spans="1:10" x14ac:dyDescent="0.25">
      <c r="A1757" t="s">
        <v>21</v>
      </c>
      <c r="B1757" t="s">
        <v>559</v>
      </c>
      <c r="C1757">
        <v>91002965</v>
      </c>
      <c r="D1757">
        <v>140</v>
      </c>
      <c r="E1757" s="4">
        <v>-24970255.57</v>
      </c>
      <c r="F1757" t="s">
        <v>80</v>
      </c>
      <c r="G1757">
        <v>0</v>
      </c>
      <c r="H1757" s="32" t="str">
        <f ca="1">+IF(B1757&gt;'sap nuevo'!$V$1,"cargar",IF(C1757="","cargar","pagado"))</f>
        <v>cargar</v>
      </c>
      <c r="I1757" s="32">
        <f t="shared" si="240"/>
        <v>2026</v>
      </c>
      <c r="J1757" s="32">
        <f t="shared" si="241"/>
        <v>3</v>
      </c>
    </row>
    <row r="1758" spans="1:10" x14ac:dyDescent="0.25">
      <c r="A1758" t="s">
        <v>21</v>
      </c>
      <c r="B1758" t="s">
        <v>559</v>
      </c>
      <c r="C1758">
        <v>91002954</v>
      </c>
      <c r="D1758">
        <v>140</v>
      </c>
      <c r="E1758" s="4">
        <v>-16625192.5</v>
      </c>
      <c r="F1758" t="s">
        <v>80</v>
      </c>
      <c r="G1758">
        <v>0</v>
      </c>
      <c r="H1758" s="32" t="str">
        <f ca="1">+IF(B1758&gt;'sap nuevo'!$V$1,"cargar",IF(C1758="","cargar","pagado"))</f>
        <v>cargar</v>
      </c>
      <c r="I1758" s="32">
        <f t="shared" si="240"/>
        <v>2026</v>
      </c>
      <c r="J1758" s="32">
        <f t="shared" si="241"/>
        <v>3</v>
      </c>
    </row>
    <row r="1759" spans="1:10" x14ac:dyDescent="0.25">
      <c r="A1759" t="s">
        <v>12</v>
      </c>
      <c r="B1759" t="s">
        <v>559</v>
      </c>
      <c r="C1759">
        <v>91002963</v>
      </c>
      <c r="D1759">
        <v>140</v>
      </c>
      <c r="E1759" s="4">
        <v>-13676438.4</v>
      </c>
      <c r="F1759" t="s">
        <v>82</v>
      </c>
      <c r="G1759">
        <v>0</v>
      </c>
      <c r="H1759" s="32" t="str">
        <f ca="1">+IF(B1759&gt;'sap nuevo'!$V$1,"cargar",IF(C1759="","cargar","pagado"))</f>
        <v>cargar</v>
      </c>
      <c r="I1759" s="32">
        <f t="shared" si="240"/>
        <v>2026</v>
      </c>
      <c r="J1759" s="32">
        <f t="shared" si="241"/>
        <v>3</v>
      </c>
    </row>
    <row r="1760" spans="1:10" x14ac:dyDescent="0.25">
      <c r="A1760" t="s">
        <v>21</v>
      </c>
      <c r="B1760" t="s">
        <v>559</v>
      </c>
      <c r="C1760">
        <v>91002967</v>
      </c>
      <c r="D1760">
        <v>140</v>
      </c>
      <c r="E1760" s="4">
        <v>-9031077.9800000004</v>
      </c>
      <c r="F1760" t="s">
        <v>80</v>
      </c>
      <c r="G1760">
        <v>0</v>
      </c>
      <c r="H1760" s="32" t="str">
        <f ca="1">+IF(B1760&gt;'sap nuevo'!$V$1,"cargar",IF(C1760="","cargar","pagado"))</f>
        <v>cargar</v>
      </c>
      <c r="I1760" s="32">
        <f t="shared" si="240"/>
        <v>2026</v>
      </c>
      <c r="J1760" s="32">
        <f t="shared" si="241"/>
        <v>3</v>
      </c>
    </row>
    <row r="1761" spans="1:10" x14ac:dyDescent="0.25">
      <c r="A1761" t="s">
        <v>21</v>
      </c>
      <c r="B1761" t="s">
        <v>559</v>
      </c>
      <c r="C1761">
        <v>91002962</v>
      </c>
      <c r="D1761">
        <v>140</v>
      </c>
      <c r="E1761" s="4">
        <v>-6447707.1699999999</v>
      </c>
      <c r="F1761" t="s">
        <v>80</v>
      </c>
      <c r="G1761">
        <v>0</v>
      </c>
      <c r="H1761" s="32" t="str">
        <f ca="1">+IF(B1761&gt;'sap nuevo'!$V$1,"cargar",IF(C1761="","cargar","pagado"))</f>
        <v>cargar</v>
      </c>
      <c r="I1761" s="32">
        <f t="shared" si="240"/>
        <v>2026</v>
      </c>
      <c r="J1761" s="32">
        <f t="shared" si="241"/>
        <v>3</v>
      </c>
    </row>
    <row r="1762" spans="1:10" x14ac:dyDescent="0.25">
      <c r="A1762" t="s">
        <v>21</v>
      </c>
      <c r="B1762" t="s">
        <v>559</v>
      </c>
      <c r="C1762">
        <v>91002961</v>
      </c>
      <c r="D1762">
        <v>140</v>
      </c>
      <c r="E1762" s="4">
        <v>-6365278.1200000001</v>
      </c>
      <c r="F1762" t="s">
        <v>80</v>
      </c>
      <c r="G1762">
        <v>0</v>
      </c>
      <c r="H1762" s="32" t="str">
        <f ca="1">+IF(B1762&gt;'sap nuevo'!$V$1,"cargar",IF(C1762="","cargar","pagado"))</f>
        <v>cargar</v>
      </c>
      <c r="I1762" s="32">
        <f t="shared" si="240"/>
        <v>2026</v>
      </c>
      <c r="J1762" s="32">
        <f t="shared" si="241"/>
        <v>3</v>
      </c>
    </row>
    <row r="1763" spans="1:10" x14ac:dyDescent="0.25">
      <c r="A1763" t="s">
        <v>21</v>
      </c>
      <c r="B1763" t="s">
        <v>559</v>
      </c>
      <c r="C1763">
        <v>91002852</v>
      </c>
      <c r="D1763">
        <v>140</v>
      </c>
      <c r="E1763" s="4">
        <v>-5275000</v>
      </c>
      <c r="F1763" t="s">
        <v>80</v>
      </c>
      <c r="G1763">
        <v>0</v>
      </c>
      <c r="H1763" s="32" t="str">
        <f ca="1">+IF(B1763&gt;'sap nuevo'!$V$1,"cargar",IF(C1763="","cargar","pagado"))</f>
        <v>cargar</v>
      </c>
      <c r="I1763" s="32">
        <f t="shared" si="240"/>
        <v>2026</v>
      </c>
      <c r="J1763" s="32">
        <f t="shared" si="241"/>
        <v>3</v>
      </c>
    </row>
    <row r="1764" spans="1:10" x14ac:dyDescent="0.25">
      <c r="A1764" t="s">
        <v>21</v>
      </c>
      <c r="B1764" t="s">
        <v>559</v>
      </c>
      <c r="C1764">
        <v>91002970</v>
      </c>
      <c r="D1764">
        <v>140</v>
      </c>
      <c r="E1764" s="4">
        <v>-4686675</v>
      </c>
      <c r="F1764" t="s">
        <v>80</v>
      </c>
      <c r="G1764">
        <v>0</v>
      </c>
      <c r="H1764" s="32" t="str">
        <f ca="1">+IF(B1764&gt;'sap nuevo'!$V$1,"cargar",IF(C1764="","cargar","pagado"))</f>
        <v>cargar</v>
      </c>
      <c r="I1764" s="32">
        <f t="shared" si="240"/>
        <v>2026</v>
      </c>
      <c r="J1764" s="32">
        <f t="shared" si="241"/>
        <v>3</v>
      </c>
    </row>
    <row r="1765" spans="1:10" x14ac:dyDescent="0.25">
      <c r="A1765" t="s">
        <v>21</v>
      </c>
      <c r="B1765" t="s">
        <v>560</v>
      </c>
      <c r="C1765">
        <v>91002959</v>
      </c>
      <c r="D1765">
        <v>140</v>
      </c>
      <c r="E1765" s="4">
        <v>-73237662.680000007</v>
      </c>
      <c r="F1765" t="s">
        <v>80</v>
      </c>
      <c r="G1765">
        <v>0</v>
      </c>
      <c r="H1765" s="32" t="str">
        <f ca="1">+IF(B1765&gt;'sap nuevo'!$V$1,"cargar",IF(C1765="","cargar","pagado"))</f>
        <v>cargar</v>
      </c>
      <c r="I1765" s="32">
        <f t="shared" si="240"/>
        <v>2026</v>
      </c>
      <c r="J1765" s="32">
        <f t="shared" si="241"/>
        <v>3</v>
      </c>
    </row>
    <row r="1766" spans="1:10" x14ac:dyDescent="0.25">
      <c r="A1766" t="s">
        <v>21</v>
      </c>
      <c r="B1766" t="s">
        <v>560</v>
      </c>
      <c r="C1766">
        <v>91002960</v>
      </c>
      <c r="D1766">
        <v>140</v>
      </c>
      <c r="E1766" s="4">
        <v>-41662283.469999999</v>
      </c>
      <c r="F1766" t="s">
        <v>80</v>
      </c>
      <c r="G1766">
        <v>0</v>
      </c>
      <c r="H1766" s="32" t="str">
        <f ca="1">+IF(B1766&gt;'sap nuevo'!$V$1,"cargar",IF(C1766="","cargar","pagado"))</f>
        <v>cargar</v>
      </c>
      <c r="I1766" s="32">
        <f t="shared" si="240"/>
        <v>2026</v>
      </c>
      <c r="J1766" s="32">
        <f t="shared" si="241"/>
        <v>3</v>
      </c>
    </row>
    <row r="1767" spans="1:10" x14ac:dyDescent="0.25">
      <c r="A1767" t="s">
        <v>12</v>
      </c>
      <c r="B1767" t="s">
        <v>560</v>
      </c>
      <c r="C1767">
        <v>91002956</v>
      </c>
      <c r="D1767">
        <v>140</v>
      </c>
      <c r="E1767" s="4">
        <v>-18563869.34</v>
      </c>
      <c r="F1767" t="s">
        <v>82</v>
      </c>
      <c r="G1767">
        <v>0</v>
      </c>
      <c r="H1767" s="32" t="str">
        <f ca="1">+IF(B1767&gt;'sap nuevo'!$V$1,"cargar",IF(C1767="","cargar","pagado"))</f>
        <v>cargar</v>
      </c>
      <c r="I1767" s="32">
        <f t="shared" si="240"/>
        <v>2026</v>
      </c>
      <c r="J1767" s="32">
        <f t="shared" si="241"/>
        <v>3</v>
      </c>
    </row>
    <row r="1768" spans="1:10" x14ac:dyDescent="0.25">
      <c r="A1768" t="s">
        <v>21</v>
      </c>
      <c r="B1768" t="s">
        <v>560</v>
      </c>
      <c r="C1768">
        <v>91002957</v>
      </c>
      <c r="D1768">
        <v>140</v>
      </c>
      <c r="E1768" s="4">
        <v>-17579717.789999999</v>
      </c>
      <c r="F1768" t="s">
        <v>80</v>
      </c>
      <c r="G1768">
        <v>0</v>
      </c>
      <c r="H1768" s="32" t="str">
        <f ca="1">+IF(B1768&gt;'sap nuevo'!$V$1,"cargar",IF(C1768="","cargar","pagado"))</f>
        <v>cargar</v>
      </c>
      <c r="I1768" s="32">
        <f t="shared" si="240"/>
        <v>2026</v>
      </c>
      <c r="J1768" s="32">
        <f t="shared" si="241"/>
        <v>3</v>
      </c>
    </row>
    <row r="1769" spans="1:10" x14ac:dyDescent="0.25">
      <c r="A1769" t="s">
        <v>21</v>
      </c>
      <c r="B1769" t="s">
        <v>560</v>
      </c>
      <c r="C1769">
        <v>91002966</v>
      </c>
      <c r="D1769">
        <v>140</v>
      </c>
      <c r="E1769" s="4">
        <v>-7885342.54</v>
      </c>
      <c r="F1769" t="s">
        <v>80</v>
      </c>
      <c r="G1769">
        <v>0</v>
      </c>
      <c r="H1769" s="32" t="str">
        <f ca="1">+IF(B1769&gt;'sap nuevo'!$V$1,"cargar",IF(C1769="","cargar","pagado"))</f>
        <v>cargar</v>
      </c>
      <c r="I1769" s="32">
        <f t="shared" si="240"/>
        <v>2026</v>
      </c>
      <c r="J1769" s="32">
        <f t="shared" si="241"/>
        <v>3</v>
      </c>
    </row>
    <row r="1770" spans="1:10" x14ac:dyDescent="0.25">
      <c r="A1770" t="s">
        <v>12</v>
      </c>
      <c r="B1770" t="s">
        <v>560</v>
      </c>
      <c r="C1770">
        <v>91002955</v>
      </c>
      <c r="D1770">
        <v>140</v>
      </c>
      <c r="E1770" s="4">
        <v>-6021324.8300000001</v>
      </c>
      <c r="F1770" t="s">
        <v>82</v>
      </c>
      <c r="G1770">
        <v>0</v>
      </c>
      <c r="H1770" s="32" t="str">
        <f ca="1">+IF(B1770&gt;'sap nuevo'!$V$1,"cargar",IF(C1770="","cargar","pagado"))</f>
        <v>cargar</v>
      </c>
      <c r="I1770" s="32">
        <f t="shared" si="240"/>
        <v>2026</v>
      </c>
      <c r="J1770" s="32">
        <f t="shared" si="241"/>
        <v>3</v>
      </c>
    </row>
    <row r="1771" spans="1:10" x14ac:dyDescent="0.25">
      <c r="A1771" t="s">
        <v>12</v>
      </c>
      <c r="B1771" t="s">
        <v>564</v>
      </c>
      <c r="C1771">
        <v>91002971</v>
      </c>
      <c r="D1771">
        <v>140</v>
      </c>
      <c r="E1771" s="4">
        <v>-19699035.510000002</v>
      </c>
      <c r="F1771" t="s">
        <v>82</v>
      </c>
      <c r="G1771">
        <v>0</v>
      </c>
      <c r="H1771" s="32" t="str">
        <f ca="1">+IF(B1771&gt;'sap nuevo'!$V$1,"cargar",IF(C1771="","cargar","pagado"))</f>
        <v>cargar</v>
      </c>
      <c r="I1771" s="32">
        <f t="shared" si="240"/>
        <v>2026</v>
      </c>
      <c r="J1771" s="32">
        <f t="shared" si="241"/>
        <v>4</v>
      </c>
    </row>
    <row r="1772" spans="1:10" x14ac:dyDescent="0.25">
      <c r="A1772" t="s">
        <v>21</v>
      </c>
      <c r="B1772" t="s">
        <v>581</v>
      </c>
      <c r="C1772">
        <v>91002964</v>
      </c>
      <c r="D1772">
        <v>140</v>
      </c>
      <c r="E1772" s="4">
        <v>-20365023.18</v>
      </c>
      <c r="F1772" t="s">
        <v>80</v>
      </c>
      <c r="G1772">
        <v>0</v>
      </c>
      <c r="H1772" s="32" t="str">
        <f ca="1">+IF(B1772&gt;'sap nuevo'!$V$1,"cargar",IF(C1772="","cargar","pagado"))</f>
        <v>cargar</v>
      </c>
      <c r="I1772" s="32">
        <f t="shared" si="240"/>
        <v>2026</v>
      </c>
      <c r="J1772" s="32">
        <f t="shared" si="241"/>
        <v>4</v>
      </c>
    </row>
    <row r="1773" spans="1:10" x14ac:dyDescent="0.25">
      <c r="A1773" t="s">
        <v>21</v>
      </c>
      <c r="B1773" t="s">
        <v>582</v>
      </c>
      <c r="C1773">
        <v>91002969</v>
      </c>
      <c r="D1773">
        <v>140</v>
      </c>
      <c r="E1773" s="4">
        <v>-6730493.6399999997</v>
      </c>
      <c r="F1773" t="s">
        <v>80</v>
      </c>
      <c r="G1773">
        <v>0</v>
      </c>
      <c r="H1773" s="32" t="str">
        <f ca="1">+IF(B1773&gt;'sap nuevo'!$V$1,"cargar",IF(C1773="","cargar","pagado"))</f>
        <v>cargar</v>
      </c>
      <c r="I1773" s="32">
        <f t="shared" si="240"/>
        <v>2026</v>
      </c>
      <c r="J1773" s="32">
        <f t="shared" si="241"/>
        <v>4</v>
      </c>
    </row>
    <row r="1774" spans="1:10" x14ac:dyDescent="0.25">
      <c r="A1774" t="s">
        <v>21</v>
      </c>
      <c r="B1774" t="s">
        <v>1715</v>
      </c>
      <c r="C1774">
        <v>91002968</v>
      </c>
      <c r="D1774">
        <v>140</v>
      </c>
      <c r="E1774" s="4">
        <v>-13859450.800000001</v>
      </c>
      <c r="F1774" t="s">
        <v>80</v>
      </c>
      <c r="G1774">
        <v>0</v>
      </c>
      <c r="H1774" s="32" t="str">
        <f ca="1">+IF(B1774&gt;'sap nuevo'!$V$1,"cargar",IF(C1774="","cargar","pagado"))</f>
        <v>cargar</v>
      </c>
      <c r="I1774" s="32">
        <f t="shared" si="240"/>
        <v>2026</v>
      </c>
      <c r="J1774" s="32">
        <f t="shared" si="241"/>
        <v>4</v>
      </c>
    </row>
    <row r="1775" spans="1:10" x14ac:dyDescent="0.25">
      <c r="A1775" t="s">
        <v>12</v>
      </c>
      <c r="B1775" t="s">
        <v>1715</v>
      </c>
      <c r="C1775">
        <v>40273023</v>
      </c>
      <c r="D1775">
        <v>140</v>
      </c>
      <c r="E1775" s="4">
        <v>-11098774.199999999</v>
      </c>
      <c r="F1775" t="s">
        <v>82</v>
      </c>
      <c r="G1775">
        <v>0</v>
      </c>
      <c r="H1775" s="32" t="str">
        <f ca="1">+IF(B1775&gt;'sap nuevo'!$V$1,"cargar",IF(C1775="","cargar","pagado"))</f>
        <v>cargar</v>
      </c>
      <c r="I1775" s="32">
        <f t="shared" si="240"/>
        <v>2026</v>
      </c>
      <c r="J1775" s="32">
        <f t="shared" si="241"/>
        <v>4</v>
      </c>
    </row>
    <row r="1776" spans="1:10" x14ac:dyDescent="0.25">
      <c r="A1776" t="s">
        <v>12</v>
      </c>
      <c r="B1776" t="s">
        <v>1716</v>
      </c>
      <c r="C1776">
        <v>40273022</v>
      </c>
      <c r="D1776">
        <v>140</v>
      </c>
      <c r="E1776" s="4">
        <v>-11000000</v>
      </c>
      <c r="F1776" t="s">
        <v>82</v>
      </c>
      <c r="G1776">
        <v>0</v>
      </c>
      <c r="H1776" s="32" t="str">
        <f ca="1">+IF(B1776&gt;'sap nuevo'!$V$1,"cargar",IF(C1776="","cargar","pagado"))</f>
        <v>cargar</v>
      </c>
      <c r="I1776" s="32">
        <f t="shared" si="240"/>
        <v>2026</v>
      </c>
      <c r="J1776" s="32">
        <f t="shared" si="241"/>
        <v>4</v>
      </c>
    </row>
    <row r="1777" spans="1:10" x14ac:dyDescent="0.25">
      <c r="A1777" t="s">
        <v>873</v>
      </c>
      <c r="B1777" t="s">
        <v>1717</v>
      </c>
      <c r="C1777">
        <v>2044</v>
      </c>
      <c r="D1777">
        <v>9999</v>
      </c>
      <c r="E1777" s="4">
        <v>-2243497.88</v>
      </c>
      <c r="F1777" t="s">
        <v>1718</v>
      </c>
      <c r="G1777">
        <v>3520</v>
      </c>
      <c r="H1777" s="32" t="str">
        <f ca="1">+IF(B1777&gt;'sap nuevo'!$V$1,"cargar",IF(C1777="","cargar","pagado"))</f>
        <v>cargar</v>
      </c>
      <c r="I1777" s="32">
        <f t="shared" si="240"/>
        <v>2026</v>
      </c>
      <c r="J1777" s="32">
        <f t="shared" si="241"/>
        <v>4</v>
      </c>
    </row>
    <row r="1778" spans="1:10" x14ac:dyDescent="0.25">
      <c r="A1778" t="s">
        <v>21</v>
      </c>
      <c r="B1778" t="s">
        <v>1717</v>
      </c>
      <c r="C1778">
        <v>91002974</v>
      </c>
      <c r="D1778">
        <v>140</v>
      </c>
      <c r="E1778" s="4">
        <v>-35006943.399999999</v>
      </c>
      <c r="F1778" t="s">
        <v>80</v>
      </c>
      <c r="G1778">
        <v>0</v>
      </c>
      <c r="H1778" s="32" t="str">
        <f ca="1">+IF(B1778&gt;'sap nuevo'!$V$1,"cargar",IF(C1778="","cargar","pagado"))</f>
        <v>cargar</v>
      </c>
      <c r="I1778" s="32">
        <f t="shared" si="240"/>
        <v>2026</v>
      </c>
      <c r="J1778" s="32">
        <f t="shared" si="241"/>
        <v>4</v>
      </c>
    </row>
    <row r="1779" spans="1:10" x14ac:dyDescent="0.25">
      <c r="A1779" t="s">
        <v>21</v>
      </c>
      <c r="B1779" t="s">
        <v>1717</v>
      </c>
      <c r="C1779">
        <v>91002972</v>
      </c>
      <c r="D1779">
        <v>140</v>
      </c>
      <c r="E1779" s="4">
        <v>-23575430.25</v>
      </c>
      <c r="F1779" t="s">
        <v>80</v>
      </c>
      <c r="G1779">
        <v>0</v>
      </c>
      <c r="H1779" s="32" t="str">
        <f ca="1">+IF(B1779&gt;'sap nuevo'!$V$1,"cargar",IF(C1779="","cargar","pagado"))</f>
        <v>cargar</v>
      </c>
      <c r="I1779" s="32">
        <f t="shared" si="240"/>
        <v>2026</v>
      </c>
      <c r="J1779" s="32">
        <f t="shared" si="241"/>
        <v>4</v>
      </c>
    </row>
    <row r="1780" spans="1:10" x14ac:dyDescent="0.25">
      <c r="A1780" t="s">
        <v>21</v>
      </c>
      <c r="B1780" t="s">
        <v>1717</v>
      </c>
      <c r="C1780">
        <v>91002977</v>
      </c>
      <c r="D1780">
        <v>140</v>
      </c>
      <c r="E1780" s="4">
        <v>-18851123.23</v>
      </c>
      <c r="F1780" t="s">
        <v>80</v>
      </c>
      <c r="G1780">
        <v>0</v>
      </c>
      <c r="H1780" s="32" t="str">
        <f ca="1">+IF(B1780&gt;'sap nuevo'!$V$1,"cargar",IF(C1780="","cargar","pagado"))</f>
        <v>cargar</v>
      </c>
      <c r="I1780" s="32">
        <f t="shared" si="240"/>
        <v>2026</v>
      </c>
      <c r="J1780" s="32">
        <f t="shared" si="241"/>
        <v>4</v>
      </c>
    </row>
    <row r="1781" spans="1:10" x14ac:dyDescent="0.25">
      <c r="A1781" t="s">
        <v>12</v>
      </c>
      <c r="B1781" t="s">
        <v>1717</v>
      </c>
      <c r="C1781">
        <v>91002975</v>
      </c>
      <c r="D1781">
        <v>140</v>
      </c>
      <c r="E1781" s="4">
        <v>-9703847.4000000004</v>
      </c>
      <c r="F1781" t="s">
        <v>82</v>
      </c>
      <c r="G1781">
        <v>0</v>
      </c>
      <c r="H1781" s="32" t="str">
        <f ca="1">+IF(B1781&gt;'sap nuevo'!$V$1,"cargar",IF(C1781="","cargar","pagado"))</f>
        <v>cargar</v>
      </c>
      <c r="I1781" s="32">
        <f t="shared" si="240"/>
        <v>2026</v>
      </c>
      <c r="J1781" s="32">
        <f t="shared" si="241"/>
        <v>4</v>
      </c>
    </row>
    <row r="1782" spans="1:10" x14ac:dyDescent="0.25">
      <c r="A1782" t="s">
        <v>21</v>
      </c>
      <c r="B1782" t="s">
        <v>1717</v>
      </c>
      <c r="C1782">
        <v>91002978</v>
      </c>
      <c r="D1782">
        <v>140</v>
      </c>
      <c r="E1782" s="4">
        <v>-9139264.1799999997</v>
      </c>
      <c r="F1782" t="s">
        <v>80</v>
      </c>
      <c r="G1782">
        <v>0</v>
      </c>
      <c r="H1782" s="32" t="str">
        <f ca="1">+IF(B1782&gt;'sap nuevo'!$V$1,"cargar",IF(C1782="","cargar","pagado"))</f>
        <v>cargar</v>
      </c>
      <c r="I1782" s="32">
        <f t="shared" si="240"/>
        <v>2026</v>
      </c>
      <c r="J1782" s="32">
        <f t="shared" si="241"/>
        <v>4</v>
      </c>
    </row>
    <row r="1783" spans="1:10" x14ac:dyDescent="0.25">
      <c r="A1783" t="s">
        <v>21</v>
      </c>
      <c r="B1783" t="s">
        <v>1717</v>
      </c>
      <c r="C1783">
        <v>91002976</v>
      </c>
      <c r="D1783">
        <v>140</v>
      </c>
      <c r="E1783" s="4">
        <v>-9118231.4000000004</v>
      </c>
      <c r="F1783" t="s">
        <v>80</v>
      </c>
      <c r="G1783">
        <v>0</v>
      </c>
      <c r="H1783" s="32" t="str">
        <f ca="1">+IF(B1783&gt;'sap nuevo'!$V$1,"cargar",IF(C1783="","cargar","pagado"))</f>
        <v>cargar</v>
      </c>
      <c r="I1783" s="32">
        <f t="shared" si="240"/>
        <v>2026</v>
      </c>
      <c r="J1783" s="32">
        <f t="shared" si="241"/>
        <v>4</v>
      </c>
    </row>
    <row r="1784" spans="1:10" x14ac:dyDescent="0.25">
      <c r="A1784" t="s">
        <v>21</v>
      </c>
      <c r="B1784" t="s">
        <v>1717</v>
      </c>
      <c r="C1784">
        <v>91002973</v>
      </c>
      <c r="D1784">
        <v>140</v>
      </c>
      <c r="E1784" s="4">
        <v>-5739462.1500000004</v>
      </c>
      <c r="F1784" t="s">
        <v>80</v>
      </c>
      <c r="G1784">
        <v>0</v>
      </c>
      <c r="H1784" s="32" t="str">
        <f ca="1">+IF(B1784&gt;'sap nuevo'!$V$1,"cargar",IF(C1784="","cargar","pagado"))</f>
        <v>cargar</v>
      </c>
      <c r="I1784" s="32">
        <f t="shared" ref="I1784:I1847" si="242">+YEAR(B1784)</f>
        <v>2026</v>
      </c>
      <c r="J1784" s="32">
        <f t="shared" ref="J1784:J1847" si="243">+MONTH(B1784)</f>
        <v>4</v>
      </c>
    </row>
    <row r="1785" spans="1:10" x14ac:dyDescent="0.25">
      <c r="A1785" t="s">
        <v>21</v>
      </c>
      <c r="B1785" s="3">
        <v>46126</v>
      </c>
      <c r="C1785">
        <v>91002986</v>
      </c>
      <c r="D1785">
        <v>140</v>
      </c>
      <c r="E1785" s="4">
        <v>-2527351.7799999998</v>
      </c>
      <c r="F1785" t="s">
        <v>80</v>
      </c>
      <c r="G1785">
        <v>0</v>
      </c>
      <c r="H1785" s="32" t="str">
        <f ca="1">+IF(B1785&gt;'sap nuevo'!$V$1,"cargar",IF(C1785="","cargar","pagado"))</f>
        <v>pagado</v>
      </c>
      <c r="I1785" s="32">
        <f t="shared" si="242"/>
        <v>2026</v>
      </c>
      <c r="J1785" s="32">
        <f t="shared" si="243"/>
        <v>4</v>
      </c>
    </row>
    <row r="1786" spans="1:10" x14ac:dyDescent="0.25">
      <c r="A1786" t="s">
        <v>21</v>
      </c>
      <c r="B1786" s="3">
        <v>46126</v>
      </c>
      <c r="C1786">
        <v>91002985</v>
      </c>
      <c r="D1786">
        <v>140</v>
      </c>
      <c r="E1786" s="4">
        <v>-4290889.25</v>
      </c>
      <c r="F1786" t="s">
        <v>80</v>
      </c>
      <c r="G1786">
        <v>0</v>
      </c>
      <c r="H1786" s="32" t="str">
        <f ca="1">+IF(B1786&gt;'sap nuevo'!$V$1,"cargar",IF(C1786="","cargar","pagado"))</f>
        <v>pagado</v>
      </c>
      <c r="I1786" s="32">
        <f t="shared" si="242"/>
        <v>2026</v>
      </c>
      <c r="J1786" s="32">
        <f t="shared" si="243"/>
        <v>4</v>
      </c>
    </row>
    <row r="1787" spans="1:10" x14ac:dyDescent="0.25">
      <c r="A1787" t="s">
        <v>21</v>
      </c>
      <c r="B1787" s="3">
        <v>46126</v>
      </c>
      <c r="C1787">
        <v>91002984</v>
      </c>
      <c r="D1787">
        <v>140</v>
      </c>
      <c r="E1787" s="4">
        <v>-2040745.01</v>
      </c>
      <c r="F1787" t="s">
        <v>80</v>
      </c>
      <c r="G1787">
        <v>0</v>
      </c>
      <c r="H1787" s="32" t="str">
        <f ca="1">+IF(B1787&gt;'sap nuevo'!$V$1,"cargar",IF(C1787="","cargar","pagado"))</f>
        <v>pagado</v>
      </c>
      <c r="I1787" s="32">
        <f t="shared" si="242"/>
        <v>2026</v>
      </c>
      <c r="J1787" s="32">
        <f t="shared" si="243"/>
        <v>4</v>
      </c>
    </row>
    <row r="1788" spans="1:10" x14ac:dyDescent="0.25">
      <c r="A1788" t="s">
        <v>21</v>
      </c>
      <c r="B1788" s="3">
        <v>46126</v>
      </c>
      <c r="C1788">
        <v>91002980</v>
      </c>
      <c r="D1788">
        <v>140</v>
      </c>
      <c r="E1788" s="4">
        <v>-19457607.149999999</v>
      </c>
      <c r="F1788" t="s">
        <v>80</v>
      </c>
      <c r="G1788">
        <v>0</v>
      </c>
      <c r="H1788" s="32" t="str">
        <f ca="1">+IF(B1788&gt;'sap nuevo'!$V$1,"cargar",IF(C1788="","cargar","pagado"))</f>
        <v>pagado</v>
      </c>
      <c r="I1788" s="32">
        <f t="shared" si="242"/>
        <v>2026</v>
      </c>
      <c r="J1788" s="32">
        <f t="shared" si="243"/>
        <v>4</v>
      </c>
    </row>
    <row r="1789" spans="1:10" x14ac:dyDescent="0.25">
      <c r="A1789" t="s">
        <v>21</v>
      </c>
      <c r="B1789" s="3">
        <v>46126</v>
      </c>
      <c r="C1789">
        <v>91002979</v>
      </c>
      <c r="D1789">
        <v>140</v>
      </c>
      <c r="E1789" s="4">
        <v>-16593343.4</v>
      </c>
      <c r="F1789" t="s">
        <v>80</v>
      </c>
      <c r="G1789">
        <v>0</v>
      </c>
      <c r="H1789" s="32" t="str">
        <f ca="1">+IF(B1789&gt;'sap nuevo'!$V$1,"cargar",IF(C1789="","cargar","pagado"))</f>
        <v>pagado</v>
      </c>
      <c r="I1789" s="32">
        <f t="shared" si="242"/>
        <v>2026</v>
      </c>
      <c r="J1789" s="32">
        <f t="shared" si="243"/>
        <v>4</v>
      </c>
    </row>
    <row r="1790" spans="1:10" x14ac:dyDescent="0.25">
      <c r="A1790" t="s">
        <v>21</v>
      </c>
      <c r="B1790" s="3">
        <v>46126</v>
      </c>
      <c r="C1790">
        <v>91002884</v>
      </c>
      <c r="D1790">
        <v>140</v>
      </c>
      <c r="E1790" s="4">
        <v>-13120317.5</v>
      </c>
      <c r="F1790" t="s">
        <v>80</v>
      </c>
      <c r="G1790">
        <v>0</v>
      </c>
      <c r="H1790" s="32" t="str">
        <f ca="1">+IF(B1790&gt;'sap nuevo'!$V$1,"cargar",IF(C1790="","cargar","pagado"))</f>
        <v>pagado</v>
      </c>
      <c r="I1790" s="32">
        <f t="shared" si="242"/>
        <v>2026</v>
      </c>
      <c r="J1790" s="32">
        <f t="shared" si="243"/>
        <v>4</v>
      </c>
    </row>
    <row r="1791" spans="1:10" x14ac:dyDescent="0.25">
      <c r="A1791" t="s">
        <v>21</v>
      </c>
      <c r="B1791" s="3">
        <v>46127</v>
      </c>
      <c r="C1791">
        <v>91002983</v>
      </c>
      <c r="D1791">
        <v>140</v>
      </c>
      <c r="E1791" s="4">
        <v>-2243665.7999999998</v>
      </c>
      <c r="F1791" t="s">
        <v>80</v>
      </c>
      <c r="G1791">
        <v>0</v>
      </c>
      <c r="H1791" s="32" t="str">
        <f ca="1">+IF(B1791&gt;'sap nuevo'!$V$1,"cargar",IF(C1791="","cargar","pagado"))</f>
        <v>pagado</v>
      </c>
      <c r="I1791" s="32">
        <f t="shared" si="242"/>
        <v>2026</v>
      </c>
      <c r="J1791" s="32">
        <f t="shared" si="243"/>
        <v>4</v>
      </c>
    </row>
    <row r="1792" spans="1:10" x14ac:dyDescent="0.25">
      <c r="A1792" t="s">
        <v>21</v>
      </c>
      <c r="B1792" s="3">
        <v>46128</v>
      </c>
      <c r="C1792">
        <v>91002993</v>
      </c>
      <c r="D1792">
        <v>140</v>
      </c>
      <c r="E1792" s="4">
        <v>-173851885.88999999</v>
      </c>
      <c r="F1792" t="s">
        <v>80</v>
      </c>
      <c r="G1792">
        <v>0</v>
      </c>
      <c r="H1792" s="32" t="str">
        <f ca="1">+IF(B1792&gt;'sap nuevo'!$V$1,"cargar",IF(C1792="","cargar","pagado"))</f>
        <v>pagado</v>
      </c>
      <c r="I1792" s="32">
        <f t="shared" si="242"/>
        <v>2026</v>
      </c>
      <c r="J1792" s="32">
        <f t="shared" si="243"/>
        <v>4</v>
      </c>
    </row>
    <row r="1793" spans="1:10" x14ac:dyDescent="0.25">
      <c r="A1793" t="s">
        <v>21</v>
      </c>
      <c r="B1793" s="3">
        <v>46128</v>
      </c>
      <c r="C1793">
        <v>91002987</v>
      </c>
      <c r="D1793">
        <v>140</v>
      </c>
      <c r="E1793" s="4">
        <v>-44368343.399999999</v>
      </c>
      <c r="F1793" t="s">
        <v>80</v>
      </c>
      <c r="G1793">
        <v>0</v>
      </c>
      <c r="H1793" s="32" t="str">
        <f ca="1">+IF(B1793&gt;'sap nuevo'!$V$1,"cargar",IF(C1793="","cargar","pagado"))</f>
        <v>pagado</v>
      </c>
      <c r="I1793" s="32">
        <f t="shared" si="242"/>
        <v>2026</v>
      </c>
      <c r="J1793" s="32">
        <f t="shared" si="243"/>
        <v>4</v>
      </c>
    </row>
    <row r="1794" spans="1:10" x14ac:dyDescent="0.25">
      <c r="A1794" t="s">
        <v>21</v>
      </c>
      <c r="B1794" s="3">
        <v>46128</v>
      </c>
      <c r="C1794">
        <v>91003006</v>
      </c>
      <c r="D1794">
        <v>140</v>
      </c>
      <c r="E1794" s="4">
        <v>-27269382.5</v>
      </c>
      <c r="F1794" t="s">
        <v>80</v>
      </c>
      <c r="G1794">
        <v>0</v>
      </c>
      <c r="H1794" s="32" t="str">
        <f ca="1">+IF(B1794&gt;'sap nuevo'!$V$1,"cargar",IF(C1794="","cargar","pagado"))</f>
        <v>pagado</v>
      </c>
      <c r="I1794" s="32">
        <f t="shared" si="242"/>
        <v>2026</v>
      </c>
      <c r="J1794" s="32">
        <f t="shared" si="243"/>
        <v>4</v>
      </c>
    </row>
    <row r="1795" spans="1:10" x14ac:dyDescent="0.25">
      <c r="A1795" t="s">
        <v>21</v>
      </c>
      <c r="B1795" s="3">
        <v>46128</v>
      </c>
      <c r="C1795">
        <v>91002990</v>
      </c>
      <c r="D1795">
        <v>140</v>
      </c>
      <c r="E1795" s="4">
        <v>-22548375</v>
      </c>
      <c r="F1795" t="s">
        <v>80</v>
      </c>
      <c r="G1795">
        <v>0</v>
      </c>
      <c r="H1795" s="32" t="str">
        <f ca="1">+IF(B1795&gt;'sap nuevo'!$V$1,"cargar",IF(C1795="","cargar","pagado"))</f>
        <v>pagado</v>
      </c>
      <c r="I1795" s="32">
        <f t="shared" si="242"/>
        <v>2026</v>
      </c>
      <c r="J1795" s="32">
        <f t="shared" si="243"/>
        <v>4</v>
      </c>
    </row>
    <row r="1796" spans="1:10" x14ac:dyDescent="0.25">
      <c r="A1796" t="s">
        <v>21</v>
      </c>
      <c r="B1796" s="3">
        <v>46128</v>
      </c>
      <c r="C1796">
        <v>91002995</v>
      </c>
      <c r="D1796">
        <v>140</v>
      </c>
      <c r="E1796" s="4">
        <v>-15085000</v>
      </c>
      <c r="F1796" t="s">
        <v>80</v>
      </c>
      <c r="G1796">
        <v>0</v>
      </c>
      <c r="H1796" s="32" t="str">
        <f ca="1">+IF(B1796&gt;'sap nuevo'!$V$1,"cargar",IF(C1796="","cargar","pagado"))</f>
        <v>pagado</v>
      </c>
      <c r="I1796" s="32">
        <f t="shared" si="242"/>
        <v>2026</v>
      </c>
      <c r="J1796" s="32">
        <f t="shared" si="243"/>
        <v>4</v>
      </c>
    </row>
    <row r="1797" spans="1:10" x14ac:dyDescent="0.25">
      <c r="A1797" t="s">
        <v>21</v>
      </c>
      <c r="B1797" s="3">
        <v>46128</v>
      </c>
      <c r="C1797">
        <v>91002996</v>
      </c>
      <c r="D1797">
        <v>140</v>
      </c>
      <c r="E1797" s="4">
        <v>-12500000</v>
      </c>
      <c r="F1797" t="s">
        <v>80</v>
      </c>
      <c r="G1797">
        <v>0</v>
      </c>
      <c r="H1797" s="32" t="str">
        <f ca="1">+IF(B1797&gt;'sap nuevo'!$V$1,"cargar",IF(C1797="","cargar","pagado"))</f>
        <v>pagado</v>
      </c>
      <c r="I1797" s="32">
        <f t="shared" si="242"/>
        <v>2026</v>
      </c>
      <c r="J1797" s="32">
        <f t="shared" si="243"/>
        <v>4</v>
      </c>
    </row>
    <row r="1798" spans="1:10" x14ac:dyDescent="0.25">
      <c r="A1798" t="s">
        <v>12</v>
      </c>
      <c r="B1798" s="3">
        <v>46128</v>
      </c>
      <c r="C1798">
        <v>91002992</v>
      </c>
      <c r="D1798">
        <v>140</v>
      </c>
      <c r="E1798" s="4">
        <v>-10826452.17</v>
      </c>
      <c r="F1798" t="s">
        <v>82</v>
      </c>
      <c r="G1798">
        <v>0</v>
      </c>
      <c r="H1798" s="32" t="str">
        <f ca="1">+IF(B1798&gt;'sap nuevo'!$V$1,"cargar",IF(C1798="","cargar","pagado"))</f>
        <v>pagado</v>
      </c>
      <c r="I1798" s="32">
        <f t="shared" si="242"/>
        <v>2026</v>
      </c>
      <c r="J1798" s="32">
        <f t="shared" si="243"/>
        <v>4</v>
      </c>
    </row>
    <row r="1799" spans="1:10" x14ac:dyDescent="0.25">
      <c r="A1799" t="s">
        <v>12</v>
      </c>
      <c r="B1799" s="3">
        <v>46128</v>
      </c>
      <c r="C1799">
        <v>91002988</v>
      </c>
      <c r="D1799">
        <v>140</v>
      </c>
      <c r="E1799" s="4">
        <v>-10242029.73</v>
      </c>
      <c r="F1799" t="s">
        <v>82</v>
      </c>
      <c r="G1799">
        <v>0</v>
      </c>
      <c r="H1799" s="32" t="str">
        <f ca="1">+IF(B1799&gt;'sap nuevo'!$V$1,"cargar",IF(C1799="","cargar","pagado"))</f>
        <v>pagado</v>
      </c>
      <c r="I1799" s="32">
        <f t="shared" si="242"/>
        <v>2026</v>
      </c>
      <c r="J1799" s="32">
        <f t="shared" si="243"/>
        <v>4</v>
      </c>
    </row>
    <row r="1800" spans="1:10" x14ac:dyDescent="0.25">
      <c r="A1800" t="s">
        <v>21</v>
      </c>
      <c r="B1800" s="3">
        <v>46128</v>
      </c>
      <c r="C1800">
        <v>91002991</v>
      </c>
      <c r="D1800">
        <v>140</v>
      </c>
      <c r="E1800" s="4">
        <v>-5131056.05</v>
      </c>
      <c r="F1800" t="s">
        <v>80</v>
      </c>
      <c r="G1800">
        <v>0</v>
      </c>
      <c r="H1800" s="32" t="str">
        <f ca="1">+IF(B1800&gt;'sap nuevo'!$V$1,"cargar",IF(C1800="","cargar","pagado"))</f>
        <v>pagado</v>
      </c>
      <c r="I1800" s="32">
        <f t="shared" si="242"/>
        <v>2026</v>
      </c>
      <c r="J1800" s="32">
        <f t="shared" si="243"/>
        <v>4</v>
      </c>
    </row>
    <row r="1801" spans="1:10" x14ac:dyDescent="0.25">
      <c r="A1801" t="s">
        <v>21</v>
      </c>
      <c r="B1801" s="3">
        <v>46128</v>
      </c>
      <c r="C1801">
        <v>91002981</v>
      </c>
      <c r="D1801">
        <v>140</v>
      </c>
      <c r="E1801" s="4">
        <v>-3996370.85</v>
      </c>
      <c r="F1801" t="s">
        <v>80</v>
      </c>
      <c r="G1801">
        <v>0</v>
      </c>
      <c r="H1801" s="32" t="str">
        <f ca="1">+IF(B1801&gt;'sap nuevo'!$V$1,"cargar",IF(C1801="","cargar","pagado"))</f>
        <v>pagado</v>
      </c>
      <c r="I1801" s="32">
        <f t="shared" si="242"/>
        <v>2026</v>
      </c>
      <c r="J1801" s="32">
        <f t="shared" si="243"/>
        <v>4</v>
      </c>
    </row>
    <row r="1802" spans="1:10" x14ac:dyDescent="0.25">
      <c r="A1802" t="s">
        <v>21</v>
      </c>
      <c r="B1802" s="3">
        <v>46128</v>
      </c>
      <c r="C1802">
        <v>91003004</v>
      </c>
      <c r="D1802">
        <v>140</v>
      </c>
      <c r="E1802" s="4">
        <v>-3029304.79</v>
      </c>
      <c r="F1802" t="s">
        <v>80</v>
      </c>
      <c r="G1802">
        <v>0</v>
      </c>
      <c r="H1802" s="32" t="str">
        <f ca="1">+IF(B1802&gt;'sap nuevo'!$V$1,"cargar",IF(C1802="","cargar","pagado"))</f>
        <v>pagado</v>
      </c>
      <c r="I1802" s="32">
        <f t="shared" si="242"/>
        <v>2026</v>
      </c>
      <c r="J1802" s="32">
        <f t="shared" si="243"/>
        <v>4</v>
      </c>
    </row>
    <row r="1803" spans="1:10" x14ac:dyDescent="0.25">
      <c r="A1803" t="s">
        <v>12</v>
      </c>
      <c r="B1803" s="3">
        <v>46128</v>
      </c>
      <c r="C1803">
        <v>91003002</v>
      </c>
      <c r="D1803">
        <v>140</v>
      </c>
      <c r="E1803" s="4">
        <v>-2326904.62</v>
      </c>
      <c r="F1803" t="s">
        <v>82</v>
      </c>
      <c r="G1803">
        <v>0</v>
      </c>
      <c r="H1803" s="32" t="str">
        <f ca="1">+IF(B1803&gt;'sap nuevo'!$V$1,"cargar",IF(C1803="","cargar","pagado"))</f>
        <v>pagado</v>
      </c>
      <c r="I1803" s="32">
        <f t="shared" si="242"/>
        <v>2026</v>
      </c>
      <c r="J1803" s="32">
        <f t="shared" si="243"/>
        <v>4</v>
      </c>
    </row>
    <row r="1804" spans="1:10" x14ac:dyDescent="0.25">
      <c r="A1804" t="s">
        <v>21</v>
      </c>
      <c r="B1804" s="3">
        <v>46128</v>
      </c>
      <c r="C1804">
        <v>91002982</v>
      </c>
      <c r="D1804">
        <v>140</v>
      </c>
      <c r="E1804" s="4">
        <v>-2243497.87</v>
      </c>
      <c r="F1804" t="s">
        <v>80</v>
      </c>
      <c r="G1804">
        <v>0</v>
      </c>
      <c r="H1804" s="32" t="str">
        <f ca="1">+IF(B1804&gt;'sap nuevo'!$V$1,"cargar",IF(C1804="","cargar","pagado"))</f>
        <v>pagado</v>
      </c>
      <c r="I1804" s="32">
        <f t="shared" si="242"/>
        <v>2026</v>
      </c>
      <c r="J1804" s="32">
        <f t="shared" si="243"/>
        <v>4</v>
      </c>
    </row>
    <row r="1805" spans="1:10" x14ac:dyDescent="0.25">
      <c r="A1805" t="s">
        <v>21</v>
      </c>
      <c r="B1805" s="3">
        <v>46128</v>
      </c>
      <c r="C1805">
        <v>40273025</v>
      </c>
      <c r="D1805">
        <v>140</v>
      </c>
      <c r="E1805" s="4">
        <v>-1549440.88</v>
      </c>
      <c r="F1805" t="s">
        <v>80</v>
      </c>
      <c r="G1805">
        <v>0</v>
      </c>
      <c r="H1805" s="32" t="str">
        <f ca="1">+IF(B1805&gt;'sap nuevo'!$V$1,"cargar",IF(C1805="","cargar","pagado"))</f>
        <v>pagado</v>
      </c>
      <c r="I1805" s="32">
        <f t="shared" si="242"/>
        <v>2026</v>
      </c>
      <c r="J1805" s="32">
        <f t="shared" si="243"/>
        <v>4</v>
      </c>
    </row>
    <row r="1806" spans="1:10" x14ac:dyDescent="0.25">
      <c r="A1806" t="s">
        <v>21</v>
      </c>
      <c r="B1806" s="3">
        <v>46129</v>
      </c>
      <c r="C1806">
        <v>91003000</v>
      </c>
      <c r="D1806">
        <v>140</v>
      </c>
      <c r="E1806" s="4">
        <v>-147744535.21000001</v>
      </c>
      <c r="F1806" t="s">
        <v>80</v>
      </c>
      <c r="G1806">
        <v>0</v>
      </c>
      <c r="H1806" s="32" t="str">
        <f ca="1">+IF(B1806&gt;'sap nuevo'!$V$1,"cargar",IF(C1806="","cargar","pagado"))</f>
        <v>pagado</v>
      </c>
      <c r="I1806" s="32">
        <f t="shared" si="242"/>
        <v>2026</v>
      </c>
      <c r="J1806" s="32">
        <f t="shared" si="243"/>
        <v>4</v>
      </c>
    </row>
    <row r="1807" spans="1:10" x14ac:dyDescent="0.25">
      <c r="A1807" t="s">
        <v>21</v>
      </c>
      <c r="B1807" s="3">
        <v>46129</v>
      </c>
      <c r="C1807">
        <v>91003007</v>
      </c>
      <c r="D1807">
        <v>140</v>
      </c>
      <c r="E1807" s="4">
        <v>-31651343.399999999</v>
      </c>
      <c r="F1807" t="s">
        <v>80</v>
      </c>
      <c r="G1807">
        <v>0</v>
      </c>
      <c r="H1807" s="32" t="str">
        <f ca="1">+IF(B1807&gt;'sap nuevo'!$V$1,"cargar",IF(C1807="","cargar","pagado"))</f>
        <v>pagado</v>
      </c>
      <c r="I1807" s="32">
        <f t="shared" si="242"/>
        <v>2026</v>
      </c>
      <c r="J1807" s="32">
        <f t="shared" si="243"/>
        <v>4</v>
      </c>
    </row>
    <row r="1808" spans="1:10" x14ac:dyDescent="0.25">
      <c r="A1808" t="s">
        <v>21</v>
      </c>
      <c r="B1808" s="3">
        <v>46129</v>
      </c>
      <c r="C1808">
        <v>91002994</v>
      </c>
      <c r="D1808">
        <v>140</v>
      </c>
      <c r="E1808" s="4">
        <v>-21749242.460000001</v>
      </c>
      <c r="F1808" t="s">
        <v>80</v>
      </c>
      <c r="G1808">
        <v>0</v>
      </c>
      <c r="H1808" s="32" t="str">
        <f ca="1">+IF(B1808&gt;'sap nuevo'!$V$1,"cargar",IF(C1808="","cargar","pagado"))</f>
        <v>pagado</v>
      </c>
      <c r="I1808" s="32">
        <f t="shared" si="242"/>
        <v>2026</v>
      </c>
      <c r="J1808" s="32">
        <f t="shared" si="243"/>
        <v>4</v>
      </c>
    </row>
    <row r="1809" spans="1:10" x14ac:dyDescent="0.25">
      <c r="A1809" t="s">
        <v>12</v>
      </c>
      <c r="B1809" s="3">
        <v>46129</v>
      </c>
      <c r="C1809">
        <v>91002989</v>
      </c>
      <c r="D1809">
        <v>140</v>
      </c>
      <c r="E1809" s="4">
        <v>-6113834.4000000004</v>
      </c>
      <c r="F1809" t="s">
        <v>82</v>
      </c>
      <c r="G1809">
        <v>0</v>
      </c>
      <c r="H1809" s="32" t="str">
        <f ca="1">+IF(B1809&gt;'sap nuevo'!$V$1,"cargar",IF(C1809="","cargar","pagado"))</f>
        <v>pagado</v>
      </c>
      <c r="I1809" s="32">
        <f t="shared" si="242"/>
        <v>2026</v>
      </c>
      <c r="J1809" s="32">
        <f t="shared" si="243"/>
        <v>4</v>
      </c>
    </row>
    <row r="1810" spans="1:10" x14ac:dyDescent="0.25">
      <c r="A1810" t="s">
        <v>21</v>
      </c>
      <c r="B1810" s="3">
        <v>46129</v>
      </c>
      <c r="C1810">
        <v>91003001</v>
      </c>
      <c r="D1810">
        <v>140</v>
      </c>
      <c r="E1810" s="4">
        <v>-1947595.77</v>
      </c>
      <c r="F1810" t="s">
        <v>80</v>
      </c>
      <c r="G1810">
        <v>0</v>
      </c>
      <c r="H1810" s="32" t="str">
        <f ca="1">+IF(B1810&gt;'sap nuevo'!$V$1,"cargar",IF(C1810="","cargar","pagado"))</f>
        <v>pagado</v>
      </c>
      <c r="I1810" s="32">
        <f t="shared" si="242"/>
        <v>2026</v>
      </c>
      <c r="J1810" s="32">
        <f t="shared" si="243"/>
        <v>4</v>
      </c>
    </row>
    <row r="1811" spans="1:10" x14ac:dyDescent="0.25">
      <c r="A1811" t="s">
        <v>21</v>
      </c>
      <c r="B1811" s="3">
        <v>46132</v>
      </c>
      <c r="C1811">
        <v>91003011</v>
      </c>
      <c r="D1811">
        <v>140</v>
      </c>
      <c r="E1811" s="4">
        <v>-11312633.49</v>
      </c>
      <c r="F1811" t="s">
        <v>80</v>
      </c>
      <c r="G1811">
        <v>0</v>
      </c>
      <c r="H1811" s="32" t="str">
        <f ca="1">+IF(B1811&gt;'sap nuevo'!$V$1,"cargar",IF(C1811="","cargar","pagado"))</f>
        <v>pagado</v>
      </c>
      <c r="I1811" s="32">
        <f t="shared" si="242"/>
        <v>2026</v>
      </c>
      <c r="J1811" s="32">
        <f t="shared" si="243"/>
        <v>4</v>
      </c>
    </row>
    <row r="1812" spans="1:10" x14ac:dyDescent="0.25">
      <c r="A1812" t="s">
        <v>12</v>
      </c>
      <c r="B1812" s="3">
        <v>46132</v>
      </c>
      <c r="C1812">
        <v>91003010</v>
      </c>
      <c r="D1812">
        <v>140</v>
      </c>
      <c r="E1812" s="4">
        <v>-5257062.96</v>
      </c>
      <c r="F1812" t="s">
        <v>82</v>
      </c>
      <c r="G1812">
        <v>0</v>
      </c>
      <c r="H1812" s="32" t="str">
        <f ca="1">+IF(B1812&gt;'sap nuevo'!$V$1,"cargar",IF(C1812="","cargar","pagado"))</f>
        <v>pagado</v>
      </c>
      <c r="I1812" s="32">
        <f t="shared" si="242"/>
        <v>2026</v>
      </c>
      <c r="J1812" s="32">
        <f t="shared" si="243"/>
        <v>4</v>
      </c>
    </row>
    <row r="1813" spans="1:10" x14ac:dyDescent="0.25">
      <c r="A1813" t="s">
        <v>21</v>
      </c>
      <c r="B1813" s="3">
        <v>46133</v>
      </c>
      <c r="C1813">
        <v>95780900</v>
      </c>
      <c r="D1813">
        <v>140</v>
      </c>
      <c r="E1813" s="4">
        <v>-30330400</v>
      </c>
      <c r="F1813" t="s">
        <v>80</v>
      </c>
      <c r="G1813">
        <v>0</v>
      </c>
      <c r="H1813" s="32" t="str">
        <f ca="1">+IF(B1813&gt;'sap nuevo'!$V$1,"cargar",IF(C1813="","cargar","pagado"))</f>
        <v>pagado</v>
      </c>
      <c r="I1813" s="32">
        <f t="shared" si="242"/>
        <v>2026</v>
      </c>
      <c r="J1813" s="32">
        <f t="shared" si="243"/>
        <v>4</v>
      </c>
    </row>
    <row r="1814" spans="1:10" x14ac:dyDescent="0.25">
      <c r="A1814" t="s">
        <v>21</v>
      </c>
      <c r="B1814" s="3">
        <v>46133</v>
      </c>
      <c r="C1814">
        <v>91003017</v>
      </c>
      <c r="D1814">
        <v>140</v>
      </c>
      <c r="E1814" s="4">
        <v>-27538833.109999999</v>
      </c>
      <c r="F1814" t="s">
        <v>80</v>
      </c>
      <c r="G1814">
        <v>0</v>
      </c>
      <c r="H1814" s="32" t="str">
        <f ca="1">+IF(B1814&gt;'sap nuevo'!$V$1,"cargar",IF(C1814="","cargar","pagado"))</f>
        <v>pagado</v>
      </c>
      <c r="I1814" s="32">
        <f t="shared" si="242"/>
        <v>2026</v>
      </c>
      <c r="J1814" s="32">
        <f t="shared" si="243"/>
        <v>4</v>
      </c>
    </row>
    <row r="1815" spans="1:10" x14ac:dyDescent="0.25">
      <c r="A1815" t="s">
        <v>21</v>
      </c>
      <c r="B1815" s="3">
        <v>46133</v>
      </c>
      <c r="C1815">
        <v>91003018</v>
      </c>
      <c r="D1815">
        <v>140</v>
      </c>
      <c r="E1815" s="4">
        <v>-23521840.329999998</v>
      </c>
      <c r="F1815" t="s">
        <v>80</v>
      </c>
      <c r="G1815">
        <v>0</v>
      </c>
      <c r="H1815" s="32" t="str">
        <f ca="1">+IF(B1815&gt;'sap nuevo'!$V$1,"cargar",IF(C1815="","cargar","pagado"))</f>
        <v>pagado</v>
      </c>
      <c r="I1815" s="32">
        <f t="shared" si="242"/>
        <v>2026</v>
      </c>
      <c r="J1815" s="32">
        <f t="shared" si="243"/>
        <v>4</v>
      </c>
    </row>
    <row r="1816" spans="1:10" x14ac:dyDescent="0.25">
      <c r="A1816" t="s">
        <v>21</v>
      </c>
      <c r="B1816" s="3">
        <v>46133</v>
      </c>
      <c r="C1816">
        <v>91003014</v>
      </c>
      <c r="D1816">
        <v>140</v>
      </c>
      <c r="E1816" s="4">
        <v>-19714253.350000001</v>
      </c>
      <c r="F1816" t="s">
        <v>80</v>
      </c>
      <c r="G1816">
        <v>0</v>
      </c>
      <c r="H1816" s="32" t="str">
        <f ca="1">+IF(B1816&gt;'sap nuevo'!$V$1,"cargar",IF(C1816="","cargar","pagado"))</f>
        <v>pagado</v>
      </c>
      <c r="I1816" s="32">
        <f t="shared" si="242"/>
        <v>2026</v>
      </c>
      <c r="J1816" s="32">
        <f t="shared" si="243"/>
        <v>4</v>
      </c>
    </row>
    <row r="1817" spans="1:10" x14ac:dyDescent="0.25">
      <c r="A1817" t="s">
        <v>12</v>
      </c>
      <c r="B1817" s="3">
        <v>46133</v>
      </c>
      <c r="C1817">
        <v>91003015</v>
      </c>
      <c r="D1817">
        <v>140</v>
      </c>
      <c r="E1817" s="4">
        <v>-15277327.029999999</v>
      </c>
      <c r="F1817" t="s">
        <v>82</v>
      </c>
      <c r="G1817">
        <v>0</v>
      </c>
      <c r="H1817" s="32" t="str">
        <f ca="1">+IF(B1817&gt;'sap nuevo'!$V$1,"cargar",IF(C1817="","cargar","pagado"))</f>
        <v>pagado</v>
      </c>
      <c r="I1817" s="32">
        <f t="shared" si="242"/>
        <v>2026</v>
      </c>
      <c r="J1817" s="32">
        <f t="shared" si="243"/>
        <v>4</v>
      </c>
    </row>
    <row r="1818" spans="1:10" x14ac:dyDescent="0.25">
      <c r="A1818" t="s">
        <v>12</v>
      </c>
      <c r="B1818" s="3">
        <v>46133</v>
      </c>
      <c r="C1818">
        <v>91003016</v>
      </c>
      <c r="D1818">
        <v>140</v>
      </c>
      <c r="E1818" s="4">
        <v>-12428257.5</v>
      </c>
      <c r="F1818" t="s">
        <v>82</v>
      </c>
      <c r="G1818">
        <v>0</v>
      </c>
      <c r="H1818" s="32" t="str">
        <f ca="1">+IF(B1818&gt;'sap nuevo'!$V$1,"cargar",IF(C1818="","cargar","pagado"))</f>
        <v>pagado</v>
      </c>
      <c r="I1818" s="32">
        <f t="shared" si="242"/>
        <v>2026</v>
      </c>
      <c r="J1818" s="32">
        <f t="shared" si="243"/>
        <v>4</v>
      </c>
    </row>
    <row r="1819" spans="1:10" x14ac:dyDescent="0.25">
      <c r="A1819" t="s">
        <v>21</v>
      </c>
      <c r="B1819" s="3">
        <v>46133</v>
      </c>
      <c r="C1819">
        <v>91003009</v>
      </c>
      <c r="D1819">
        <v>140</v>
      </c>
      <c r="E1819" s="4">
        <v>-12396489.369999999</v>
      </c>
      <c r="F1819" t="s">
        <v>80</v>
      </c>
      <c r="G1819">
        <v>0</v>
      </c>
      <c r="H1819" s="32" t="str">
        <f ca="1">+IF(B1819&gt;'sap nuevo'!$V$1,"cargar",IF(C1819="","cargar","pagado"))</f>
        <v>pagado</v>
      </c>
      <c r="I1819" s="32">
        <f t="shared" si="242"/>
        <v>2026</v>
      </c>
      <c r="J1819" s="32">
        <f t="shared" si="243"/>
        <v>4</v>
      </c>
    </row>
    <row r="1820" spans="1:10" x14ac:dyDescent="0.25">
      <c r="A1820" t="s">
        <v>21</v>
      </c>
      <c r="B1820" s="3">
        <v>46133</v>
      </c>
      <c r="C1820">
        <v>91003013</v>
      </c>
      <c r="D1820">
        <v>140</v>
      </c>
      <c r="E1820" s="4">
        <v>-8499850.9199999999</v>
      </c>
      <c r="F1820" t="s">
        <v>80</v>
      </c>
      <c r="G1820">
        <v>0</v>
      </c>
      <c r="H1820" s="32" t="str">
        <f ca="1">+IF(B1820&gt;'sap nuevo'!$V$1,"cargar",IF(C1820="","cargar","pagado"))</f>
        <v>pagado</v>
      </c>
      <c r="I1820" s="32">
        <f t="shared" si="242"/>
        <v>2026</v>
      </c>
      <c r="J1820" s="32">
        <f t="shared" si="243"/>
        <v>4</v>
      </c>
    </row>
    <row r="1821" spans="1:10" x14ac:dyDescent="0.25">
      <c r="A1821" t="s">
        <v>21</v>
      </c>
      <c r="B1821" s="3">
        <v>46133</v>
      </c>
      <c r="C1821">
        <v>91002997</v>
      </c>
      <c r="D1821">
        <v>140</v>
      </c>
      <c r="E1821" s="4">
        <v>-8000000</v>
      </c>
      <c r="F1821" t="s">
        <v>80</v>
      </c>
      <c r="G1821">
        <v>0</v>
      </c>
      <c r="H1821" s="32" t="str">
        <f ca="1">+IF(B1821&gt;'sap nuevo'!$V$1,"cargar",IF(C1821="","cargar","pagado"))</f>
        <v>pagado</v>
      </c>
      <c r="I1821" s="32">
        <f t="shared" si="242"/>
        <v>2026</v>
      </c>
      <c r="J1821" s="32">
        <f t="shared" si="243"/>
        <v>4</v>
      </c>
    </row>
    <row r="1822" spans="1:10" x14ac:dyDescent="0.25">
      <c r="A1822" t="s">
        <v>21</v>
      </c>
      <c r="B1822" s="3">
        <v>46133</v>
      </c>
      <c r="C1822">
        <v>91002998</v>
      </c>
      <c r="D1822">
        <v>140</v>
      </c>
      <c r="E1822" s="4">
        <v>-4619219</v>
      </c>
      <c r="F1822" t="s">
        <v>80</v>
      </c>
      <c r="G1822">
        <v>0</v>
      </c>
      <c r="H1822" s="32" t="str">
        <f ca="1">+IF(B1822&gt;'sap nuevo'!$V$1,"cargar",IF(C1822="","cargar","pagado"))</f>
        <v>pagado</v>
      </c>
      <c r="I1822" s="32">
        <f t="shared" si="242"/>
        <v>2026</v>
      </c>
      <c r="J1822" s="32">
        <f t="shared" si="243"/>
        <v>4</v>
      </c>
    </row>
    <row r="1823" spans="1:10" x14ac:dyDescent="0.25">
      <c r="A1823" t="s">
        <v>21</v>
      </c>
      <c r="B1823" s="3">
        <v>46134</v>
      </c>
      <c r="C1823">
        <v>91003019</v>
      </c>
      <c r="D1823">
        <v>140</v>
      </c>
      <c r="E1823" s="4">
        <v>-23311830.98</v>
      </c>
      <c r="F1823" t="s">
        <v>80</v>
      </c>
      <c r="G1823">
        <v>0</v>
      </c>
      <c r="H1823" s="32" t="str">
        <f ca="1">+IF(B1823&gt;'sap nuevo'!$V$1,"cargar",IF(C1823="","cargar","pagado"))</f>
        <v>pagado</v>
      </c>
      <c r="I1823" s="32">
        <f t="shared" si="242"/>
        <v>2026</v>
      </c>
      <c r="J1823" s="32">
        <f t="shared" si="243"/>
        <v>4</v>
      </c>
    </row>
    <row r="1824" spans="1:10" x14ac:dyDescent="0.25">
      <c r="A1824" t="s">
        <v>21</v>
      </c>
      <c r="B1824" s="3">
        <v>46134</v>
      </c>
      <c r="C1824">
        <v>91003008</v>
      </c>
      <c r="D1824">
        <v>140</v>
      </c>
      <c r="E1824" s="4">
        <v>-3510098.49</v>
      </c>
      <c r="F1824" t="s">
        <v>80</v>
      </c>
      <c r="G1824">
        <v>0</v>
      </c>
      <c r="H1824" s="32" t="str">
        <f ca="1">+IF(B1824&gt;'sap nuevo'!$V$1,"cargar",IF(C1824="","cargar","pagado"))</f>
        <v>pagado</v>
      </c>
      <c r="I1824" s="32">
        <f t="shared" si="242"/>
        <v>2026</v>
      </c>
      <c r="J1824" s="32">
        <f t="shared" si="243"/>
        <v>4</v>
      </c>
    </row>
    <row r="1825" spans="1:10" x14ac:dyDescent="0.25">
      <c r="A1825" t="s">
        <v>21</v>
      </c>
      <c r="B1825" s="3">
        <v>46135</v>
      </c>
      <c r="C1825">
        <v>91003026</v>
      </c>
      <c r="D1825">
        <v>140</v>
      </c>
      <c r="E1825" s="4">
        <v>-189544258.16</v>
      </c>
      <c r="F1825" t="s">
        <v>80</v>
      </c>
      <c r="G1825">
        <v>0</v>
      </c>
      <c r="H1825" s="32" t="str">
        <f ca="1">+IF(B1825&gt;'sap nuevo'!$V$1,"cargar",IF(C1825="","cargar","pagado"))</f>
        <v>pagado</v>
      </c>
      <c r="I1825" s="32">
        <f t="shared" si="242"/>
        <v>2026</v>
      </c>
      <c r="J1825" s="32">
        <f t="shared" si="243"/>
        <v>4</v>
      </c>
    </row>
    <row r="1826" spans="1:10" x14ac:dyDescent="0.25">
      <c r="A1826" t="s">
        <v>21</v>
      </c>
      <c r="B1826" s="3">
        <v>46135</v>
      </c>
      <c r="C1826">
        <v>91003025</v>
      </c>
      <c r="D1826">
        <v>140</v>
      </c>
      <c r="E1826" s="4">
        <v>-19279785.890000001</v>
      </c>
      <c r="F1826" t="s">
        <v>80</v>
      </c>
      <c r="G1826">
        <v>0</v>
      </c>
      <c r="H1826" s="32" t="str">
        <f ca="1">+IF(B1826&gt;'sap nuevo'!$V$1,"cargar",IF(C1826="","cargar","pagado"))</f>
        <v>pagado</v>
      </c>
      <c r="I1826" s="32">
        <f t="shared" si="242"/>
        <v>2026</v>
      </c>
      <c r="J1826" s="32">
        <f t="shared" si="243"/>
        <v>4</v>
      </c>
    </row>
    <row r="1827" spans="1:10" x14ac:dyDescent="0.25">
      <c r="A1827" t="s">
        <v>12</v>
      </c>
      <c r="B1827" s="3">
        <v>46135</v>
      </c>
      <c r="C1827">
        <v>91003024</v>
      </c>
      <c r="D1827">
        <v>140</v>
      </c>
      <c r="E1827" s="4">
        <v>-11327967.66</v>
      </c>
      <c r="F1827" t="s">
        <v>82</v>
      </c>
      <c r="G1827">
        <v>0</v>
      </c>
      <c r="H1827" s="32" t="str">
        <f ca="1">+IF(B1827&gt;'sap nuevo'!$V$1,"cargar",IF(C1827="","cargar","pagado"))</f>
        <v>pagado</v>
      </c>
      <c r="I1827" s="32">
        <f t="shared" si="242"/>
        <v>2026</v>
      </c>
      <c r="J1827" s="32">
        <f t="shared" si="243"/>
        <v>4</v>
      </c>
    </row>
    <row r="1828" spans="1:10" x14ac:dyDescent="0.25">
      <c r="A1828" t="s">
        <v>21</v>
      </c>
      <c r="B1828" s="3">
        <v>46135</v>
      </c>
      <c r="C1828">
        <v>91003027</v>
      </c>
      <c r="D1828">
        <v>140</v>
      </c>
      <c r="E1828" s="4">
        <v>-5608563.4000000004</v>
      </c>
      <c r="F1828" t="s">
        <v>80</v>
      </c>
      <c r="G1828">
        <v>0</v>
      </c>
      <c r="H1828" s="32" t="str">
        <f ca="1">+IF(B1828&gt;'sap nuevo'!$V$1,"cargar",IF(C1828="","cargar","pagado"))</f>
        <v>pagado</v>
      </c>
      <c r="I1828" s="32">
        <f t="shared" si="242"/>
        <v>2026</v>
      </c>
      <c r="J1828" s="32">
        <f t="shared" si="243"/>
        <v>4</v>
      </c>
    </row>
    <row r="1829" spans="1:10" x14ac:dyDescent="0.25">
      <c r="A1829" t="s">
        <v>21</v>
      </c>
      <c r="B1829" s="3">
        <v>46135</v>
      </c>
      <c r="C1829">
        <v>91002999</v>
      </c>
      <c r="D1829">
        <v>140</v>
      </c>
      <c r="E1829" s="4">
        <v>-2149975</v>
      </c>
      <c r="F1829" t="s">
        <v>80</v>
      </c>
      <c r="G1829">
        <v>0</v>
      </c>
      <c r="H1829" s="32" t="str">
        <f ca="1">+IF(B1829&gt;'sap nuevo'!$V$1,"cargar",IF(C1829="","cargar","pagado"))</f>
        <v>pagado</v>
      </c>
      <c r="I1829" s="32">
        <f t="shared" si="242"/>
        <v>2026</v>
      </c>
      <c r="J1829" s="32">
        <f t="shared" si="243"/>
        <v>4</v>
      </c>
    </row>
    <row r="1830" spans="1:10" x14ac:dyDescent="0.25">
      <c r="A1830" t="s">
        <v>21</v>
      </c>
      <c r="B1830" s="3">
        <v>46135</v>
      </c>
      <c r="C1830">
        <v>91003020</v>
      </c>
      <c r="D1830">
        <v>140</v>
      </c>
      <c r="E1830" s="4">
        <v>-2000000</v>
      </c>
      <c r="F1830" t="s">
        <v>80</v>
      </c>
      <c r="G1830">
        <v>0</v>
      </c>
      <c r="H1830" s="32" t="str">
        <f ca="1">+IF(B1830&gt;'sap nuevo'!$V$1,"cargar",IF(C1830="","cargar","pagado"))</f>
        <v>pagado</v>
      </c>
      <c r="I1830" s="32">
        <f t="shared" si="242"/>
        <v>2026</v>
      </c>
      <c r="J1830" s="32">
        <f t="shared" si="243"/>
        <v>4</v>
      </c>
    </row>
    <row r="1831" spans="1:10" x14ac:dyDescent="0.25">
      <c r="A1831" t="s">
        <v>12</v>
      </c>
      <c r="B1831" s="3">
        <v>46136</v>
      </c>
      <c r="C1831">
        <v>91003028</v>
      </c>
      <c r="D1831">
        <v>140</v>
      </c>
      <c r="E1831" s="4">
        <v>-5193980</v>
      </c>
      <c r="F1831" t="s">
        <v>82</v>
      </c>
      <c r="G1831">
        <v>0</v>
      </c>
      <c r="H1831" s="32" t="str">
        <f ca="1">+IF(B1831&gt;'sap nuevo'!$V$1,"cargar",IF(C1831="","cargar","pagado"))</f>
        <v>pagado</v>
      </c>
      <c r="I1831" s="32">
        <f t="shared" si="242"/>
        <v>2026</v>
      </c>
      <c r="J1831" s="32">
        <f t="shared" si="243"/>
        <v>4</v>
      </c>
    </row>
    <row r="1832" spans="1:10" x14ac:dyDescent="0.25">
      <c r="A1832" t="s">
        <v>21</v>
      </c>
      <c r="B1832" s="3">
        <v>46136</v>
      </c>
      <c r="C1832">
        <v>91003023</v>
      </c>
      <c r="D1832">
        <v>140</v>
      </c>
      <c r="E1832" s="4">
        <v>-4543274.22</v>
      </c>
      <c r="F1832" t="s">
        <v>80</v>
      </c>
      <c r="G1832">
        <v>0</v>
      </c>
      <c r="H1832" s="32" t="str">
        <f ca="1">+IF(B1832&gt;'sap nuevo'!$V$1,"cargar",IF(C1832="","cargar","pagado"))</f>
        <v>pagado</v>
      </c>
      <c r="I1832" s="32">
        <f t="shared" si="242"/>
        <v>2026</v>
      </c>
      <c r="J1832" s="32">
        <f t="shared" si="243"/>
        <v>4</v>
      </c>
    </row>
    <row r="1833" spans="1:10" x14ac:dyDescent="0.25">
      <c r="A1833" t="s">
        <v>21</v>
      </c>
      <c r="B1833" s="3">
        <v>46136</v>
      </c>
      <c r="C1833">
        <v>61301827</v>
      </c>
      <c r="D1833">
        <v>140</v>
      </c>
      <c r="E1833" s="4">
        <v>-1400000</v>
      </c>
      <c r="F1833" t="s">
        <v>80</v>
      </c>
      <c r="G1833">
        <v>0</v>
      </c>
      <c r="H1833" s="32" t="str">
        <f ca="1">+IF(B1833&gt;'sap nuevo'!$V$1,"cargar",IF(C1833="","cargar","pagado"))</f>
        <v>pagado</v>
      </c>
      <c r="I1833" s="32">
        <f t="shared" si="242"/>
        <v>2026</v>
      </c>
      <c r="J1833" s="32">
        <f t="shared" si="243"/>
        <v>4</v>
      </c>
    </row>
    <row r="1834" spans="1:10" x14ac:dyDescent="0.25">
      <c r="A1834" t="s">
        <v>21</v>
      </c>
      <c r="B1834" s="3">
        <v>46136</v>
      </c>
      <c r="C1834">
        <v>61301826</v>
      </c>
      <c r="D1834">
        <v>140</v>
      </c>
      <c r="E1834" s="4">
        <v>-649200</v>
      </c>
      <c r="F1834" t="s">
        <v>80</v>
      </c>
      <c r="G1834">
        <v>0</v>
      </c>
      <c r="H1834" s="32" t="str">
        <f ca="1">+IF(B1834&gt;'sap nuevo'!$V$1,"cargar",IF(C1834="","cargar","pagado"))</f>
        <v>pagado</v>
      </c>
      <c r="I1834" s="32">
        <f t="shared" si="242"/>
        <v>2026</v>
      </c>
      <c r="J1834" s="32">
        <f t="shared" si="243"/>
        <v>4</v>
      </c>
    </row>
    <row r="1835" spans="1:10" x14ac:dyDescent="0.25">
      <c r="A1835" t="s">
        <v>21</v>
      </c>
      <c r="B1835" s="3">
        <v>46140</v>
      </c>
      <c r="C1835">
        <v>91003031</v>
      </c>
      <c r="D1835">
        <v>140</v>
      </c>
      <c r="E1835" s="4">
        <v>-8567468.9800000004</v>
      </c>
      <c r="F1835" t="s">
        <v>80</v>
      </c>
      <c r="G1835">
        <v>0</v>
      </c>
      <c r="H1835" s="32" t="str">
        <f ca="1">+IF(B1835&gt;'sap nuevo'!$V$1,"cargar",IF(C1835="","cargar","pagado"))</f>
        <v>pagado</v>
      </c>
      <c r="I1835" s="32">
        <f t="shared" si="242"/>
        <v>2026</v>
      </c>
      <c r="J1835" s="32">
        <f t="shared" si="243"/>
        <v>4</v>
      </c>
    </row>
    <row r="1836" spans="1:10" x14ac:dyDescent="0.25">
      <c r="A1836" t="s">
        <v>21</v>
      </c>
      <c r="B1836" s="3">
        <v>46140</v>
      </c>
      <c r="C1836">
        <v>91002853</v>
      </c>
      <c r="D1836">
        <v>140</v>
      </c>
      <c r="E1836" s="4">
        <v>-5275000</v>
      </c>
      <c r="F1836" t="s">
        <v>80</v>
      </c>
      <c r="G1836">
        <v>0</v>
      </c>
      <c r="H1836" s="32" t="str">
        <f ca="1">+IF(B1836&gt;'sap nuevo'!$V$1,"cargar",IF(C1836="","cargar","pagado"))</f>
        <v>pagado</v>
      </c>
      <c r="I1836" s="32">
        <f t="shared" si="242"/>
        <v>2026</v>
      </c>
      <c r="J1836" s="32">
        <f t="shared" si="243"/>
        <v>4</v>
      </c>
    </row>
    <row r="1837" spans="1:10" x14ac:dyDescent="0.25">
      <c r="A1837" t="s">
        <v>21</v>
      </c>
      <c r="B1837" s="3">
        <v>46140</v>
      </c>
      <c r="C1837">
        <v>61301829</v>
      </c>
      <c r="D1837">
        <v>140</v>
      </c>
      <c r="E1837" s="4">
        <v>-350514.88</v>
      </c>
      <c r="F1837" t="s">
        <v>80</v>
      </c>
      <c r="G1837">
        <v>0</v>
      </c>
      <c r="H1837" s="32" t="str">
        <f ca="1">+IF(B1837&gt;'sap nuevo'!$V$1,"cargar",IF(C1837="","cargar","pagado"))</f>
        <v>pagado</v>
      </c>
      <c r="I1837" s="32">
        <f t="shared" si="242"/>
        <v>2026</v>
      </c>
      <c r="J1837" s="32">
        <f t="shared" si="243"/>
        <v>4</v>
      </c>
    </row>
    <row r="1838" spans="1:10" x14ac:dyDescent="0.25">
      <c r="A1838" t="s">
        <v>21</v>
      </c>
      <c r="B1838" s="3">
        <v>46141</v>
      </c>
      <c r="C1838">
        <v>91003038</v>
      </c>
      <c r="D1838">
        <v>140</v>
      </c>
      <c r="E1838" s="4">
        <v>-42625439.039999999</v>
      </c>
      <c r="F1838" t="s">
        <v>80</v>
      </c>
      <c r="G1838">
        <v>0</v>
      </c>
      <c r="H1838" s="32" t="str">
        <f ca="1">+IF(B1838&gt;'sap nuevo'!$V$1,"cargar",IF(C1838="","cargar","pagado"))</f>
        <v>pagado</v>
      </c>
      <c r="I1838" s="32">
        <f t="shared" si="242"/>
        <v>2026</v>
      </c>
      <c r="J1838" s="32">
        <f t="shared" si="243"/>
        <v>4</v>
      </c>
    </row>
    <row r="1839" spans="1:10" x14ac:dyDescent="0.25">
      <c r="A1839" t="s">
        <v>21</v>
      </c>
      <c r="B1839" s="3">
        <v>46141</v>
      </c>
      <c r="C1839">
        <v>91003039</v>
      </c>
      <c r="D1839">
        <v>140</v>
      </c>
      <c r="E1839" s="4">
        <v>-26623627.559999999</v>
      </c>
      <c r="F1839" t="s">
        <v>80</v>
      </c>
      <c r="G1839">
        <v>0</v>
      </c>
      <c r="H1839" s="32" t="str">
        <f ca="1">+IF(B1839&gt;'sap nuevo'!$V$1,"cargar",IF(C1839="","cargar","pagado"))</f>
        <v>pagado</v>
      </c>
      <c r="I1839" s="32">
        <f t="shared" si="242"/>
        <v>2026</v>
      </c>
      <c r="J1839" s="32">
        <f t="shared" si="243"/>
        <v>4</v>
      </c>
    </row>
    <row r="1840" spans="1:10" x14ac:dyDescent="0.25">
      <c r="A1840" t="s">
        <v>12</v>
      </c>
      <c r="B1840" s="3">
        <v>46141</v>
      </c>
      <c r="C1840">
        <v>91003037</v>
      </c>
      <c r="D1840">
        <v>140</v>
      </c>
      <c r="E1840" s="4">
        <v>-6893841.6399999997</v>
      </c>
      <c r="F1840" t="s">
        <v>82</v>
      </c>
      <c r="G1840">
        <v>0</v>
      </c>
      <c r="H1840" s="32" t="str">
        <f ca="1">+IF(B1840&gt;'sap nuevo'!$V$1,"cargar",IF(C1840="","cargar","pagado"))</f>
        <v>pagado</v>
      </c>
      <c r="I1840" s="32">
        <f t="shared" si="242"/>
        <v>2026</v>
      </c>
      <c r="J1840" s="32">
        <f t="shared" si="243"/>
        <v>4</v>
      </c>
    </row>
    <row r="1841" spans="1:10" x14ac:dyDescent="0.25">
      <c r="A1841" t="s">
        <v>21</v>
      </c>
      <c r="B1841" s="3">
        <v>46142</v>
      </c>
      <c r="C1841">
        <v>91003047</v>
      </c>
      <c r="D1841">
        <v>140</v>
      </c>
      <c r="E1841" s="4">
        <v>-47033595.619999997</v>
      </c>
      <c r="F1841" t="s">
        <v>80</v>
      </c>
      <c r="G1841">
        <v>0</v>
      </c>
      <c r="H1841" s="32" t="str">
        <f ca="1">+IF(B1841&gt;'sap nuevo'!$V$1,"cargar",IF(C1841="","cargar","pagado"))</f>
        <v>pagado</v>
      </c>
      <c r="I1841" s="32">
        <f t="shared" si="242"/>
        <v>2026</v>
      </c>
      <c r="J1841" s="32">
        <f t="shared" si="243"/>
        <v>4</v>
      </c>
    </row>
    <row r="1842" spans="1:10" x14ac:dyDescent="0.25">
      <c r="A1842" t="s">
        <v>12</v>
      </c>
      <c r="B1842" s="3">
        <v>46142</v>
      </c>
      <c r="C1842">
        <v>91003043</v>
      </c>
      <c r="D1842">
        <v>140</v>
      </c>
      <c r="E1842" s="4">
        <v>-33111550.079999998</v>
      </c>
      <c r="F1842" t="s">
        <v>82</v>
      </c>
      <c r="G1842">
        <v>0</v>
      </c>
      <c r="H1842" s="32" t="str">
        <f ca="1">+IF(B1842&gt;'sap nuevo'!$V$1,"cargar",IF(C1842="","cargar","pagado"))</f>
        <v>pagado</v>
      </c>
      <c r="I1842" s="32">
        <f t="shared" si="242"/>
        <v>2026</v>
      </c>
      <c r="J1842" s="32">
        <f t="shared" si="243"/>
        <v>4</v>
      </c>
    </row>
    <row r="1843" spans="1:10" x14ac:dyDescent="0.25">
      <c r="A1843" t="s">
        <v>21</v>
      </c>
      <c r="B1843" s="3">
        <v>46142</v>
      </c>
      <c r="C1843">
        <v>91003052</v>
      </c>
      <c r="D1843">
        <v>140</v>
      </c>
      <c r="E1843" s="4">
        <v>-29425910.899999999</v>
      </c>
      <c r="F1843" t="s">
        <v>80</v>
      </c>
      <c r="G1843">
        <v>0</v>
      </c>
      <c r="H1843" s="32" t="str">
        <f ca="1">+IF(B1843&gt;'sap nuevo'!$V$1,"cargar",IF(C1843="","cargar","pagado"))</f>
        <v>pagado</v>
      </c>
      <c r="I1843" s="32">
        <f t="shared" si="242"/>
        <v>2026</v>
      </c>
      <c r="J1843" s="32">
        <f t="shared" si="243"/>
        <v>4</v>
      </c>
    </row>
    <row r="1844" spans="1:10" x14ac:dyDescent="0.25">
      <c r="A1844" t="s">
        <v>21</v>
      </c>
      <c r="B1844" s="3">
        <v>46142</v>
      </c>
      <c r="C1844">
        <v>91003048</v>
      </c>
      <c r="D1844">
        <v>140</v>
      </c>
      <c r="E1844" s="4">
        <v>-19780904.050000001</v>
      </c>
      <c r="F1844" t="s">
        <v>80</v>
      </c>
      <c r="G1844">
        <v>0</v>
      </c>
      <c r="H1844" s="32" t="str">
        <f ca="1">+IF(B1844&gt;'sap nuevo'!$V$1,"cargar",IF(C1844="","cargar","pagado"))</f>
        <v>pagado</v>
      </c>
      <c r="I1844" s="32">
        <f t="shared" si="242"/>
        <v>2026</v>
      </c>
      <c r="J1844" s="32">
        <f t="shared" si="243"/>
        <v>4</v>
      </c>
    </row>
    <row r="1845" spans="1:10" x14ac:dyDescent="0.25">
      <c r="A1845" t="s">
        <v>21</v>
      </c>
      <c r="B1845" s="3">
        <v>46142</v>
      </c>
      <c r="C1845">
        <v>91003054</v>
      </c>
      <c r="D1845">
        <v>140</v>
      </c>
      <c r="E1845" s="4">
        <v>-19764000</v>
      </c>
      <c r="F1845" t="s">
        <v>80</v>
      </c>
      <c r="G1845">
        <v>0</v>
      </c>
      <c r="H1845" s="32" t="str">
        <f ca="1">+IF(B1845&gt;'sap nuevo'!$V$1,"cargar",IF(C1845="","cargar","pagado"))</f>
        <v>pagado</v>
      </c>
      <c r="I1845" s="32">
        <f t="shared" si="242"/>
        <v>2026</v>
      </c>
      <c r="J1845" s="32">
        <f t="shared" si="243"/>
        <v>4</v>
      </c>
    </row>
    <row r="1846" spans="1:10" x14ac:dyDescent="0.25">
      <c r="A1846" t="s">
        <v>21</v>
      </c>
      <c r="B1846" s="3">
        <v>46142</v>
      </c>
      <c r="C1846">
        <v>91003041</v>
      </c>
      <c r="D1846">
        <v>140</v>
      </c>
      <c r="E1846" s="4">
        <v>-10384519.9</v>
      </c>
      <c r="F1846" t="s">
        <v>80</v>
      </c>
      <c r="G1846">
        <v>0</v>
      </c>
      <c r="H1846" s="32" t="str">
        <f ca="1">+IF(B1846&gt;'sap nuevo'!$V$1,"cargar",IF(C1846="","cargar","pagado"))</f>
        <v>pagado</v>
      </c>
      <c r="I1846" s="32">
        <f t="shared" si="242"/>
        <v>2026</v>
      </c>
      <c r="J1846" s="32">
        <f t="shared" si="243"/>
        <v>4</v>
      </c>
    </row>
    <row r="1847" spans="1:10" x14ac:dyDescent="0.25">
      <c r="A1847" t="s">
        <v>21</v>
      </c>
      <c r="B1847" s="3">
        <v>46142</v>
      </c>
      <c r="C1847">
        <v>91003044</v>
      </c>
      <c r="D1847">
        <v>140</v>
      </c>
      <c r="E1847" s="4">
        <v>-9180648.7300000004</v>
      </c>
      <c r="F1847" t="s">
        <v>80</v>
      </c>
      <c r="G1847">
        <v>0</v>
      </c>
      <c r="H1847" s="32" t="str">
        <f ca="1">+IF(B1847&gt;'sap nuevo'!$V$1,"cargar",IF(C1847="","cargar","pagado"))</f>
        <v>pagado</v>
      </c>
      <c r="I1847" s="32">
        <f t="shared" si="242"/>
        <v>2026</v>
      </c>
      <c r="J1847" s="32">
        <f t="shared" si="243"/>
        <v>4</v>
      </c>
    </row>
    <row r="1848" spans="1:10" x14ac:dyDescent="0.25">
      <c r="A1848" t="s">
        <v>21</v>
      </c>
      <c r="B1848" s="3">
        <v>46142</v>
      </c>
      <c r="C1848">
        <v>91003045</v>
      </c>
      <c r="D1848">
        <v>140</v>
      </c>
      <c r="E1848" s="4">
        <v>-3190003.44</v>
      </c>
      <c r="F1848" t="s">
        <v>80</v>
      </c>
      <c r="G1848">
        <v>0</v>
      </c>
      <c r="H1848" s="32" t="str">
        <f ca="1">+IF(B1848&gt;'sap nuevo'!$V$1,"cargar",IF(C1848="","cargar","pagado"))</f>
        <v>pagado</v>
      </c>
      <c r="I1848" s="32">
        <f t="shared" ref="I1848:I1908" si="244">+YEAR(B1848)</f>
        <v>2026</v>
      </c>
      <c r="J1848" s="32">
        <f t="shared" ref="J1848:J1908" si="245">+MONTH(B1848)</f>
        <v>4</v>
      </c>
    </row>
    <row r="1849" spans="1:10" x14ac:dyDescent="0.25">
      <c r="A1849" t="s">
        <v>21</v>
      </c>
      <c r="B1849" s="3">
        <v>46142</v>
      </c>
      <c r="C1849">
        <v>61301835</v>
      </c>
      <c r="D1849">
        <v>140</v>
      </c>
      <c r="E1849" s="4">
        <v>-3000000</v>
      </c>
      <c r="F1849" t="s">
        <v>80</v>
      </c>
      <c r="G1849">
        <v>0</v>
      </c>
      <c r="H1849" s="32" t="str">
        <f ca="1">+IF(B1849&gt;'sap nuevo'!$V$1,"cargar",IF(C1849="","cargar","pagado"))</f>
        <v>pagado</v>
      </c>
      <c r="I1849" s="32">
        <f t="shared" si="244"/>
        <v>2026</v>
      </c>
      <c r="J1849" s="32">
        <f t="shared" si="245"/>
        <v>4</v>
      </c>
    </row>
    <row r="1850" spans="1:10" x14ac:dyDescent="0.25">
      <c r="A1850" t="s">
        <v>21</v>
      </c>
      <c r="B1850" s="3">
        <v>46147</v>
      </c>
      <c r="C1850">
        <v>91003053</v>
      </c>
      <c r="D1850">
        <v>140</v>
      </c>
      <c r="E1850" s="4">
        <v>-10211869.41</v>
      </c>
      <c r="F1850" t="s">
        <v>80</v>
      </c>
      <c r="G1850">
        <v>0</v>
      </c>
      <c r="H1850" s="32" t="str">
        <f ca="1">+IF(B1850&gt;'sap nuevo'!$V$1,"cargar",IF(C1850="","cargar","pagado"))</f>
        <v>pagado</v>
      </c>
      <c r="I1850" s="32">
        <f t="shared" si="244"/>
        <v>2026</v>
      </c>
      <c r="J1850" s="32">
        <f t="shared" si="245"/>
        <v>5</v>
      </c>
    </row>
    <row r="1851" spans="1:10" x14ac:dyDescent="0.25">
      <c r="A1851" t="s">
        <v>21</v>
      </c>
      <c r="B1851" s="3">
        <v>46147</v>
      </c>
      <c r="C1851">
        <v>91003055</v>
      </c>
      <c r="D1851">
        <v>140</v>
      </c>
      <c r="E1851" s="4">
        <v>-3149017.23</v>
      </c>
      <c r="F1851" t="s">
        <v>80</v>
      </c>
      <c r="G1851">
        <v>0</v>
      </c>
      <c r="H1851" s="32" t="str">
        <f ca="1">+IF(B1851&gt;'sap nuevo'!$V$1,"cargar",IF(C1851="","cargar","pagado"))</f>
        <v>pagado</v>
      </c>
      <c r="I1851" s="32">
        <f t="shared" si="244"/>
        <v>2026</v>
      </c>
      <c r="J1851" s="32">
        <f t="shared" si="245"/>
        <v>5</v>
      </c>
    </row>
    <row r="1852" spans="1:10" x14ac:dyDescent="0.25">
      <c r="A1852" t="s">
        <v>21</v>
      </c>
      <c r="B1852" s="3">
        <v>46150</v>
      </c>
      <c r="C1852">
        <v>91003057</v>
      </c>
      <c r="D1852">
        <v>140</v>
      </c>
      <c r="E1852" s="4">
        <v>-57830447.140000001</v>
      </c>
      <c r="F1852" t="s">
        <v>80</v>
      </c>
      <c r="G1852">
        <v>0</v>
      </c>
      <c r="H1852" s="32" t="str">
        <f ca="1">+IF(B1852&gt;'sap nuevo'!$V$1,"cargar",IF(C1852="","cargar","pagado"))</f>
        <v>pagado</v>
      </c>
      <c r="I1852" s="32">
        <f t="shared" si="244"/>
        <v>2026</v>
      </c>
      <c r="J1852" s="32">
        <f t="shared" si="245"/>
        <v>5</v>
      </c>
    </row>
    <row r="1853" spans="1:10" x14ac:dyDescent="0.25">
      <c r="A1853" t="s">
        <v>21</v>
      </c>
      <c r="B1853" s="3">
        <v>46150</v>
      </c>
      <c r="C1853">
        <v>91003058</v>
      </c>
      <c r="D1853">
        <v>140</v>
      </c>
      <c r="E1853" s="4">
        <v>-10000000</v>
      </c>
      <c r="F1853" t="s">
        <v>80</v>
      </c>
      <c r="G1853">
        <v>0</v>
      </c>
      <c r="H1853" s="32" t="str">
        <f ca="1">+IF(B1853&gt;'sap nuevo'!$V$1,"cargar",IF(C1853="","cargar","pagado"))</f>
        <v>pagado</v>
      </c>
      <c r="I1853" s="32">
        <f t="shared" si="244"/>
        <v>2026</v>
      </c>
      <c r="J1853" s="32">
        <f t="shared" si="245"/>
        <v>5</v>
      </c>
    </row>
    <row r="1854" spans="1:10" x14ac:dyDescent="0.25">
      <c r="A1854" t="s">
        <v>21</v>
      </c>
      <c r="B1854" s="3">
        <v>46150</v>
      </c>
      <c r="C1854">
        <v>91003059</v>
      </c>
      <c r="D1854">
        <v>140</v>
      </c>
      <c r="E1854" s="4">
        <v>-10000000</v>
      </c>
      <c r="F1854" t="s">
        <v>80</v>
      </c>
      <c r="G1854">
        <v>0</v>
      </c>
      <c r="H1854" s="32" t="str">
        <f ca="1">+IF(B1854&gt;'sap nuevo'!$V$1,"cargar",IF(C1854="","cargar","pagado"))</f>
        <v>pagado</v>
      </c>
      <c r="I1854" s="32">
        <f t="shared" si="244"/>
        <v>2026</v>
      </c>
      <c r="J1854" s="32">
        <f t="shared" si="245"/>
        <v>5</v>
      </c>
    </row>
    <row r="1855" spans="1:10" x14ac:dyDescent="0.25">
      <c r="A1855" t="s">
        <v>21</v>
      </c>
      <c r="B1855" s="3">
        <v>46150</v>
      </c>
      <c r="C1855">
        <v>91003060</v>
      </c>
      <c r="D1855">
        <v>140</v>
      </c>
      <c r="E1855" s="4">
        <v>-10000000</v>
      </c>
      <c r="F1855" t="s">
        <v>80</v>
      </c>
      <c r="G1855">
        <v>0</v>
      </c>
      <c r="H1855" s="32" t="str">
        <f ca="1">+IF(B1855&gt;'sap nuevo'!$V$1,"cargar",IF(C1855="","cargar","pagado"))</f>
        <v>pagado</v>
      </c>
      <c r="I1855" s="32">
        <f t="shared" si="244"/>
        <v>2026</v>
      </c>
      <c r="J1855" s="32">
        <f t="shared" si="245"/>
        <v>5</v>
      </c>
    </row>
    <row r="1856" spans="1:10" x14ac:dyDescent="0.25">
      <c r="A1856" t="s">
        <v>21</v>
      </c>
      <c r="B1856" s="3">
        <v>46150</v>
      </c>
      <c r="C1856">
        <v>91003040</v>
      </c>
      <c r="D1856">
        <v>140</v>
      </c>
      <c r="E1856" s="4">
        <v>-4490853.6500000004</v>
      </c>
      <c r="F1856" t="s">
        <v>80</v>
      </c>
      <c r="G1856">
        <v>0</v>
      </c>
      <c r="H1856" s="32" t="str">
        <f ca="1">+IF(B1856&gt;'sap nuevo'!$V$1,"cargar",IF(C1856="","cargar","pagado"))</f>
        <v>pagado</v>
      </c>
      <c r="I1856" s="32">
        <f t="shared" si="244"/>
        <v>2026</v>
      </c>
      <c r="J1856" s="32">
        <f t="shared" si="245"/>
        <v>5</v>
      </c>
    </row>
    <row r="1857" spans="1:10" x14ac:dyDescent="0.25">
      <c r="A1857" t="s">
        <v>21</v>
      </c>
      <c r="B1857" s="3">
        <v>46150</v>
      </c>
      <c r="C1857">
        <v>91003049</v>
      </c>
      <c r="D1857">
        <v>140</v>
      </c>
      <c r="E1857" s="4">
        <v>-3267634.21</v>
      </c>
      <c r="F1857" t="s">
        <v>80</v>
      </c>
      <c r="G1857">
        <v>0</v>
      </c>
      <c r="H1857" s="32" t="str">
        <f ca="1">+IF(B1857&gt;'sap nuevo'!$V$1,"cargar",IF(C1857="","cargar","pagado"))</f>
        <v>pagado</v>
      </c>
      <c r="I1857" s="32">
        <f t="shared" si="244"/>
        <v>2026</v>
      </c>
      <c r="J1857" s="32">
        <f t="shared" si="245"/>
        <v>5</v>
      </c>
    </row>
    <row r="1858" spans="1:10" x14ac:dyDescent="0.25">
      <c r="A1858" t="s">
        <v>12</v>
      </c>
      <c r="B1858" s="3">
        <v>46153</v>
      </c>
      <c r="C1858">
        <v>91003081</v>
      </c>
      <c r="D1858">
        <v>140</v>
      </c>
      <c r="E1858" s="4">
        <v>-22028025</v>
      </c>
      <c r="F1858" t="s">
        <v>82</v>
      </c>
      <c r="G1858">
        <v>0</v>
      </c>
      <c r="H1858" s="32" t="str">
        <f ca="1">+IF(B1858&gt;'sap nuevo'!$V$1,"cargar",IF(C1858="","cargar","pagado"))</f>
        <v>pagado</v>
      </c>
      <c r="I1858" s="32">
        <f t="shared" si="244"/>
        <v>2026</v>
      </c>
      <c r="J1858" s="32">
        <f t="shared" si="245"/>
        <v>5</v>
      </c>
    </row>
    <row r="1859" spans="1:10" x14ac:dyDescent="0.25">
      <c r="A1859" t="s">
        <v>12</v>
      </c>
      <c r="B1859" s="3">
        <v>46153</v>
      </c>
      <c r="C1859">
        <v>91003087</v>
      </c>
      <c r="D1859">
        <v>140</v>
      </c>
      <c r="E1859" s="4">
        <v>-21527151.829999998</v>
      </c>
      <c r="F1859" t="s">
        <v>82</v>
      </c>
      <c r="G1859">
        <v>0</v>
      </c>
      <c r="H1859" s="32" t="str">
        <f ca="1">+IF(B1859&gt;'sap nuevo'!$V$1,"cargar",IF(C1859="","cargar","pagado"))</f>
        <v>pagado</v>
      </c>
      <c r="I1859" s="32">
        <f t="shared" si="244"/>
        <v>2026</v>
      </c>
      <c r="J1859" s="32">
        <f t="shared" si="245"/>
        <v>5</v>
      </c>
    </row>
    <row r="1860" spans="1:10" x14ac:dyDescent="0.25">
      <c r="A1860" t="s">
        <v>21</v>
      </c>
      <c r="B1860" s="3">
        <v>46153</v>
      </c>
      <c r="C1860">
        <v>91003085</v>
      </c>
      <c r="D1860">
        <v>140</v>
      </c>
      <c r="E1860" s="4">
        <v>-18806823.469999999</v>
      </c>
      <c r="F1860" t="s">
        <v>80</v>
      </c>
      <c r="G1860">
        <v>0</v>
      </c>
      <c r="H1860" s="32" t="str">
        <f ca="1">+IF(B1860&gt;'sap nuevo'!$V$1,"cargar",IF(C1860="","cargar","pagado"))</f>
        <v>pagado</v>
      </c>
      <c r="I1860" s="32">
        <f t="shared" si="244"/>
        <v>2026</v>
      </c>
      <c r="J1860" s="32">
        <f t="shared" si="245"/>
        <v>5</v>
      </c>
    </row>
    <row r="1861" spans="1:10" x14ac:dyDescent="0.25">
      <c r="A1861" t="s">
        <v>21</v>
      </c>
      <c r="B1861" s="3">
        <v>46153</v>
      </c>
      <c r="C1861">
        <v>91003083</v>
      </c>
      <c r="D1861">
        <v>140</v>
      </c>
      <c r="E1861" s="4">
        <v>-15171638.5</v>
      </c>
      <c r="F1861" t="s">
        <v>80</v>
      </c>
      <c r="G1861">
        <v>0</v>
      </c>
      <c r="H1861" s="32" t="str">
        <f ca="1">+IF(B1861&gt;'sap nuevo'!$V$1,"cargar",IF(C1861="","cargar","pagado"))</f>
        <v>pagado</v>
      </c>
      <c r="I1861" s="32">
        <f t="shared" si="244"/>
        <v>2026</v>
      </c>
      <c r="J1861" s="32">
        <f t="shared" si="245"/>
        <v>5</v>
      </c>
    </row>
    <row r="1862" spans="1:10" x14ac:dyDescent="0.25">
      <c r="A1862" t="s">
        <v>21</v>
      </c>
      <c r="B1862" s="3">
        <v>46153</v>
      </c>
      <c r="C1862">
        <v>91003090</v>
      </c>
      <c r="D1862">
        <v>140</v>
      </c>
      <c r="E1862" s="4">
        <v>-11829504.689999999</v>
      </c>
      <c r="F1862" t="s">
        <v>80</v>
      </c>
      <c r="G1862">
        <v>0</v>
      </c>
      <c r="H1862" s="32" t="str">
        <f ca="1">+IF(B1862&gt;'sap nuevo'!$V$1,"cargar",IF(C1862="","cargar","pagado"))</f>
        <v>pagado</v>
      </c>
      <c r="I1862" s="32">
        <f t="shared" si="244"/>
        <v>2026</v>
      </c>
      <c r="J1862" s="32">
        <f t="shared" si="245"/>
        <v>5</v>
      </c>
    </row>
    <row r="1863" spans="1:10" x14ac:dyDescent="0.25">
      <c r="A1863" t="s">
        <v>21</v>
      </c>
      <c r="B1863" s="3">
        <v>46153</v>
      </c>
      <c r="C1863">
        <v>91003096</v>
      </c>
      <c r="D1863">
        <v>140</v>
      </c>
      <c r="E1863" s="4">
        <v>-10020951.16</v>
      </c>
      <c r="F1863" t="s">
        <v>80</v>
      </c>
      <c r="G1863">
        <v>0</v>
      </c>
      <c r="H1863" s="32" t="str">
        <f ca="1">+IF(B1863&gt;'sap nuevo'!$V$1,"cargar",IF(C1863="","cargar","pagado"))</f>
        <v>pagado</v>
      </c>
      <c r="I1863" s="32">
        <f t="shared" si="244"/>
        <v>2026</v>
      </c>
      <c r="J1863" s="32">
        <f t="shared" si="245"/>
        <v>5</v>
      </c>
    </row>
    <row r="1864" spans="1:10" x14ac:dyDescent="0.25">
      <c r="A1864" t="s">
        <v>21</v>
      </c>
      <c r="B1864" s="3">
        <v>46153</v>
      </c>
      <c r="C1864">
        <v>91003061</v>
      </c>
      <c r="D1864">
        <v>140</v>
      </c>
      <c r="E1864" s="4">
        <v>-10000000</v>
      </c>
      <c r="F1864" t="s">
        <v>80</v>
      </c>
      <c r="G1864">
        <v>0</v>
      </c>
      <c r="H1864" s="32" t="str">
        <f ca="1">+IF(B1864&gt;'sap nuevo'!$V$1,"cargar",IF(C1864="","cargar","pagado"))</f>
        <v>pagado</v>
      </c>
      <c r="I1864" s="32">
        <f t="shared" si="244"/>
        <v>2026</v>
      </c>
      <c r="J1864" s="32">
        <f t="shared" si="245"/>
        <v>5</v>
      </c>
    </row>
    <row r="1865" spans="1:10" x14ac:dyDescent="0.25">
      <c r="A1865" t="s">
        <v>21</v>
      </c>
      <c r="B1865" s="3">
        <v>46153</v>
      </c>
      <c r="C1865">
        <v>91003080</v>
      </c>
      <c r="D1865">
        <v>140</v>
      </c>
      <c r="E1865" s="4">
        <v>-6246803.4000000004</v>
      </c>
      <c r="F1865" t="s">
        <v>80</v>
      </c>
      <c r="G1865">
        <v>0</v>
      </c>
      <c r="H1865" s="32" t="str">
        <f ca="1">+IF(B1865&gt;'sap nuevo'!$V$1,"cargar",IF(C1865="","cargar","pagado"))</f>
        <v>pagado</v>
      </c>
      <c r="I1865" s="32">
        <f t="shared" si="244"/>
        <v>2026</v>
      </c>
      <c r="J1865" s="32">
        <f t="shared" si="245"/>
        <v>5</v>
      </c>
    </row>
    <row r="1866" spans="1:10" x14ac:dyDescent="0.25">
      <c r="A1866" t="s">
        <v>21</v>
      </c>
      <c r="B1866" s="3">
        <v>46153</v>
      </c>
      <c r="C1866">
        <v>91003082</v>
      </c>
      <c r="D1866">
        <v>140</v>
      </c>
      <c r="E1866" s="4">
        <v>-5709023.4000000004</v>
      </c>
      <c r="F1866" t="s">
        <v>80</v>
      </c>
      <c r="G1866">
        <v>0</v>
      </c>
      <c r="H1866" s="32" t="str">
        <f ca="1">+IF(B1866&gt;'sap nuevo'!$V$1,"cargar",IF(C1866="","cargar","pagado"))</f>
        <v>pagado</v>
      </c>
      <c r="I1866" s="32">
        <f t="shared" si="244"/>
        <v>2026</v>
      </c>
      <c r="J1866" s="32">
        <f t="shared" si="245"/>
        <v>5</v>
      </c>
    </row>
    <row r="1867" spans="1:10" x14ac:dyDescent="0.25">
      <c r="A1867" t="s">
        <v>21</v>
      </c>
      <c r="B1867" s="3">
        <v>46153</v>
      </c>
      <c r="C1867">
        <v>91003086</v>
      </c>
      <c r="D1867">
        <v>140</v>
      </c>
      <c r="E1867" s="4">
        <v>-5598760.7199999997</v>
      </c>
      <c r="F1867" t="s">
        <v>80</v>
      </c>
      <c r="G1867">
        <v>0</v>
      </c>
      <c r="H1867" s="32" t="str">
        <f ca="1">+IF(B1867&gt;'sap nuevo'!$V$1,"cargar",IF(C1867="","cargar","pagado"))</f>
        <v>pagado</v>
      </c>
      <c r="I1867" s="32">
        <f t="shared" si="244"/>
        <v>2026</v>
      </c>
      <c r="J1867" s="32">
        <f t="shared" si="245"/>
        <v>5</v>
      </c>
    </row>
    <row r="1868" spans="1:10" x14ac:dyDescent="0.25">
      <c r="A1868" t="s">
        <v>21</v>
      </c>
      <c r="B1868" s="3">
        <v>46153</v>
      </c>
      <c r="C1868">
        <v>91003095</v>
      </c>
      <c r="D1868">
        <v>140</v>
      </c>
      <c r="E1868" s="4">
        <v>-5064950.8499999996</v>
      </c>
      <c r="F1868" t="s">
        <v>80</v>
      </c>
      <c r="G1868">
        <v>0</v>
      </c>
      <c r="H1868" s="32" t="str">
        <f ca="1">+IF(B1868&gt;'sap nuevo'!$V$1,"cargar",IF(C1868="","cargar","pagado"))</f>
        <v>pagado</v>
      </c>
      <c r="I1868" s="32">
        <f t="shared" si="244"/>
        <v>2026</v>
      </c>
      <c r="J1868" s="32">
        <f t="shared" si="245"/>
        <v>5</v>
      </c>
    </row>
    <row r="1869" spans="1:10" x14ac:dyDescent="0.25">
      <c r="A1869" t="s">
        <v>21</v>
      </c>
      <c r="B1869" s="3">
        <v>46153</v>
      </c>
      <c r="C1869">
        <v>91003062</v>
      </c>
      <c r="D1869">
        <v>140</v>
      </c>
      <c r="E1869" s="4">
        <v>-5000000</v>
      </c>
      <c r="F1869" t="s">
        <v>80</v>
      </c>
      <c r="G1869">
        <v>0</v>
      </c>
      <c r="H1869" s="32" t="str">
        <f ca="1">+IF(B1869&gt;'sap nuevo'!$V$1,"cargar",IF(C1869="","cargar","pagado"))</f>
        <v>pagado</v>
      </c>
      <c r="I1869" s="32">
        <f t="shared" si="244"/>
        <v>2026</v>
      </c>
      <c r="J1869" s="32">
        <f t="shared" si="245"/>
        <v>5</v>
      </c>
    </row>
    <row r="1870" spans="1:10" x14ac:dyDescent="0.25">
      <c r="A1870" t="s">
        <v>21</v>
      </c>
      <c r="B1870" s="3">
        <v>46153</v>
      </c>
      <c r="C1870">
        <v>91003065</v>
      </c>
      <c r="D1870">
        <v>140</v>
      </c>
      <c r="E1870" s="4">
        <v>-5000000</v>
      </c>
      <c r="F1870" t="s">
        <v>80</v>
      </c>
      <c r="G1870">
        <v>0</v>
      </c>
      <c r="H1870" s="32" t="str">
        <f ca="1">+IF(B1870&gt;'sap nuevo'!$V$1,"cargar",IF(C1870="","cargar","pagado"))</f>
        <v>pagado</v>
      </c>
      <c r="I1870" s="32">
        <f t="shared" si="244"/>
        <v>2026</v>
      </c>
      <c r="J1870" s="32">
        <f t="shared" si="245"/>
        <v>5</v>
      </c>
    </row>
    <row r="1871" spans="1:10" x14ac:dyDescent="0.25">
      <c r="A1871" t="s">
        <v>21</v>
      </c>
      <c r="B1871" s="3">
        <v>46153</v>
      </c>
      <c r="C1871">
        <v>91003067</v>
      </c>
      <c r="D1871">
        <v>140</v>
      </c>
      <c r="E1871" s="4">
        <v>-5000000</v>
      </c>
      <c r="F1871" t="s">
        <v>80</v>
      </c>
      <c r="G1871">
        <v>0</v>
      </c>
      <c r="H1871" s="32" t="str">
        <f ca="1">+IF(B1871&gt;'sap nuevo'!$V$1,"cargar",IF(C1871="","cargar","pagado"))</f>
        <v>pagado</v>
      </c>
      <c r="I1871" s="32">
        <f t="shared" si="244"/>
        <v>2026</v>
      </c>
      <c r="J1871" s="32">
        <f t="shared" si="245"/>
        <v>5</v>
      </c>
    </row>
    <row r="1872" spans="1:10" x14ac:dyDescent="0.25">
      <c r="A1872" t="s">
        <v>12</v>
      </c>
      <c r="B1872" s="3">
        <v>46153</v>
      </c>
      <c r="C1872">
        <v>91003064</v>
      </c>
      <c r="D1872">
        <v>140</v>
      </c>
      <c r="E1872" s="4">
        <v>-5000000</v>
      </c>
      <c r="F1872" t="s">
        <v>82</v>
      </c>
      <c r="G1872">
        <v>0</v>
      </c>
      <c r="H1872" s="32" t="str">
        <f ca="1">+IF(B1872&gt;'sap nuevo'!$V$1,"cargar",IF(C1872="","cargar","pagado"))</f>
        <v>pagado</v>
      </c>
      <c r="I1872" s="32">
        <f t="shared" si="244"/>
        <v>2026</v>
      </c>
      <c r="J1872" s="32">
        <f t="shared" si="245"/>
        <v>5</v>
      </c>
    </row>
    <row r="1873" spans="1:10" x14ac:dyDescent="0.25">
      <c r="A1873" t="s">
        <v>21</v>
      </c>
      <c r="B1873" s="3">
        <v>46153</v>
      </c>
      <c r="C1873">
        <v>91003093</v>
      </c>
      <c r="D1873">
        <v>140</v>
      </c>
      <c r="E1873" s="4">
        <v>-4536566.55</v>
      </c>
      <c r="F1873" t="s">
        <v>80</v>
      </c>
      <c r="G1873">
        <v>0</v>
      </c>
      <c r="H1873" s="32" t="str">
        <f ca="1">+IF(B1873&gt;'sap nuevo'!$V$1,"cargar",IF(C1873="","cargar","pagado"))</f>
        <v>pagado</v>
      </c>
      <c r="I1873" s="32">
        <f t="shared" si="244"/>
        <v>2026</v>
      </c>
      <c r="J1873" s="32">
        <f t="shared" si="245"/>
        <v>5</v>
      </c>
    </row>
    <row r="1874" spans="1:10" x14ac:dyDescent="0.25">
      <c r="A1874" t="s">
        <v>21</v>
      </c>
      <c r="B1874" s="3">
        <v>46153</v>
      </c>
      <c r="C1874">
        <v>91003092</v>
      </c>
      <c r="D1874">
        <v>140</v>
      </c>
      <c r="E1874" s="4">
        <v>-3716293.1</v>
      </c>
      <c r="F1874" t="s">
        <v>80</v>
      </c>
      <c r="G1874">
        <v>0</v>
      </c>
      <c r="H1874" s="32" t="str">
        <f ca="1">+IF(B1874&gt;'sap nuevo'!$V$1,"cargar",IF(C1874="","cargar","pagado"))</f>
        <v>pagado</v>
      </c>
      <c r="I1874" s="32">
        <f t="shared" si="244"/>
        <v>2026</v>
      </c>
      <c r="J1874" s="32">
        <f t="shared" si="245"/>
        <v>5</v>
      </c>
    </row>
    <row r="1875" spans="1:10" x14ac:dyDescent="0.25">
      <c r="A1875" t="s">
        <v>21</v>
      </c>
      <c r="B1875" s="3">
        <v>46153</v>
      </c>
      <c r="C1875">
        <v>91003084</v>
      </c>
      <c r="D1875">
        <v>140</v>
      </c>
      <c r="E1875" s="4">
        <v>-3056012.13</v>
      </c>
      <c r="F1875" t="s">
        <v>80</v>
      </c>
      <c r="G1875">
        <v>0</v>
      </c>
      <c r="H1875" s="32" t="str">
        <f ca="1">+IF(B1875&gt;'sap nuevo'!$V$1,"cargar",IF(C1875="","cargar","pagado"))</f>
        <v>pagado</v>
      </c>
      <c r="I1875" s="32">
        <f t="shared" si="244"/>
        <v>2026</v>
      </c>
      <c r="J1875" s="32">
        <f t="shared" si="245"/>
        <v>5</v>
      </c>
    </row>
    <row r="1876" spans="1:10" x14ac:dyDescent="0.25">
      <c r="A1876" t="s">
        <v>21</v>
      </c>
      <c r="B1876" s="3">
        <v>46154</v>
      </c>
      <c r="C1876">
        <v>91003073</v>
      </c>
      <c r="D1876">
        <v>140</v>
      </c>
      <c r="E1876" s="4">
        <v>-18459650.890000001</v>
      </c>
      <c r="F1876" t="s">
        <v>80</v>
      </c>
      <c r="G1876">
        <v>0</v>
      </c>
      <c r="H1876" s="32" t="str">
        <f ca="1">+IF(B1876&gt;'sap nuevo'!$V$1,"cargar",IF(C1876="","cargar","pagado"))</f>
        <v>pagado</v>
      </c>
      <c r="I1876" s="32">
        <f t="shared" si="244"/>
        <v>2026</v>
      </c>
      <c r="J1876" s="32">
        <f t="shared" si="245"/>
        <v>5</v>
      </c>
    </row>
    <row r="1877" spans="1:10" x14ac:dyDescent="0.25">
      <c r="A1877" t="s">
        <v>21</v>
      </c>
      <c r="B1877" s="3">
        <v>46154</v>
      </c>
      <c r="C1877">
        <v>91003089</v>
      </c>
      <c r="D1877">
        <v>140</v>
      </c>
      <c r="E1877" s="4">
        <v>-2238697.2799999998</v>
      </c>
      <c r="F1877" t="s">
        <v>80</v>
      </c>
      <c r="G1877">
        <v>0</v>
      </c>
      <c r="H1877" s="32" t="str">
        <f ca="1">+IF(B1877&gt;'sap nuevo'!$V$1,"cargar",IF(C1877="","cargar","pagado"))</f>
        <v>pagado</v>
      </c>
      <c r="I1877" s="32">
        <f t="shared" si="244"/>
        <v>2026</v>
      </c>
      <c r="J1877" s="32">
        <f t="shared" si="245"/>
        <v>5</v>
      </c>
    </row>
    <row r="1878" spans="1:10" x14ac:dyDescent="0.25">
      <c r="A1878" t="s">
        <v>21</v>
      </c>
      <c r="B1878" s="3">
        <v>46155</v>
      </c>
      <c r="C1878">
        <v>91003071</v>
      </c>
      <c r="D1878">
        <v>140</v>
      </c>
      <c r="E1878" s="4">
        <v>-45796981.350000001</v>
      </c>
      <c r="F1878" t="s">
        <v>80</v>
      </c>
      <c r="G1878">
        <v>0</v>
      </c>
      <c r="H1878" s="32" t="str">
        <f ca="1">+IF(B1878&gt;'sap nuevo'!$V$1,"cargar",IF(C1878="","cargar","pagado"))</f>
        <v>pagado</v>
      </c>
      <c r="I1878" s="32">
        <f t="shared" si="244"/>
        <v>2026</v>
      </c>
      <c r="J1878" s="32">
        <f t="shared" si="245"/>
        <v>5</v>
      </c>
    </row>
    <row r="1879" spans="1:10" x14ac:dyDescent="0.25">
      <c r="A1879" t="s">
        <v>21</v>
      </c>
      <c r="B1879" s="3">
        <v>46155</v>
      </c>
      <c r="C1879">
        <v>91003070</v>
      </c>
      <c r="D1879">
        <v>140</v>
      </c>
      <c r="E1879" s="4">
        <v>-45000000</v>
      </c>
      <c r="F1879" t="s">
        <v>80</v>
      </c>
      <c r="G1879">
        <v>0</v>
      </c>
      <c r="H1879" s="32" t="str">
        <f ca="1">+IF(B1879&gt;'sap nuevo'!$V$1,"cargar",IF(C1879="","cargar","pagado"))</f>
        <v>pagado</v>
      </c>
      <c r="I1879" s="32">
        <f t="shared" si="244"/>
        <v>2026</v>
      </c>
      <c r="J1879" s="32">
        <f t="shared" si="245"/>
        <v>5</v>
      </c>
    </row>
    <row r="1880" spans="1:10" x14ac:dyDescent="0.25">
      <c r="A1880" t="s">
        <v>12</v>
      </c>
      <c r="B1880" s="3">
        <v>46155</v>
      </c>
      <c r="C1880">
        <v>91003068</v>
      </c>
      <c r="D1880">
        <v>140</v>
      </c>
      <c r="E1880" s="4">
        <v>-5000000</v>
      </c>
      <c r="F1880" t="s">
        <v>82</v>
      </c>
      <c r="G1880">
        <v>0</v>
      </c>
      <c r="H1880" s="32" t="str">
        <f ca="1">+IF(B1880&gt;'sap nuevo'!$V$1,"cargar",IF(C1880="","cargar","pagado"))</f>
        <v>pagado</v>
      </c>
      <c r="I1880" s="32">
        <f t="shared" si="244"/>
        <v>2026</v>
      </c>
      <c r="J1880" s="32">
        <f t="shared" si="245"/>
        <v>5</v>
      </c>
    </row>
    <row r="1881" spans="1:10" x14ac:dyDescent="0.25">
      <c r="A1881" t="s">
        <v>21</v>
      </c>
      <c r="B1881" s="3">
        <v>46156</v>
      </c>
      <c r="C1881">
        <v>91003097</v>
      </c>
      <c r="D1881">
        <v>140</v>
      </c>
      <c r="E1881" s="4">
        <v>-173710874.16999999</v>
      </c>
      <c r="F1881" t="s">
        <v>80</v>
      </c>
      <c r="G1881">
        <v>0</v>
      </c>
      <c r="H1881" s="32" t="str">
        <f ca="1">+IF(B1881&gt;'sap nuevo'!$V$1,"cargar",IF(C1881="","cargar","pagado"))</f>
        <v>pagado</v>
      </c>
      <c r="I1881" s="32">
        <f t="shared" si="244"/>
        <v>2026</v>
      </c>
      <c r="J1881" s="32">
        <f t="shared" si="245"/>
        <v>5</v>
      </c>
    </row>
    <row r="1882" spans="1:10" x14ac:dyDescent="0.25">
      <c r="A1882" t="s">
        <v>21</v>
      </c>
      <c r="B1882" s="3">
        <v>46156</v>
      </c>
      <c r="C1882">
        <v>91003075</v>
      </c>
      <c r="D1882">
        <v>140</v>
      </c>
      <c r="E1882" s="4">
        <v>-45000000</v>
      </c>
      <c r="F1882" t="s">
        <v>80</v>
      </c>
      <c r="G1882">
        <v>0</v>
      </c>
      <c r="H1882" s="32" t="str">
        <f ca="1">+IF(B1882&gt;'sap nuevo'!$V$1,"cargar",IF(C1882="","cargar","pagado"))</f>
        <v>pagado</v>
      </c>
      <c r="I1882" s="32">
        <f t="shared" si="244"/>
        <v>2026</v>
      </c>
      <c r="J1882" s="32">
        <f t="shared" si="245"/>
        <v>5</v>
      </c>
    </row>
    <row r="1883" spans="1:10" x14ac:dyDescent="0.25">
      <c r="A1883" t="s">
        <v>21</v>
      </c>
      <c r="B1883" s="3">
        <v>46156</v>
      </c>
      <c r="C1883">
        <v>91003099</v>
      </c>
      <c r="D1883">
        <v>140</v>
      </c>
      <c r="E1883" s="4">
        <v>-44368343.399999999</v>
      </c>
      <c r="F1883" t="s">
        <v>80</v>
      </c>
      <c r="G1883">
        <v>0</v>
      </c>
      <c r="H1883" s="32" t="str">
        <f ca="1">+IF(B1883&gt;'sap nuevo'!$V$1,"cargar",IF(C1883="","cargar","pagado"))</f>
        <v>pagado</v>
      </c>
      <c r="I1883" s="32">
        <f t="shared" si="244"/>
        <v>2026</v>
      </c>
      <c r="J1883" s="32">
        <f t="shared" si="245"/>
        <v>5</v>
      </c>
    </row>
    <row r="1884" spans="1:10" x14ac:dyDescent="0.25">
      <c r="A1884" t="s">
        <v>12</v>
      </c>
      <c r="B1884" s="3">
        <v>46156</v>
      </c>
      <c r="C1884">
        <v>91003104</v>
      </c>
      <c r="D1884">
        <v>140</v>
      </c>
      <c r="E1884" s="4">
        <v>-38363892.060000002</v>
      </c>
      <c r="F1884" t="s">
        <v>82</v>
      </c>
      <c r="G1884">
        <v>0</v>
      </c>
      <c r="H1884" s="32" t="str">
        <f ca="1">+IF(B1884&gt;'sap nuevo'!$V$1,"cargar",IF(C1884="","cargar","pagado"))</f>
        <v>pagado</v>
      </c>
      <c r="I1884" s="32">
        <f t="shared" si="244"/>
        <v>2026</v>
      </c>
      <c r="J1884" s="32">
        <f t="shared" si="245"/>
        <v>5</v>
      </c>
    </row>
    <row r="1885" spans="1:10" x14ac:dyDescent="0.25">
      <c r="A1885" t="s">
        <v>21</v>
      </c>
      <c r="B1885" s="3">
        <v>46156</v>
      </c>
      <c r="C1885">
        <v>91003101</v>
      </c>
      <c r="D1885">
        <v>140</v>
      </c>
      <c r="E1885" s="4">
        <v>-25394426.609999999</v>
      </c>
      <c r="F1885" t="s">
        <v>80</v>
      </c>
      <c r="G1885">
        <v>0</v>
      </c>
      <c r="H1885" s="32" t="str">
        <f ca="1">+IF(B1885&gt;'sap nuevo'!$V$1,"cargar",IF(C1885="","cargar","pagado"))</f>
        <v>pagado</v>
      </c>
      <c r="I1885" s="32">
        <f t="shared" si="244"/>
        <v>2026</v>
      </c>
      <c r="J1885" s="32">
        <f t="shared" si="245"/>
        <v>5</v>
      </c>
    </row>
    <row r="1886" spans="1:10" x14ac:dyDescent="0.25">
      <c r="A1886" t="s">
        <v>21</v>
      </c>
      <c r="B1886" s="3">
        <v>46156</v>
      </c>
      <c r="C1886">
        <v>91003103</v>
      </c>
      <c r="D1886">
        <v>140</v>
      </c>
      <c r="E1886" s="4">
        <v>-14058127.23</v>
      </c>
      <c r="F1886" t="s">
        <v>80</v>
      </c>
      <c r="G1886">
        <v>0</v>
      </c>
      <c r="H1886" s="32" t="str">
        <f ca="1">+IF(B1886&gt;'sap nuevo'!$V$1,"cargar",IF(C1886="","cargar","pagado"))</f>
        <v>pagado</v>
      </c>
      <c r="I1886" s="32">
        <f t="shared" si="244"/>
        <v>2026</v>
      </c>
      <c r="J1886" s="32">
        <f t="shared" si="245"/>
        <v>5</v>
      </c>
    </row>
    <row r="1887" spans="1:10" x14ac:dyDescent="0.25">
      <c r="A1887" t="s">
        <v>21</v>
      </c>
      <c r="B1887" s="3">
        <v>46156</v>
      </c>
      <c r="C1887">
        <v>91003112</v>
      </c>
      <c r="D1887">
        <v>140</v>
      </c>
      <c r="E1887" s="4">
        <v>-12873220.869999999</v>
      </c>
      <c r="F1887" t="s">
        <v>80</v>
      </c>
      <c r="G1887">
        <v>0</v>
      </c>
      <c r="H1887" s="32" t="str">
        <f ca="1">+IF(B1887&gt;'sap nuevo'!$V$1,"cargar",IF(C1887="","cargar","pagado"))</f>
        <v>pagado</v>
      </c>
      <c r="I1887" s="32">
        <f t="shared" si="244"/>
        <v>2026</v>
      </c>
      <c r="J1887" s="32">
        <f t="shared" si="245"/>
        <v>5</v>
      </c>
    </row>
    <row r="1888" spans="1:10" x14ac:dyDescent="0.25">
      <c r="A1888" t="s">
        <v>12</v>
      </c>
      <c r="B1888" s="3">
        <v>46156</v>
      </c>
      <c r="C1888">
        <v>91003102</v>
      </c>
      <c r="D1888">
        <v>140</v>
      </c>
      <c r="E1888" s="4">
        <v>-11867365.5</v>
      </c>
      <c r="F1888" t="s">
        <v>82</v>
      </c>
      <c r="G1888">
        <v>0</v>
      </c>
      <c r="H1888" s="32" t="str">
        <f ca="1">+IF(B1888&gt;'sap nuevo'!$V$1,"cargar",IF(C1888="","cargar","pagado"))</f>
        <v>pagado</v>
      </c>
      <c r="I1888" s="32">
        <f t="shared" si="244"/>
        <v>2026</v>
      </c>
      <c r="J1888" s="32">
        <f t="shared" si="245"/>
        <v>5</v>
      </c>
    </row>
    <row r="1889" spans="1:10" x14ac:dyDescent="0.25">
      <c r="A1889" t="s">
        <v>12</v>
      </c>
      <c r="B1889" s="3">
        <v>46156</v>
      </c>
      <c r="C1889">
        <v>91003109</v>
      </c>
      <c r="D1889">
        <v>140</v>
      </c>
      <c r="E1889" s="4">
        <v>-9318577.6199999992</v>
      </c>
      <c r="F1889" t="s">
        <v>82</v>
      </c>
      <c r="G1889">
        <v>0</v>
      </c>
      <c r="H1889" s="32" t="str">
        <f ca="1">+IF(B1889&gt;'sap nuevo'!$V$1,"cargar",IF(C1889="","cargar","pagado"))</f>
        <v>pagado</v>
      </c>
      <c r="I1889" s="32">
        <f t="shared" si="244"/>
        <v>2026</v>
      </c>
      <c r="J1889" s="32">
        <f t="shared" si="245"/>
        <v>5</v>
      </c>
    </row>
    <row r="1890" spans="1:10" x14ac:dyDescent="0.25">
      <c r="A1890" t="s">
        <v>21</v>
      </c>
      <c r="B1890" s="3">
        <v>46156</v>
      </c>
      <c r="C1890">
        <v>91003107</v>
      </c>
      <c r="D1890">
        <v>140</v>
      </c>
      <c r="E1890" s="4">
        <v>-8658934.8499999996</v>
      </c>
      <c r="F1890" t="s">
        <v>80</v>
      </c>
      <c r="G1890">
        <v>0</v>
      </c>
      <c r="H1890" s="32" t="str">
        <f ca="1">+IF(B1890&gt;'sap nuevo'!$V$1,"cargar",IF(C1890="","cargar","pagado"))</f>
        <v>pagado</v>
      </c>
      <c r="I1890" s="32">
        <f t="shared" si="244"/>
        <v>2026</v>
      </c>
      <c r="J1890" s="32">
        <f t="shared" si="245"/>
        <v>5</v>
      </c>
    </row>
    <row r="1891" spans="1:10" x14ac:dyDescent="0.25">
      <c r="A1891" t="s">
        <v>21</v>
      </c>
      <c r="B1891" s="3">
        <v>46156</v>
      </c>
      <c r="C1891">
        <v>91003100</v>
      </c>
      <c r="D1891">
        <v>140</v>
      </c>
      <c r="E1891" s="4">
        <v>-7964741.1100000003</v>
      </c>
      <c r="F1891" t="s">
        <v>80</v>
      </c>
      <c r="G1891">
        <v>0</v>
      </c>
      <c r="H1891" s="32" t="str">
        <f ca="1">+IF(B1891&gt;'sap nuevo'!$V$1,"cargar",IF(C1891="","cargar","pagado"))</f>
        <v>pagado</v>
      </c>
      <c r="I1891" s="32">
        <f t="shared" si="244"/>
        <v>2026</v>
      </c>
      <c r="J1891" s="32">
        <f t="shared" si="245"/>
        <v>5</v>
      </c>
    </row>
    <row r="1892" spans="1:10" x14ac:dyDescent="0.25">
      <c r="A1892" t="s">
        <v>21</v>
      </c>
      <c r="B1892" s="3">
        <v>46156</v>
      </c>
      <c r="C1892">
        <v>91003106</v>
      </c>
      <c r="D1892">
        <v>140</v>
      </c>
      <c r="E1892" s="4">
        <v>-6793880.7999999998</v>
      </c>
      <c r="F1892" t="s">
        <v>80</v>
      </c>
      <c r="G1892">
        <v>0</v>
      </c>
      <c r="H1892" s="32" t="str">
        <f ca="1">+IF(B1892&gt;'sap nuevo'!$V$1,"cargar",IF(C1892="","cargar","pagado"))</f>
        <v>pagado</v>
      </c>
      <c r="I1892" s="32">
        <f t="shared" si="244"/>
        <v>2026</v>
      </c>
      <c r="J1892" s="32">
        <f t="shared" si="245"/>
        <v>5</v>
      </c>
    </row>
    <row r="1893" spans="1:10" x14ac:dyDescent="0.25">
      <c r="A1893" t="s">
        <v>21</v>
      </c>
      <c r="B1893" s="3">
        <v>46156</v>
      </c>
      <c r="C1893">
        <v>91003105</v>
      </c>
      <c r="D1893">
        <v>140</v>
      </c>
      <c r="E1893" s="4">
        <v>-6043958.4900000002</v>
      </c>
      <c r="F1893" t="s">
        <v>80</v>
      </c>
      <c r="G1893">
        <v>0</v>
      </c>
      <c r="H1893" s="32" t="str">
        <f ca="1">+IF(B1893&gt;'sap nuevo'!$V$1,"cargar",IF(C1893="","cargar","pagado"))</f>
        <v>pagado</v>
      </c>
      <c r="I1893" s="32">
        <f t="shared" si="244"/>
        <v>2026</v>
      </c>
      <c r="J1893" s="32">
        <f t="shared" si="245"/>
        <v>5</v>
      </c>
    </row>
    <row r="1894" spans="1:10" x14ac:dyDescent="0.25">
      <c r="A1894" t="s">
        <v>21</v>
      </c>
      <c r="B1894" s="3">
        <v>46156</v>
      </c>
      <c r="C1894">
        <v>91003098</v>
      </c>
      <c r="D1894">
        <v>140</v>
      </c>
      <c r="E1894" s="4">
        <v>-5445534.4199999999</v>
      </c>
      <c r="F1894" t="s">
        <v>80</v>
      </c>
      <c r="G1894">
        <v>0</v>
      </c>
      <c r="H1894" s="32" t="str">
        <f ca="1">+IF(B1894&gt;'sap nuevo'!$V$1,"cargar",IF(C1894="","cargar","pagado"))</f>
        <v>pagado</v>
      </c>
      <c r="I1894" s="32">
        <f t="shared" si="244"/>
        <v>2026</v>
      </c>
      <c r="J1894" s="32">
        <f t="shared" si="245"/>
        <v>5</v>
      </c>
    </row>
    <row r="1895" spans="1:10" x14ac:dyDescent="0.25">
      <c r="A1895" t="s">
        <v>21</v>
      </c>
      <c r="B1895" s="3">
        <v>46156</v>
      </c>
      <c r="C1895">
        <v>91003111</v>
      </c>
      <c r="D1895">
        <v>140</v>
      </c>
      <c r="E1895" s="4">
        <v>-3551708.4</v>
      </c>
      <c r="F1895" t="s">
        <v>80</v>
      </c>
      <c r="G1895">
        <v>0</v>
      </c>
      <c r="H1895" s="32" t="str">
        <f ca="1">+IF(B1895&gt;'sap nuevo'!$V$1,"cargar",IF(C1895="","cargar","pagado"))</f>
        <v>pagado</v>
      </c>
      <c r="I1895" s="32">
        <f t="shared" si="244"/>
        <v>2026</v>
      </c>
      <c r="J1895" s="32">
        <f t="shared" si="245"/>
        <v>5</v>
      </c>
    </row>
    <row r="1896" spans="1:10" x14ac:dyDescent="0.25">
      <c r="A1896" t="s">
        <v>12</v>
      </c>
      <c r="B1896" s="3">
        <v>46156</v>
      </c>
      <c r="C1896">
        <v>91003094</v>
      </c>
      <c r="D1896">
        <v>140</v>
      </c>
      <c r="E1896" s="4">
        <v>-2161912.81</v>
      </c>
      <c r="F1896" t="s">
        <v>82</v>
      </c>
      <c r="G1896">
        <v>0</v>
      </c>
      <c r="H1896" s="32" t="str">
        <f ca="1">+IF(B1896&gt;'sap nuevo'!$V$1,"cargar",IF(C1896="","cargar","pagado"))</f>
        <v>pagado</v>
      </c>
      <c r="I1896" s="32">
        <f t="shared" si="244"/>
        <v>2026</v>
      </c>
      <c r="J1896" s="32">
        <f t="shared" si="245"/>
        <v>5</v>
      </c>
    </row>
    <row r="1897" spans="1:10" x14ac:dyDescent="0.25">
      <c r="A1897" t="s">
        <v>21</v>
      </c>
      <c r="B1897" s="3">
        <v>46157</v>
      </c>
      <c r="C1897">
        <v>91003078</v>
      </c>
      <c r="D1897">
        <v>140</v>
      </c>
      <c r="E1897" s="4">
        <v>-18459650.890000001</v>
      </c>
      <c r="F1897" t="s">
        <v>80</v>
      </c>
      <c r="G1897">
        <v>0</v>
      </c>
      <c r="H1897" s="32" t="str">
        <f ca="1">+IF(B1897&gt;'sap nuevo'!$V$1,"cargar",IF(C1897="","cargar","pagado"))</f>
        <v>pagado</v>
      </c>
      <c r="I1897" s="32">
        <f t="shared" si="244"/>
        <v>2026</v>
      </c>
      <c r="J1897" s="32">
        <f t="shared" si="245"/>
        <v>5</v>
      </c>
    </row>
    <row r="1898" spans="1:10" x14ac:dyDescent="0.25">
      <c r="A1898" t="s">
        <v>21</v>
      </c>
      <c r="B1898" s="3">
        <v>46157</v>
      </c>
      <c r="C1898">
        <v>91003115</v>
      </c>
      <c r="D1898">
        <v>140</v>
      </c>
      <c r="E1898" s="4">
        <v>-11884741</v>
      </c>
      <c r="F1898" t="s">
        <v>80</v>
      </c>
      <c r="G1898">
        <v>0</v>
      </c>
      <c r="H1898" s="32" t="str">
        <f ca="1">+IF(B1898&gt;'sap nuevo'!$V$1,"cargar",IF(C1898="","cargar","pagado"))</f>
        <v>pagado</v>
      </c>
      <c r="I1898" s="32">
        <f t="shared" si="244"/>
        <v>2026</v>
      </c>
      <c r="J1898" s="32">
        <f t="shared" si="245"/>
        <v>5</v>
      </c>
    </row>
    <row r="1899" spans="1:10" x14ac:dyDescent="0.25">
      <c r="A1899" t="s">
        <v>12</v>
      </c>
      <c r="B1899" s="3">
        <v>46157</v>
      </c>
      <c r="C1899">
        <v>91003108</v>
      </c>
      <c r="D1899">
        <v>140</v>
      </c>
      <c r="E1899" s="4">
        <v>-4887290.55</v>
      </c>
      <c r="F1899" t="s">
        <v>82</v>
      </c>
      <c r="G1899">
        <v>0</v>
      </c>
      <c r="H1899" s="32" t="str">
        <f ca="1">+IF(B1899&gt;'sap nuevo'!$V$1,"cargar",IF(C1899="","cargar","pagado"))</f>
        <v>pagado</v>
      </c>
      <c r="I1899" s="32">
        <f t="shared" si="244"/>
        <v>2026</v>
      </c>
      <c r="J1899" s="32">
        <f t="shared" si="245"/>
        <v>5</v>
      </c>
    </row>
    <row r="1900" spans="1:10" x14ac:dyDescent="0.25">
      <c r="A1900" t="s">
        <v>21</v>
      </c>
      <c r="B1900" s="3">
        <v>46157</v>
      </c>
      <c r="C1900">
        <v>61301837</v>
      </c>
      <c r="D1900">
        <v>140</v>
      </c>
      <c r="E1900" s="4">
        <v>-1500000</v>
      </c>
      <c r="F1900" t="s">
        <v>80</v>
      </c>
      <c r="G1900">
        <v>0</v>
      </c>
      <c r="H1900" s="32" t="str">
        <f ca="1">+IF(B1900&gt;'sap nuevo'!$V$1,"cargar",IF(C1900="","cargar","pagado"))</f>
        <v>pagado</v>
      </c>
      <c r="I1900" s="32">
        <f t="shared" si="244"/>
        <v>2026</v>
      </c>
      <c r="J1900" s="32">
        <f t="shared" si="245"/>
        <v>5</v>
      </c>
    </row>
    <row r="1901" spans="1:10" x14ac:dyDescent="0.25">
      <c r="A1901" t="s">
        <v>21</v>
      </c>
      <c r="B1901" s="3">
        <v>46160</v>
      </c>
      <c r="C1901">
        <v>91003128</v>
      </c>
      <c r="D1901">
        <v>140</v>
      </c>
      <c r="E1901" s="4">
        <v>-22094015.399999999</v>
      </c>
      <c r="F1901" t="s">
        <v>80</v>
      </c>
      <c r="G1901">
        <v>0</v>
      </c>
      <c r="H1901" s="32" t="str">
        <f ca="1">+IF(B1901&gt;'sap nuevo'!$V$1,"cargar",IF(C1901="","cargar","pagado"))</f>
        <v>pagado</v>
      </c>
      <c r="I1901" s="32">
        <f t="shared" si="244"/>
        <v>2026</v>
      </c>
      <c r="J1901" s="32">
        <f t="shared" si="245"/>
        <v>5</v>
      </c>
    </row>
    <row r="1902" spans="1:10" x14ac:dyDescent="0.25">
      <c r="A1902" t="s">
        <v>21</v>
      </c>
      <c r="B1902" s="3">
        <v>46160</v>
      </c>
      <c r="C1902">
        <v>91003114</v>
      </c>
      <c r="D1902">
        <v>140</v>
      </c>
      <c r="E1902" s="4">
        <v>-21704180.800000001</v>
      </c>
      <c r="F1902" t="s">
        <v>80</v>
      </c>
      <c r="G1902">
        <v>0</v>
      </c>
      <c r="H1902" s="32" t="str">
        <f ca="1">+IF(B1902&gt;'sap nuevo'!$V$1,"cargar",IF(C1902="","cargar","pagado"))</f>
        <v>pagado</v>
      </c>
      <c r="I1902" s="32">
        <f t="shared" si="244"/>
        <v>2026</v>
      </c>
      <c r="J1902" s="32">
        <f t="shared" si="245"/>
        <v>5</v>
      </c>
    </row>
    <row r="1903" spans="1:10" x14ac:dyDescent="0.25">
      <c r="A1903" t="s">
        <v>21</v>
      </c>
      <c r="B1903" s="3">
        <v>46160</v>
      </c>
      <c r="C1903">
        <v>91003127</v>
      </c>
      <c r="D1903">
        <v>140</v>
      </c>
      <c r="E1903" s="4">
        <v>-20000000</v>
      </c>
      <c r="F1903" t="s">
        <v>80</v>
      </c>
      <c r="G1903">
        <v>0</v>
      </c>
      <c r="H1903" s="32" t="str">
        <f ca="1">+IF(B1903&gt;'sap nuevo'!$V$1,"cargar",IF(C1903="","cargar","pagado"))</f>
        <v>pagado</v>
      </c>
      <c r="I1903" s="32">
        <f t="shared" si="244"/>
        <v>2026</v>
      </c>
      <c r="J1903" s="32">
        <f t="shared" si="245"/>
        <v>5</v>
      </c>
    </row>
    <row r="1904" spans="1:10" x14ac:dyDescent="0.25">
      <c r="A1904" t="s">
        <v>21</v>
      </c>
      <c r="B1904" s="3">
        <v>46160</v>
      </c>
      <c r="C1904">
        <v>91003119</v>
      </c>
      <c r="D1904">
        <v>140</v>
      </c>
      <c r="E1904" s="4">
        <v>-15279388.949999999</v>
      </c>
      <c r="F1904" t="s">
        <v>80</v>
      </c>
      <c r="G1904">
        <v>0</v>
      </c>
      <c r="H1904" s="32" t="str">
        <f ca="1">+IF(B1904&gt;'sap nuevo'!$V$1,"cargar",IF(C1904="","cargar","pagado"))</f>
        <v>pagado</v>
      </c>
      <c r="I1904" s="32">
        <f t="shared" si="244"/>
        <v>2026</v>
      </c>
      <c r="J1904" s="32">
        <f t="shared" si="245"/>
        <v>5</v>
      </c>
    </row>
    <row r="1905" spans="1:10" x14ac:dyDescent="0.25">
      <c r="A1905" t="s">
        <v>21</v>
      </c>
      <c r="B1905" s="3">
        <v>46160</v>
      </c>
      <c r="C1905">
        <v>91003121</v>
      </c>
      <c r="D1905">
        <v>140</v>
      </c>
      <c r="E1905" s="4">
        <v>-11086768.189999999</v>
      </c>
      <c r="F1905" t="s">
        <v>80</v>
      </c>
      <c r="G1905">
        <v>0</v>
      </c>
      <c r="H1905" s="32" t="str">
        <f ca="1">+IF(B1905&gt;'sap nuevo'!$V$1,"cargar",IF(C1905="","cargar","pagado"))</f>
        <v>pagado</v>
      </c>
      <c r="I1905" s="32">
        <f t="shared" si="244"/>
        <v>2026</v>
      </c>
      <c r="J1905" s="32">
        <f t="shared" si="245"/>
        <v>5</v>
      </c>
    </row>
    <row r="1906" spans="1:10" x14ac:dyDescent="0.25">
      <c r="A1906" t="s">
        <v>21</v>
      </c>
      <c r="B1906" s="3">
        <v>46160</v>
      </c>
      <c r="C1906">
        <v>91003069</v>
      </c>
      <c r="D1906">
        <v>140</v>
      </c>
      <c r="E1906" s="4">
        <v>-8780695.2899999991</v>
      </c>
      <c r="F1906" t="s">
        <v>80</v>
      </c>
      <c r="G1906">
        <v>0</v>
      </c>
      <c r="H1906" s="32" t="str">
        <f ca="1">+IF(B1906&gt;'sap nuevo'!$V$1,"cargar",IF(C1906="","cargar","pagado"))</f>
        <v>pagado</v>
      </c>
      <c r="I1906" s="32">
        <f t="shared" si="244"/>
        <v>2026</v>
      </c>
      <c r="J1906" s="32">
        <f t="shared" si="245"/>
        <v>5</v>
      </c>
    </row>
    <row r="1907" spans="1:10" x14ac:dyDescent="0.25">
      <c r="A1907" t="s">
        <v>21</v>
      </c>
      <c r="B1907" s="3">
        <v>46160</v>
      </c>
      <c r="C1907">
        <v>91003120</v>
      </c>
      <c r="D1907">
        <v>140</v>
      </c>
      <c r="E1907" s="4">
        <v>-8736580.9900000002</v>
      </c>
      <c r="F1907" t="s">
        <v>80</v>
      </c>
      <c r="G1907">
        <v>0</v>
      </c>
      <c r="H1907" s="32" t="str">
        <f ca="1">+IF(B1907&gt;'sap nuevo'!$V$1,"cargar",IF(C1907="","cargar","pagado"))</f>
        <v>pagado</v>
      </c>
      <c r="I1907" s="32">
        <f t="shared" si="244"/>
        <v>2026</v>
      </c>
      <c r="J1907" s="32">
        <f t="shared" si="245"/>
        <v>5</v>
      </c>
    </row>
    <row r="1908" spans="1:10" x14ac:dyDescent="0.25">
      <c r="A1908" t="s">
        <v>21</v>
      </c>
      <c r="B1908" s="3">
        <v>46160</v>
      </c>
      <c r="C1908">
        <v>91003118</v>
      </c>
      <c r="D1908">
        <v>140</v>
      </c>
      <c r="E1908" s="4">
        <v>-7924771.1299999999</v>
      </c>
      <c r="F1908" t="s">
        <v>80</v>
      </c>
      <c r="G1908">
        <v>0</v>
      </c>
      <c r="H1908" s="32" t="str">
        <f ca="1">+IF(B1908&gt;'sap nuevo'!$V$1,"cargar",IF(C1908="","cargar","pagado"))</f>
        <v>pagado</v>
      </c>
      <c r="I1908" s="32">
        <f t="shared" si="244"/>
        <v>2026</v>
      </c>
      <c r="J1908" s="32">
        <f t="shared" si="245"/>
        <v>5</v>
      </c>
    </row>
    <row r="1909" spans="1:10" x14ac:dyDescent="0.25">
      <c r="A1909" t="s">
        <v>21</v>
      </c>
      <c r="B1909" s="3">
        <v>46160</v>
      </c>
      <c r="C1909">
        <v>91003125</v>
      </c>
      <c r="D1909">
        <v>140</v>
      </c>
      <c r="E1909" s="4">
        <v>-7378084.8099999996</v>
      </c>
      <c r="F1909" t="s">
        <v>80</v>
      </c>
      <c r="G1909">
        <v>0</v>
      </c>
      <c r="H1909" s="32" t="str">
        <f ca="1">+IF(B1909&gt;'sap nuevo'!$V$1,"cargar",IF(C1909="","cargar","pagado"))</f>
        <v>pagado</v>
      </c>
      <c r="I1909" s="32">
        <f t="shared" ref="I1909:I1917" si="246">+YEAR(B1909)</f>
        <v>2026</v>
      </c>
      <c r="J1909" s="32">
        <f t="shared" ref="J1909:J1917" si="247">+MONTH(B1909)</f>
        <v>5</v>
      </c>
    </row>
    <row r="1910" spans="1:10" x14ac:dyDescent="0.25">
      <c r="A1910" t="s">
        <v>12</v>
      </c>
      <c r="B1910" s="3">
        <v>46160</v>
      </c>
      <c r="C1910">
        <v>91003123</v>
      </c>
      <c r="D1910">
        <v>140</v>
      </c>
      <c r="E1910" s="4">
        <v>-4008330.08</v>
      </c>
      <c r="F1910" t="s">
        <v>82</v>
      </c>
      <c r="G1910">
        <v>0</v>
      </c>
      <c r="H1910" s="32" t="str">
        <f ca="1">+IF(B1910&gt;'sap nuevo'!$V$1,"cargar",IF(C1910="","cargar","pagado"))</f>
        <v>pagado</v>
      </c>
      <c r="I1910" s="32">
        <f t="shared" si="246"/>
        <v>2026</v>
      </c>
      <c r="J1910" s="32">
        <f t="shared" si="247"/>
        <v>5</v>
      </c>
    </row>
    <row r="1911" spans="1:10" x14ac:dyDescent="0.25">
      <c r="A1911" t="s">
        <v>21</v>
      </c>
      <c r="B1911" s="3">
        <v>46160</v>
      </c>
      <c r="C1911">
        <v>91003122</v>
      </c>
      <c r="D1911">
        <v>140</v>
      </c>
      <c r="E1911" s="4">
        <v>-3937443.82</v>
      </c>
      <c r="F1911" t="s">
        <v>80</v>
      </c>
      <c r="G1911">
        <v>0</v>
      </c>
      <c r="H1911" s="32" t="str">
        <f ca="1">+IF(B1911&gt;'sap nuevo'!$V$1,"cargar",IF(C1911="","cargar","pagado"))</f>
        <v>pagado</v>
      </c>
      <c r="I1911" s="32">
        <f t="shared" si="246"/>
        <v>2026</v>
      </c>
      <c r="J1911" s="32">
        <f t="shared" si="247"/>
        <v>5</v>
      </c>
    </row>
    <row r="1912" spans="1:10" x14ac:dyDescent="0.25">
      <c r="A1912" t="s">
        <v>12</v>
      </c>
      <c r="B1912" s="3">
        <v>46160</v>
      </c>
      <c r="C1912">
        <v>61301828</v>
      </c>
      <c r="D1912">
        <v>140</v>
      </c>
      <c r="E1912" s="4">
        <v>-459580.12</v>
      </c>
      <c r="F1912" t="s">
        <v>82</v>
      </c>
      <c r="G1912">
        <v>0</v>
      </c>
      <c r="H1912" s="32" t="str">
        <f ca="1">+IF(B1912&gt;'sap nuevo'!$V$1,"cargar",IF(C1912="","cargar","pagado"))</f>
        <v>pagado</v>
      </c>
      <c r="I1912" s="32">
        <f t="shared" si="246"/>
        <v>2026</v>
      </c>
      <c r="J1912" s="32">
        <f t="shared" si="247"/>
        <v>5</v>
      </c>
    </row>
    <row r="1913" spans="1:10" x14ac:dyDescent="0.25">
      <c r="A1913" t="s">
        <v>21</v>
      </c>
      <c r="B1913" s="3">
        <v>46161</v>
      </c>
      <c r="C1913">
        <v>91003124</v>
      </c>
      <c r="D1913">
        <v>140</v>
      </c>
      <c r="E1913" s="4">
        <v>-5379268.9400000004</v>
      </c>
      <c r="F1913" t="s">
        <v>80</v>
      </c>
      <c r="G1913">
        <v>0</v>
      </c>
      <c r="H1913" s="32" t="str">
        <f ca="1">+IF(B1913&gt;'sap nuevo'!$V$1,"cargar",IF(C1913="","cargar","pagado"))</f>
        <v>pagado</v>
      </c>
      <c r="I1913" s="32">
        <f t="shared" si="246"/>
        <v>2026</v>
      </c>
      <c r="J1913" s="32">
        <f t="shared" si="247"/>
        <v>5</v>
      </c>
    </row>
    <row r="1914" spans="1:10" x14ac:dyDescent="0.25">
      <c r="A1914" t="s">
        <v>21</v>
      </c>
      <c r="B1914" s="3">
        <v>46161</v>
      </c>
      <c r="C1914">
        <v>91003091</v>
      </c>
      <c r="D1914">
        <v>140</v>
      </c>
      <c r="E1914" s="4">
        <v>-2237657.85</v>
      </c>
      <c r="F1914" t="s">
        <v>80</v>
      </c>
      <c r="G1914">
        <v>0</v>
      </c>
      <c r="H1914" s="32" t="str">
        <f ca="1">+IF(B1914&gt;'sap nuevo'!$V$1,"cargar",IF(C1914="","cargar","pagado"))</f>
        <v>pagado</v>
      </c>
      <c r="I1914" s="32">
        <f t="shared" si="246"/>
        <v>2026</v>
      </c>
      <c r="J1914" s="32">
        <f t="shared" si="247"/>
        <v>5</v>
      </c>
    </row>
    <row r="1915" spans="1:10" x14ac:dyDescent="0.25">
      <c r="A1915" t="s">
        <v>12</v>
      </c>
      <c r="B1915" s="3">
        <v>46161</v>
      </c>
      <c r="C1915">
        <v>61301840</v>
      </c>
      <c r="D1915">
        <v>140</v>
      </c>
      <c r="E1915" s="4">
        <v>-1247830.69</v>
      </c>
      <c r="F1915" t="s">
        <v>82</v>
      </c>
      <c r="G1915">
        <v>0</v>
      </c>
      <c r="H1915" s="32" t="str">
        <f ca="1">+IF(B1915&gt;'sap nuevo'!$V$1,"cargar",IF(C1915="","cargar","pagado"))</f>
        <v>pagado</v>
      </c>
      <c r="I1915" s="32">
        <f t="shared" si="246"/>
        <v>2026</v>
      </c>
      <c r="J1915" s="32">
        <f t="shared" si="247"/>
        <v>5</v>
      </c>
    </row>
    <row r="1916" spans="1:10" x14ac:dyDescent="0.25">
      <c r="A1916" t="s">
        <v>1731</v>
      </c>
      <c r="B1916" s="3">
        <v>46162</v>
      </c>
      <c r="C1916">
        <v>95780902</v>
      </c>
      <c r="D1916">
        <v>140</v>
      </c>
      <c r="E1916" s="4">
        <v>-46676000</v>
      </c>
      <c r="F1916" t="s">
        <v>80</v>
      </c>
      <c r="G1916">
        <v>0</v>
      </c>
      <c r="H1916" s="32" t="str">
        <f ca="1">+IF(B1916&gt;'sap nuevo'!$V$1,"cargar",IF(C1916="","cargar","pagado"))</f>
        <v>pagado</v>
      </c>
      <c r="I1916" s="32">
        <f t="shared" si="246"/>
        <v>2026</v>
      </c>
      <c r="J1916" s="32">
        <f t="shared" si="247"/>
        <v>5</v>
      </c>
    </row>
    <row r="1917" spans="1:10" x14ac:dyDescent="0.25">
      <c r="A1917" t="s">
        <v>1731</v>
      </c>
      <c r="B1917" s="3">
        <v>46162</v>
      </c>
      <c r="C1917">
        <v>91003076</v>
      </c>
      <c r="D1917">
        <v>140</v>
      </c>
      <c r="E1917" s="4">
        <v>-45796981.350000001</v>
      </c>
      <c r="F1917" t="s">
        <v>80</v>
      </c>
      <c r="G1917">
        <v>0</v>
      </c>
      <c r="H1917" s="32" t="str">
        <f ca="1">+IF(B1917&gt;'sap nuevo'!$V$1,"cargar",IF(C1917="","cargar","pagado"))</f>
        <v>pagado</v>
      </c>
      <c r="I1917" s="32">
        <f t="shared" si="246"/>
        <v>2026</v>
      </c>
      <c r="J1917" s="32">
        <f t="shared" si="247"/>
        <v>5</v>
      </c>
    </row>
    <row r="1918" spans="1:10" x14ac:dyDescent="0.25">
      <c r="A1918" t="s">
        <v>1731</v>
      </c>
      <c r="B1918" s="3">
        <v>46162</v>
      </c>
      <c r="C1918">
        <v>91003088</v>
      </c>
      <c r="D1918">
        <v>140</v>
      </c>
      <c r="E1918" s="4">
        <v>-10189865.58</v>
      </c>
      <c r="F1918" t="s">
        <v>80</v>
      </c>
      <c r="G1918">
        <v>0</v>
      </c>
      <c r="H1918" s="32" t="str">
        <f ca="1">+IF(B1918&gt;'sap nuevo'!$V$1,"cargar",IF(C1918="","cargar","pagado"))</f>
        <v>pagado</v>
      </c>
      <c r="I1918" s="32">
        <f t="shared" ref="I1918:I1931" si="248">+YEAR(B1918)</f>
        <v>2026</v>
      </c>
      <c r="J1918" s="32">
        <f t="shared" ref="J1918:J1931" si="249">+MONTH(B1918)</f>
        <v>5</v>
      </c>
    </row>
    <row r="1919" spans="1:10" x14ac:dyDescent="0.25">
      <c r="A1919" t="s">
        <v>1731</v>
      </c>
      <c r="B1919" s="3">
        <v>46162</v>
      </c>
      <c r="C1919">
        <v>91003113</v>
      </c>
      <c r="D1919">
        <v>140</v>
      </c>
      <c r="E1919" s="4">
        <v>-5375231.9500000002</v>
      </c>
      <c r="F1919" t="s">
        <v>80</v>
      </c>
      <c r="G1919">
        <v>0</v>
      </c>
      <c r="H1919" s="32" t="str">
        <f ca="1">+IF(B1919&gt;'sap nuevo'!$V$1,"cargar",IF(C1919="","cargar","pagado"))</f>
        <v>pagado</v>
      </c>
      <c r="I1919" s="32">
        <f t="shared" si="248"/>
        <v>2026</v>
      </c>
      <c r="J1919" s="32">
        <f t="shared" si="249"/>
        <v>5</v>
      </c>
    </row>
    <row r="1920" spans="1:10" x14ac:dyDescent="0.25">
      <c r="A1920" t="s">
        <v>1731</v>
      </c>
      <c r="B1920" s="3">
        <v>46162</v>
      </c>
      <c r="C1920">
        <v>91003063</v>
      </c>
      <c r="D1920">
        <v>140</v>
      </c>
      <c r="E1920" s="4">
        <v>-5000000</v>
      </c>
      <c r="F1920" t="s">
        <v>80</v>
      </c>
      <c r="G1920">
        <v>0</v>
      </c>
      <c r="H1920" s="32" t="str">
        <f ca="1">+IF(B1920&gt;'sap nuevo'!$V$1,"cargar",IF(C1920="","cargar","pagado"))</f>
        <v>pagado</v>
      </c>
      <c r="I1920" s="32">
        <f t="shared" si="248"/>
        <v>2026</v>
      </c>
      <c r="J1920" s="32">
        <f t="shared" si="249"/>
        <v>5</v>
      </c>
    </row>
    <row r="1921" spans="1:10" x14ac:dyDescent="0.25">
      <c r="A1921" t="s">
        <v>1731</v>
      </c>
      <c r="B1921" s="3">
        <v>46162</v>
      </c>
      <c r="C1921">
        <v>61301836</v>
      </c>
      <c r="D1921">
        <v>140</v>
      </c>
      <c r="E1921" s="4">
        <v>-2856663.29</v>
      </c>
      <c r="F1921" t="s">
        <v>80</v>
      </c>
      <c r="G1921">
        <v>0</v>
      </c>
      <c r="H1921" s="32" t="str">
        <f ca="1">+IF(B1921&gt;'sap nuevo'!$V$1,"cargar",IF(C1921="","cargar","pagado"))</f>
        <v>pagado</v>
      </c>
      <c r="I1921" s="32">
        <f t="shared" si="248"/>
        <v>2026</v>
      </c>
      <c r="J1921" s="32">
        <f t="shared" si="249"/>
        <v>5</v>
      </c>
    </row>
    <row r="1922" spans="1:10" x14ac:dyDescent="0.25">
      <c r="A1922" t="s">
        <v>12</v>
      </c>
      <c r="B1922" s="3">
        <v>46163</v>
      </c>
      <c r="C1922">
        <v>91003131</v>
      </c>
      <c r="D1922">
        <v>140</v>
      </c>
      <c r="E1922" s="4">
        <v>-18628195.239999998</v>
      </c>
      <c r="F1922" t="s">
        <v>82</v>
      </c>
      <c r="G1922">
        <v>0</v>
      </c>
      <c r="H1922" s="32" t="str">
        <f ca="1">+IF(B1922&gt;'sap nuevo'!$V$1,"cargar",IF(C1922="","cargar","pagado"))</f>
        <v>pagado</v>
      </c>
      <c r="I1922" s="32">
        <f t="shared" si="248"/>
        <v>2026</v>
      </c>
      <c r="J1922" s="32">
        <f t="shared" si="249"/>
        <v>5</v>
      </c>
    </row>
    <row r="1923" spans="1:10" x14ac:dyDescent="0.25">
      <c r="A1923" t="s">
        <v>1731</v>
      </c>
      <c r="B1923" s="3">
        <v>46163</v>
      </c>
      <c r="C1923">
        <v>91003137</v>
      </c>
      <c r="D1923">
        <v>140</v>
      </c>
      <c r="E1923" s="4">
        <v>-16786994</v>
      </c>
      <c r="F1923" t="s">
        <v>80</v>
      </c>
      <c r="G1923">
        <v>0</v>
      </c>
      <c r="H1923" s="32" t="str">
        <f ca="1">+IF(B1923&gt;'sap nuevo'!$V$1,"cargar",IF(C1923="","cargar","pagado"))</f>
        <v>pagado</v>
      </c>
      <c r="I1923" s="32">
        <f t="shared" si="248"/>
        <v>2026</v>
      </c>
      <c r="J1923" s="32">
        <f t="shared" si="249"/>
        <v>5</v>
      </c>
    </row>
    <row r="1924" spans="1:10" x14ac:dyDescent="0.25">
      <c r="A1924" t="s">
        <v>1731</v>
      </c>
      <c r="B1924" s="3">
        <v>46163</v>
      </c>
      <c r="C1924">
        <v>91003132</v>
      </c>
      <c r="D1924">
        <v>140</v>
      </c>
      <c r="E1924" s="4">
        <v>-9736155</v>
      </c>
      <c r="F1924" t="s">
        <v>80</v>
      </c>
      <c r="G1924">
        <v>0</v>
      </c>
      <c r="H1924" s="32" t="str">
        <f ca="1">+IF(B1924&gt;'sap nuevo'!$V$1,"cargar",IF(C1924="","cargar","pagado"))</f>
        <v>pagado</v>
      </c>
      <c r="I1924" s="32">
        <f t="shared" si="248"/>
        <v>2026</v>
      </c>
      <c r="J1924" s="32">
        <f t="shared" si="249"/>
        <v>5</v>
      </c>
    </row>
    <row r="1925" spans="1:10" x14ac:dyDescent="0.25">
      <c r="A1925" t="s">
        <v>1731</v>
      </c>
      <c r="B1925" s="3">
        <v>46163</v>
      </c>
      <c r="C1925">
        <v>91003130</v>
      </c>
      <c r="D1925">
        <v>140</v>
      </c>
      <c r="E1925" s="4">
        <v>-7149291.6600000001</v>
      </c>
      <c r="F1925" t="s">
        <v>80</v>
      </c>
      <c r="G1925">
        <v>0</v>
      </c>
      <c r="H1925" s="32" t="str">
        <f ca="1">+IF(B1925&gt;'sap nuevo'!$V$1,"cargar",IF(C1925="","cargar","pagado"))</f>
        <v>pagado</v>
      </c>
      <c r="I1925" s="32">
        <f t="shared" si="248"/>
        <v>2026</v>
      </c>
      <c r="J1925" s="32">
        <f t="shared" si="249"/>
        <v>5</v>
      </c>
    </row>
    <row r="1926" spans="1:10" x14ac:dyDescent="0.25">
      <c r="A1926" t="s">
        <v>1731</v>
      </c>
      <c r="B1926" s="3">
        <v>46163</v>
      </c>
      <c r="C1926">
        <v>91003135</v>
      </c>
      <c r="D1926">
        <v>140</v>
      </c>
      <c r="E1926" s="4">
        <v>-6545153.4000000004</v>
      </c>
      <c r="F1926" t="s">
        <v>80</v>
      </c>
      <c r="G1926">
        <v>0</v>
      </c>
      <c r="H1926" s="32" t="str">
        <f ca="1">+IF(B1926&gt;'sap nuevo'!$V$1,"cargar",IF(C1926="","cargar","pagado"))</f>
        <v>pagado</v>
      </c>
      <c r="I1926" s="32">
        <f t="shared" si="248"/>
        <v>2026</v>
      </c>
      <c r="J1926" s="32">
        <f t="shared" si="249"/>
        <v>5</v>
      </c>
    </row>
    <row r="1927" spans="1:10" x14ac:dyDescent="0.25">
      <c r="A1927" t="s">
        <v>1731</v>
      </c>
      <c r="B1927" s="3">
        <v>46163</v>
      </c>
      <c r="C1927">
        <v>91003139</v>
      </c>
      <c r="D1927">
        <v>140</v>
      </c>
      <c r="E1927" s="4">
        <v>-6513032.8300000001</v>
      </c>
      <c r="F1927" t="s">
        <v>80</v>
      </c>
      <c r="G1927">
        <v>0</v>
      </c>
      <c r="H1927" s="32" t="str">
        <f ca="1">+IF(B1927&gt;'sap nuevo'!$V$1,"cargar",IF(C1927="","cargar","pagado"))</f>
        <v>pagado</v>
      </c>
      <c r="I1927" s="32">
        <f t="shared" si="248"/>
        <v>2026</v>
      </c>
      <c r="J1927" s="32">
        <f t="shared" si="249"/>
        <v>5</v>
      </c>
    </row>
    <row r="1928" spans="1:10" x14ac:dyDescent="0.25">
      <c r="A1928" t="s">
        <v>1731</v>
      </c>
      <c r="B1928" s="3">
        <v>46163</v>
      </c>
      <c r="C1928">
        <v>91003138</v>
      </c>
      <c r="D1928">
        <v>140</v>
      </c>
      <c r="E1928" s="4">
        <v>-5181585.09</v>
      </c>
      <c r="F1928" t="s">
        <v>80</v>
      </c>
      <c r="G1928">
        <v>0</v>
      </c>
      <c r="H1928" s="32" t="str">
        <f ca="1">+IF(B1928&gt;'sap nuevo'!$V$1,"cargar",IF(C1928="","cargar","pagado"))</f>
        <v>pagado</v>
      </c>
      <c r="I1928" s="32">
        <f t="shared" si="248"/>
        <v>2026</v>
      </c>
      <c r="J1928" s="32">
        <f t="shared" si="249"/>
        <v>5</v>
      </c>
    </row>
    <row r="1929" spans="1:10" x14ac:dyDescent="0.25">
      <c r="A1929" t="s">
        <v>1731</v>
      </c>
      <c r="B1929" s="3">
        <v>46163</v>
      </c>
      <c r="C1929">
        <v>91003129</v>
      </c>
      <c r="D1929">
        <v>140</v>
      </c>
      <c r="E1929" s="4">
        <v>-4769627.3899999997</v>
      </c>
      <c r="F1929" t="s">
        <v>80</v>
      </c>
      <c r="G1929">
        <v>0</v>
      </c>
      <c r="H1929" s="32" t="str">
        <f ca="1">+IF(B1929&gt;'sap nuevo'!$V$1,"cargar",IF(C1929="","cargar","pagado"))</f>
        <v>pagado</v>
      </c>
      <c r="I1929" s="32">
        <f t="shared" si="248"/>
        <v>2026</v>
      </c>
      <c r="J1929" s="32">
        <f t="shared" si="249"/>
        <v>5</v>
      </c>
    </row>
    <row r="1930" spans="1:10" x14ac:dyDescent="0.25">
      <c r="A1930" t="s">
        <v>1731</v>
      </c>
      <c r="B1930" s="3">
        <v>46163</v>
      </c>
      <c r="C1930">
        <v>91003133</v>
      </c>
      <c r="D1930">
        <v>140</v>
      </c>
      <c r="E1930" s="4">
        <v>-4241481.58</v>
      </c>
      <c r="F1930" t="s">
        <v>80</v>
      </c>
      <c r="G1930">
        <v>0</v>
      </c>
      <c r="H1930" s="32" t="str">
        <f ca="1">+IF(B1930&gt;'sap nuevo'!$V$1,"cargar",IF(C1930="","cargar","pagado"))</f>
        <v>pagado</v>
      </c>
      <c r="I1930" s="32">
        <f t="shared" si="248"/>
        <v>2026</v>
      </c>
      <c r="J1930" s="32">
        <f t="shared" si="249"/>
        <v>5</v>
      </c>
    </row>
    <row r="1931" spans="1:10" x14ac:dyDescent="0.25">
      <c r="A1931" t="s">
        <v>1731</v>
      </c>
      <c r="B1931" s="3">
        <v>46163</v>
      </c>
      <c r="C1931">
        <v>91003110</v>
      </c>
      <c r="D1931">
        <v>140</v>
      </c>
      <c r="E1931" s="4">
        <v>-3999841.95</v>
      </c>
      <c r="F1931" t="s">
        <v>80</v>
      </c>
      <c r="G1931">
        <v>0</v>
      </c>
      <c r="H1931" s="32" t="str">
        <f ca="1">+IF(B1931&gt;'sap nuevo'!$V$1,"cargar",IF(C1931="","cargar","pagado"))</f>
        <v>pagado</v>
      </c>
      <c r="I1931" s="32">
        <f t="shared" si="248"/>
        <v>2026</v>
      </c>
      <c r="J1931" s="32">
        <f t="shared" si="249"/>
        <v>5</v>
      </c>
    </row>
    <row r="1932" spans="1:10" x14ac:dyDescent="0.25">
      <c r="A1932" t="s">
        <v>1731</v>
      </c>
      <c r="B1932" s="3">
        <v>46164</v>
      </c>
      <c r="C1932">
        <v>91003149</v>
      </c>
      <c r="D1932">
        <v>140</v>
      </c>
      <c r="E1932" s="4">
        <v>-20000000</v>
      </c>
      <c r="F1932" t="s">
        <v>80</v>
      </c>
      <c r="G1932">
        <v>0</v>
      </c>
      <c r="H1932" s="32" t="str">
        <f ca="1">+IF(B1932&gt;'sap nuevo'!$V$1,"cargar",IF(C1932="","cargar","pagado"))</f>
        <v>pagado</v>
      </c>
      <c r="I1932" s="32">
        <f t="shared" ref="I1932:I1934" si="250">+YEAR(B1932)</f>
        <v>2026</v>
      </c>
      <c r="J1932" s="32">
        <f t="shared" ref="J1932:J1934" si="251">+MONTH(B1932)</f>
        <v>5</v>
      </c>
    </row>
    <row r="1933" spans="1:10" x14ac:dyDescent="0.25">
      <c r="A1933" t="s">
        <v>1731</v>
      </c>
      <c r="B1933" s="3">
        <v>46164</v>
      </c>
      <c r="C1933">
        <v>61301841</v>
      </c>
      <c r="D1933">
        <v>140</v>
      </c>
      <c r="E1933" s="4">
        <v>-4198284.25</v>
      </c>
      <c r="F1933" t="s">
        <v>80</v>
      </c>
      <c r="G1933">
        <v>0</v>
      </c>
      <c r="H1933" s="32" t="str">
        <f ca="1">+IF(B1933&gt;'sap nuevo'!$V$1,"cargar",IF(C1933="","cargar","pagado"))</f>
        <v>pagado</v>
      </c>
      <c r="I1933" s="32">
        <f t="shared" si="250"/>
        <v>2026</v>
      </c>
      <c r="J1933" s="32">
        <f t="shared" si="251"/>
        <v>5</v>
      </c>
    </row>
    <row r="1934" spans="1:10" x14ac:dyDescent="0.25">
      <c r="A1934" t="s">
        <v>1731</v>
      </c>
      <c r="B1934" s="3">
        <v>46164</v>
      </c>
      <c r="C1934">
        <v>91003140</v>
      </c>
      <c r="D1934">
        <v>140</v>
      </c>
      <c r="E1934" s="4">
        <v>-2925000</v>
      </c>
      <c r="F1934" t="s">
        <v>80</v>
      </c>
      <c r="G1934">
        <v>0</v>
      </c>
      <c r="H1934" s="32" t="str">
        <f ca="1">+IF(B1934&gt;'sap nuevo'!$V$1,"cargar",IF(C1934="","cargar","pagado"))</f>
        <v>pagado</v>
      </c>
      <c r="I1934" s="32">
        <f t="shared" si="250"/>
        <v>2026</v>
      </c>
      <c r="J1934" s="32">
        <f t="shared" si="251"/>
        <v>5</v>
      </c>
    </row>
    <row r="1935" spans="1:10" x14ac:dyDescent="0.25">
      <c r="A1935" t="s">
        <v>1731</v>
      </c>
      <c r="B1935" s="3">
        <v>46168</v>
      </c>
      <c r="C1935">
        <v>91003144</v>
      </c>
      <c r="D1935">
        <v>140</v>
      </c>
      <c r="E1935" s="4">
        <v>-31012217.920000002</v>
      </c>
      <c r="F1935" t="s">
        <v>80</v>
      </c>
      <c r="G1935">
        <v>0</v>
      </c>
      <c r="H1935" s="32" t="str">
        <f ca="1">+IF(B1935&gt;'sap nuevo'!$V$1,"cargar",IF(C1935="","cargar","pagado"))</f>
        <v>pagado</v>
      </c>
      <c r="I1935" s="32">
        <f t="shared" ref="I1935:I1948" si="252">+YEAR(B1935)</f>
        <v>2026</v>
      </c>
      <c r="J1935" s="32">
        <f t="shared" ref="J1935:J1948" si="253">+MONTH(B1935)</f>
        <v>5</v>
      </c>
    </row>
    <row r="1936" spans="1:10" x14ac:dyDescent="0.25">
      <c r="A1936" t="s">
        <v>1731</v>
      </c>
      <c r="B1936" s="3">
        <v>46168</v>
      </c>
      <c r="C1936">
        <v>91003150</v>
      </c>
      <c r="D1936">
        <v>140</v>
      </c>
      <c r="E1936" s="4">
        <v>-22364265.850000001</v>
      </c>
      <c r="F1936" t="s">
        <v>80</v>
      </c>
      <c r="G1936">
        <v>0</v>
      </c>
      <c r="H1936" s="32" t="str">
        <f ca="1">+IF(B1936&gt;'sap nuevo'!$V$1,"cargar",IF(C1936="","cargar","pagado"))</f>
        <v>pagado</v>
      </c>
      <c r="I1936" s="32">
        <f t="shared" si="252"/>
        <v>2026</v>
      </c>
      <c r="J1936" s="32">
        <f t="shared" si="253"/>
        <v>5</v>
      </c>
    </row>
    <row r="1937" spans="1:10" x14ac:dyDescent="0.25">
      <c r="A1937" t="s">
        <v>1731</v>
      </c>
      <c r="B1937" s="3">
        <v>46168</v>
      </c>
      <c r="C1937">
        <v>91003143</v>
      </c>
      <c r="D1937">
        <v>140</v>
      </c>
      <c r="E1937" s="4">
        <v>-19642573.09</v>
      </c>
      <c r="F1937" t="s">
        <v>80</v>
      </c>
      <c r="G1937">
        <v>0</v>
      </c>
      <c r="H1937" s="32" t="str">
        <f ca="1">+IF(B1937&gt;'sap nuevo'!$V$1,"cargar",IF(C1937="","cargar","pagado"))</f>
        <v>pagado</v>
      </c>
      <c r="I1937" s="32">
        <f t="shared" si="252"/>
        <v>2026</v>
      </c>
      <c r="J1937" s="32">
        <f t="shared" si="253"/>
        <v>5</v>
      </c>
    </row>
    <row r="1938" spans="1:10" x14ac:dyDescent="0.25">
      <c r="A1938" t="s">
        <v>1731</v>
      </c>
      <c r="B1938" s="3">
        <v>46168</v>
      </c>
      <c r="C1938">
        <v>91003148</v>
      </c>
      <c r="D1938">
        <v>140</v>
      </c>
      <c r="E1938" s="4">
        <v>-13061725.810000001</v>
      </c>
      <c r="F1938" t="s">
        <v>80</v>
      </c>
      <c r="G1938">
        <v>0</v>
      </c>
      <c r="H1938" s="32" t="str">
        <f ca="1">+IF(B1938&gt;'sap nuevo'!$V$1,"cargar",IF(C1938="","cargar","pagado"))</f>
        <v>pagado</v>
      </c>
      <c r="I1938" s="32">
        <f t="shared" si="252"/>
        <v>2026</v>
      </c>
      <c r="J1938" s="32">
        <f t="shared" si="253"/>
        <v>5</v>
      </c>
    </row>
    <row r="1939" spans="1:10" x14ac:dyDescent="0.25">
      <c r="A1939" t="s">
        <v>1731</v>
      </c>
      <c r="B1939" s="3">
        <v>46168</v>
      </c>
      <c r="C1939">
        <v>91003147</v>
      </c>
      <c r="D1939">
        <v>140</v>
      </c>
      <c r="E1939" s="4">
        <v>-11220778.48</v>
      </c>
      <c r="F1939" t="s">
        <v>80</v>
      </c>
      <c r="G1939">
        <v>0</v>
      </c>
      <c r="H1939" s="32" t="str">
        <f ca="1">+IF(B1939&gt;'sap nuevo'!$V$1,"cargar",IF(C1939="","cargar","pagado"))</f>
        <v>pagado</v>
      </c>
      <c r="I1939" s="32">
        <f t="shared" si="252"/>
        <v>2026</v>
      </c>
      <c r="J1939" s="32">
        <f t="shared" si="253"/>
        <v>5</v>
      </c>
    </row>
    <row r="1940" spans="1:10" x14ac:dyDescent="0.25">
      <c r="A1940" t="s">
        <v>1731</v>
      </c>
      <c r="B1940" s="3">
        <v>46168</v>
      </c>
      <c r="C1940">
        <v>91003145</v>
      </c>
      <c r="D1940">
        <v>140</v>
      </c>
      <c r="E1940" s="4">
        <v>-10396879.68</v>
      </c>
      <c r="F1940" t="s">
        <v>80</v>
      </c>
      <c r="G1940">
        <v>0</v>
      </c>
      <c r="H1940" s="32" t="str">
        <f ca="1">+IF(B1940&gt;'sap nuevo'!$V$1,"cargar",IF(C1940="","cargar","pagado"))</f>
        <v>pagado</v>
      </c>
      <c r="I1940" s="32">
        <f t="shared" si="252"/>
        <v>2026</v>
      </c>
      <c r="J1940" s="32">
        <f t="shared" si="253"/>
        <v>5</v>
      </c>
    </row>
    <row r="1941" spans="1:10" x14ac:dyDescent="0.25">
      <c r="A1941" t="s">
        <v>1731</v>
      </c>
      <c r="B1941" s="3">
        <v>46168</v>
      </c>
      <c r="C1941">
        <v>91003142</v>
      </c>
      <c r="D1941">
        <v>140</v>
      </c>
      <c r="E1941" s="4">
        <v>-7728463.0499999998</v>
      </c>
      <c r="F1941" t="s">
        <v>80</v>
      </c>
      <c r="G1941">
        <v>0</v>
      </c>
      <c r="H1941" s="32" t="str">
        <f ca="1">+IF(B1941&gt;'sap nuevo'!$V$1,"cargar",IF(C1941="","cargar","pagado"))</f>
        <v>pagado</v>
      </c>
      <c r="I1941" s="32">
        <f t="shared" si="252"/>
        <v>2026</v>
      </c>
      <c r="J1941" s="32">
        <f t="shared" si="253"/>
        <v>5</v>
      </c>
    </row>
    <row r="1942" spans="1:10" x14ac:dyDescent="0.25">
      <c r="A1942" t="s">
        <v>12</v>
      </c>
      <c r="B1942" s="3">
        <v>46168</v>
      </c>
      <c r="C1942">
        <v>91003136</v>
      </c>
      <c r="D1942">
        <v>140</v>
      </c>
      <c r="E1942" s="4">
        <v>-5306090</v>
      </c>
      <c r="F1942" t="s">
        <v>82</v>
      </c>
      <c r="G1942">
        <v>0</v>
      </c>
      <c r="H1942" s="32" t="str">
        <f ca="1">+IF(B1942&gt;'sap nuevo'!$V$1,"cargar",IF(C1942="","cargar","pagado"))</f>
        <v>pagado</v>
      </c>
      <c r="I1942" s="32">
        <f t="shared" si="252"/>
        <v>2026</v>
      </c>
      <c r="J1942" s="32">
        <f t="shared" si="253"/>
        <v>5</v>
      </c>
    </row>
    <row r="1943" spans="1:10" x14ac:dyDescent="0.25">
      <c r="A1943" t="s">
        <v>1731</v>
      </c>
      <c r="B1943" s="3">
        <v>46168</v>
      </c>
      <c r="C1943">
        <v>91003146</v>
      </c>
      <c r="D1943">
        <v>140</v>
      </c>
      <c r="E1943" s="4">
        <v>-5249785.18</v>
      </c>
      <c r="F1943" t="s">
        <v>80</v>
      </c>
      <c r="G1943">
        <v>0</v>
      </c>
      <c r="H1943" s="32" t="str">
        <f ca="1">+IF(B1943&gt;'sap nuevo'!$V$1,"cargar",IF(C1943="","cargar","pagado"))</f>
        <v>pagado</v>
      </c>
      <c r="I1943" s="32">
        <f t="shared" si="252"/>
        <v>2026</v>
      </c>
      <c r="J1943" s="32">
        <f t="shared" si="253"/>
        <v>5</v>
      </c>
    </row>
    <row r="1944" spans="1:10" x14ac:dyDescent="0.25">
      <c r="A1944" t="s">
        <v>1731</v>
      </c>
      <c r="B1944" s="3">
        <v>46168</v>
      </c>
      <c r="C1944">
        <v>91003021</v>
      </c>
      <c r="D1944">
        <v>140</v>
      </c>
      <c r="E1944" s="4">
        <v>-2000000</v>
      </c>
      <c r="F1944" t="s">
        <v>80</v>
      </c>
      <c r="G1944">
        <v>0</v>
      </c>
      <c r="H1944" s="32" t="str">
        <f ca="1">+IF(B1944&gt;'sap nuevo'!$V$1,"cargar",IF(C1944="","cargar","pagado"))</f>
        <v>pagado</v>
      </c>
      <c r="I1944" s="32">
        <f t="shared" si="252"/>
        <v>2026</v>
      </c>
      <c r="J1944" s="32">
        <f t="shared" si="253"/>
        <v>5</v>
      </c>
    </row>
    <row r="1945" spans="1:10" x14ac:dyDescent="0.25">
      <c r="A1945" t="s">
        <v>1731</v>
      </c>
      <c r="B1945" s="3">
        <v>46169</v>
      </c>
      <c r="C1945">
        <v>61301838</v>
      </c>
      <c r="D1945">
        <v>140</v>
      </c>
      <c r="E1945" s="4">
        <v>-6167688.8499999996</v>
      </c>
      <c r="F1945" t="s">
        <v>80</v>
      </c>
      <c r="G1945">
        <v>0</v>
      </c>
      <c r="H1945" s="32" t="str">
        <f ca="1">+IF(B1945&gt;'sap nuevo'!$V$1,"cargar",IF(C1945="","cargar","pagado"))</f>
        <v>pagado</v>
      </c>
      <c r="I1945" s="32">
        <f t="shared" si="252"/>
        <v>2026</v>
      </c>
      <c r="J1945" s="32">
        <f t="shared" si="253"/>
        <v>5</v>
      </c>
    </row>
    <row r="1946" spans="1:10" x14ac:dyDescent="0.25">
      <c r="A1946" t="s">
        <v>1731</v>
      </c>
      <c r="B1946" s="3">
        <v>46170</v>
      </c>
      <c r="C1946">
        <v>91003134</v>
      </c>
      <c r="D1946">
        <v>140</v>
      </c>
      <c r="E1946" s="4">
        <v>-5264764.26</v>
      </c>
      <c r="F1946" t="s">
        <v>80</v>
      </c>
      <c r="G1946">
        <v>0</v>
      </c>
      <c r="H1946" s="32" t="str">
        <f ca="1">+IF(B1946&gt;'sap nuevo'!$V$1,"cargar",IF(C1946="","cargar","pagado"))</f>
        <v>pagado</v>
      </c>
      <c r="I1946" s="32">
        <f t="shared" si="252"/>
        <v>2026</v>
      </c>
      <c r="J1946" s="32">
        <f t="shared" si="253"/>
        <v>5</v>
      </c>
    </row>
    <row r="1947" spans="1:10" x14ac:dyDescent="0.25">
      <c r="A1947" t="s">
        <v>1731</v>
      </c>
      <c r="B1947" s="3">
        <v>46170</v>
      </c>
      <c r="C1947">
        <v>91003066</v>
      </c>
      <c r="D1947">
        <v>140</v>
      </c>
      <c r="E1947" s="4">
        <v>-5000000</v>
      </c>
      <c r="F1947" t="s">
        <v>80</v>
      </c>
      <c r="G1947">
        <v>0</v>
      </c>
      <c r="H1947" s="32" t="str">
        <f ca="1">+IF(B1947&gt;'sap nuevo'!$V$1,"cargar",IF(C1947="","cargar","pagado"))</f>
        <v>pagado</v>
      </c>
      <c r="I1947" s="32">
        <f t="shared" si="252"/>
        <v>2026</v>
      </c>
      <c r="J1947" s="32">
        <f t="shared" si="253"/>
        <v>5</v>
      </c>
    </row>
    <row r="1948" spans="1:10" x14ac:dyDescent="0.25">
      <c r="A1948" t="s">
        <v>1731</v>
      </c>
      <c r="B1948" s="3">
        <v>46170</v>
      </c>
      <c r="C1948">
        <v>61301839</v>
      </c>
      <c r="D1948">
        <v>140</v>
      </c>
      <c r="E1948" s="4">
        <v>-1989790.52</v>
      </c>
      <c r="F1948" t="s">
        <v>80</v>
      </c>
      <c r="G1948">
        <v>0</v>
      </c>
      <c r="H1948" s="32" t="str">
        <f ca="1">+IF(B1948&gt;'sap nuevo'!$V$1,"cargar",IF(C1948="","cargar","pagado"))</f>
        <v>pagado</v>
      </c>
      <c r="I1948" s="32">
        <f t="shared" si="252"/>
        <v>2026</v>
      </c>
      <c r="J1948" s="32">
        <f t="shared" si="253"/>
        <v>5</v>
      </c>
    </row>
    <row r="1949" spans="1:10" x14ac:dyDescent="0.25">
      <c r="A1949" t="s">
        <v>1731</v>
      </c>
      <c r="B1949" s="3">
        <v>46171</v>
      </c>
      <c r="C1949">
        <v>91003153</v>
      </c>
      <c r="D1949">
        <v>140</v>
      </c>
      <c r="E1949" s="4">
        <v>-45479271.909999996</v>
      </c>
      <c r="F1949" t="s">
        <v>80</v>
      </c>
      <c r="G1949">
        <v>0</v>
      </c>
      <c r="H1949" s="32" t="str">
        <f ca="1">+IF(B1949&gt;'sap nuevo'!$V$1,"cargar",IF(C1949="","cargar","pagado"))</f>
        <v>pagado</v>
      </c>
      <c r="I1949" s="32">
        <f t="shared" ref="I1949:I1961" si="254">+YEAR(B1949)</f>
        <v>2026</v>
      </c>
      <c r="J1949" s="32">
        <f t="shared" ref="J1949:J1961" si="255">+MONTH(B1949)</f>
        <v>5</v>
      </c>
    </row>
    <row r="1950" spans="1:10" x14ac:dyDescent="0.25">
      <c r="A1950" t="s">
        <v>1731</v>
      </c>
      <c r="B1950" s="3">
        <v>46171</v>
      </c>
      <c r="C1950">
        <v>91003170</v>
      </c>
      <c r="D1950">
        <v>140</v>
      </c>
      <c r="E1950" s="4">
        <v>-40543895.899999999</v>
      </c>
      <c r="F1950" t="s">
        <v>80</v>
      </c>
      <c r="G1950">
        <v>0</v>
      </c>
      <c r="H1950" s="32" t="str">
        <f ca="1">+IF(B1950&gt;'sap nuevo'!$V$1,"cargar",IF(C1950="","cargar","pagado"))</f>
        <v>pagado</v>
      </c>
      <c r="I1950" s="32">
        <f t="shared" si="254"/>
        <v>2026</v>
      </c>
      <c r="J1950" s="32">
        <f t="shared" si="255"/>
        <v>5</v>
      </c>
    </row>
    <row r="1951" spans="1:10" x14ac:dyDescent="0.25">
      <c r="A1951" t="s">
        <v>1731</v>
      </c>
      <c r="B1951" s="3">
        <v>46171</v>
      </c>
      <c r="C1951">
        <v>91003157</v>
      </c>
      <c r="D1951">
        <v>140</v>
      </c>
      <c r="E1951" s="4">
        <v>-37091057.369999997</v>
      </c>
      <c r="F1951" t="s">
        <v>80</v>
      </c>
      <c r="G1951">
        <v>0</v>
      </c>
      <c r="H1951" s="32" t="str">
        <f ca="1">+IF(B1951&gt;'sap nuevo'!$V$1,"cargar",IF(C1951="","cargar","pagado"))</f>
        <v>pagado</v>
      </c>
      <c r="I1951" s="32">
        <f t="shared" si="254"/>
        <v>2026</v>
      </c>
      <c r="J1951" s="32">
        <f t="shared" si="255"/>
        <v>5</v>
      </c>
    </row>
    <row r="1952" spans="1:10" x14ac:dyDescent="0.25">
      <c r="A1952" t="s">
        <v>1731</v>
      </c>
      <c r="B1952" s="3">
        <v>46171</v>
      </c>
      <c r="C1952">
        <v>91003165</v>
      </c>
      <c r="D1952">
        <v>140</v>
      </c>
      <c r="E1952" s="4">
        <v>-16688060.960000001</v>
      </c>
      <c r="F1952" t="s">
        <v>80</v>
      </c>
      <c r="G1952">
        <v>0</v>
      </c>
      <c r="H1952" s="32" t="str">
        <f ca="1">+IF(B1952&gt;'sap nuevo'!$V$1,"cargar",IF(C1952="","cargar","pagado"))</f>
        <v>pagado</v>
      </c>
      <c r="I1952" s="32">
        <f t="shared" si="254"/>
        <v>2026</v>
      </c>
      <c r="J1952" s="32">
        <f t="shared" si="255"/>
        <v>5</v>
      </c>
    </row>
    <row r="1953" spans="1:10" x14ac:dyDescent="0.25">
      <c r="A1953" t="s">
        <v>12</v>
      </c>
      <c r="B1953" s="3">
        <v>46171</v>
      </c>
      <c r="C1953">
        <v>91003169</v>
      </c>
      <c r="D1953">
        <v>140</v>
      </c>
      <c r="E1953" s="4">
        <v>-12805043.4</v>
      </c>
      <c r="F1953" t="s">
        <v>82</v>
      </c>
      <c r="G1953">
        <v>0</v>
      </c>
      <c r="H1953" s="32" t="str">
        <f ca="1">+IF(B1953&gt;'sap nuevo'!$V$1,"cargar",IF(C1953="","cargar","pagado"))</f>
        <v>pagado</v>
      </c>
      <c r="I1953" s="32">
        <f t="shared" si="254"/>
        <v>2026</v>
      </c>
      <c r="J1953" s="32">
        <f t="shared" si="255"/>
        <v>5</v>
      </c>
    </row>
    <row r="1954" spans="1:10" x14ac:dyDescent="0.25">
      <c r="A1954" t="s">
        <v>1731</v>
      </c>
      <c r="B1954" s="3">
        <v>46171</v>
      </c>
      <c r="C1954">
        <v>91003161</v>
      </c>
      <c r="D1954">
        <v>140</v>
      </c>
      <c r="E1954" s="4">
        <v>-10777880.48</v>
      </c>
      <c r="F1954" t="s">
        <v>80</v>
      </c>
      <c r="G1954">
        <v>0</v>
      </c>
      <c r="H1954" s="32" t="str">
        <f ca="1">+IF(B1954&gt;'sap nuevo'!$V$1,"cargar",IF(C1954="","cargar","pagado"))</f>
        <v>pagado</v>
      </c>
      <c r="I1954" s="32">
        <f t="shared" si="254"/>
        <v>2026</v>
      </c>
      <c r="J1954" s="32">
        <f t="shared" si="255"/>
        <v>5</v>
      </c>
    </row>
    <row r="1955" spans="1:10" x14ac:dyDescent="0.25">
      <c r="A1955" t="s">
        <v>1731</v>
      </c>
      <c r="B1955" s="3">
        <v>46171</v>
      </c>
      <c r="C1955">
        <v>91003154</v>
      </c>
      <c r="D1955">
        <v>140</v>
      </c>
      <c r="E1955" s="4">
        <v>-9604516.3100000005</v>
      </c>
      <c r="F1955" t="s">
        <v>80</v>
      </c>
      <c r="G1955">
        <v>0</v>
      </c>
      <c r="H1955" s="32" t="str">
        <f ca="1">+IF(B1955&gt;'sap nuevo'!$V$1,"cargar",IF(C1955="","cargar","pagado"))</f>
        <v>pagado</v>
      </c>
      <c r="I1955" s="32">
        <f t="shared" si="254"/>
        <v>2026</v>
      </c>
      <c r="J1955" s="32">
        <f t="shared" si="255"/>
        <v>5</v>
      </c>
    </row>
    <row r="1956" spans="1:10" x14ac:dyDescent="0.25">
      <c r="A1956" t="s">
        <v>1731</v>
      </c>
      <c r="B1956" s="3">
        <v>46171</v>
      </c>
      <c r="C1956">
        <v>91003167</v>
      </c>
      <c r="D1956">
        <v>140</v>
      </c>
      <c r="E1956" s="4">
        <v>-8220401.6699999999</v>
      </c>
      <c r="F1956" t="s">
        <v>80</v>
      </c>
      <c r="G1956">
        <v>0</v>
      </c>
      <c r="H1956" s="32" t="str">
        <f ca="1">+IF(B1956&gt;'sap nuevo'!$V$1,"cargar",IF(C1956="","cargar","pagado"))</f>
        <v>pagado</v>
      </c>
      <c r="I1956" s="32">
        <f t="shared" si="254"/>
        <v>2026</v>
      </c>
      <c r="J1956" s="32">
        <f t="shared" si="255"/>
        <v>5</v>
      </c>
    </row>
    <row r="1957" spans="1:10" x14ac:dyDescent="0.25">
      <c r="A1957" t="s">
        <v>12</v>
      </c>
      <c r="B1957" s="3">
        <v>46171</v>
      </c>
      <c r="C1957">
        <v>91003160</v>
      </c>
      <c r="D1957">
        <v>140</v>
      </c>
      <c r="E1957" s="4">
        <v>-7253898.6799999997</v>
      </c>
      <c r="F1957" t="s">
        <v>82</v>
      </c>
      <c r="G1957">
        <v>0</v>
      </c>
      <c r="H1957" s="32" t="str">
        <f ca="1">+IF(B1957&gt;'sap nuevo'!$V$1,"cargar",IF(C1957="","cargar","pagado"))</f>
        <v>pagado</v>
      </c>
      <c r="I1957" s="32">
        <f t="shared" si="254"/>
        <v>2026</v>
      </c>
      <c r="J1957" s="32">
        <f t="shared" si="255"/>
        <v>5</v>
      </c>
    </row>
    <row r="1958" spans="1:10" x14ac:dyDescent="0.25">
      <c r="A1958" t="s">
        <v>12</v>
      </c>
      <c r="B1958" s="3">
        <v>46171</v>
      </c>
      <c r="C1958">
        <v>91003158</v>
      </c>
      <c r="D1958">
        <v>140</v>
      </c>
      <c r="E1958" s="4">
        <v>-6903429.7300000004</v>
      </c>
      <c r="F1958" t="s">
        <v>82</v>
      </c>
      <c r="G1958">
        <v>0</v>
      </c>
      <c r="H1958" s="32" t="str">
        <f ca="1">+IF(B1958&gt;'sap nuevo'!$V$1,"cargar",IF(C1958="","cargar","pagado"))</f>
        <v>pagado</v>
      </c>
      <c r="I1958" s="32">
        <f t="shared" si="254"/>
        <v>2026</v>
      </c>
      <c r="J1958" s="32">
        <f t="shared" si="255"/>
        <v>5</v>
      </c>
    </row>
    <row r="1959" spans="1:10" x14ac:dyDescent="0.25">
      <c r="A1959" t="s">
        <v>1731</v>
      </c>
      <c r="B1959" s="3">
        <v>46171</v>
      </c>
      <c r="C1959">
        <v>91003155</v>
      </c>
      <c r="D1959">
        <v>140</v>
      </c>
      <c r="E1959" s="4">
        <v>-6447707.1699999999</v>
      </c>
      <c r="F1959" t="s">
        <v>80</v>
      </c>
      <c r="G1959">
        <v>0</v>
      </c>
      <c r="H1959" s="32" t="str">
        <f ca="1">+IF(B1959&gt;'sap nuevo'!$V$1,"cargar",IF(C1959="","cargar","pagado"))</f>
        <v>pagado</v>
      </c>
      <c r="I1959" s="32">
        <f t="shared" si="254"/>
        <v>2026</v>
      </c>
      <c r="J1959" s="32">
        <f t="shared" si="255"/>
        <v>5</v>
      </c>
    </row>
    <row r="1960" spans="1:10" x14ac:dyDescent="0.25">
      <c r="A1960" t="s">
        <v>1731</v>
      </c>
      <c r="B1960" s="3">
        <v>46171</v>
      </c>
      <c r="C1960">
        <v>91003166</v>
      </c>
      <c r="D1960">
        <v>140</v>
      </c>
      <c r="E1960" s="4">
        <v>-6308516.1399999997</v>
      </c>
      <c r="F1960" t="s">
        <v>80</v>
      </c>
      <c r="G1960">
        <v>0</v>
      </c>
      <c r="H1960" s="32" t="str">
        <f ca="1">+IF(B1960&gt;'sap nuevo'!$V$1,"cargar",IF(C1960="","cargar","pagado"))</f>
        <v>pagado</v>
      </c>
      <c r="I1960" s="32">
        <f t="shared" si="254"/>
        <v>2026</v>
      </c>
      <c r="J1960" s="32">
        <f t="shared" si="255"/>
        <v>5</v>
      </c>
    </row>
    <row r="1961" spans="1:10" x14ac:dyDescent="0.25">
      <c r="A1961" t="s">
        <v>12</v>
      </c>
      <c r="B1961" s="3">
        <v>46171</v>
      </c>
      <c r="C1961">
        <v>91003156</v>
      </c>
      <c r="D1961">
        <v>140</v>
      </c>
      <c r="E1961" s="4">
        <v>-5862000.6600000001</v>
      </c>
      <c r="F1961" t="s">
        <v>82</v>
      </c>
      <c r="G1961">
        <v>0</v>
      </c>
      <c r="H1961" s="32" t="str">
        <f ca="1">+IF(B1961&gt;'sap nuevo'!$V$1,"cargar",IF(C1961="","cargar","pagado"))</f>
        <v>pagado</v>
      </c>
      <c r="I1961" s="32">
        <f t="shared" si="254"/>
        <v>2026</v>
      </c>
      <c r="J1961" s="32">
        <f t="shared" si="255"/>
        <v>5</v>
      </c>
    </row>
    <row r="1962" spans="1:10" x14ac:dyDescent="0.25">
      <c r="A1962" t="s">
        <v>1731</v>
      </c>
      <c r="B1962" s="3">
        <v>46174</v>
      </c>
      <c r="C1962">
        <v>91003179</v>
      </c>
      <c r="D1962">
        <v>140</v>
      </c>
      <c r="E1962" s="4">
        <v>-19215740.739999998</v>
      </c>
      <c r="F1962" t="s">
        <v>80</v>
      </c>
      <c r="G1962">
        <v>0</v>
      </c>
      <c r="H1962" s="32" t="str">
        <f ca="1">+IF(B1962&gt;'sap nuevo'!$V$1,"cargar",IF(C1962="","cargar","pagado"))</f>
        <v>pagado</v>
      </c>
      <c r="I1962" s="32">
        <f t="shared" ref="I1962:I1975" si="256">+YEAR(B1962)</f>
        <v>2026</v>
      </c>
      <c r="J1962" s="32">
        <f t="shared" ref="J1962:J1975" si="257">+MONTH(B1962)</f>
        <v>6</v>
      </c>
    </row>
    <row r="1963" spans="1:10" x14ac:dyDescent="0.25">
      <c r="A1963" t="s">
        <v>12</v>
      </c>
      <c r="B1963" s="3">
        <v>46174</v>
      </c>
      <c r="C1963">
        <v>91003162</v>
      </c>
      <c r="D1963">
        <v>140</v>
      </c>
      <c r="E1963" s="4">
        <v>-12280442.92</v>
      </c>
      <c r="F1963" t="s">
        <v>82</v>
      </c>
      <c r="G1963">
        <v>0</v>
      </c>
      <c r="H1963" s="32" t="str">
        <f ca="1">+IF(B1963&gt;'sap nuevo'!$V$1,"cargar",IF(C1963="","cargar","pagado"))</f>
        <v>pagado</v>
      </c>
      <c r="I1963" s="32">
        <f t="shared" si="256"/>
        <v>2026</v>
      </c>
      <c r="J1963" s="32">
        <f t="shared" si="257"/>
        <v>6</v>
      </c>
    </row>
    <row r="1964" spans="1:10" x14ac:dyDescent="0.25">
      <c r="A1964" t="s">
        <v>1731</v>
      </c>
      <c r="B1964" s="3">
        <v>46174</v>
      </c>
      <c r="C1964">
        <v>91003176</v>
      </c>
      <c r="D1964">
        <v>140</v>
      </c>
      <c r="E1964" s="4">
        <v>-10508834.92</v>
      </c>
      <c r="F1964" t="s">
        <v>80</v>
      </c>
      <c r="G1964">
        <v>0</v>
      </c>
      <c r="H1964" s="32" t="str">
        <f ca="1">+IF(B1964&gt;'sap nuevo'!$V$1,"cargar",IF(C1964="","cargar","pagado"))</f>
        <v>pagado</v>
      </c>
      <c r="I1964" s="32">
        <f t="shared" si="256"/>
        <v>2026</v>
      </c>
      <c r="J1964" s="32">
        <f t="shared" si="257"/>
        <v>6</v>
      </c>
    </row>
    <row r="1965" spans="1:10" x14ac:dyDescent="0.25">
      <c r="A1965" t="s">
        <v>1731</v>
      </c>
      <c r="B1965" s="3">
        <v>46174</v>
      </c>
      <c r="C1965">
        <v>91003159</v>
      </c>
      <c r="D1965">
        <v>140</v>
      </c>
      <c r="E1965" s="4">
        <v>-8440894.5</v>
      </c>
      <c r="F1965" t="s">
        <v>80</v>
      </c>
      <c r="G1965">
        <v>0</v>
      </c>
      <c r="H1965" s="32" t="str">
        <f ca="1">+IF(B1965&gt;'sap nuevo'!$V$1,"cargar",IF(C1965="","cargar","pagado"))</f>
        <v>pagado</v>
      </c>
      <c r="I1965" s="32">
        <f t="shared" si="256"/>
        <v>2026</v>
      </c>
      <c r="J1965" s="32">
        <f t="shared" si="257"/>
        <v>6</v>
      </c>
    </row>
    <row r="1966" spans="1:10" x14ac:dyDescent="0.25">
      <c r="A1966" t="s">
        <v>1731</v>
      </c>
      <c r="B1966" s="3">
        <v>46174</v>
      </c>
      <c r="C1966">
        <v>91003172</v>
      </c>
      <c r="D1966">
        <v>140</v>
      </c>
      <c r="E1966" s="4">
        <v>-6796398.0099999998</v>
      </c>
      <c r="F1966" t="s">
        <v>80</v>
      </c>
      <c r="G1966">
        <v>0</v>
      </c>
      <c r="H1966" s="32" t="str">
        <f ca="1">+IF(B1966&gt;'sap nuevo'!$V$1,"cargar",IF(C1966="","cargar","pagado"))</f>
        <v>pagado</v>
      </c>
      <c r="I1966" s="32">
        <f t="shared" si="256"/>
        <v>2026</v>
      </c>
      <c r="J1966" s="32">
        <f t="shared" si="257"/>
        <v>6</v>
      </c>
    </row>
    <row r="1967" spans="1:10" x14ac:dyDescent="0.25">
      <c r="A1967" t="s">
        <v>1731</v>
      </c>
      <c r="B1967" s="3">
        <v>46174</v>
      </c>
      <c r="C1967">
        <v>91003173</v>
      </c>
      <c r="D1967">
        <v>140</v>
      </c>
      <c r="E1967" s="4">
        <v>-6258241.1699999999</v>
      </c>
      <c r="F1967" t="s">
        <v>80</v>
      </c>
      <c r="G1967">
        <v>0</v>
      </c>
      <c r="H1967" s="32" t="str">
        <f ca="1">+IF(B1967&gt;'sap nuevo'!$V$1,"cargar",IF(C1967="","cargar","pagado"))</f>
        <v>pagado</v>
      </c>
      <c r="I1967" s="32">
        <f t="shared" si="256"/>
        <v>2026</v>
      </c>
      <c r="J1967" s="32">
        <f t="shared" si="257"/>
        <v>6</v>
      </c>
    </row>
    <row r="1968" spans="1:10" x14ac:dyDescent="0.25">
      <c r="A1968" t="s">
        <v>12</v>
      </c>
      <c r="B1968" s="3">
        <v>46174</v>
      </c>
      <c r="C1968">
        <v>91003174</v>
      </c>
      <c r="D1968">
        <v>140</v>
      </c>
      <c r="E1968" s="4">
        <v>-5878038.8200000003</v>
      </c>
      <c r="F1968" t="s">
        <v>82</v>
      </c>
      <c r="G1968">
        <v>0</v>
      </c>
      <c r="H1968" s="32" t="str">
        <f ca="1">+IF(B1968&gt;'sap nuevo'!$V$1,"cargar",IF(C1968="","cargar","pagado"))</f>
        <v>pagado</v>
      </c>
      <c r="I1968" s="32">
        <f t="shared" si="256"/>
        <v>2026</v>
      </c>
      <c r="J1968" s="32">
        <f t="shared" si="257"/>
        <v>6</v>
      </c>
    </row>
    <row r="1969" spans="1:10" x14ac:dyDescent="0.25">
      <c r="A1969" t="s">
        <v>12</v>
      </c>
      <c r="B1969" s="3">
        <v>46174</v>
      </c>
      <c r="C1969">
        <v>91003175</v>
      </c>
      <c r="D1969">
        <v>140</v>
      </c>
      <c r="E1969" s="4">
        <v>-4969297.1500000004</v>
      </c>
      <c r="F1969" t="s">
        <v>82</v>
      </c>
      <c r="G1969">
        <v>0</v>
      </c>
      <c r="H1969" s="32" t="str">
        <f ca="1">+IF(B1969&gt;'sap nuevo'!$V$1,"cargar",IF(C1969="","cargar","pagado"))</f>
        <v>pagado</v>
      </c>
      <c r="I1969" s="32">
        <f t="shared" si="256"/>
        <v>2026</v>
      </c>
      <c r="J1969" s="32">
        <f t="shared" si="257"/>
        <v>6</v>
      </c>
    </row>
    <row r="1970" spans="1:10" x14ac:dyDescent="0.25">
      <c r="A1970" t="s">
        <v>12</v>
      </c>
      <c r="B1970" s="3">
        <v>46175</v>
      </c>
      <c r="C1970">
        <v>91003168</v>
      </c>
      <c r="D1970">
        <v>140</v>
      </c>
      <c r="E1970" s="4">
        <v>-11926381.970000001</v>
      </c>
      <c r="F1970" t="s">
        <v>82</v>
      </c>
      <c r="G1970">
        <v>0</v>
      </c>
      <c r="H1970" s="32" t="str">
        <f ca="1">+IF(B1970&gt;'sap nuevo'!$V$1,"cargar",IF(C1970="","cargar","pagado"))</f>
        <v>pagado</v>
      </c>
      <c r="I1970" s="32">
        <f t="shared" si="256"/>
        <v>2026</v>
      </c>
      <c r="J1970" s="32">
        <f t="shared" si="257"/>
        <v>6</v>
      </c>
    </row>
    <row r="1971" spans="1:10" x14ac:dyDescent="0.25">
      <c r="A1971" t="s">
        <v>1731</v>
      </c>
      <c r="B1971" s="3">
        <v>46175</v>
      </c>
      <c r="C1971">
        <v>91003177</v>
      </c>
      <c r="D1971">
        <v>140</v>
      </c>
      <c r="E1971" s="4">
        <v>-8442301.1799999997</v>
      </c>
      <c r="F1971" t="s">
        <v>80</v>
      </c>
      <c r="G1971">
        <v>0</v>
      </c>
      <c r="H1971" s="32" t="str">
        <f ca="1">+IF(B1971&gt;'sap nuevo'!$V$1,"cargar",IF(C1971="","cargar","pagado"))</f>
        <v>pagado</v>
      </c>
      <c r="I1971" s="32">
        <f t="shared" si="256"/>
        <v>2026</v>
      </c>
      <c r="J1971" s="32">
        <f t="shared" si="257"/>
        <v>6</v>
      </c>
    </row>
    <row r="1972" spans="1:10" x14ac:dyDescent="0.25">
      <c r="A1972" t="s">
        <v>1731</v>
      </c>
      <c r="B1972" s="3">
        <v>46175</v>
      </c>
      <c r="C1972">
        <v>91003178</v>
      </c>
      <c r="D1972">
        <v>140</v>
      </c>
      <c r="E1972" s="4">
        <v>-8306862.6100000003</v>
      </c>
      <c r="F1972" t="s">
        <v>80</v>
      </c>
      <c r="G1972">
        <v>0</v>
      </c>
      <c r="H1972" s="32" t="str">
        <f ca="1">+IF(B1972&gt;'sap nuevo'!$V$1,"cargar",IF(C1972="","cargar","pagado"))</f>
        <v>pagado</v>
      </c>
      <c r="I1972" s="32">
        <f t="shared" si="256"/>
        <v>2026</v>
      </c>
      <c r="J1972" s="32">
        <f t="shared" si="257"/>
        <v>6</v>
      </c>
    </row>
    <row r="1973" spans="1:10" x14ac:dyDescent="0.25">
      <c r="A1973" t="s">
        <v>1731</v>
      </c>
      <c r="B1973" s="3">
        <v>46175</v>
      </c>
      <c r="C1973">
        <v>91003164</v>
      </c>
      <c r="D1973">
        <v>140</v>
      </c>
      <c r="E1973" s="4">
        <v>-6321019.3700000001</v>
      </c>
      <c r="F1973" t="s">
        <v>80</v>
      </c>
      <c r="G1973">
        <v>0</v>
      </c>
      <c r="H1973" s="32" t="str">
        <f ca="1">+IF(B1973&gt;'sap nuevo'!$V$1,"cargar",IF(C1973="","cargar","pagado"))</f>
        <v>pagado</v>
      </c>
      <c r="I1973" s="32">
        <f t="shared" si="256"/>
        <v>2026</v>
      </c>
      <c r="J1973" s="32">
        <f t="shared" si="257"/>
        <v>6</v>
      </c>
    </row>
    <row r="1974" spans="1:10" x14ac:dyDescent="0.25">
      <c r="A1974" t="s">
        <v>1731</v>
      </c>
      <c r="B1974" s="3">
        <v>46175</v>
      </c>
      <c r="C1974">
        <v>61301842</v>
      </c>
      <c r="D1974">
        <v>140</v>
      </c>
      <c r="E1974" s="4">
        <v>-5294933.7699999996</v>
      </c>
      <c r="F1974" t="s">
        <v>80</v>
      </c>
      <c r="G1974">
        <v>0</v>
      </c>
      <c r="H1974" s="32" t="str">
        <f ca="1">+IF(B1974&gt;'sap nuevo'!$V$1,"cargar",IF(C1974="","cargar","pagado"))</f>
        <v>pagado</v>
      </c>
      <c r="I1974" s="32">
        <f t="shared" si="256"/>
        <v>2026</v>
      </c>
      <c r="J1974" s="32">
        <f t="shared" si="257"/>
        <v>6</v>
      </c>
    </row>
    <row r="1975" spans="1:10" x14ac:dyDescent="0.25">
      <c r="A1975" t="s">
        <v>1731</v>
      </c>
      <c r="B1975" s="3">
        <v>46175</v>
      </c>
      <c r="C1975">
        <v>91002854</v>
      </c>
      <c r="D1975">
        <v>140</v>
      </c>
      <c r="E1975" s="4">
        <v>-5275000</v>
      </c>
      <c r="F1975" t="s">
        <v>80</v>
      </c>
      <c r="G1975">
        <v>0</v>
      </c>
      <c r="H1975" s="32" t="str">
        <f ca="1">+IF(B1975&gt;'sap nuevo'!$V$1,"cargar",IF(C1975="","cargar","pagado"))</f>
        <v>pagado</v>
      </c>
      <c r="I1975" s="32">
        <f t="shared" si="256"/>
        <v>2026</v>
      </c>
      <c r="J1975" s="32">
        <f t="shared" si="257"/>
        <v>6</v>
      </c>
    </row>
    <row r="1976" spans="1:10" x14ac:dyDescent="0.25">
      <c r="A1976" t="s">
        <v>1731</v>
      </c>
      <c r="B1976" t="s">
        <v>1740</v>
      </c>
      <c r="C1976">
        <v>91003116</v>
      </c>
      <c r="D1976">
        <v>140</v>
      </c>
      <c r="E1976" s="4">
        <v>-35000000</v>
      </c>
      <c r="F1976" t="s">
        <v>80</v>
      </c>
      <c r="G1976">
        <v>0</v>
      </c>
      <c r="H1976" s="32" t="str">
        <f ca="1">+IF(B1976&gt;'sap nuevo'!$V$1,"cargar",IF(C1976="","cargar","pagado"))</f>
        <v>cargar</v>
      </c>
      <c r="I1976" s="32">
        <f t="shared" ref="I1976:I1984" si="258">+YEAR(B1976)</f>
        <v>2026</v>
      </c>
      <c r="J1976" s="32">
        <f t="shared" ref="J1976:J1984" si="259">+MONTH(B1976)</f>
        <v>6</v>
      </c>
    </row>
    <row r="1977" spans="1:10" x14ac:dyDescent="0.25">
      <c r="A1977" t="s">
        <v>1731</v>
      </c>
      <c r="B1977" t="s">
        <v>1740</v>
      </c>
      <c r="C1977">
        <v>91003117</v>
      </c>
      <c r="D1977">
        <v>140</v>
      </c>
      <c r="E1977" s="4">
        <v>-34832829.740000002</v>
      </c>
      <c r="F1977" t="s">
        <v>80</v>
      </c>
      <c r="G1977">
        <v>0</v>
      </c>
      <c r="H1977" s="32" t="str">
        <f ca="1">+IF(B1977&gt;'sap nuevo'!$V$1,"cargar",IF(C1977="","cargar","pagado"))</f>
        <v>cargar</v>
      </c>
      <c r="I1977" s="32">
        <f t="shared" si="258"/>
        <v>2026</v>
      </c>
      <c r="J1977" s="32">
        <f t="shared" si="259"/>
        <v>6</v>
      </c>
    </row>
    <row r="1978" spans="1:10" x14ac:dyDescent="0.25">
      <c r="A1978" t="s">
        <v>12</v>
      </c>
      <c r="B1978" t="s">
        <v>1740</v>
      </c>
      <c r="C1978">
        <v>91003185</v>
      </c>
      <c r="D1978">
        <v>140</v>
      </c>
      <c r="E1978" s="4">
        <v>-17447056.370000001</v>
      </c>
      <c r="F1978" t="s">
        <v>82</v>
      </c>
      <c r="G1978">
        <v>0</v>
      </c>
      <c r="H1978" s="32" t="str">
        <f ca="1">+IF(B1978&gt;'sap nuevo'!$V$1,"cargar",IF(C1978="","cargar","pagado"))</f>
        <v>cargar</v>
      </c>
      <c r="I1978" s="32">
        <f t="shared" si="258"/>
        <v>2026</v>
      </c>
      <c r="J1978" s="32">
        <f t="shared" si="259"/>
        <v>6</v>
      </c>
    </row>
    <row r="1979" spans="1:10" x14ac:dyDescent="0.25">
      <c r="A1979" t="s">
        <v>12</v>
      </c>
      <c r="B1979" t="s">
        <v>1740</v>
      </c>
      <c r="C1979">
        <v>91003184</v>
      </c>
      <c r="D1979">
        <v>140</v>
      </c>
      <c r="E1979" s="4">
        <v>-11848847.25</v>
      </c>
      <c r="F1979" t="s">
        <v>82</v>
      </c>
      <c r="G1979">
        <v>0</v>
      </c>
      <c r="H1979" s="32" t="str">
        <f ca="1">+IF(B1979&gt;'sap nuevo'!$V$1,"cargar",IF(C1979="","cargar","pagado"))</f>
        <v>cargar</v>
      </c>
      <c r="I1979" s="32">
        <f t="shared" si="258"/>
        <v>2026</v>
      </c>
      <c r="J1979" s="32">
        <f t="shared" si="259"/>
        <v>6</v>
      </c>
    </row>
    <row r="1980" spans="1:10" x14ac:dyDescent="0.25">
      <c r="A1980" t="s">
        <v>1731</v>
      </c>
      <c r="B1980" t="s">
        <v>1740</v>
      </c>
      <c r="C1980">
        <v>91003183</v>
      </c>
      <c r="D1980">
        <v>140</v>
      </c>
      <c r="E1980" s="4">
        <v>-10679001.24</v>
      </c>
      <c r="F1980" t="s">
        <v>80</v>
      </c>
      <c r="G1980">
        <v>0</v>
      </c>
      <c r="H1980" s="32" t="str">
        <f ca="1">+IF(B1980&gt;'sap nuevo'!$V$1,"cargar",IF(C1980="","cargar","pagado"))</f>
        <v>cargar</v>
      </c>
      <c r="I1980" s="32">
        <f t="shared" si="258"/>
        <v>2026</v>
      </c>
      <c r="J1980" s="32">
        <f t="shared" si="259"/>
        <v>6</v>
      </c>
    </row>
    <row r="1981" spans="1:10" x14ac:dyDescent="0.25">
      <c r="A1981" t="s">
        <v>1731</v>
      </c>
      <c r="B1981" t="s">
        <v>1740</v>
      </c>
      <c r="C1981">
        <v>91003186</v>
      </c>
      <c r="D1981">
        <v>140</v>
      </c>
      <c r="E1981" s="4">
        <v>-8400000</v>
      </c>
      <c r="F1981" t="s">
        <v>80</v>
      </c>
      <c r="G1981">
        <v>0</v>
      </c>
      <c r="H1981" s="32" t="str">
        <f ca="1">+IF(B1981&gt;'sap nuevo'!$V$1,"cargar",IF(C1981="","cargar","pagado"))</f>
        <v>cargar</v>
      </c>
      <c r="I1981" s="32">
        <f t="shared" si="258"/>
        <v>2026</v>
      </c>
      <c r="J1981" s="32">
        <f t="shared" si="259"/>
        <v>6</v>
      </c>
    </row>
    <row r="1982" spans="1:10" x14ac:dyDescent="0.25">
      <c r="A1982" t="s">
        <v>1731</v>
      </c>
      <c r="B1982" t="s">
        <v>1740</v>
      </c>
      <c r="C1982">
        <v>91003181</v>
      </c>
      <c r="D1982">
        <v>140</v>
      </c>
      <c r="E1982" s="4">
        <v>-6867907.04</v>
      </c>
      <c r="F1982" t="s">
        <v>80</v>
      </c>
      <c r="G1982">
        <v>0</v>
      </c>
      <c r="H1982" s="32" t="str">
        <f ca="1">+IF(B1982&gt;'sap nuevo'!$V$1,"cargar",IF(C1982="","cargar","pagado"))</f>
        <v>cargar</v>
      </c>
      <c r="I1982" s="32">
        <f t="shared" si="258"/>
        <v>2026</v>
      </c>
      <c r="J1982" s="32">
        <f t="shared" si="259"/>
        <v>6</v>
      </c>
    </row>
    <row r="1983" spans="1:10" x14ac:dyDescent="0.25">
      <c r="A1983" t="s">
        <v>1731</v>
      </c>
      <c r="B1983" t="s">
        <v>1740</v>
      </c>
      <c r="C1983">
        <v>91003141</v>
      </c>
      <c r="D1983">
        <v>140</v>
      </c>
      <c r="E1983" s="4">
        <v>-6628458.7400000002</v>
      </c>
      <c r="F1983" t="s">
        <v>80</v>
      </c>
      <c r="G1983">
        <v>0</v>
      </c>
      <c r="H1983" s="32" t="str">
        <f ca="1">+IF(B1983&gt;'sap nuevo'!$V$1,"cargar",IF(C1983="","cargar","pagado"))</f>
        <v>cargar</v>
      </c>
      <c r="I1983" s="32">
        <f t="shared" si="258"/>
        <v>2026</v>
      </c>
      <c r="J1983" s="32">
        <f t="shared" si="259"/>
        <v>6</v>
      </c>
    </row>
    <row r="1984" spans="1:10" x14ac:dyDescent="0.25">
      <c r="A1984" t="s">
        <v>1731</v>
      </c>
      <c r="B1984" t="s">
        <v>1740</v>
      </c>
      <c r="C1984">
        <v>91003180</v>
      </c>
      <c r="D1984">
        <v>140</v>
      </c>
      <c r="E1984" s="4">
        <v>-270032.24</v>
      </c>
      <c r="F1984" t="s">
        <v>80</v>
      </c>
      <c r="G1984">
        <v>0</v>
      </c>
      <c r="H1984" s="32" t="str">
        <f ca="1">+IF(B1984&gt;'sap nuevo'!$V$1,"cargar",IF(C1984="","cargar","pagado"))</f>
        <v>cargar</v>
      </c>
      <c r="I1984" s="32">
        <f t="shared" si="258"/>
        <v>2026</v>
      </c>
      <c r="J1984" s="32">
        <f t="shared" si="259"/>
        <v>6</v>
      </c>
    </row>
    <row r="1985" spans="1:10" x14ac:dyDescent="0.25">
      <c r="A1985" t="s">
        <v>1731</v>
      </c>
      <c r="B1985" t="s">
        <v>1741</v>
      </c>
      <c r="C1985">
        <v>91003191</v>
      </c>
      <c r="D1985">
        <v>140</v>
      </c>
      <c r="E1985" s="4">
        <v>-20000000</v>
      </c>
      <c r="F1985" t="s">
        <v>80</v>
      </c>
      <c r="G1985">
        <v>0</v>
      </c>
      <c r="H1985" s="32" t="str">
        <f ca="1">+IF(B1985&gt;'sap nuevo'!$V$1,"cargar",IF(C1985="","cargar","pagado"))</f>
        <v>cargar</v>
      </c>
      <c r="I1985" s="32">
        <f t="shared" ref="I1985:I1986" si="260">+YEAR(B1985)</f>
        <v>2026</v>
      </c>
      <c r="J1985" s="32">
        <f t="shared" ref="J1985:J1986" si="261">+MONTH(B1985)</f>
        <v>6</v>
      </c>
    </row>
    <row r="1986" spans="1:10" x14ac:dyDescent="0.25">
      <c r="A1986" t="s">
        <v>1731</v>
      </c>
      <c r="B1986" t="s">
        <v>1741</v>
      </c>
      <c r="C1986">
        <v>61301844</v>
      </c>
      <c r="D1986">
        <v>140</v>
      </c>
      <c r="E1986" s="4">
        <v>-3035073.08</v>
      </c>
      <c r="F1986" t="s">
        <v>80</v>
      </c>
      <c r="G1986">
        <v>0</v>
      </c>
      <c r="H1986" s="32" t="str">
        <f ca="1">+IF(B1986&gt;'sap nuevo'!$V$1,"cargar",IF(C1986="","cargar","pagado"))</f>
        <v>cargar</v>
      </c>
      <c r="I1986" s="32">
        <f t="shared" si="260"/>
        <v>2026</v>
      </c>
      <c r="J1986" s="32">
        <f t="shared" si="261"/>
        <v>6</v>
      </c>
    </row>
    <row r="1987" spans="1:10" x14ac:dyDescent="0.25">
      <c r="A1987" t="s">
        <v>1731</v>
      </c>
      <c r="B1987" t="s">
        <v>1742</v>
      </c>
      <c r="C1987">
        <v>91003196</v>
      </c>
      <c r="D1987">
        <v>140</v>
      </c>
      <c r="E1987" s="4">
        <v>-29196776.23</v>
      </c>
      <c r="F1987" t="s">
        <v>80</v>
      </c>
      <c r="G1987">
        <v>0</v>
      </c>
      <c r="H1987" s="32" t="str">
        <f ca="1">+IF(B1987&gt;'sap nuevo'!$V$1,"cargar",IF(C1987="","cargar","pagado"))</f>
        <v>cargar</v>
      </c>
      <c r="I1987" s="32">
        <f t="shared" ref="I1987:I2003" si="262">+YEAR(B1987)</f>
        <v>2026</v>
      </c>
      <c r="J1987" s="32">
        <f t="shared" ref="J1987:J2003" si="263">+MONTH(B1987)</f>
        <v>6</v>
      </c>
    </row>
    <row r="1988" spans="1:10" x14ac:dyDescent="0.25">
      <c r="A1988" t="s">
        <v>1731</v>
      </c>
      <c r="B1988" t="s">
        <v>1742</v>
      </c>
      <c r="C1988">
        <v>91003182</v>
      </c>
      <c r="D1988">
        <v>140</v>
      </c>
      <c r="E1988" s="4">
        <v>-28510473</v>
      </c>
      <c r="F1988" t="s">
        <v>80</v>
      </c>
      <c r="G1988">
        <v>0</v>
      </c>
      <c r="H1988" s="32" t="str">
        <f ca="1">+IF(B1988&gt;'sap nuevo'!$V$1,"cargar",IF(C1988="","cargar","pagado"))</f>
        <v>cargar</v>
      </c>
      <c r="I1988" s="32">
        <f t="shared" si="262"/>
        <v>2026</v>
      </c>
      <c r="J1988" s="32">
        <f t="shared" si="263"/>
        <v>6</v>
      </c>
    </row>
    <row r="1989" spans="1:10" x14ac:dyDescent="0.25">
      <c r="A1989" t="s">
        <v>1731</v>
      </c>
      <c r="B1989" t="s">
        <v>1742</v>
      </c>
      <c r="C1989">
        <v>91003201</v>
      </c>
      <c r="D1989">
        <v>140</v>
      </c>
      <c r="E1989" s="4">
        <v>-20967580.399999999</v>
      </c>
      <c r="F1989" t="s">
        <v>80</v>
      </c>
      <c r="G1989">
        <v>0</v>
      </c>
      <c r="H1989" s="32" t="str">
        <f ca="1">+IF(B1989&gt;'sap nuevo'!$V$1,"cargar",IF(C1989="","cargar","pagado"))</f>
        <v>cargar</v>
      </c>
      <c r="I1989" s="32">
        <f t="shared" si="262"/>
        <v>2026</v>
      </c>
      <c r="J1989" s="32">
        <f t="shared" si="263"/>
        <v>6</v>
      </c>
    </row>
    <row r="1990" spans="1:10" x14ac:dyDescent="0.25">
      <c r="A1990" t="s">
        <v>12</v>
      </c>
      <c r="B1990" t="s">
        <v>1742</v>
      </c>
      <c r="C1990">
        <v>91003197</v>
      </c>
      <c r="D1990">
        <v>140</v>
      </c>
      <c r="E1990" s="4">
        <v>-15376585.01</v>
      </c>
      <c r="F1990" t="s">
        <v>82</v>
      </c>
      <c r="G1990">
        <v>0</v>
      </c>
      <c r="H1990" s="32" t="str">
        <f ca="1">+IF(B1990&gt;'sap nuevo'!$V$1,"cargar",IF(C1990="","cargar","pagado"))</f>
        <v>cargar</v>
      </c>
      <c r="I1990" s="32">
        <f t="shared" si="262"/>
        <v>2026</v>
      </c>
      <c r="J1990" s="32">
        <f t="shared" si="263"/>
        <v>6</v>
      </c>
    </row>
    <row r="1991" spans="1:10" x14ac:dyDescent="0.25">
      <c r="A1991" t="s">
        <v>1731</v>
      </c>
      <c r="B1991" t="s">
        <v>1742</v>
      </c>
      <c r="C1991">
        <v>91003195</v>
      </c>
      <c r="D1991">
        <v>140</v>
      </c>
      <c r="E1991" s="4">
        <v>-13742345.189999999</v>
      </c>
      <c r="F1991" t="s">
        <v>80</v>
      </c>
      <c r="G1991">
        <v>0</v>
      </c>
      <c r="H1991" s="32" t="str">
        <f ca="1">+IF(B1991&gt;'sap nuevo'!$V$1,"cargar",IF(C1991="","cargar","pagado"))</f>
        <v>cargar</v>
      </c>
      <c r="I1991" s="32">
        <f t="shared" si="262"/>
        <v>2026</v>
      </c>
      <c r="J1991" s="32">
        <f t="shared" si="263"/>
        <v>6</v>
      </c>
    </row>
    <row r="1992" spans="1:10" x14ac:dyDescent="0.25">
      <c r="A1992" t="s">
        <v>1731</v>
      </c>
      <c r="B1992" t="s">
        <v>1742</v>
      </c>
      <c r="C1992">
        <v>91003198</v>
      </c>
      <c r="D1992">
        <v>140</v>
      </c>
      <c r="E1992" s="4">
        <v>-13104593.51</v>
      </c>
      <c r="F1992" t="s">
        <v>80</v>
      </c>
      <c r="G1992">
        <v>0</v>
      </c>
      <c r="H1992" s="32" t="str">
        <f ca="1">+IF(B1992&gt;'sap nuevo'!$V$1,"cargar",IF(C1992="","cargar","pagado"))</f>
        <v>cargar</v>
      </c>
      <c r="I1992" s="32">
        <f t="shared" si="262"/>
        <v>2026</v>
      </c>
      <c r="J1992" s="32">
        <f t="shared" si="263"/>
        <v>6</v>
      </c>
    </row>
    <row r="1993" spans="1:10" x14ac:dyDescent="0.25">
      <c r="A1993" t="s">
        <v>1731</v>
      </c>
      <c r="B1993" t="s">
        <v>1742</v>
      </c>
      <c r="C1993">
        <v>91003192</v>
      </c>
      <c r="D1993">
        <v>140</v>
      </c>
      <c r="E1993" s="4">
        <v>-11523274.1</v>
      </c>
      <c r="F1993" t="s">
        <v>80</v>
      </c>
      <c r="G1993">
        <v>0</v>
      </c>
      <c r="H1993" s="32" t="str">
        <f ca="1">+IF(B1993&gt;'sap nuevo'!$V$1,"cargar",IF(C1993="","cargar","pagado"))</f>
        <v>cargar</v>
      </c>
      <c r="I1993" s="32">
        <f t="shared" si="262"/>
        <v>2026</v>
      </c>
      <c r="J1993" s="32">
        <f t="shared" si="263"/>
        <v>6</v>
      </c>
    </row>
    <row r="1994" spans="1:10" x14ac:dyDescent="0.25">
      <c r="A1994" t="s">
        <v>1731</v>
      </c>
      <c r="B1994" t="s">
        <v>1742</v>
      </c>
      <c r="C1994">
        <v>91003200</v>
      </c>
      <c r="D1994">
        <v>140</v>
      </c>
      <c r="E1994" s="4">
        <v>-9226018.1699999999</v>
      </c>
      <c r="F1994" t="s">
        <v>80</v>
      </c>
      <c r="G1994">
        <v>0</v>
      </c>
      <c r="H1994" s="32" t="str">
        <f ca="1">+IF(B1994&gt;'sap nuevo'!$V$1,"cargar",IF(C1994="","cargar","pagado"))</f>
        <v>cargar</v>
      </c>
      <c r="I1994" s="32">
        <f t="shared" si="262"/>
        <v>2026</v>
      </c>
      <c r="J1994" s="32">
        <f t="shared" si="263"/>
        <v>6</v>
      </c>
    </row>
    <row r="1995" spans="1:10" x14ac:dyDescent="0.25">
      <c r="A1995" t="s">
        <v>1731</v>
      </c>
      <c r="B1995" t="s">
        <v>1742</v>
      </c>
      <c r="C1995">
        <v>91003199</v>
      </c>
      <c r="D1995">
        <v>140</v>
      </c>
      <c r="E1995" s="4">
        <v>-7924939.0599999996</v>
      </c>
      <c r="F1995" t="s">
        <v>80</v>
      </c>
      <c r="G1995">
        <v>0</v>
      </c>
      <c r="H1995" s="32" t="str">
        <f ca="1">+IF(B1995&gt;'sap nuevo'!$V$1,"cargar",IF(C1995="","cargar","pagado"))</f>
        <v>cargar</v>
      </c>
      <c r="I1995" s="32">
        <f t="shared" si="262"/>
        <v>2026</v>
      </c>
      <c r="J1995" s="32">
        <f t="shared" si="263"/>
        <v>6</v>
      </c>
    </row>
    <row r="1996" spans="1:10" x14ac:dyDescent="0.25">
      <c r="A1996" t="s">
        <v>1731</v>
      </c>
      <c r="B1996" t="s">
        <v>1742</v>
      </c>
      <c r="C1996">
        <v>91003193</v>
      </c>
      <c r="D1996">
        <v>140</v>
      </c>
      <c r="E1996" s="4">
        <v>-7874845.6900000004</v>
      </c>
      <c r="F1996" t="s">
        <v>80</v>
      </c>
      <c r="G1996">
        <v>0</v>
      </c>
      <c r="H1996" s="32" t="str">
        <f ca="1">+IF(B1996&gt;'sap nuevo'!$V$1,"cargar",IF(C1996="","cargar","pagado"))</f>
        <v>cargar</v>
      </c>
      <c r="I1996" s="32">
        <f t="shared" si="262"/>
        <v>2026</v>
      </c>
      <c r="J1996" s="32">
        <f t="shared" si="263"/>
        <v>6</v>
      </c>
    </row>
    <row r="1997" spans="1:10" x14ac:dyDescent="0.25">
      <c r="A1997" t="s">
        <v>1731</v>
      </c>
      <c r="B1997" t="s">
        <v>1742</v>
      </c>
      <c r="C1997">
        <v>91003194</v>
      </c>
      <c r="D1997">
        <v>140</v>
      </c>
      <c r="E1997" s="4">
        <v>-7874797.04</v>
      </c>
      <c r="F1997" t="s">
        <v>80</v>
      </c>
      <c r="G1997">
        <v>0</v>
      </c>
      <c r="H1997" s="32" t="str">
        <f ca="1">+IF(B1997&gt;'sap nuevo'!$V$1,"cargar",IF(C1997="","cargar","pagado"))</f>
        <v>cargar</v>
      </c>
      <c r="I1997" s="32">
        <f t="shared" si="262"/>
        <v>2026</v>
      </c>
      <c r="J1997" s="32">
        <f t="shared" si="263"/>
        <v>6</v>
      </c>
    </row>
    <row r="1998" spans="1:10" x14ac:dyDescent="0.25">
      <c r="A1998" t="s">
        <v>1731</v>
      </c>
      <c r="B1998" t="s">
        <v>1742</v>
      </c>
      <c r="C1998">
        <v>91003190</v>
      </c>
      <c r="D1998">
        <v>140</v>
      </c>
      <c r="E1998" s="4">
        <v>-7618281.8300000001</v>
      </c>
      <c r="F1998" t="s">
        <v>80</v>
      </c>
      <c r="G1998">
        <v>0</v>
      </c>
      <c r="H1998" s="32" t="str">
        <f ca="1">+IF(B1998&gt;'sap nuevo'!$V$1,"cargar",IF(C1998="","cargar","pagado"))</f>
        <v>cargar</v>
      </c>
      <c r="I1998" s="32">
        <f t="shared" si="262"/>
        <v>2026</v>
      </c>
      <c r="J1998" s="32">
        <f t="shared" si="263"/>
        <v>6</v>
      </c>
    </row>
    <row r="1999" spans="1:10" x14ac:dyDescent="0.25">
      <c r="A1999" t="s">
        <v>1731</v>
      </c>
      <c r="B1999" t="s">
        <v>1742</v>
      </c>
      <c r="C1999">
        <v>91003202</v>
      </c>
      <c r="D1999">
        <v>140</v>
      </c>
      <c r="E1999" s="4">
        <v>-6564607.0199999996</v>
      </c>
      <c r="F1999" t="s">
        <v>80</v>
      </c>
      <c r="G1999">
        <v>0</v>
      </c>
      <c r="H1999" s="32" t="str">
        <f ca="1">+IF(B1999&gt;'sap nuevo'!$V$1,"cargar",IF(C1999="","cargar","pagado"))</f>
        <v>cargar</v>
      </c>
      <c r="I1999" s="32">
        <f t="shared" si="262"/>
        <v>2026</v>
      </c>
      <c r="J1999" s="32">
        <f t="shared" si="263"/>
        <v>6</v>
      </c>
    </row>
    <row r="2000" spans="1:10" x14ac:dyDescent="0.25">
      <c r="A2000" t="s">
        <v>1731</v>
      </c>
      <c r="B2000" t="s">
        <v>1742</v>
      </c>
      <c r="C2000">
        <v>91003187</v>
      </c>
      <c r="D2000">
        <v>140</v>
      </c>
      <c r="E2000" s="4">
        <v>-6153158.0099999998</v>
      </c>
      <c r="F2000" t="s">
        <v>80</v>
      </c>
      <c r="G2000">
        <v>0</v>
      </c>
      <c r="H2000" s="32" t="str">
        <f ca="1">+IF(B2000&gt;'sap nuevo'!$V$1,"cargar",IF(C2000="","cargar","pagado"))</f>
        <v>cargar</v>
      </c>
      <c r="I2000" s="32">
        <f t="shared" si="262"/>
        <v>2026</v>
      </c>
      <c r="J2000" s="32">
        <f t="shared" si="263"/>
        <v>6</v>
      </c>
    </row>
    <row r="2001" spans="1:10" x14ac:dyDescent="0.25">
      <c r="A2001" t="s">
        <v>1731</v>
      </c>
      <c r="B2001" t="s">
        <v>1742</v>
      </c>
      <c r="C2001">
        <v>61301843</v>
      </c>
      <c r="D2001">
        <v>140</v>
      </c>
      <c r="E2001" s="4">
        <v>-6028954.5800000001</v>
      </c>
      <c r="F2001" t="s">
        <v>80</v>
      </c>
      <c r="G2001">
        <v>0</v>
      </c>
      <c r="H2001" s="32" t="str">
        <f ca="1">+IF(B2001&gt;'sap nuevo'!$V$1,"cargar",IF(C2001="","cargar","pagado"))</f>
        <v>cargar</v>
      </c>
      <c r="I2001" s="32">
        <f t="shared" si="262"/>
        <v>2026</v>
      </c>
      <c r="J2001" s="32">
        <f t="shared" si="263"/>
        <v>6</v>
      </c>
    </row>
    <row r="2002" spans="1:10" x14ac:dyDescent="0.25">
      <c r="A2002" t="s">
        <v>1731</v>
      </c>
      <c r="B2002" t="s">
        <v>1743</v>
      </c>
      <c r="C2002">
        <v>61301845</v>
      </c>
      <c r="D2002">
        <v>140</v>
      </c>
      <c r="E2002" s="4">
        <v>-8800000</v>
      </c>
      <c r="F2002" t="s">
        <v>80</v>
      </c>
      <c r="G2002">
        <v>0</v>
      </c>
      <c r="H2002" s="32" t="str">
        <f ca="1">+IF(B2002&gt;'sap nuevo'!$V$1,"cargar",IF(C2002="","cargar","pagado"))</f>
        <v>cargar</v>
      </c>
      <c r="I2002" s="32">
        <f t="shared" si="262"/>
        <v>2026</v>
      </c>
      <c r="J2002" s="32">
        <f t="shared" si="263"/>
        <v>6</v>
      </c>
    </row>
    <row r="2003" spans="1:10" x14ac:dyDescent="0.25">
      <c r="A2003" t="s">
        <v>1731</v>
      </c>
      <c r="B2003" t="s">
        <v>1743</v>
      </c>
      <c r="C2003">
        <v>91003189</v>
      </c>
      <c r="D2003">
        <v>140</v>
      </c>
      <c r="E2003" s="4">
        <v>-6469278.04</v>
      </c>
      <c r="F2003" t="s">
        <v>80</v>
      </c>
      <c r="G2003">
        <v>0</v>
      </c>
      <c r="H2003" s="32" t="str">
        <f ca="1">+IF(B2003&gt;'sap nuevo'!$V$1,"cargar",IF(C2003="","cargar","pagado"))</f>
        <v>cargar</v>
      </c>
      <c r="I2003" s="32">
        <f t="shared" si="262"/>
        <v>2026</v>
      </c>
      <c r="J2003" s="32">
        <f t="shared" si="263"/>
        <v>6</v>
      </c>
    </row>
    <row r="2004" spans="1:10" x14ac:dyDescent="0.25">
      <c r="A2004" t="s">
        <v>12</v>
      </c>
      <c r="B2004" t="s">
        <v>1745</v>
      </c>
      <c r="C2004">
        <v>91003163</v>
      </c>
      <c r="D2004">
        <v>140</v>
      </c>
      <c r="E2004" s="4">
        <v>-13981484.93</v>
      </c>
      <c r="F2004" t="s">
        <v>82</v>
      </c>
      <c r="G2004">
        <v>0</v>
      </c>
      <c r="H2004" s="32" t="str">
        <f ca="1">+IF(B2004&gt;'sap nuevo'!$V$1,"cargar",IF(C2004="","cargar","pagado"))</f>
        <v>cargar</v>
      </c>
      <c r="I2004" s="32">
        <f t="shared" ref="I2004" si="264">+YEAR(B2004)</f>
        <v>2026</v>
      </c>
      <c r="J2004" s="32">
        <f t="shared" ref="J2004" si="265">+MONTH(B2004)</f>
        <v>6</v>
      </c>
    </row>
    <row r="2005" spans="1:10" x14ac:dyDescent="0.25">
      <c r="A2005" t="s">
        <v>1731</v>
      </c>
      <c r="B2005" t="s">
        <v>1746</v>
      </c>
      <c r="C2005">
        <v>91003224</v>
      </c>
      <c r="D2005">
        <v>140</v>
      </c>
      <c r="E2005" s="4">
        <v>-15000000</v>
      </c>
      <c r="F2005" t="s">
        <v>80</v>
      </c>
      <c r="G2005">
        <v>0</v>
      </c>
      <c r="H2005" s="32" t="str">
        <f ca="1">+IF(B2005&gt;'sap nuevo'!$V$1,"cargar",IF(C2005="","cargar","pagado"))</f>
        <v>cargar</v>
      </c>
      <c r="I2005" s="32">
        <f t="shared" ref="I2005:I2012" si="266">+YEAR(B2005)</f>
        <v>2026</v>
      </c>
      <c r="J2005" s="32">
        <f t="shared" ref="J2005:J2012" si="267">+MONTH(B2005)</f>
        <v>6</v>
      </c>
    </row>
    <row r="2006" spans="1:10" x14ac:dyDescent="0.25">
      <c r="A2006" t="s">
        <v>1731</v>
      </c>
      <c r="B2006" t="s">
        <v>1746</v>
      </c>
      <c r="C2006">
        <v>91003210</v>
      </c>
      <c r="D2006">
        <v>140</v>
      </c>
      <c r="E2006" s="4">
        <v>-12686763.4</v>
      </c>
      <c r="F2006" t="s">
        <v>80</v>
      </c>
      <c r="G2006">
        <v>0</v>
      </c>
      <c r="H2006" s="32" t="str">
        <f ca="1">+IF(B2006&gt;'sap nuevo'!$V$1,"cargar",IF(C2006="","cargar","pagado"))</f>
        <v>cargar</v>
      </c>
      <c r="I2006" s="32">
        <f t="shared" si="266"/>
        <v>2026</v>
      </c>
      <c r="J2006" s="32">
        <f t="shared" si="267"/>
        <v>6</v>
      </c>
    </row>
    <row r="2007" spans="1:10" x14ac:dyDescent="0.25">
      <c r="A2007" t="s">
        <v>12</v>
      </c>
      <c r="B2007" t="s">
        <v>1746</v>
      </c>
      <c r="C2007">
        <v>91003209</v>
      </c>
      <c r="D2007">
        <v>140</v>
      </c>
      <c r="E2007" s="4">
        <v>-11688329</v>
      </c>
      <c r="F2007" t="s">
        <v>82</v>
      </c>
      <c r="G2007">
        <v>0</v>
      </c>
      <c r="H2007" s="32" t="str">
        <f ca="1">+IF(B2007&gt;'sap nuevo'!$V$1,"cargar",IF(C2007="","cargar","pagado"))</f>
        <v>cargar</v>
      </c>
      <c r="I2007" s="32">
        <f t="shared" si="266"/>
        <v>2026</v>
      </c>
      <c r="J2007" s="32">
        <f t="shared" si="267"/>
        <v>6</v>
      </c>
    </row>
    <row r="2008" spans="1:10" x14ac:dyDescent="0.25">
      <c r="A2008" t="s">
        <v>1731</v>
      </c>
      <c r="B2008" t="s">
        <v>1746</v>
      </c>
      <c r="C2008">
        <v>91003212</v>
      </c>
      <c r="D2008">
        <v>140</v>
      </c>
      <c r="E2008" s="4">
        <v>-11325235.5</v>
      </c>
      <c r="F2008" t="s">
        <v>80</v>
      </c>
      <c r="G2008">
        <v>0</v>
      </c>
      <c r="H2008" s="32" t="str">
        <f ca="1">+IF(B2008&gt;'sap nuevo'!$V$1,"cargar",IF(C2008="","cargar","pagado"))</f>
        <v>cargar</v>
      </c>
      <c r="I2008" s="32">
        <f t="shared" si="266"/>
        <v>2026</v>
      </c>
      <c r="J2008" s="32">
        <f t="shared" si="267"/>
        <v>6</v>
      </c>
    </row>
    <row r="2009" spans="1:10" x14ac:dyDescent="0.25">
      <c r="A2009" t="s">
        <v>1731</v>
      </c>
      <c r="B2009" t="s">
        <v>1746</v>
      </c>
      <c r="C2009">
        <v>61301846</v>
      </c>
      <c r="D2009">
        <v>140</v>
      </c>
      <c r="E2009" s="4">
        <v>-8800000</v>
      </c>
      <c r="F2009" t="s">
        <v>80</v>
      </c>
      <c r="G2009">
        <v>0</v>
      </c>
      <c r="H2009" s="32" t="str">
        <f ca="1">+IF(B2009&gt;'sap nuevo'!$V$1,"cargar",IF(C2009="","cargar","pagado"))</f>
        <v>cargar</v>
      </c>
      <c r="I2009" s="32">
        <f t="shared" si="266"/>
        <v>2026</v>
      </c>
      <c r="J2009" s="32">
        <f t="shared" si="267"/>
        <v>6</v>
      </c>
    </row>
    <row r="2010" spans="1:10" x14ac:dyDescent="0.25">
      <c r="A2010" t="s">
        <v>1731</v>
      </c>
      <c r="B2010" t="s">
        <v>1746</v>
      </c>
      <c r="C2010">
        <v>91003206</v>
      </c>
      <c r="D2010">
        <v>140</v>
      </c>
      <c r="E2010" s="4">
        <v>-7964741.1100000003</v>
      </c>
      <c r="F2010" t="s">
        <v>80</v>
      </c>
      <c r="G2010">
        <v>0</v>
      </c>
      <c r="H2010" s="32" t="str">
        <f ca="1">+IF(B2010&gt;'sap nuevo'!$V$1,"cargar",IF(C2010="","cargar","pagado"))</f>
        <v>cargar</v>
      </c>
      <c r="I2010" s="32">
        <f t="shared" si="266"/>
        <v>2026</v>
      </c>
      <c r="J2010" s="32">
        <f t="shared" si="267"/>
        <v>6</v>
      </c>
    </row>
    <row r="2011" spans="1:10" x14ac:dyDescent="0.25">
      <c r="A2011" t="s">
        <v>1731</v>
      </c>
      <c r="B2011" t="s">
        <v>1746</v>
      </c>
      <c r="C2011">
        <v>91003211</v>
      </c>
      <c r="D2011">
        <v>140</v>
      </c>
      <c r="E2011" s="4">
        <v>-6371178.6900000004</v>
      </c>
      <c r="F2011" t="s">
        <v>80</v>
      </c>
      <c r="G2011">
        <v>0</v>
      </c>
      <c r="H2011" s="32" t="str">
        <f ca="1">+IF(B2011&gt;'sap nuevo'!$V$1,"cargar",IF(C2011="","cargar","pagado"))</f>
        <v>cargar</v>
      </c>
      <c r="I2011" s="32">
        <f t="shared" si="266"/>
        <v>2026</v>
      </c>
      <c r="J2011" s="32">
        <f t="shared" si="267"/>
        <v>6</v>
      </c>
    </row>
    <row r="2012" spans="1:10" x14ac:dyDescent="0.25">
      <c r="A2012" t="s">
        <v>1731</v>
      </c>
      <c r="B2012" t="s">
        <v>1746</v>
      </c>
      <c r="C2012">
        <v>91003208</v>
      </c>
      <c r="D2012">
        <v>140</v>
      </c>
      <c r="E2012" s="4">
        <v>-4997234.58</v>
      </c>
      <c r="F2012" t="s">
        <v>80</v>
      </c>
      <c r="G2012">
        <v>0</v>
      </c>
      <c r="H2012" s="32" t="str">
        <f ca="1">+IF(B2012&gt;'sap nuevo'!$V$1,"cargar",IF(C2012="","cargar","pagado"))</f>
        <v>cargar</v>
      </c>
      <c r="I2012" s="32">
        <f t="shared" si="266"/>
        <v>2026</v>
      </c>
      <c r="J2012" s="32">
        <f t="shared" si="267"/>
        <v>6</v>
      </c>
    </row>
    <row r="2013" spans="1:10" x14ac:dyDescent="0.25">
      <c r="A2013" t="s">
        <v>1731</v>
      </c>
      <c r="B2013" t="s">
        <v>1748</v>
      </c>
      <c r="C2013">
        <v>91003220</v>
      </c>
      <c r="D2013">
        <v>140</v>
      </c>
      <c r="E2013" s="4">
        <v>-20279802.039999999</v>
      </c>
      <c r="F2013" t="s">
        <v>80</v>
      </c>
      <c r="G2013">
        <v>0</v>
      </c>
      <c r="H2013" s="32" t="str">
        <f ca="1">+IF(B2013&gt;'sap nuevo'!$V$1,"cargar",IF(C2013="","cargar","pagado"))</f>
        <v>cargar</v>
      </c>
      <c r="I2013" s="32">
        <f t="shared" ref="I2013:I2030" si="268">+YEAR(B2013)</f>
        <v>2026</v>
      </c>
      <c r="J2013" s="32">
        <f t="shared" ref="J2013:J2030" si="269">+MONTH(B2013)</f>
        <v>6</v>
      </c>
    </row>
    <row r="2014" spans="1:10" x14ac:dyDescent="0.25">
      <c r="A2014" t="s">
        <v>1731</v>
      </c>
      <c r="B2014" t="s">
        <v>1748</v>
      </c>
      <c r="C2014">
        <v>91003233</v>
      </c>
      <c r="D2014">
        <v>140</v>
      </c>
      <c r="E2014" s="4">
        <v>-18590445.859999999</v>
      </c>
      <c r="F2014" t="s">
        <v>80</v>
      </c>
      <c r="G2014">
        <v>0</v>
      </c>
      <c r="H2014" s="32" t="str">
        <f ca="1">+IF(B2014&gt;'sap nuevo'!$V$1,"cargar",IF(C2014="","cargar","pagado"))</f>
        <v>cargar</v>
      </c>
      <c r="I2014" s="32">
        <f t="shared" si="268"/>
        <v>2026</v>
      </c>
      <c r="J2014" s="32">
        <f t="shared" si="269"/>
        <v>6</v>
      </c>
    </row>
    <row r="2015" spans="1:10" x14ac:dyDescent="0.25">
      <c r="A2015" t="s">
        <v>1731</v>
      </c>
      <c r="B2015" t="s">
        <v>1748</v>
      </c>
      <c r="C2015">
        <v>91003226</v>
      </c>
      <c r="D2015">
        <v>140</v>
      </c>
      <c r="E2015" s="4">
        <v>-16082767.58</v>
      </c>
      <c r="F2015" t="s">
        <v>80</v>
      </c>
      <c r="G2015">
        <v>0</v>
      </c>
      <c r="H2015" s="32" t="str">
        <f ca="1">+IF(B2015&gt;'sap nuevo'!$V$1,"cargar",IF(C2015="","cargar","pagado"))</f>
        <v>cargar</v>
      </c>
      <c r="I2015" s="32">
        <f t="shared" si="268"/>
        <v>2026</v>
      </c>
      <c r="J2015" s="32">
        <f t="shared" si="269"/>
        <v>6</v>
      </c>
    </row>
    <row r="2016" spans="1:10" x14ac:dyDescent="0.25">
      <c r="A2016" t="s">
        <v>1731</v>
      </c>
      <c r="B2016" t="s">
        <v>1748</v>
      </c>
      <c r="C2016">
        <v>91003222</v>
      </c>
      <c r="D2016">
        <v>140</v>
      </c>
      <c r="E2016" s="4">
        <v>-15896382.42</v>
      </c>
      <c r="F2016" t="s">
        <v>80</v>
      </c>
      <c r="G2016">
        <v>0</v>
      </c>
      <c r="H2016" s="32" t="str">
        <f ca="1">+IF(B2016&gt;'sap nuevo'!$V$1,"cargar",IF(C2016="","cargar","pagado"))</f>
        <v>cargar</v>
      </c>
      <c r="I2016" s="32">
        <f t="shared" si="268"/>
        <v>2026</v>
      </c>
      <c r="J2016" s="32">
        <f t="shared" si="269"/>
        <v>6</v>
      </c>
    </row>
    <row r="2017" spans="1:10" x14ac:dyDescent="0.25">
      <c r="A2017" t="s">
        <v>12</v>
      </c>
      <c r="B2017" t="s">
        <v>1748</v>
      </c>
      <c r="C2017">
        <v>91003232</v>
      </c>
      <c r="D2017">
        <v>140</v>
      </c>
      <c r="E2017" s="4">
        <v>-15376417.07</v>
      </c>
      <c r="F2017" t="s">
        <v>82</v>
      </c>
      <c r="G2017">
        <v>0</v>
      </c>
      <c r="H2017" s="32" t="str">
        <f ca="1">+IF(B2017&gt;'sap nuevo'!$V$1,"cargar",IF(C2017="","cargar","pagado"))</f>
        <v>cargar</v>
      </c>
      <c r="I2017" s="32">
        <f t="shared" si="268"/>
        <v>2026</v>
      </c>
      <c r="J2017" s="32">
        <f t="shared" si="269"/>
        <v>6</v>
      </c>
    </row>
    <row r="2018" spans="1:10" x14ac:dyDescent="0.25">
      <c r="A2018" t="s">
        <v>1731</v>
      </c>
      <c r="B2018" t="s">
        <v>1748</v>
      </c>
      <c r="C2018">
        <v>91003225</v>
      </c>
      <c r="D2018">
        <v>140</v>
      </c>
      <c r="E2018" s="4">
        <v>-13062124.51</v>
      </c>
      <c r="F2018" t="s">
        <v>80</v>
      </c>
      <c r="G2018">
        <v>0</v>
      </c>
      <c r="H2018" s="32" t="str">
        <f ca="1">+IF(B2018&gt;'sap nuevo'!$V$1,"cargar",IF(C2018="","cargar","pagado"))</f>
        <v>cargar</v>
      </c>
      <c r="I2018" s="32">
        <f t="shared" si="268"/>
        <v>2026</v>
      </c>
      <c r="J2018" s="32">
        <f t="shared" si="269"/>
        <v>6</v>
      </c>
    </row>
    <row r="2019" spans="1:10" x14ac:dyDescent="0.25">
      <c r="A2019" t="s">
        <v>12</v>
      </c>
      <c r="B2019" t="s">
        <v>1748</v>
      </c>
      <c r="C2019">
        <v>91003219</v>
      </c>
      <c r="D2019">
        <v>140</v>
      </c>
      <c r="E2019" s="4">
        <v>-12187329.83</v>
      </c>
      <c r="F2019" t="s">
        <v>82</v>
      </c>
      <c r="G2019">
        <v>0</v>
      </c>
      <c r="H2019" s="32" t="str">
        <f ca="1">+IF(B2019&gt;'sap nuevo'!$V$1,"cargar",IF(C2019="","cargar","pagado"))</f>
        <v>cargar</v>
      </c>
      <c r="I2019" s="32">
        <f t="shared" si="268"/>
        <v>2026</v>
      </c>
      <c r="J2019" s="32">
        <f t="shared" si="269"/>
        <v>6</v>
      </c>
    </row>
    <row r="2020" spans="1:10" x14ac:dyDescent="0.25">
      <c r="A2020" t="s">
        <v>12</v>
      </c>
      <c r="B2020" t="s">
        <v>1748</v>
      </c>
      <c r="C2020">
        <v>91003213</v>
      </c>
      <c r="D2020">
        <v>140</v>
      </c>
      <c r="E2020" s="4">
        <v>-8888501.5199999996</v>
      </c>
      <c r="F2020" t="s">
        <v>82</v>
      </c>
      <c r="G2020">
        <v>0</v>
      </c>
      <c r="H2020" s="32" t="str">
        <f ca="1">+IF(B2020&gt;'sap nuevo'!$V$1,"cargar",IF(C2020="","cargar","pagado"))</f>
        <v>cargar</v>
      </c>
      <c r="I2020" s="32">
        <f t="shared" si="268"/>
        <v>2026</v>
      </c>
      <c r="J2020" s="32">
        <f t="shared" si="269"/>
        <v>6</v>
      </c>
    </row>
    <row r="2021" spans="1:10" x14ac:dyDescent="0.25">
      <c r="A2021" t="s">
        <v>1731</v>
      </c>
      <c r="B2021" t="s">
        <v>1748</v>
      </c>
      <c r="C2021">
        <v>91003227</v>
      </c>
      <c r="D2021">
        <v>140</v>
      </c>
      <c r="E2021" s="4">
        <v>-7924771.1399999997</v>
      </c>
      <c r="F2021" t="s">
        <v>80</v>
      </c>
      <c r="G2021">
        <v>0</v>
      </c>
      <c r="H2021" s="32" t="str">
        <f ca="1">+IF(B2021&gt;'sap nuevo'!$V$1,"cargar",IF(C2021="","cargar","pagado"))</f>
        <v>cargar</v>
      </c>
      <c r="I2021" s="32">
        <f t="shared" si="268"/>
        <v>2026</v>
      </c>
      <c r="J2021" s="32">
        <f t="shared" si="269"/>
        <v>6</v>
      </c>
    </row>
    <row r="2022" spans="1:10" x14ac:dyDescent="0.25">
      <c r="A2022" t="s">
        <v>1731</v>
      </c>
      <c r="B2022" t="s">
        <v>1748</v>
      </c>
      <c r="C2022">
        <v>91003217</v>
      </c>
      <c r="D2022">
        <v>140</v>
      </c>
      <c r="E2022" s="4">
        <v>-7116564.3099999996</v>
      </c>
      <c r="F2022" t="s">
        <v>80</v>
      </c>
      <c r="G2022">
        <v>0</v>
      </c>
      <c r="H2022" s="32" t="str">
        <f ca="1">+IF(B2022&gt;'sap nuevo'!$V$1,"cargar",IF(C2022="","cargar","pagado"))</f>
        <v>cargar</v>
      </c>
      <c r="I2022" s="32">
        <f t="shared" si="268"/>
        <v>2026</v>
      </c>
      <c r="J2022" s="32">
        <f t="shared" si="269"/>
        <v>6</v>
      </c>
    </row>
    <row r="2023" spans="1:10" x14ac:dyDescent="0.25">
      <c r="A2023" t="s">
        <v>12</v>
      </c>
      <c r="B2023" t="s">
        <v>1748</v>
      </c>
      <c r="C2023">
        <v>91003228</v>
      </c>
      <c r="D2023">
        <v>140</v>
      </c>
      <c r="E2023" s="4">
        <v>-6925301.2699999996</v>
      </c>
      <c r="F2023" t="s">
        <v>82</v>
      </c>
      <c r="G2023">
        <v>0</v>
      </c>
      <c r="H2023" s="32" t="str">
        <f ca="1">+IF(B2023&gt;'sap nuevo'!$V$1,"cargar",IF(C2023="","cargar","pagado"))</f>
        <v>cargar</v>
      </c>
      <c r="I2023" s="32">
        <f t="shared" si="268"/>
        <v>2026</v>
      </c>
      <c r="J2023" s="32">
        <f t="shared" si="269"/>
        <v>6</v>
      </c>
    </row>
    <row r="2024" spans="1:10" x14ac:dyDescent="0.25">
      <c r="A2024" t="s">
        <v>1731</v>
      </c>
      <c r="B2024" t="s">
        <v>1748</v>
      </c>
      <c r="C2024">
        <v>91003215</v>
      </c>
      <c r="D2024">
        <v>140</v>
      </c>
      <c r="E2024" s="4">
        <v>-6175831.4299999997</v>
      </c>
      <c r="F2024" t="s">
        <v>80</v>
      </c>
      <c r="G2024">
        <v>0</v>
      </c>
      <c r="H2024" s="32" t="str">
        <f ca="1">+IF(B2024&gt;'sap nuevo'!$V$1,"cargar",IF(C2024="","cargar","pagado"))</f>
        <v>cargar</v>
      </c>
      <c r="I2024" s="32">
        <f t="shared" si="268"/>
        <v>2026</v>
      </c>
      <c r="J2024" s="32">
        <f t="shared" si="269"/>
        <v>6</v>
      </c>
    </row>
    <row r="2025" spans="1:10" x14ac:dyDescent="0.25">
      <c r="A2025" t="s">
        <v>1731</v>
      </c>
      <c r="B2025" t="s">
        <v>1748</v>
      </c>
      <c r="C2025">
        <v>91003214</v>
      </c>
      <c r="D2025">
        <v>140</v>
      </c>
      <c r="E2025" s="4">
        <v>-5894099.1299999999</v>
      </c>
      <c r="F2025" t="s">
        <v>80</v>
      </c>
      <c r="G2025">
        <v>0</v>
      </c>
      <c r="H2025" s="32" t="str">
        <f ca="1">+IF(B2025&gt;'sap nuevo'!$V$1,"cargar",IF(C2025="","cargar","pagado"))</f>
        <v>cargar</v>
      </c>
      <c r="I2025" s="32">
        <f t="shared" si="268"/>
        <v>2026</v>
      </c>
      <c r="J2025" s="32">
        <f t="shared" si="269"/>
        <v>6</v>
      </c>
    </row>
    <row r="2026" spans="1:10" x14ac:dyDescent="0.25">
      <c r="A2026" t="s">
        <v>1731</v>
      </c>
      <c r="B2026" t="s">
        <v>1748</v>
      </c>
      <c r="C2026">
        <v>91003231</v>
      </c>
      <c r="D2026">
        <v>140</v>
      </c>
      <c r="E2026" s="4">
        <v>-5507017.8200000003</v>
      </c>
      <c r="F2026" t="s">
        <v>80</v>
      </c>
      <c r="G2026">
        <v>0</v>
      </c>
      <c r="H2026" s="32" t="str">
        <f ca="1">+IF(B2026&gt;'sap nuevo'!$V$1,"cargar",IF(C2026="","cargar","pagado"))</f>
        <v>cargar</v>
      </c>
      <c r="I2026" s="32">
        <f t="shared" si="268"/>
        <v>2026</v>
      </c>
      <c r="J2026" s="32">
        <f t="shared" si="269"/>
        <v>6</v>
      </c>
    </row>
    <row r="2027" spans="1:10" x14ac:dyDescent="0.25">
      <c r="A2027" t="s">
        <v>1731</v>
      </c>
      <c r="B2027" t="s">
        <v>1748</v>
      </c>
      <c r="C2027">
        <v>91003221</v>
      </c>
      <c r="D2027">
        <v>140</v>
      </c>
      <c r="E2027" s="4">
        <v>-5212678.82</v>
      </c>
      <c r="F2027" t="s">
        <v>80</v>
      </c>
      <c r="G2027">
        <v>0</v>
      </c>
      <c r="H2027" s="32" t="str">
        <f ca="1">+IF(B2027&gt;'sap nuevo'!$V$1,"cargar",IF(C2027="","cargar","pagado"))</f>
        <v>cargar</v>
      </c>
      <c r="I2027" s="32">
        <f t="shared" si="268"/>
        <v>2026</v>
      </c>
      <c r="J2027" s="32">
        <f t="shared" si="269"/>
        <v>6</v>
      </c>
    </row>
    <row r="2028" spans="1:10" x14ac:dyDescent="0.25">
      <c r="A2028" t="s">
        <v>12</v>
      </c>
      <c r="B2028" t="s">
        <v>1748</v>
      </c>
      <c r="C2028">
        <v>91003230</v>
      </c>
      <c r="D2028">
        <v>140</v>
      </c>
      <c r="E2028" s="4">
        <v>-5168447.88</v>
      </c>
      <c r="F2028" t="s">
        <v>82</v>
      </c>
      <c r="G2028">
        <v>0</v>
      </c>
      <c r="H2028" s="32" t="str">
        <f ca="1">+IF(B2028&gt;'sap nuevo'!$V$1,"cargar",IF(C2028="","cargar","pagado"))</f>
        <v>cargar</v>
      </c>
      <c r="I2028" s="32">
        <f t="shared" si="268"/>
        <v>2026</v>
      </c>
      <c r="J2028" s="32">
        <f t="shared" si="269"/>
        <v>6</v>
      </c>
    </row>
    <row r="2029" spans="1:10" x14ac:dyDescent="0.25">
      <c r="A2029" t="s">
        <v>1731</v>
      </c>
      <c r="B2029" t="s">
        <v>1748</v>
      </c>
      <c r="C2029">
        <v>91003234</v>
      </c>
      <c r="D2029">
        <v>140</v>
      </c>
      <c r="E2029" s="4">
        <v>-4724421.3600000003</v>
      </c>
      <c r="F2029" t="s">
        <v>80</v>
      </c>
      <c r="G2029">
        <v>0</v>
      </c>
      <c r="H2029" s="32" t="str">
        <f ca="1">+IF(B2029&gt;'sap nuevo'!$V$1,"cargar",IF(C2029="","cargar","pagado"))</f>
        <v>cargar</v>
      </c>
      <c r="I2029" s="32">
        <f t="shared" si="268"/>
        <v>2026</v>
      </c>
      <c r="J2029" s="32">
        <f t="shared" si="269"/>
        <v>6</v>
      </c>
    </row>
    <row r="2030" spans="1:10" x14ac:dyDescent="0.25">
      <c r="A2030" t="s">
        <v>1731</v>
      </c>
      <c r="B2030" t="s">
        <v>1748</v>
      </c>
      <c r="C2030">
        <v>91003207</v>
      </c>
      <c r="D2030">
        <v>140</v>
      </c>
      <c r="E2030" s="4">
        <v>-4571980</v>
      </c>
      <c r="F2030" t="s">
        <v>80</v>
      </c>
      <c r="G2030">
        <v>0</v>
      </c>
      <c r="H2030" s="32" t="str">
        <f ca="1">+IF(B2030&gt;'sap nuevo'!$V$1,"cargar",IF(C2030="","cargar","pagado"))</f>
        <v>cargar</v>
      </c>
      <c r="I2030" s="32">
        <f t="shared" si="268"/>
        <v>2026</v>
      </c>
      <c r="J2030" s="32">
        <f t="shared" si="269"/>
        <v>6</v>
      </c>
    </row>
    <row r="2031" spans="1:10" x14ac:dyDescent="0.25">
      <c r="A2031" t="s">
        <v>1731</v>
      </c>
      <c r="B2031" t="s">
        <v>1749</v>
      </c>
      <c r="C2031">
        <v>91003216</v>
      </c>
      <c r="D2031">
        <v>140</v>
      </c>
      <c r="E2031" s="4">
        <v>-24503999.850000001</v>
      </c>
      <c r="F2031" t="s">
        <v>80</v>
      </c>
      <c r="G2031">
        <v>0</v>
      </c>
      <c r="H2031" s="32" t="str">
        <f ca="1">+IF(B2031&gt;'sap nuevo'!$V$1,"cargar",IF(C2031="","cargar","pagado"))</f>
        <v>cargar</v>
      </c>
      <c r="I2031" s="32">
        <f t="shared" ref="I2031:I2034" si="270">+YEAR(B2031)</f>
        <v>2026</v>
      </c>
      <c r="J2031" s="32">
        <f t="shared" ref="J2031:J2034" si="271">+MONTH(B2031)</f>
        <v>6</v>
      </c>
    </row>
    <row r="2032" spans="1:10" x14ac:dyDescent="0.25">
      <c r="A2032" t="s">
        <v>12</v>
      </c>
      <c r="B2032" t="s">
        <v>1749</v>
      </c>
      <c r="C2032">
        <v>91003218</v>
      </c>
      <c r="D2032">
        <v>140</v>
      </c>
      <c r="E2032" s="4">
        <v>-8444051.1300000008</v>
      </c>
      <c r="F2032" t="s">
        <v>82</v>
      </c>
      <c r="G2032">
        <v>0</v>
      </c>
      <c r="H2032" s="32" t="str">
        <f ca="1">+IF(B2032&gt;'sap nuevo'!$V$1,"cargar",IF(C2032="","cargar","pagado"))</f>
        <v>cargar</v>
      </c>
      <c r="I2032" s="32">
        <f t="shared" si="270"/>
        <v>2026</v>
      </c>
      <c r="J2032" s="32">
        <f t="shared" si="271"/>
        <v>6</v>
      </c>
    </row>
    <row r="2033" spans="1:10" x14ac:dyDescent="0.25">
      <c r="A2033" t="s">
        <v>1731</v>
      </c>
      <c r="B2033" t="s">
        <v>1750</v>
      </c>
      <c r="C2033">
        <v>95780903</v>
      </c>
      <c r="D2033">
        <v>140</v>
      </c>
      <c r="E2033" s="4">
        <v>-62528420</v>
      </c>
      <c r="F2033" t="s">
        <v>80</v>
      </c>
      <c r="G2033">
        <v>0</v>
      </c>
      <c r="H2033" s="32" t="str">
        <f ca="1">+IF(B2033&gt;'sap nuevo'!$V$1,"cargar",IF(C2033="","cargar","pagado"))</f>
        <v>cargar</v>
      </c>
      <c r="I2033" s="32">
        <f t="shared" si="270"/>
        <v>2026</v>
      </c>
      <c r="J2033" s="32">
        <f t="shared" si="271"/>
        <v>6</v>
      </c>
    </row>
    <row r="2034" spans="1:10" x14ac:dyDescent="0.25">
      <c r="A2034" t="s">
        <v>1731</v>
      </c>
      <c r="B2034" t="s">
        <v>1750</v>
      </c>
      <c r="C2034">
        <v>61301847</v>
      </c>
      <c r="D2034">
        <v>140</v>
      </c>
      <c r="E2034" s="4">
        <v>-8800000</v>
      </c>
      <c r="F2034" t="s">
        <v>80</v>
      </c>
      <c r="G2034">
        <v>0</v>
      </c>
      <c r="H2034" s="32" t="str">
        <f ca="1">+IF(B2034&gt;'sap nuevo'!$V$1,"cargar",IF(C2034="","cargar","pagado"))</f>
        <v>cargar</v>
      </c>
      <c r="I2034" s="32">
        <f t="shared" si="270"/>
        <v>2026</v>
      </c>
      <c r="J2034" s="32">
        <f t="shared" si="271"/>
        <v>6</v>
      </c>
    </row>
    <row r="2035" spans="1:10" x14ac:dyDescent="0.25">
      <c r="A2035" t="s">
        <v>1731</v>
      </c>
      <c r="B2035" t="s">
        <v>1751</v>
      </c>
      <c r="C2035">
        <v>91003229</v>
      </c>
      <c r="D2035">
        <v>140</v>
      </c>
      <c r="E2035" s="4">
        <v>-7169849.1200000001</v>
      </c>
      <c r="F2035" t="s">
        <v>80</v>
      </c>
      <c r="G2035">
        <v>0</v>
      </c>
      <c r="H2035" s="32" t="str">
        <f ca="1">+IF(B2035&gt;'sap nuevo'!$V$1,"cargar",IF(C2035="","cargar","pagado"))</f>
        <v>cargar</v>
      </c>
      <c r="I2035" s="32">
        <f t="shared" ref="I2035:I2036" si="272">+YEAR(B2035)</f>
        <v>2026</v>
      </c>
      <c r="J2035" s="32">
        <f t="shared" ref="J2035:J2036" si="273">+MONTH(B2035)</f>
        <v>6</v>
      </c>
    </row>
    <row r="2036" spans="1:10" x14ac:dyDescent="0.25">
      <c r="A2036" t="s">
        <v>1731</v>
      </c>
      <c r="B2036" t="s">
        <v>1751</v>
      </c>
      <c r="C2036">
        <v>91003223</v>
      </c>
      <c r="D2036">
        <v>140</v>
      </c>
      <c r="E2036" s="4">
        <v>-5698133.3700000001</v>
      </c>
      <c r="F2036" t="s">
        <v>80</v>
      </c>
      <c r="G2036">
        <v>0</v>
      </c>
      <c r="H2036" s="32" t="str">
        <f ca="1">+IF(B2036&gt;'sap nuevo'!$V$1,"cargar",IF(C2036="","cargar","pagado"))</f>
        <v>cargar</v>
      </c>
      <c r="I2036" s="32">
        <f t="shared" si="272"/>
        <v>2026</v>
      </c>
      <c r="J2036" s="32">
        <f t="shared" si="273"/>
        <v>6</v>
      </c>
    </row>
    <row r="2037" spans="1:10" x14ac:dyDescent="0.25">
      <c r="A2037" t="s">
        <v>1731</v>
      </c>
      <c r="B2037" t="s">
        <v>1753</v>
      </c>
      <c r="C2037">
        <v>91003255</v>
      </c>
      <c r="D2037">
        <v>140</v>
      </c>
      <c r="E2037" s="4">
        <v>-10780103.529999999</v>
      </c>
      <c r="F2037" t="s">
        <v>80</v>
      </c>
      <c r="G2037">
        <v>0</v>
      </c>
      <c r="H2037" s="32" t="str">
        <f ca="1">+IF(B2037&gt;'sap nuevo'!$V$1,"cargar",IF(C2037="","cargar","pagado"))</f>
        <v>cargar</v>
      </c>
      <c r="I2037" s="32">
        <f t="shared" ref="I2037:I2053" si="274">+YEAR(B2037)</f>
        <v>2026</v>
      </c>
      <c r="J2037" s="32">
        <f t="shared" ref="J2037:J2053" si="275">+MONTH(B2037)</f>
        <v>6</v>
      </c>
    </row>
    <row r="2038" spans="1:10" x14ac:dyDescent="0.25">
      <c r="A2038" t="s">
        <v>1731</v>
      </c>
      <c r="B2038" t="s">
        <v>1753</v>
      </c>
      <c r="C2038">
        <v>91003239</v>
      </c>
      <c r="D2038">
        <v>140</v>
      </c>
      <c r="E2038" s="4">
        <v>-10179271.609999999</v>
      </c>
      <c r="F2038" t="s">
        <v>80</v>
      </c>
      <c r="G2038">
        <v>0</v>
      </c>
      <c r="H2038" s="32" t="str">
        <f ca="1">+IF(B2038&gt;'sap nuevo'!$V$1,"cargar",IF(C2038="","cargar","pagado"))</f>
        <v>cargar</v>
      </c>
      <c r="I2038" s="32">
        <f t="shared" si="274"/>
        <v>2026</v>
      </c>
      <c r="J2038" s="32">
        <f t="shared" si="275"/>
        <v>6</v>
      </c>
    </row>
    <row r="2039" spans="1:10" x14ac:dyDescent="0.25">
      <c r="A2039" t="s">
        <v>12</v>
      </c>
      <c r="B2039" t="s">
        <v>1753</v>
      </c>
      <c r="C2039">
        <v>91003243</v>
      </c>
      <c r="D2039">
        <v>140</v>
      </c>
      <c r="E2039" s="4">
        <v>-10047463.720000001</v>
      </c>
      <c r="F2039" t="s">
        <v>82</v>
      </c>
      <c r="G2039">
        <v>0</v>
      </c>
      <c r="H2039" s="32" t="str">
        <f ca="1">+IF(B2039&gt;'sap nuevo'!$V$1,"cargar",IF(C2039="","cargar","pagado"))</f>
        <v>cargar</v>
      </c>
      <c r="I2039" s="32">
        <f t="shared" si="274"/>
        <v>2026</v>
      </c>
      <c r="J2039" s="32">
        <f t="shared" si="275"/>
        <v>6</v>
      </c>
    </row>
    <row r="2040" spans="1:10" x14ac:dyDescent="0.25">
      <c r="A2040" t="s">
        <v>1731</v>
      </c>
      <c r="B2040" t="s">
        <v>1753</v>
      </c>
      <c r="C2040">
        <v>91003240</v>
      </c>
      <c r="D2040">
        <v>140</v>
      </c>
      <c r="E2040" s="4">
        <v>-7261652.4000000004</v>
      </c>
      <c r="F2040" t="s">
        <v>80</v>
      </c>
      <c r="G2040">
        <v>0</v>
      </c>
      <c r="H2040" s="32" t="str">
        <f ca="1">+IF(B2040&gt;'sap nuevo'!$V$1,"cargar",IF(C2040="","cargar","pagado"))</f>
        <v>cargar</v>
      </c>
      <c r="I2040" s="32">
        <f t="shared" si="274"/>
        <v>2026</v>
      </c>
      <c r="J2040" s="32">
        <f t="shared" si="275"/>
        <v>6</v>
      </c>
    </row>
    <row r="2041" spans="1:10" x14ac:dyDescent="0.25">
      <c r="A2041" t="s">
        <v>12</v>
      </c>
      <c r="B2041" t="s">
        <v>1753</v>
      </c>
      <c r="C2041">
        <v>91003237</v>
      </c>
      <c r="D2041">
        <v>140</v>
      </c>
      <c r="E2041" s="4">
        <v>-6618152.2199999997</v>
      </c>
      <c r="F2041" t="s">
        <v>82</v>
      </c>
      <c r="G2041">
        <v>0</v>
      </c>
      <c r="H2041" s="32" t="str">
        <f ca="1">+IF(B2041&gt;'sap nuevo'!$V$1,"cargar",IF(C2041="","cargar","pagado"))</f>
        <v>cargar</v>
      </c>
      <c r="I2041" s="32">
        <f t="shared" si="274"/>
        <v>2026</v>
      </c>
      <c r="J2041" s="32">
        <f t="shared" si="275"/>
        <v>6</v>
      </c>
    </row>
    <row r="2042" spans="1:10" x14ac:dyDescent="0.25">
      <c r="A2042" t="s">
        <v>1731</v>
      </c>
      <c r="B2042" t="s">
        <v>1753</v>
      </c>
      <c r="C2042">
        <v>91003246</v>
      </c>
      <c r="D2042">
        <v>140</v>
      </c>
      <c r="E2042" s="4">
        <v>-6111688.4100000001</v>
      </c>
      <c r="F2042" t="s">
        <v>80</v>
      </c>
      <c r="G2042">
        <v>0</v>
      </c>
      <c r="H2042" s="32" t="str">
        <f ca="1">+IF(B2042&gt;'sap nuevo'!$V$1,"cargar",IF(C2042="","cargar","pagado"))</f>
        <v>cargar</v>
      </c>
      <c r="I2042" s="32">
        <f t="shared" si="274"/>
        <v>2026</v>
      </c>
      <c r="J2042" s="32">
        <f t="shared" si="275"/>
        <v>6</v>
      </c>
    </row>
    <row r="2043" spans="1:10" x14ac:dyDescent="0.25">
      <c r="A2043" t="s">
        <v>1731</v>
      </c>
      <c r="B2043" t="s">
        <v>1753</v>
      </c>
      <c r="C2043">
        <v>91003253</v>
      </c>
      <c r="D2043">
        <v>140</v>
      </c>
      <c r="E2043" s="4">
        <v>-6004293.6399999997</v>
      </c>
      <c r="F2043" t="s">
        <v>80</v>
      </c>
      <c r="G2043">
        <v>0</v>
      </c>
      <c r="H2043" s="32" t="str">
        <f ca="1">+IF(B2043&gt;'sap nuevo'!$V$1,"cargar",IF(C2043="","cargar","pagado"))</f>
        <v>cargar</v>
      </c>
      <c r="I2043" s="32">
        <f t="shared" si="274"/>
        <v>2026</v>
      </c>
      <c r="J2043" s="32">
        <f t="shared" si="275"/>
        <v>6</v>
      </c>
    </row>
    <row r="2044" spans="1:10" x14ac:dyDescent="0.25">
      <c r="A2044" t="s">
        <v>1731</v>
      </c>
      <c r="B2044" t="s">
        <v>1753</v>
      </c>
      <c r="C2044">
        <v>91003251</v>
      </c>
      <c r="D2044">
        <v>140</v>
      </c>
      <c r="E2044" s="4">
        <v>-5461022.1500000004</v>
      </c>
      <c r="F2044" t="s">
        <v>80</v>
      </c>
      <c r="G2044">
        <v>0</v>
      </c>
      <c r="H2044" s="32" t="str">
        <f ca="1">+IF(B2044&gt;'sap nuevo'!$V$1,"cargar",IF(C2044="","cargar","pagado"))</f>
        <v>cargar</v>
      </c>
      <c r="I2044" s="32">
        <f t="shared" si="274"/>
        <v>2026</v>
      </c>
      <c r="J2044" s="32">
        <f t="shared" si="275"/>
        <v>6</v>
      </c>
    </row>
    <row r="2045" spans="1:10" x14ac:dyDescent="0.25">
      <c r="A2045" t="s">
        <v>1731</v>
      </c>
      <c r="B2045" t="s">
        <v>1753</v>
      </c>
      <c r="C2045">
        <v>91003245</v>
      </c>
      <c r="D2045">
        <v>140</v>
      </c>
      <c r="E2045" s="4">
        <v>-5283180.76</v>
      </c>
      <c r="F2045" t="s">
        <v>80</v>
      </c>
      <c r="G2045">
        <v>0</v>
      </c>
      <c r="H2045" s="32" t="str">
        <f ca="1">+IF(B2045&gt;'sap nuevo'!$V$1,"cargar",IF(C2045="","cargar","pagado"))</f>
        <v>cargar</v>
      </c>
      <c r="I2045" s="32">
        <f t="shared" si="274"/>
        <v>2026</v>
      </c>
      <c r="J2045" s="32">
        <f t="shared" si="275"/>
        <v>6</v>
      </c>
    </row>
    <row r="2046" spans="1:10" x14ac:dyDescent="0.25">
      <c r="A2046" t="s">
        <v>1731</v>
      </c>
      <c r="B2046" t="s">
        <v>1753</v>
      </c>
      <c r="C2046">
        <v>91003249</v>
      </c>
      <c r="D2046">
        <v>140</v>
      </c>
      <c r="E2046" s="4">
        <v>-5249785.18</v>
      </c>
      <c r="F2046" t="s">
        <v>80</v>
      </c>
      <c r="G2046">
        <v>0</v>
      </c>
      <c r="H2046" s="32" t="str">
        <f ca="1">+IF(B2046&gt;'sap nuevo'!$V$1,"cargar",IF(C2046="","cargar","pagado"))</f>
        <v>cargar</v>
      </c>
      <c r="I2046" s="32">
        <f t="shared" si="274"/>
        <v>2026</v>
      </c>
      <c r="J2046" s="32">
        <f t="shared" si="275"/>
        <v>6</v>
      </c>
    </row>
    <row r="2047" spans="1:10" x14ac:dyDescent="0.25">
      <c r="A2047" t="s">
        <v>1731</v>
      </c>
      <c r="B2047" t="s">
        <v>1754</v>
      </c>
      <c r="C2047">
        <v>91003244</v>
      </c>
      <c r="D2047">
        <v>140</v>
      </c>
      <c r="E2047" s="4">
        <v>-32823360</v>
      </c>
      <c r="F2047" t="s">
        <v>80</v>
      </c>
      <c r="G2047">
        <v>0</v>
      </c>
      <c r="H2047" s="32" t="str">
        <f ca="1">+IF(B2047&gt;'sap nuevo'!$V$1,"cargar",IF(C2047="","cargar","pagado"))</f>
        <v>cargar</v>
      </c>
      <c r="I2047" s="32">
        <f t="shared" si="274"/>
        <v>2026</v>
      </c>
      <c r="J2047" s="32">
        <f t="shared" si="275"/>
        <v>6</v>
      </c>
    </row>
    <row r="2048" spans="1:10" x14ac:dyDescent="0.25">
      <c r="A2048" t="s">
        <v>1731</v>
      </c>
      <c r="B2048" t="s">
        <v>1754</v>
      </c>
      <c r="C2048">
        <v>91003248</v>
      </c>
      <c r="D2048">
        <v>140</v>
      </c>
      <c r="E2048" s="4">
        <v>-30540503.539999999</v>
      </c>
      <c r="F2048" t="s">
        <v>80</v>
      </c>
      <c r="G2048">
        <v>0</v>
      </c>
      <c r="H2048" s="32" t="str">
        <f ca="1">+IF(B2048&gt;'sap nuevo'!$V$1,"cargar",IF(C2048="","cargar","pagado"))</f>
        <v>cargar</v>
      </c>
      <c r="I2048" s="32">
        <f t="shared" si="274"/>
        <v>2026</v>
      </c>
      <c r="J2048" s="32">
        <f t="shared" si="275"/>
        <v>6</v>
      </c>
    </row>
    <row r="2049" spans="1:10" x14ac:dyDescent="0.25">
      <c r="A2049" t="s">
        <v>12</v>
      </c>
      <c r="B2049" t="s">
        <v>1754</v>
      </c>
      <c r="C2049">
        <v>91003247</v>
      </c>
      <c r="D2049">
        <v>140</v>
      </c>
      <c r="E2049" s="4">
        <v>-24602267.329999998</v>
      </c>
      <c r="F2049" t="s">
        <v>82</v>
      </c>
      <c r="G2049">
        <v>0</v>
      </c>
      <c r="H2049" s="32" t="str">
        <f ca="1">+IF(B2049&gt;'sap nuevo'!$V$1,"cargar",IF(C2049="","cargar","pagado"))</f>
        <v>cargar</v>
      </c>
      <c r="I2049" s="32">
        <f t="shared" si="274"/>
        <v>2026</v>
      </c>
      <c r="J2049" s="32">
        <f t="shared" si="275"/>
        <v>6</v>
      </c>
    </row>
    <row r="2050" spans="1:10" x14ac:dyDescent="0.25">
      <c r="A2050" t="s">
        <v>1731</v>
      </c>
      <c r="B2050" t="s">
        <v>1754</v>
      </c>
      <c r="C2050">
        <v>91003256</v>
      </c>
      <c r="D2050">
        <v>140</v>
      </c>
      <c r="E2050" s="4">
        <v>-20988908.399999999</v>
      </c>
      <c r="F2050" t="s">
        <v>80</v>
      </c>
      <c r="G2050">
        <v>0</v>
      </c>
      <c r="H2050" s="32" t="str">
        <f ca="1">+IF(B2050&gt;'sap nuevo'!$V$1,"cargar",IF(C2050="","cargar","pagado"))</f>
        <v>cargar</v>
      </c>
      <c r="I2050" s="32">
        <f t="shared" si="274"/>
        <v>2026</v>
      </c>
      <c r="J2050" s="32">
        <f t="shared" si="275"/>
        <v>6</v>
      </c>
    </row>
    <row r="2051" spans="1:10" x14ac:dyDescent="0.25">
      <c r="A2051" t="s">
        <v>1731</v>
      </c>
      <c r="B2051" t="s">
        <v>1754</v>
      </c>
      <c r="C2051">
        <v>91003252</v>
      </c>
      <c r="D2051">
        <v>140</v>
      </c>
      <c r="E2051" s="4">
        <v>-16082126</v>
      </c>
      <c r="F2051" t="s">
        <v>80</v>
      </c>
      <c r="G2051">
        <v>0</v>
      </c>
      <c r="H2051" s="32" t="str">
        <f ca="1">+IF(B2051&gt;'sap nuevo'!$V$1,"cargar",IF(C2051="","cargar","pagado"))</f>
        <v>cargar</v>
      </c>
      <c r="I2051" s="32">
        <f t="shared" si="274"/>
        <v>2026</v>
      </c>
      <c r="J2051" s="32">
        <f t="shared" si="275"/>
        <v>6</v>
      </c>
    </row>
    <row r="2052" spans="1:10" x14ac:dyDescent="0.25">
      <c r="A2052" t="s">
        <v>1731</v>
      </c>
      <c r="B2052" t="s">
        <v>1754</v>
      </c>
      <c r="C2052">
        <v>91003250</v>
      </c>
      <c r="D2052">
        <v>140</v>
      </c>
      <c r="E2052" s="4">
        <v>-9356502.7200000007</v>
      </c>
      <c r="F2052" t="s">
        <v>80</v>
      </c>
      <c r="G2052">
        <v>0</v>
      </c>
      <c r="H2052" s="32" t="str">
        <f ca="1">+IF(B2052&gt;'sap nuevo'!$V$1,"cargar",IF(C2052="","cargar","pagado"))</f>
        <v>cargar</v>
      </c>
      <c r="I2052" s="32">
        <f t="shared" si="274"/>
        <v>2026</v>
      </c>
      <c r="J2052" s="32">
        <f t="shared" si="275"/>
        <v>6</v>
      </c>
    </row>
    <row r="2053" spans="1:10" x14ac:dyDescent="0.25">
      <c r="A2053" t="s">
        <v>1731</v>
      </c>
      <c r="B2053" t="s">
        <v>1754</v>
      </c>
      <c r="C2053">
        <v>91003022</v>
      </c>
      <c r="D2053">
        <v>140</v>
      </c>
      <c r="E2053" s="4">
        <v>-2573127.7799999998</v>
      </c>
      <c r="F2053" t="s">
        <v>80</v>
      </c>
      <c r="G2053">
        <v>0</v>
      </c>
      <c r="H2053" s="32" t="str">
        <f ca="1">+IF(B2053&gt;'sap nuevo'!$V$1,"cargar",IF(C2053="","cargar","pagado"))</f>
        <v>cargar</v>
      </c>
      <c r="I2053" s="32">
        <f t="shared" si="274"/>
        <v>2026</v>
      </c>
      <c r="J2053" s="32">
        <f t="shared" si="275"/>
        <v>6</v>
      </c>
    </row>
    <row r="2054" spans="1:10" x14ac:dyDescent="0.25">
      <c r="A2054" t="s">
        <v>12</v>
      </c>
      <c r="B2054" t="s">
        <v>1755</v>
      </c>
      <c r="C2054">
        <v>91003188</v>
      </c>
      <c r="D2054">
        <v>140</v>
      </c>
      <c r="E2054" s="4">
        <v>-6645020.5700000003</v>
      </c>
      <c r="F2054" t="s">
        <v>82</v>
      </c>
      <c r="G2054">
        <v>0</v>
      </c>
      <c r="H2054" s="32" t="str">
        <f ca="1">+IF(B2054&gt;'sap nuevo'!$V$1,"cargar",IF(C2054="","cargar","pagado"))</f>
        <v>cargar</v>
      </c>
      <c r="I2054" s="32">
        <f t="shared" ref="I2054:I2057" si="276">+YEAR(B2054)</f>
        <v>2026</v>
      </c>
      <c r="J2054" s="32">
        <f t="shared" ref="J2054:J2057" si="277">+MONTH(B2054)</f>
        <v>6</v>
      </c>
    </row>
    <row r="2055" spans="1:10" x14ac:dyDescent="0.25">
      <c r="A2055" t="s">
        <v>12</v>
      </c>
      <c r="B2055" t="s">
        <v>1755</v>
      </c>
      <c r="C2055">
        <v>91003254</v>
      </c>
      <c r="D2055">
        <v>140</v>
      </c>
      <c r="E2055" s="4">
        <v>-6362321.5999999996</v>
      </c>
      <c r="F2055" t="s">
        <v>82</v>
      </c>
      <c r="G2055">
        <v>0</v>
      </c>
      <c r="H2055" s="32" t="str">
        <f ca="1">+IF(B2055&gt;'sap nuevo'!$V$1,"cargar",IF(C2055="","cargar","pagado"))</f>
        <v>cargar</v>
      </c>
      <c r="I2055" s="32">
        <f t="shared" si="276"/>
        <v>2026</v>
      </c>
      <c r="J2055" s="32">
        <f t="shared" si="277"/>
        <v>6</v>
      </c>
    </row>
    <row r="2056" spans="1:10" x14ac:dyDescent="0.25">
      <c r="A2056" t="s">
        <v>12</v>
      </c>
      <c r="B2056" t="s">
        <v>1755</v>
      </c>
      <c r="C2056">
        <v>61301854</v>
      </c>
      <c r="D2056">
        <v>140</v>
      </c>
      <c r="E2056" s="4">
        <v>-3234870.66</v>
      </c>
      <c r="F2056" t="s">
        <v>82</v>
      </c>
      <c r="G2056">
        <v>0</v>
      </c>
      <c r="H2056" s="32" t="str">
        <f ca="1">+IF(B2056&gt;'sap nuevo'!$V$1,"cargar",IF(C2056="","cargar","pagado"))</f>
        <v>cargar</v>
      </c>
      <c r="I2056" s="32">
        <f t="shared" si="276"/>
        <v>2026</v>
      </c>
      <c r="J2056" s="32">
        <f t="shared" si="277"/>
        <v>6</v>
      </c>
    </row>
    <row r="2057" spans="1:10" x14ac:dyDescent="0.25">
      <c r="A2057" t="s">
        <v>1731</v>
      </c>
      <c r="B2057" t="s">
        <v>1756</v>
      </c>
      <c r="C2057">
        <v>91003238</v>
      </c>
      <c r="D2057">
        <v>140</v>
      </c>
      <c r="E2057" s="4">
        <v>-7277623.4000000004</v>
      </c>
      <c r="F2057" t="s">
        <v>80</v>
      </c>
      <c r="G2057">
        <v>0</v>
      </c>
      <c r="H2057" s="32" t="str">
        <f ca="1">+IF(B2057&gt;'sap nuevo'!$V$1,"cargar",IF(C2057="","cargar","pagado"))</f>
        <v>cargar</v>
      </c>
      <c r="I2057" s="32">
        <f t="shared" si="276"/>
        <v>2026</v>
      </c>
      <c r="J2057" s="32">
        <f t="shared" si="277"/>
        <v>6</v>
      </c>
    </row>
    <row r="2058" spans="1:10" x14ac:dyDescent="0.25">
      <c r="A2058" t="s">
        <v>1731</v>
      </c>
      <c r="B2058" t="s">
        <v>1757</v>
      </c>
      <c r="C2058">
        <v>91002855</v>
      </c>
      <c r="D2058">
        <v>140</v>
      </c>
      <c r="E2058" s="4">
        <v>-5275000</v>
      </c>
      <c r="F2058" t="s">
        <v>80</v>
      </c>
      <c r="G2058">
        <v>0</v>
      </c>
      <c r="H2058" s="32" t="str">
        <f ca="1">+IF(B2058&gt;'sap nuevo'!$V$1,"cargar",IF(C2058="","cargar","pagado"))</f>
        <v>cargar</v>
      </c>
      <c r="I2058" s="32">
        <f t="shared" ref="I2058:I2064" si="278">+YEAR(B2058)</f>
        <v>2026</v>
      </c>
      <c r="J2058" s="32">
        <f t="shared" ref="J2058:J2064" si="279">+MONTH(B2058)</f>
        <v>6</v>
      </c>
    </row>
    <row r="2059" spans="1:10" x14ac:dyDescent="0.25">
      <c r="A2059" t="s">
        <v>12</v>
      </c>
      <c r="B2059" t="s">
        <v>1760</v>
      </c>
      <c r="C2059">
        <v>91003283</v>
      </c>
      <c r="D2059">
        <v>140</v>
      </c>
      <c r="E2059" s="4">
        <v>-46999521.079999998</v>
      </c>
      <c r="F2059" t="s">
        <v>82</v>
      </c>
      <c r="G2059">
        <v>0</v>
      </c>
      <c r="H2059" s="32" t="str">
        <f ca="1">+IF(B2059&gt;'sap nuevo'!$V$1,"cargar",IF(C2059="","cargar","pagado"))</f>
        <v>cargar</v>
      </c>
      <c r="I2059" s="32">
        <f t="shared" si="278"/>
        <v>2026</v>
      </c>
      <c r="J2059" s="32">
        <f t="shared" si="279"/>
        <v>6</v>
      </c>
    </row>
    <row r="2060" spans="1:10" x14ac:dyDescent="0.25">
      <c r="A2060" t="s">
        <v>1731</v>
      </c>
      <c r="B2060" t="s">
        <v>1760</v>
      </c>
      <c r="C2060">
        <v>91003277</v>
      </c>
      <c r="D2060">
        <v>140</v>
      </c>
      <c r="E2060" s="4">
        <v>-25294855.75</v>
      </c>
      <c r="F2060" t="s">
        <v>80</v>
      </c>
      <c r="G2060">
        <v>0</v>
      </c>
      <c r="H2060" s="32" t="str">
        <f ca="1">+IF(B2060&gt;'sap nuevo'!$V$1,"cargar",IF(C2060="","cargar","pagado"))</f>
        <v>cargar</v>
      </c>
      <c r="I2060" s="32">
        <f t="shared" si="278"/>
        <v>2026</v>
      </c>
      <c r="J2060" s="32">
        <f t="shared" si="279"/>
        <v>6</v>
      </c>
    </row>
    <row r="2061" spans="1:10" x14ac:dyDescent="0.25">
      <c r="A2061" t="s">
        <v>12</v>
      </c>
      <c r="B2061" t="s">
        <v>1760</v>
      </c>
      <c r="C2061">
        <v>91003266</v>
      </c>
      <c r="D2061">
        <v>140</v>
      </c>
      <c r="E2061" s="4">
        <v>-21526983.920000002</v>
      </c>
      <c r="F2061" t="s">
        <v>82</v>
      </c>
      <c r="G2061">
        <v>0</v>
      </c>
      <c r="H2061" s="32" t="str">
        <f ca="1">+IF(B2061&gt;'sap nuevo'!$V$1,"cargar",IF(C2061="","cargar","pagado"))</f>
        <v>cargar</v>
      </c>
      <c r="I2061" s="32">
        <f t="shared" si="278"/>
        <v>2026</v>
      </c>
      <c r="J2061" s="32">
        <f t="shared" si="279"/>
        <v>6</v>
      </c>
    </row>
    <row r="2062" spans="1:10" x14ac:dyDescent="0.25">
      <c r="A2062" t="s">
        <v>1731</v>
      </c>
      <c r="B2062" t="s">
        <v>1760</v>
      </c>
      <c r="C2062">
        <v>91003276</v>
      </c>
      <c r="D2062">
        <v>140</v>
      </c>
      <c r="E2062" s="4">
        <v>-17820092.859999999</v>
      </c>
      <c r="F2062" t="s">
        <v>80</v>
      </c>
      <c r="G2062">
        <v>0</v>
      </c>
      <c r="H2062" s="32" t="str">
        <f ca="1">+IF(B2062&gt;'sap nuevo'!$V$1,"cargar",IF(C2062="","cargar","pagado"))</f>
        <v>cargar</v>
      </c>
      <c r="I2062" s="32">
        <f t="shared" si="278"/>
        <v>2026</v>
      </c>
      <c r="J2062" s="32">
        <f t="shared" si="279"/>
        <v>6</v>
      </c>
    </row>
    <row r="2063" spans="1:10" x14ac:dyDescent="0.25">
      <c r="A2063" t="s">
        <v>1731</v>
      </c>
      <c r="B2063" t="s">
        <v>1760</v>
      </c>
      <c r="C2063">
        <v>91003279</v>
      </c>
      <c r="D2063">
        <v>140</v>
      </c>
      <c r="E2063" s="4">
        <v>-16217357.949999999</v>
      </c>
      <c r="F2063" t="s">
        <v>80</v>
      </c>
      <c r="G2063">
        <v>0</v>
      </c>
      <c r="H2063" s="32" t="str">
        <f ca="1">+IF(B2063&gt;'sap nuevo'!$V$1,"cargar",IF(C2063="","cargar","pagado"))</f>
        <v>cargar</v>
      </c>
      <c r="I2063" s="32">
        <f t="shared" si="278"/>
        <v>2026</v>
      </c>
      <c r="J2063" s="32">
        <f t="shared" si="279"/>
        <v>6</v>
      </c>
    </row>
    <row r="2064" spans="1:10" x14ac:dyDescent="0.25">
      <c r="A2064" t="s">
        <v>1731</v>
      </c>
      <c r="B2064" t="s">
        <v>1760</v>
      </c>
      <c r="C2064">
        <v>91003269</v>
      </c>
      <c r="D2064">
        <v>140</v>
      </c>
      <c r="E2064" s="4">
        <v>-13233931.23</v>
      </c>
      <c r="F2064" t="s">
        <v>80</v>
      </c>
      <c r="G2064">
        <v>0</v>
      </c>
      <c r="H2064" s="32" t="str">
        <f ca="1">+IF(B2064&gt;'sap nuevo'!$V$1,"cargar",IF(C2064="","cargar","pagado"))</f>
        <v>cargar</v>
      </c>
      <c r="I2064" s="32">
        <f t="shared" si="278"/>
        <v>2026</v>
      </c>
      <c r="J2064" s="32">
        <f t="shared" si="279"/>
        <v>6</v>
      </c>
    </row>
    <row r="2065" spans="1:10" x14ac:dyDescent="0.25">
      <c r="A2065" t="s">
        <v>1731</v>
      </c>
      <c r="B2065" t="s">
        <v>1760</v>
      </c>
      <c r="C2065">
        <v>91003278</v>
      </c>
      <c r="D2065">
        <v>140</v>
      </c>
      <c r="E2065" s="4">
        <v>-11099595.26</v>
      </c>
      <c r="F2065" t="s">
        <v>80</v>
      </c>
      <c r="G2065">
        <v>0</v>
      </c>
      <c r="H2065" s="32" t="str">
        <f ca="1">+IF(B2065&gt;'sap nuevo'!$V$1,"cargar",IF(C2065="","cargar","pagado"))</f>
        <v>cargar</v>
      </c>
      <c r="I2065" s="32">
        <f t="shared" ref="I2065:I2078" si="280">+YEAR(B2065)</f>
        <v>2026</v>
      </c>
      <c r="J2065" s="32">
        <f t="shared" ref="J2065:J2078" si="281">+MONTH(B2065)</f>
        <v>6</v>
      </c>
    </row>
    <row r="2066" spans="1:10" x14ac:dyDescent="0.25">
      <c r="A2066" t="s">
        <v>1731</v>
      </c>
      <c r="B2066" t="s">
        <v>1760</v>
      </c>
      <c r="C2066">
        <v>91003267</v>
      </c>
      <c r="D2066">
        <v>140</v>
      </c>
      <c r="E2066" s="4">
        <v>-8247800</v>
      </c>
      <c r="F2066" t="s">
        <v>80</v>
      </c>
      <c r="G2066">
        <v>0</v>
      </c>
      <c r="H2066" s="32" t="str">
        <f ca="1">+IF(B2066&gt;'sap nuevo'!$V$1,"cargar",IF(C2066="","cargar","pagado"))</f>
        <v>cargar</v>
      </c>
      <c r="I2066" s="32">
        <f t="shared" si="280"/>
        <v>2026</v>
      </c>
      <c r="J2066" s="32">
        <f t="shared" si="281"/>
        <v>6</v>
      </c>
    </row>
    <row r="2067" spans="1:10" x14ac:dyDescent="0.25">
      <c r="A2067" t="s">
        <v>12</v>
      </c>
      <c r="B2067" t="s">
        <v>1760</v>
      </c>
      <c r="C2067">
        <v>91003265</v>
      </c>
      <c r="D2067">
        <v>140</v>
      </c>
      <c r="E2067" s="4">
        <v>-7878185.2599999998</v>
      </c>
      <c r="F2067" t="s">
        <v>82</v>
      </c>
      <c r="G2067">
        <v>0</v>
      </c>
      <c r="H2067" s="32" t="str">
        <f ca="1">+IF(B2067&gt;'sap nuevo'!$V$1,"cargar",IF(C2067="","cargar","pagado"))</f>
        <v>cargar</v>
      </c>
      <c r="I2067" s="32">
        <f t="shared" si="280"/>
        <v>2026</v>
      </c>
      <c r="J2067" s="32">
        <f t="shared" si="281"/>
        <v>6</v>
      </c>
    </row>
    <row r="2068" spans="1:10" x14ac:dyDescent="0.25">
      <c r="A2068" t="s">
        <v>1731</v>
      </c>
      <c r="B2068" t="s">
        <v>1760</v>
      </c>
      <c r="C2068">
        <v>91003282</v>
      </c>
      <c r="D2068">
        <v>140</v>
      </c>
      <c r="E2068" s="4">
        <v>-7798056.5999999996</v>
      </c>
      <c r="F2068" t="s">
        <v>80</v>
      </c>
      <c r="G2068">
        <v>0</v>
      </c>
      <c r="H2068" s="32" t="str">
        <f ca="1">+IF(B2068&gt;'sap nuevo'!$V$1,"cargar",IF(C2068="","cargar","pagado"))</f>
        <v>cargar</v>
      </c>
      <c r="I2068" s="32">
        <f t="shared" si="280"/>
        <v>2026</v>
      </c>
      <c r="J2068" s="32">
        <f t="shared" si="281"/>
        <v>6</v>
      </c>
    </row>
    <row r="2069" spans="1:10" x14ac:dyDescent="0.25">
      <c r="A2069" t="s">
        <v>1731</v>
      </c>
      <c r="B2069" t="s">
        <v>1760</v>
      </c>
      <c r="C2069">
        <v>91003272</v>
      </c>
      <c r="D2069">
        <v>140</v>
      </c>
      <c r="E2069" s="4">
        <v>-6971555.1299999999</v>
      </c>
      <c r="F2069" t="s">
        <v>80</v>
      </c>
      <c r="G2069">
        <v>0</v>
      </c>
      <c r="H2069" s="32" t="str">
        <f ca="1">+IF(B2069&gt;'sap nuevo'!$V$1,"cargar",IF(C2069="","cargar","pagado"))</f>
        <v>cargar</v>
      </c>
      <c r="I2069" s="32">
        <f t="shared" si="280"/>
        <v>2026</v>
      </c>
      <c r="J2069" s="32">
        <f t="shared" si="281"/>
        <v>6</v>
      </c>
    </row>
    <row r="2070" spans="1:10" x14ac:dyDescent="0.25">
      <c r="A2070" t="s">
        <v>1731</v>
      </c>
      <c r="B2070" t="s">
        <v>1760</v>
      </c>
      <c r="C2070">
        <v>91003271</v>
      </c>
      <c r="D2070">
        <v>140</v>
      </c>
      <c r="E2070" s="4">
        <v>-6855862.4800000004</v>
      </c>
      <c r="F2070" t="s">
        <v>80</v>
      </c>
      <c r="G2070">
        <v>0</v>
      </c>
      <c r="H2070" s="32" t="str">
        <f ca="1">+IF(B2070&gt;'sap nuevo'!$V$1,"cargar",IF(C2070="","cargar","pagado"))</f>
        <v>cargar</v>
      </c>
      <c r="I2070" s="32">
        <f t="shared" si="280"/>
        <v>2026</v>
      </c>
      <c r="J2070" s="32">
        <f t="shared" si="281"/>
        <v>6</v>
      </c>
    </row>
    <row r="2071" spans="1:10" x14ac:dyDescent="0.25">
      <c r="A2071" t="s">
        <v>12</v>
      </c>
      <c r="B2071" t="s">
        <v>1760</v>
      </c>
      <c r="C2071">
        <v>91003281</v>
      </c>
      <c r="D2071">
        <v>140</v>
      </c>
      <c r="E2071" s="4">
        <v>-6150566.8300000001</v>
      </c>
      <c r="F2071" t="s">
        <v>82</v>
      </c>
      <c r="G2071">
        <v>0</v>
      </c>
      <c r="H2071" s="32" t="str">
        <f ca="1">+IF(B2071&gt;'sap nuevo'!$V$1,"cargar",IF(C2071="","cargar","pagado"))</f>
        <v>cargar</v>
      </c>
      <c r="I2071" s="32">
        <f t="shared" si="280"/>
        <v>2026</v>
      </c>
      <c r="J2071" s="32">
        <f t="shared" si="281"/>
        <v>6</v>
      </c>
    </row>
    <row r="2072" spans="1:10" x14ac:dyDescent="0.25">
      <c r="A2072" t="s">
        <v>1731</v>
      </c>
      <c r="B2072" t="s">
        <v>1760</v>
      </c>
      <c r="C2072">
        <v>91003263</v>
      </c>
      <c r="D2072">
        <v>140</v>
      </c>
      <c r="E2072" s="4">
        <v>-5678260</v>
      </c>
      <c r="F2072" t="s">
        <v>80</v>
      </c>
      <c r="G2072">
        <v>0</v>
      </c>
      <c r="H2072" s="32" t="str">
        <f ca="1">+IF(B2072&gt;'sap nuevo'!$V$1,"cargar",IF(C2072="","cargar","pagado"))</f>
        <v>cargar</v>
      </c>
      <c r="I2072" s="32">
        <f t="shared" si="280"/>
        <v>2026</v>
      </c>
      <c r="J2072" s="32">
        <f t="shared" si="281"/>
        <v>6</v>
      </c>
    </row>
    <row r="2073" spans="1:10" x14ac:dyDescent="0.25">
      <c r="A2073" t="s">
        <v>1731</v>
      </c>
      <c r="B2073" t="s">
        <v>1760</v>
      </c>
      <c r="C2073">
        <v>91003262</v>
      </c>
      <c r="D2073">
        <v>140</v>
      </c>
      <c r="E2073" s="4">
        <v>-5367617.3499999996</v>
      </c>
      <c r="F2073" t="s">
        <v>80</v>
      </c>
      <c r="G2073">
        <v>0</v>
      </c>
      <c r="H2073" s="32" t="str">
        <f ca="1">+IF(B2073&gt;'sap nuevo'!$V$1,"cargar",IF(C2073="","cargar","pagado"))</f>
        <v>cargar</v>
      </c>
      <c r="I2073" s="32">
        <f t="shared" si="280"/>
        <v>2026</v>
      </c>
      <c r="J2073" s="32">
        <f t="shared" si="281"/>
        <v>6</v>
      </c>
    </row>
    <row r="2074" spans="1:10" x14ac:dyDescent="0.25">
      <c r="A2074" t="s">
        <v>1731</v>
      </c>
      <c r="B2074" t="s">
        <v>1760</v>
      </c>
      <c r="C2074">
        <v>91003273</v>
      </c>
      <c r="D2074">
        <v>140</v>
      </c>
      <c r="E2074" s="4">
        <v>-5294031.25</v>
      </c>
      <c r="F2074" t="s">
        <v>80</v>
      </c>
      <c r="G2074">
        <v>0</v>
      </c>
      <c r="H2074" s="32" t="str">
        <f ca="1">+IF(B2074&gt;'sap nuevo'!$V$1,"cargar",IF(C2074="","cargar","pagado"))</f>
        <v>cargar</v>
      </c>
      <c r="I2074" s="32">
        <f t="shared" si="280"/>
        <v>2026</v>
      </c>
      <c r="J2074" s="32">
        <f t="shared" si="281"/>
        <v>6</v>
      </c>
    </row>
    <row r="2075" spans="1:10" x14ac:dyDescent="0.25">
      <c r="A2075" t="s">
        <v>1731</v>
      </c>
      <c r="B2075" t="s">
        <v>1760</v>
      </c>
      <c r="C2075">
        <v>91003268</v>
      </c>
      <c r="D2075">
        <v>140</v>
      </c>
      <c r="E2075" s="4">
        <v>-5283180.76</v>
      </c>
      <c r="F2075" t="s">
        <v>80</v>
      </c>
      <c r="G2075">
        <v>0</v>
      </c>
      <c r="H2075" s="32" t="str">
        <f ca="1">+IF(B2075&gt;'sap nuevo'!$V$1,"cargar",IF(C2075="","cargar","pagado"))</f>
        <v>cargar</v>
      </c>
      <c r="I2075" s="32">
        <f t="shared" si="280"/>
        <v>2026</v>
      </c>
      <c r="J2075" s="32">
        <f t="shared" si="281"/>
        <v>6</v>
      </c>
    </row>
    <row r="2076" spans="1:10" x14ac:dyDescent="0.25">
      <c r="A2076" t="s">
        <v>1731</v>
      </c>
      <c r="B2076" t="s">
        <v>1761</v>
      </c>
      <c r="C2076">
        <v>91003270</v>
      </c>
      <c r="D2076">
        <v>140</v>
      </c>
      <c r="E2076" s="4">
        <v>-18907877.879999999</v>
      </c>
      <c r="F2076" t="s">
        <v>80</v>
      </c>
      <c r="G2076">
        <v>0</v>
      </c>
      <c r="H2076" s="32" t="str">
        <f ca="1">+IF(B2076&gt;'sap nuevo'!$V$1,"cargar",IF(C2076="","cargar","pagado"))</f>
        <v>cargar</v>
      </c>
      <c r="I2076" s="32">
        <f t="shared" si="280"/>
        <v>2026</v>
      </c>
      <c r="J2076" s="32">
        <f t="shared" si="281"/>
        <v>6</v>
      </c>
    </row>
    <row r="2077" spans="1:10" x14ac:dyDescent="0.25">
      <c r="A2077" t="s">
        <v>1731</v>
      </c>
      <c r="B2077" t="s">
        <v>1761</v>
      </c>
      <c r="C2077">
        <v>91003264</v>
      </c>
      <c r="D2077">
        <v>140</v>
      </c>
      <c r="E2077" s="4">
        <v>-10088492.9</v>
      </c>
      <c r="F2077" t="s">
        <v>80</v>
      </c>
      <c r="G2077">
        <v>0</v>
      </c>
      <c r="H2077" s="32" t="str">
        <f ca="1">+IF(B2077&gt;'sap nuevo'!$V$1,"cargar",IF(C2077="","cargar","pagado"))</f>
        <v>cargar</v>
      </c>
      <c r="I2077" s="32">
        <f t="shared" si="280"/>
        <v>2026</v>
      </c>
      <c r="J2077" s="32">
        <f t="shared" si="281"/>
        <v>6</v>
      </c>
    </row>
    <row r="2078" spans="1:10" x14ac:dyDescent="0.25">
      <c r="A2078" t="s">
        <v>1731</v>
      </c>
      <c r="B2078" t="s">
        <v>1761</v>
      </c>
      <c r="C2078">
        <v>91003280</v>
      </c>
      <c r="D2078">
        <v>140</v>
      </c>
      <c r="E2078" s="4">
        <v>-8716543.6500000004</v>
      </c>
      <c r="F2078" t="s">
        <v>80</v>
      </c>
      <c r="G2078">
        <v>0</v>
      </c>
      <c r="H2078" s="32" t="str">
        <f ca="1">+IF(B2078&gt;'sap nuevo'!$V$1,"cargar",IF(C2078="","cargar","pagado"))</f>
        <v>cargar</v>
      </c>
      <c r="I2078" s="32">
        <f t="shared" si="280"/>
        <v>2026</v>
      </c>
      <c r="J2078" s="32">
        <f t="shared" si="281"/>
        <v>6</v>
      </c>
    </row>
    <row r="2079" spans="1:10" x14ac:dyDescent="0.25">
      <c r="A2079" t="s">
        <v>1731</v>
      </c>
      <c r="B2079" t="s">
        <v>1762</v>
      </c>
      <c r="C2079">
        <v>91003274</v>
      </c>
      <c r="D2079">
        <v>140</v>
      </c>
      <c r="E2079" s="4">
        <v>-20000000</v>
      </c>
      <c r="F2079" t="s">
        <v>80</v>
      </c>
      <c r="G2079">
        <v>0</v>
      </c>
      <c r="H2079" s="32" t="str">
        <f ca="1">+IF(B2079&gt;'sap nuevo'!$V$1,"cargar",IF(C2079="","cargar","pagado"))</f>
        <v>cargar</v>
      </c>
      <c r="I2079" s="32">
        <f t="shared" ref="I2079:I2091" si="282">+YEAR(B2079)</f>
        <v>2026</v>
      </c>
      <c r="J2079" s="32">
        <f t="shared" ref="J2079:J2091" si="283">+MONTH(B2079)</f>
        <v>7</v>
      </c>
    </row>
    <row r="2080" spans="1:10" x14ac:dyDescent="0.25">
      <c r="A2080" t="s">
        <v>1731</v>
      </c>
      <c r="B2080" t="s">
        <v>1763</v>
      </c>
      <c r="C2080">
        <v>91003203</v>
      </c>
      <c r="D2080">
        <v>140</v>
      </c>
      <c r="E2080" s="4">
        <v>-45612602.57</v>
      </c>
      <c r="F2080" t="s">
        <v>80</v>
      </c>
      <c r="G2080">
        <v>0</v>
      </c>
      <c r="H2080" s="32" t="str">
        <f ca="1">+IF(B2080&gt;'sap nuevo'!$V$1,"cargar",IF(C2080="","cargar","pagado"))</f>
        <v>cargar</v>
      </c>
      <c r="I2080" s="32">
        <f t="shared" si="282"/>
        <v>2026</v>
      </c>
      <c r="J2080" s="32">
        <f t="shared" si="283"/>
        <v>7</v>
      </c>
    </row>
    <row r="2081" spans="1:10" x14ac:dyDescent="0.25">
      <c r="A2081" t="s">
        <v>1731</v>
      </c>
      <c r="B2081" t="s">
        <v>1764</v>
      </c>
      <c r="C2081">
        <v>91003297</v>
      </c>
      <c r="D2081">
        <v>140</v>
      </c>
      <c r="E2081" s="4">
        <v>-18754918.239999998</v>
      </c>
      <c r="F2081" t="s">
        <v>80</v>
      </c>
      <c r="G2081">
        <v>0</v>
      </c>
      <c r="H2081" s="32" t="str">
        <f ca="1">+IF(B2081&gt;'sap nuevo'!$V$1,"cargar",IF(C2081="","cargar","pagado"))</f>
        <v>cargar</v>
      </c>
      <c r="I2081" s="32">
        <f t="shared" si="282"/>
        <v>2026</v>
      </c>
      <c r="J2081" s="32">
        <f t="shared" si="283"/>
        <v>7</v>
      </c>
    </row>
    <row r="2082" spans="1:10" x14ac:dyDescent="0.25">
      <c r="A2082" t="s">
        <v>12</v>
      </c>
      <c r="B2082" t="s">
        <v>1764</v>
      </c>
      <c r="C2082">
        <v>91003289</v>
      </c>
      <c r="D2082">
        <v>140</v>
      </c>
      <c r="E2082" s="4">
        <v>-18241440</v>
      </c>
      <c r="F2082" t="s">
        <v>82</v>
      </c>
      <c r="G2082">
        <v>0</v>
      </c>
      <c r="H2082" s="32" t="str">
        <f ca="1">+IF(B2082&gt;'sap nuevo'!$V$1,"cargar",IF(C2082="","cargar","pagado"))</f>
        <v>cargar</v>
      </c>
      <c r="I2082" s="32">
        <f t="shared" si="282"/>
        <v>2026</v>
      </c>
      <c r="J2082" s="32">
        <f t="shared" si="283"/>
        <v>7</v>
      </c>
    </row>
    <row r="2083" spans="1:10" x14ac:dyDescent="0.25">
      <c r="A2083" t="s">
        <v>1731</v>
      </c>
      <c r="B2083" t="s">
        <v>1764</v>
      </c>
      <c r="C2083">
        <v>91003295</v>
      </c>
      <c r="D2083">
        <v>140</v>
      </c>
      <c r="E2083" s="4">
        <v>-15882937.85</v>
      </c>
      <c r="F2083" t="s">
        <v>80</v>
      </c>
      <c r="G2083">
        <v>0</v>
      </c>
      <c r="H2083" s="32" t="str">
        <f ca="1">+IF(B2083&gt;'sap nuevo'!$V$1,"cargar",IF(C2083="","cargar","pagado"))</f>
        <v>cargar</v>
      </c>
      <c r="I2083" s="32">
        <f t="shared" si="282"/>
        <v>2026</v>
      </c>
      <c r="J2083" s="32">
        <f t="shared" si="283"/>
        <v>7</v>
      </c>
    </row>
    <row r="2084" spans="1:10" x14ac:dyDescent="0.25">
      <c r="A2084" t="s">
        <v>12</v>
      </c>
      <c r="B2084" t="s">
        <v>1764</v>
      </c>
      <c r="C2084">
        <v>91003291</v>
      </c>
      <c r="D2084">
        <v>140</v>
      </c>
      <c r="E2084" s="4">
        <v>-15376417.08</v>
      </c>
      <c r="F2084" t="s">
        <v>82</v>
      </c>
      <c r="G2084">
        <v>0</v>
      </c>
      <c r="H2084" s="32" t="str">
        <f ca="1">+IF(B2084&gt;'sap nuevo'!$V$1,"cargar",IF(C2084="","cargar","pagado"))</f>
        <v>cargar</v>
      </c>
      <c r="I2084" s="32">
        <f t="shared" si="282"/>
        <v>2026</v>
      </c>
      <c r="J2084" s="32">
        <f t="shared" si="283"/>
        <v>7</v>
      </c>
    </row>
    <row r="2085" spans="1:10" x14ac:dyDescent="0.25">
      <c r="A2085" t="s">
        <v>12</v>
      </c>
      <c r="B2085" t="s">
        <v>1764</v>
      </c>
      <c r="C2085">
        <v>91003288</v>
      </c>
      <c r="D2085">
        <v>140</v>
      </c>
      <c r="E2085" s="4">
        <v>-14077087.5</v>
      </c>
      <c r="F2085" t="s">
        <v>82</v>
      </c>
      <c r="G2085">
        <v>0</v>
      </c>
      <c r="H2085" s="32" t="str">
        <f ca="1">+IF(B2085&gt;'sap nuevo'!$V$1,"cargar",IF(C2085="","cargar","pagado"))</f>
        <v>cargar</v>
      </c>
      <c r="I2085" s="32">
        <f t="shared" si="282"/>
        <v>2026</v>
      </c>
      <c r="J2085" s="32">
        <f t="shared" si="283"/>
        <v>7</v>
      </c>
    </row>
    <row r="2086" spans="1:10" x14ac:dyDescent="0.25">
      <c r="A2086" t="s">
        <v>1731</v>
      </c>
      <c r="B2086" t="s">
        <v>1764</v>
      </c>
      <c r="C2086">
        <v>91003294</v>
      </c>
      <c r="D2086">
        <v>140</v>
      </c>
      <c r="E2086" s="4">
        <v>-11000054.550000001</v>
      </c>
      <c r="F2086" t="s">
        <v>80</v>
      </c>
      <c r="G2086">
        <v>0</v>
      </c>
      <c r="H2086" s="32" t="str">
        <f ca="1">+IF(B2086&gt;'sap nuevo'!$V$1,"cargar",IF(C2086="","cargar","pagado"))</f>
        <v>cargar</v>
      </c>
      <c r="I2086" s="32">
        <f t="shared" si="282"/>
        <v>2026</v>
      </c>
      <c r="J2086" s="32">
        <f t="shared" si="283"/>
        <v>7</v>
      </c>
    </row>
    <row r="2087" spans="1:10" x14ac:dyDescent="0.25">
      <c r="A2087" t="s">
        <v>12</v>
      </c>
      <c r="B2087" t="s">
        <v>1764</v>
      </c>
      <c r="C2087">
        <v>91003287</v>
      </c>
      <c r="D2087">
        <v>140</v>
      </c>
      <c r="E2087" s="4">
        <v>-8319224.5899999999</v>
      </c>
      <c r="F2087" t="s">
        <v>82</v>
      </c>
      <c r="G2087">
        <v>0</v>
      </c>
      <c r="H2087" s="32" t="str">
        <f ca="1">+IF(B2087&gt;'sap nuevo'!$V$1,"cargar",IF(C2087="","cargar","pagado"))</f>
        <v>cargar</v>
      </c>
      <c r="I2087" s="32">
        <f t="shared" si="282"/>
        <v>2026</v>
      </c>
      <c r="J2087" s="32">
        <f t="shared" si="283"/>
        <v>7</v>
      </c>
    </row>
    <row r="2088" spans="1:10" x14ac:dyDescent="0.25">
      <c r="A2088" t="s">
        <v>1731</v>
      </c>
      <c r="B2088" t="s">
        <v>1764</v>
      </c>
      <c r="C2088">
        <v>91003296</v>
      </c>
      <c r="D2088">
        <v>140</v>
      </c>
      <c r="E2088" s="4">
        <v>-8285592.0300000003</v>
      </c>
      <c r="F2088" t="s">
        <v>80</v>
      </c>
      <c r="G2088">
        <v>0</v>
      </c>
      <c r="H2088" s="32" t="str">
        <f ca="1">+IF(B2088&gt;'sap nuevo'!$V$1,"cargar",IF(C2088="","cargar","pagado"))</f>
        <v>cargar</v>
      </c>
      <c r="I2088" s="32">
        <f t="shared" si="282"/>
        <v>2026</v>
      </c>
      <c r="J2088" s="32">
        <f t="shared" si="283"/>
        <v>7</v>
      </c>
    </row>
    <row r="2089" spans="1:10" x14ac:dyDescent="0.25">
      <c r="A2089" t="s">
        <v>1731</v>
      </c>
      <c r="B2089" t="s">
        <v>1764</v>
      </c>
      <c r="C2089">
        <v>91003298</v>
      </c>
      <c r="D2089">
        <v>140</v>
      </c>
      <c r="E2089" s="4">
        <v>-8016210.29</v>
      </c>
      <c r="F2089" t="s">
        <v>80</v>
      </c>
      <c r="G2089">
        <v>0</v>
      </c>
      <c r="H2089" s="32" t="str">
        <f ca="1">+IF(B2089&gt;'sap nuevo'!$V$1,"cargar",IF(C2089="","cargar","pagado"))</f>
        <v>cargar</v>
      </c>
      <c r="I2089" s="32">
        <f t="shared" si="282"/>
        <v>2026</v>
      </c>
      <c r="J2089" s="32">
        <f t="shared" si="283"/>
        <v>7</v>
      </c>
    </row>
    <row r="2090" spans="1:10" x14ac:dyDescent="0.25">
      <c r="A2090" t="s">
        <v>1731</v>
      </c>
      <c r="B2090" t="s">
        <v>1764</v>
      </c>
      <c r="C2090">
        <v>91003286</v>
      </c>
      <c r="D2090">
        <v>140</v>
      </c>
      <c r="E2090" s="4">
        <v>-6760635</v>
      </c>
      <c r="F2090" t="s">
        <v>80</v>
      </c>
      <c r="G2090">
        <v>0</v>
      </c>
      <c r="H2090" s="32" t="str">
        <f ca="1">+IF(B2090&gt;'sap nuevo'!$V$1,"cargar",IF(C2090="","cargar","pagado"))</f>
        <v>cargar</v>
      </c>
      <c r="I2090" s="32">
        <f t="shared" si="282"/>
        <v>2026</v>
      </c>
      <c r="J2090" s="32">
        <f t="shared" si="283"/>
        <v>7</v>
      </c>
    </row>
    <row r="2091" spans="1:10" x14ac:dyDescent="0.25">
      <c r="A2091" t="s">
        <v>1731</v>
      </c>
      <c r="B2091" t="s">
        <v>1764</v>
      </c>
      <c r="C2091">
        <v>61301851</v>
      </c>
      <c r="D2091">
        <v>140</v>
      </c>
      <c r="E2091" s="4">
        <v>-6610132.3700000001</v>
      </c>
      <c r="F2091" t="s">
        <v>80</v>
      </c>
      <c r="G2091">
        <v>0</v>
      </c>
      <c r="H2091" s="32" t="str">
        <f ca="1">+IF(B2091&gt;'sap nuevo'!$V$1,"cargar",IF(C2091="","cargar","pagado"))</f>
        <v>cargar</v>
      </c>
      <c r="I2091" s="32">
        <f t="shared" si="282"/>
        <v>2026</v>
      </c>
      <c r="J2091" s="32">
        <f t="shared" si="283"/>
        <v>7</v>
      </c>
    </row>
    <row r="2092" spans="1:10" x14ac:dyDescent="0.25">
      <c r="A2092" t="s">
        <v>1731</v>
      </c>
      <c r="B2092" t="s">
        <v>1764</v>
      </c>
      <c r="C2092">
        <v>91003285</v>
      </c>
      <c r="D2092">
        <v>140</v>
      </c>
      <c r="E2092" s="4">
        <v>-5688358.96</v>
      </c>
      <c r="F2092" t="s">
        <v>80</v>
      </c>
      <c r="G2092">
        <v>0</v>
      </c>
      <c r="H2092" s="32" t="str">
        <f ca="1">+IF(B2092&gt;'sap nuevo'!$V$1,"cargar",IF(C2092="","cargar","pagado"))</f>
        <v>cargar</v>
      </c>
      <c r="I2092" s="32">
        <f t="shared" ref="I2092:I2134" si="284">+YEAR(B2092)</f>
        <v>2026</v>
      </c>
      <c r="J2092" s="32">
        <f t="shared" ref="J2092:J2134" si="285">+MONTH(B2092)</f>
        <v>7</v>
      </c>
    </row>
    <row r="2093" spans="1:10" x14ac:dyDescent="0.25">
      <c r="A2093" t="s">
        <v>1731</v>
      </c>
      <c r="B2093" t="s">
        <v>1764</v>
      </c>
      <c r="C2093">
        <v>91003293</v>
      </c>
      <c r="D2093">
        <v>140</v>
      </c>
      <c r="E2093" s="4">
        <v>-5329201.8099999996</v>
      </c>
      <c r="F2093" t="s">
        <v>80</v>
      </c>
      <c r="G2093">
        <v>0</v>
      </c>
      <c r="H2093" s="32" t="str">
        <f ca="1">+IF(B2093&gt;'sap nuevo'!$V$1,"cargar",IF(C2093="","cargar","pagado"))</f>
        <v>cargar</v>
      </c>
      <c r="I2093" s="32">
        <f t="shared" si="284"/>
        <v>2026</v>
      </c>
      <c r="J2093" s="32">
        <f t="shared" si="285"/>
        <v>7</v>
      </c>
    </row>
    <row r="2094" spans="1:10" x14ac:dyDescent="0.25">
      <c r="A2094" t="s">
        <v>1731</v>
      </c>
      <c r="B2094" t="s">
        <v>1765</v>
      </c>
      <c r="C2094">
        <v>91003305</v>
      </c>
      <c r="D2094">
        <v>140</v>
      </c>
      <c r="E2094" s="4">
        <v>-20000000</v>
      </c>
      <c r="F2094" t="s">
        <v>80</v>
      </c>
      <c r="G2094">
        <v>0</v>
      </c>
      <c r="H2094" s="32" t="str">
        <f ca="1">+IF(B2094&gt;'sap nuevo'!$V$1,"cargar",IF(C2094="","cargar","pagado"))</f>
        <v>cargar</v>
      </c>
      <c r="I2094" s="32">
        <f t="shared" si="284"/>
        <v>2026</v>
      </c>
      <c r="J2094" s="32">
        <f t="shared" si="285"/>
        <v>7</v>
      </c>
    </row>
    <row r="2095" spans="1:10" x14ac:dyDescent="0.25">
      <c r="A2095" t="s">
        <v>1731</v>
      </c>
      <c r="B2095" t="s">
        <v>1765</v>
      </c>
      <c r="C2095">
        <v>91003284</v>
      </c>
      <c r="D2095">
        <v>140</v>
      </c>
      <c r="E2095" s="4">
        <v>-8663897.5399999991</v>
      </c>
      <c r="F2095" t="s">
        <v>80</v>
      </c>
      <c r="G2095">
        <v>0</v>
      </c>
      <c r="H2095" s="32" t="str">
        <f ca="1">+IF(B2095&gt;'sap nuevo'!$V$1,"cargar",IF(C2095="","cargar","pagado"))</f>
        <v>cargar</v>
      </c>
      <c r="I2095" s="32">
        <f t="shared" si="284"/>
        <v>2026</v>
      </c>
      <c r="J2095" s="32">
        <f t="shared" si="285"/>
        <v>7</v>
      </c>
    </row>
    <row r="2096" spans="1:10" x14ac:dyDescent="0.25">
      <c r="A2096" t="s">
        <v>1731</v>
      </c>
      <c r="B2096" t="s">
        <v>1766</v>
      </c>
      <c r="C2096">
        <v>91003235</v>
      </c>
      <c r="D2096">
        <v>140</v>
      </c>
      <c r="E2096" s="4">
        <v>-45580986.57</v>
      </c>
      <c r="F2096" t="s">
        <v>80</v>
      </c>
      <c r="G2096">
        <v>0</v>
      </c>
      <c r="H2096" s="32" t="str">
        <f ca="1">+IF(B2096&gt;'sap nuevo'!$V$1,"cargar",IF(C2096="","cargar","pagado"))</f>
        <v>cargar</v>
      </c>
      <c r="I2096" s="32">
        <f t="shared" si="284"/>
        <v>2026</v>
      </c>
      <c r="J2096" s="32">
        <f t="shared" si="285"/>
        <v>7</v>
      </c>
    </row>
    <row r="2097" spans="1:10" x14ac:dyDescent="0.25">
      <c r="A2097" t="s">
        <v>1731</v>
      </c>
      <c r="B2097" t="s">
        <v>1766</v>
      </c>
      <c r="C2097">
        <v>91003302</v>
      </c>
      <c r="D2097">
        <v>140</v>
      </c>
      <c r="E2097" s="4">
        <v>-14974376.84</v>
      </c>
      <c r="F2097" t="s">
        <v>80</v>
      </c>
      <c r="G2097">
        <v>0</v>
      </c>
      <c r="H2097" s="32" t="str">
        <f ca="1">+IF(B2097&gt;'sap nuevo'!$V$1,"cargar",IF(C2097="","cargar","pagado"))</f>
        <v>cargar</v>
      </c>
      <c r="I2097" s="32">
        <f t="shared" si="284"/>
        <v>2026</v>
      </c>
      <c r="J2097" s="32">
        <f t="shared" si="285"/>
        <v>7</v>
      </c>
    </row>
    <row r="2098" spans="1:10" x14ac:dyDescent="0.25">
      <c r="A2098" t="s">
        <v>1731</v>
      </c>
      <c r="B2098" t="s">
        <v>1766</v>
      </c>
      <c r="C2098">
        <v>91003306</v>
      </c>
      <c r="D2098">
        <v>140</v>
      </c>
      <c r="E2098" s="4">
        <v>-14615988.960000001</v>
      </c>
      <c r="F2098" t="s">
        <v>80</v>
      </c>
      <c r="G2098">
        <v>0</v>
      </c>
      <c r="H2098" s="32" t="str">
        <f ca="1">+IF(B2098&gt;'sap nuevo'!$V$1,"cargar",IF(C2098="","cargar","pagado"))</f>
        <v>cargar</v>
      </c>
      <c r="I2098" s="32">
        <f t="shared" si="284"/>
        <v>2026</v>
      </c>
      <c r="J2098" s="32">
        <f t="shared" si="285"/>
        <v>7</v>
      </c>
    </row>
    <row r="2099" spans="1:10" x14ac:dyDescent="0.25">
      <c r="A2099" t="s">
        <v>1731</v>
      </c>
      <c r="B2099" t="s">
        <v>1766</v>
      </c>
      <c r="C2099">
        <v>91003301</v>
      </c>
      <c r="D2099">
        <v>140</v>
      </c>
      <c r="E2099" s="4">
        <v>-13988677.369999999</v>
      </c>
      <c r="F2099" t="s">
        <v>80</v>
      </c>
      <c r="G2099">
        <v>0</v>
      </c>
      <c r="H2099" s="32" t="str">
        <f ca="1">+IF(B2099&gt;'sap nuevo'!$V$1,"cargar",IF(C2099="","cargar","pagado"))</f>
        <v>cargar</v>
      </c>
      <c r="I2099" s="32">
        <f t="shared" si="284"/>
        <v>2026</v>
      </c>
      <c r="J2099" s="32">
        <f t="shared" si="285"/>
        <v>7</v>
      </c>
    </row>
    <row r="2100" spans="1:10" x14ac:dyDescent="0.25">
      <c r="A2100" t="s">
        <v>1731</v>
      </c>
      <c r="B2100" t="s">
        <v>1766</v>
      </c>
      <c r="C2100">
        <v>91003299</v>
      </c>
      <c r="D2100">
        <v>140</v>
      </c>
      <c r="E2100" s="4">
        <v>-13555582.49</v>
      </c>
      <c r="F2100" t="s">
        <v>80</v>
      </c>
      <c r="G2100">
        <v>0</v>
      </c>
      <c r="H2100" s="32" t="str">
        <f ca="1">+IF(B2100&gt;'sap nuevo'!$V$1,"cargar",IF(C2100="","cargar","pagado"))</f>
        <v>cargar</v>
      </c>
      <c r="I2100" s="32">
        <f t="shared" si="284"/>
        <v>2026</v>
      </c>
      <c r="J2100" s="32">
        <f t="shared" si="285"/>
        <v>7</v>
      </c>
    </row>
    <row r="2101" spans="1:10" x14ac:dyDescent="0.25">
      <c r="A2101" t="s">
        <v>1731</v>
      </c>
      <c r="B2101" t="s">
        <v>1766</v>
      </c>
      <c r="C2101">
        <v>91003304</v>
      </c>
      <c r="D2101">
        <v>140</v>
      </c>
      <c r="E2101" s="4">
        <v>-12131294.33</v>
      </c>
      <c r="F2101" t="s">
        <v>80</v>
      </c>
      <c r="G2101">
        <v>0</v>
      </c>
      <c r="H2101" s="32" t="str">
        <f ca="1">+IF(B2101&gt;'sap nuevo'!$V$1,"cargar",IF(C2101="","cargar","pagado"))</f>
        <v>cargar</v>
      </c>
      <c r="I2101" s="32">
        <f t="shared" si="284"/>
        <v>2026</v>
      </c>
      <c r="J2101" s="32">
        <f t="shared" si="285"/>
        <v>7</v>
      </c>
    </row>
    <row r="2102" spans="1:10" x14ac:dyDescent="0.25">
      <c r="A2102" t="s">
        <v>1731</v>
      </c>
      <c r="B2102" t="s">
        <v>1766</v>
      </c>
      <c r="C2102">
        <v>91003300</v>
      </c>
      <c r="D2102">
        <v>140</v>
      </c>
      <c r="E2102" s="4">
        <v>-11361641.51</v>
      </c>
      <c r="F2102" t="s">
        <v>80</v>
      </c>
      <c r="G2102">
        <v>0</v>
      </c>
      <c r="H2102" s="32" t="str">
        <f ca="1">+IF(B2102&gt;'sap nuevo'!$V$1,"cargar",IF(C2102="","cargar","pagado"))</f>
        <v>cargar</v>
      </c>
      <c r="I2102" s="32">
        <f t="shared" si="284"/>
        <v>2026</v>
      </c>
      <c r="J2102" s="32">
        <f t="shared" si="285"/>
        <v>7</v>
      </c>
    </row>
    <row r="2103" spans="1:10" x14ac:dyDescent="0.25">
      <c r="A2103" t="s">
        <v>1731</v>
      </c>
      <c r="B2103" t="s">
        <v>1766</v>
      </c>
      <c r="C2103">
        <v>91003257</v>
      </c>
      <c r="D2103">
        <v>140</v>
      </c>
      <c r="E2103" s="4">
        <v>-11000000</v>
      </c>
      <c r="F2103" t="s">
        <v>80</v>
      </c>
      <c r="G2103">
        <v>0</v>
      </c>
      <c r="H2103" s="32" t="str">
        <f ca="1">+IF(B2103&gt;'sap nuevo'!$V$1,"cargar",IF(C2103="","cargar","pagado"))</f>
        <v>cargar</v>
      </c>
      <c r="I2103" s="32">
        <f t="shared" si="284"/>
        <v>2026</v>
      </c>
      <c r="J2103" s="32">
        <f t="shared" si="285"/>
        <v>7</v>
      </c>
    </row>
    <row r="2104" spans="1:10" x14ac:dyDescent="0.25">
      <c r="A2104" t="s">
        <v>12</v>
      </c>
      <c r="B2104" t="s">
        <v>1766</v>
      </c>
      <c r="C2104">
        <v>91003303</v>
      </c>
      <c r="D2104">
        <v>140</v>
      </c>
      <c r="E2104" s="4">
        <v>-10773587.92</v>
      </c>
      <c r="F2104" t="s">
        <v>82</v>
      </c>
      <c r="G2104">
        <v>0</v>
      </c>
      <c r="H2104" s="32" t="str">
        <f ca="1">+IF(B2104&gt;'sap nuevo'!$V$1,"cargar",IF(C2104="","cargar","pagado"))</f>
        <v>cargar</v>
      </c>
      <c r="I2104" s="32">
        <f t="shared" si="284"/>
        <v>2026</v>
      </c>
      <c r="J2104" s="32">
        <f t="shared" si="285"/>
        <v>7</v>
      </c>
    </row>
    <row r="2105" spans="1:10" x14ac:dyDescent="0.25">
      <c r="A2105" t="s">
        <v>1731</v>
      </c>
      <c r="B2105" t="s">
        <v>1766</v>
      </c>
      <c r="C2105">
        <v>61301849</v>
      </c>
      <c r="D2105">
        <v>140</v>
      </c>
      <c r="E2105" s="4">
        <v>-8800000</v>
      </c>
      <c r="F2105" t="s">
        <v>80</v>
      </c>
      <c r="G2105">
        <v>0</v>
      </c>
      <c r="H2105" s="32" t="str">
        <f ca="1">+IF(B2105&gt;'sap nuevo'!$V$1,"cargar",IF(C2105="","cargar","pagado"))</f>
        <v>cargar</v>
      </c>
      <c r="I2105" s="32">
        <f t="shared" si="284"/>
        <v>2026</v>
      </c>
      <c r="J2105" s="32">
        <f t="shared" si="285"/>
        <v>7</v>
      </c>
    </row>
    <row r="2106" spans="1:10" x14ac:dyDescent="0.25">
      <c r="A2106" t="s">
        <v>1731</v>
      </c>
      <c r="B2106" t="s">
        <v>1766</v>
      </c>
      <c r="C2106">
        <v>61301850</v>
      </c>
      <c r="D2106">
        <v>140</v>
      </c>
      <c r="E2106" s="4">
        <v>-8759343.4000000004</v>
      </c>
      <c r="F2106" t="s">
        <v>80</v>
      </c>
      <c r="G2106">
        <v>0</v>
      </c>
      <c r="H2106" s="32" t="str">
        <f ca="1">+IF(B2106&gt;'sap nuevo'!$V$1,"cargar",IF(C2106="","cargar","pagado"))</f>
        <v>cargar</v>
      </c>
      <c r="I2106" s="32">
        <f t="shared" si="284"/>
        <v>2026</v>
      </c>
      <c r="J2106" s="32">
        <f t="shared" si="285"/>
        <v>7</v>
      </c>
    </row>
    <row r="2107" spans="1:10" x14ac:dyDescent="0.25">
      <c r="A2107" t="s">
        <v>1731</v>
      </c>
      <c r="B2107" t="s">
        <v>1767</v>
      </c>
      <c r="C2107">
        <v>91003236</v>
      </c>
      <c r="D2107">
        <v>140</v>
      </c>
      <c r="E2107" s="4">
        <v>-15785035.92</v>
      </c>
      <c r="F2107" t="s">
        <v>80</v>
      </c>
      <c r="G2107">
        <v>0</v>
      </c>
      <c r="H2107" s="32" t="str">
        <f ca="1">+IF(B2107&gt;'sap nuevo'!$V$1,"cargar",IF(C2107="","cargar","pagado"))</f>
        <v>cargar</v>
      </c>
      <c r="I2107" s="32">
        <f t="shared" si="284"/>
        <v>2026</v>
      </c>
      <c r="J2107" s="32">
        <f t="shared" si="285"/>
        <v>7</v>
      </c>
    </row>
    <row r="2108" spans="1:10" x14ac:dyDescent="0.25">
      <c r="A2108" t="s">
        <v>1731</v>
      </c>
      <c r="B2108" t="s">
        <v>1769</v>
      </c>
      <c r="C2108">
        <v>91003316</v>
      </c>
      <c r="D2108">
        <v>140</v>
      </c>
      <c r="E2108" s="4">
        <v>-38653005.789999999</v>
      </c>
      <c r="F2108" t="s">
        <v>80</v>
      </c>
      <c r="G2108">
        <v>0</v>
      </c>
      <c r="H2108" s="32" t="str">
        <f ca="1">+IF(B2108&gt;'sap nuevo'!$V$1,"cargar",IF(C2108="","cargar","pagado"))</f>
        <v>cargar</v>
      </c>
      <c r="I2108" s="32">
        <f t="shared" si="284"/>
        <v>2026</v>
      </c>
      <c r="J2108" s="32">
        <f t="shared" si="285"/>
        <v>7</v>
      </c>
    </row>
    <row r="2109" spans="1:10" x14ac:dyDescent="0.25">
      <c r="A2109" t="s">
        <v>1731</v>
      </c>
      <c r="B2109" t="s">
        <v>1769</v>
      </c>
      <c r="C2109">
        <v>91003323</v>
      </c>
      <c r="D2109">
        <v>140</v>
      </c>
      <c r="E2109" s="4">
        <v>-27044550.27</v>
      </c>
      <c r="F2109" t="s">
        <v>80</v>
      </c>
      <c r="G2109">
        <v>0</v>
      </c>
      <c r="H2109" s="32" t="str">
        <f ca="1">+IF(B2109&gt;'sap nuevo'!$V$1,"cargar",IF(C2109="","cargar","pagado"))</f>
        <v>cargar</v>
      </c>
      <c r="I2109" s="32">
        <f t="shared" si="284"/>
        <v>2026</v>
      </c>
      <c r="J2109" s="32">
        <f t="shared" si="285"/>
        <v>7</v>
      </c>
    </row>
    <row r="2110" spans="1:10" x14ac:dyDescent="0.25">
      <c r="A2110" t="s">
        <v>1731</v>
      </c>
      <c r="B2110" t="s">
        <v>1769</v>
      </c>
      <c r="C2110">
        <v>61301852</v>
      </c>
      <c r="D2110">
        <v>140</v>
      </c>
      <c r="E2110" s="4">
        <v>-19250000</v>
      </c>
      <c r="F2110" t="s">
        <v>80</v>
      </c>
      <c r="G2110">
        <v>0</v>
      </c>
      <c r="H2110" s="32" t="str">
        <f ca="1">+IF(B2110&gt;'sap nuevo'!$V$1,"cargar",IF(C2110="","cargar","pagado"))</f>
        <v>cargar</v>
      </c>
      <c r="I2110" s="32">
        <f t="shared" si="284"/>
        <v>2026</v>
      </c>
      <c r="J2110" s="32">
        <f t="shared" si="285"/>
        <v>7</v>
      </c>
    </row>
    <row r="2111" spans="1:10" x14ac:dyDescent="0.25">
      <c r="A2111" t="s">
        <v>1731</v>
      </c>
      <c r="B2111" t="s">
        <v>1769</v>
      </c>
      <c r="C2111">
        <v>91003317</v>
      </c>
      <c r="D2111">
        <v>140</v>
      </c>
      <c r="E2111" s="4">
        <v>-18530094.16</v>
      </c>
      <c r="F2111" t="s">
        <v>80</v>
      </c>
      <c r="G2111">
        <v>0</v>
      </c>
      <c r="H2111" s="32" t="str">
        <f ca="1">+IF(B2111&gt;'sap nuevo'!$V$1,"cargar",IF(C2111="","cargar","pagado"))</f>
        <v>cargar</v>
      </c>
      <c r="I2111" s="32">
        <f t="shared" si="284"/>
        <v>2026</v>
      </c>
      <c r="J2111" s="32">
        <f t="shared" si="285"/>
        <v>7</v>
      </c>
    </row>
    <row r="2112" spans="1:10" x14ac:dyDescent="0.25">
      <c r="A2112" t="s">
        <v>1731</v>
      </c>
      <c r="B2112" t="s">
        <v>1769</v>
      </c>
      <c r="C2112">
        <v>91003318</v>
      </c>
      <c r="D2112">
        <v>140</v>
      </c>
      <c r="E2112" s="4">
        <v>-17629871.120000001</v>
      </c>
      <c r="F2112" t="s">
        <v>80</v>
      </c>
      <c r="G2112">
        <v>0</v>
      </c>
      <c r="H2112" s="32" t="str">
        <f ca="1">+IF(B2112&gt;'sap nuevo'!$V$1,"cargar",IF(C2112="","cargar","pagado"))</f>
        <v>cargar</v>
      </c>
      <c r="I2112" s="32">
        <f t="shared" si="284"/>
        <v>2026</v>
      </c>
      <c r="J2112" s="32">
        <f t="shared" si="285"/>
        <v>7</v>
      </c>
    </row>
    <row r="2113" spans="1:10" x14ac:dyDescent="0.25">
      <c r="A2113" t="s">
        <v>1731</v>
      </c>
      <c r="B2113" t="s">
        <v>1769</v>
      </c>
      <c r="C2113">
        <v>91003292</v>
      </c>
      <c r="D2113">
        <v>140</v>
      </c>
      <c r="E2113" s="4">
        <v>-14331346.609999999</v>
      </c>
      <c r="F2113" t="s">
        <v>80</v>
      </c>
      <c r="G2113">
        <v>0</v>
      </c>
      <c r="H2113" s="32" t="str">
        <f ca="1">+IF(B2113&gt;'sap nuevo'!$V$1,"cargar",IF(C2113="","cargar","pagado"))</f>
        <v>cargar</v>
      </c>
      <c r="I2113" s="32">
        <f t="shared" si="284"/>
        <v>2026</v>
      </c>
      <c r="J2113" s="32">
        <f t="shared" si="285"/>
        <v>7</v>
      </c>
    </row>
    <row r="2114" spans="1:10" x14ac:dyDescent="0.25">
      <c r="A2114" t="s">
        <v>1731</v>
      </c>
      <c r="B2114" t="s">
        <v>1769</v>
      </c>
      <c r="C2114">
        <v>91003308</v>
      </c>
      <c r="D2114">
        <v>140</v>
      </c>
      <c r="E2114" s="4">
        <v>-13890730</v>
      </c>
      <c r="F2114" t="s">
        <v>80</v>
      </c>
      <c r="G2114">
        <v>0</v>
      </c>
      <c r="H2114" s="32" t="str">
        <f ca="1">+IF(B2114&gt;'sap nuevo'!$V$1,"cargar",IF(C2114="","cargar","pagado"))</f>
        <v>cargar</v>
      </c>
      <c r="I2114" s="32">
        <f t="shared" si="284"/>
        <v>2026</v>
      </c>
      <c r="J2114" s="32">
        <f t="shared" si="285"/>
        <v>7</v>
      </c>
    </row>
    <row r="2115" spans="1:10" x14ac:dyDescent="0.25">
      <c r="A2115" t="s">
        <v>1731</v>
      </c>
      <c r="B2115" t="s">
        <v>1769</v>
      </c>
      <c r="C2115">
        <v>91003310</v>
      </c>
      <c r="D2115">
        <v>140</v>
      </c>
      <c r="E2115" s="4">
        <v>-9962077.7799999993</v>
      </c>
      <c r="F2115" t="s">
        <v>80</v>
      </c>
      <c r="G2115">
        <v>0</v>
      </c>
      <c r="H2115" s="32" t="str">
        <f ca="1">+IF(B2115&gt;'sap nuevo'!$V$1,"cargar",IF(C2115="","cargar","pagado"))</f>
        <v>cargar</v>
      </c>
      <c r="I2115" s="32">
        <f t="shared" si="284"/>
        <v>2026</v>
      </c>
      <c r="J2115" s="32">
        <f t="shared" si="285"/>
        <v>7</v>
      </c>
    </row>
    <row r="2116" spans="1:10" x14ac:dyDescent="0.25">
      <c r="A2116" t="s">
        <v>1731</v>
      </c>
      <c r="B2116" t="s">
        <v>1769</v>
      </c>
      <c r="C2116">
        <v>91003322</v>
      </c>
      <c r="D2116">
        <v>140</v>
      </c>
      <c r="E2116" s="4">
        <v>-8845604.0800000001</v>
      </c>
      <c r="F2116" t="s">
        <v>80</v>
      </c>
      <c r="G2116">
        <v>0</v>
      </c>
      <c r="H2116" s="32" t="str">
        <f ca="1">+IF(B2116&gt;'sap nuevo'!$V$1,"cargar",IF(C2116="","cargar","pagado"))</f>
        <v>cargar</v>
      </c>
      <c r="I2116" s="32">
        <f t="shared" si="284"/>
        <v>2026</v>
      </c>
      <c r="J2116" s="32">
        <f t="shared" si="285"/>
        <v>7</v>
      </c>
    </row>
    <row r="2117" spans="1:10" x14ac:dyDescent="0.25">
      <c r="A2117" t="s">
        <v>12</v>
      </c>
      <c r="B2117" t="s">
        <v>1769</v>
      </c>
      <c r="C2117">
        <v>91003312</v>
      </c>
      <c r="D2117">
        <v>140</v>
      </c>
      <c r="E2117" s="4">
        <v>-8455481.1400000006</v>
      </c>
      <c r="F2117" t="s">
        <v>82</v>
      </c>
      <c r="G2117">
        <v>0</v>
      </c>
      <c r="H2117" s="32" t="str">
        <f ca="1">+IF(B2117&gt;'sap nuevo'!$V$1,"cargar",IF(C2117="","cargar","pagado"))</f>
        <v>cargar</v>
      </c>
      <c r="I2117" s="32">
        <f t="shared" si="284"/>
        <v>2026</v>
      </c>
      <c r="J2117" s="32">
        <f t="shared" si="285"/>
        <v>7</v>
      </c>
    </row>
    <row r="2118" spans="1:10" x14ac:dyDescent="0.25">
      <c r="A2118" t="s">
        <v>1731</v>
      </c>
      <c r="B2118" t="s">
        <v>1769</v>
      </c>
      <c r="C2118">
        <v>91003307</v>
      </c>
      <c r="D2118">
        <v>140</v>
      </c>
      <c r="E2118" s="4">
        <v>-7054113.21</v>
      </c>
      <c r="F2118" t="s">
        <v>80</v>
      </c>
      <c r="G2118">
        <v>0</v>
      </c>
      <c r="H2118" s="32" t="str">
        <f ca="1">+IF(B2118&gt;'sap nuevo'!$V$1,"cargar",IF(C2118="","cargar","pagado"))</f>
        <v>cargar</v>
      </c>
      <c r="I2118" s="32">
        <f t="shared" si="284"/>
        <v>2026</v>
      </c>
      <c r="J2118" s="32">
        <f t="shared" si="285"/>
        <v>7</v>
      </c>
    </row>
    <row r="2119" spans="1:10" x14ac:dyDescent="0.25">
      <c r="A2119" t="s">
        <v>12</v>
      </c>
      <c r="B2119" t="s">
        <v>1769</v>
      </c>
      <c r="C2119">
        <v>91003311</v>
      </c>
      <c r="D2119">
        <v>140</v>
      </c>
      <c r="E2119" s="4">
        <v>-6800786.4000000004</v>
      </c>
      <c r="F2119" t="s">
        <v>82</v>
      </c>
      <c r="G2119">
        <v>0</v>
      </c>
      <c r="H2119" s="32" t="str">
        <f ca="1">+IF(B2119&gt;'sap nuevo'!$V$1,"cargar",IF(C2119="","cargar","pagado"))</f>
        <v>cargar</v>
      </c>
      <c r="I2119" s="32">
        <f t="shared" si="284"/>
        <v>2026</v>
      </c>
      <c r="J2119" s="32">
        <f t="shared" si="285"/>
        <v>7</v>
      </c>
    </row>
    <row r="2120" spans="1:10" x14ac:dyDescent="0.25">
      <c r="A2120" t="s">
        <v>1731</v>
      </c>
      <c r="B2120" t="s">
        <v>1769</v>
      </c>
      <c r="C2120">
        <v>91003315</v>
      </c>
      <c r="D2120">
        <v>140</v>
      </c>
      <c r="E2120" s="4">
        <v>-5283180.76</v>
      </c>
      <c r="F2120" t="s">
        <v>80</v>
      </c>
      <c r="G2120">
        <v>0</v>
      </c>
      <c r="H2120" s="32" t="str">
        <f ca="1">+IF(B2120&gt;'sap nuevo'!$V$1,"cargar",IF(C2120="","cargar","pagado"))</f>
        <v>cargar</v>
      </c>
      <c r="I2120" s="32">
        <f t="shared" si="284"/>
        <v>2026</v>
      </c>
      <c r="J2120" s="32">
        <f t="shared" si="285"/>
        <v>7</v>
      </c>
    </row>
    <row r="2121" spans="1:10" x14ac:dyDescent="0.25">
      <c r="A2121" t="s">
        <v>12</v>
      </c>
      <c r="B2121" t="s">
        <v>1770</v>
      </c>
      <c r="C2121">
        <v>91003290</v>
      </c>
      <c r="D2121">
        <v>140</v>
      </c>
      <c r="E2121" s="4">
        <v>-9022835.9399999995</v>
      </c>
      <c r="F2121" t="s">
        <v>82</v>
      </c>
      <c r="G2121">
        <v>0</v>
      </c>
      <c r="H2121" s="32" t="str">
        <f ca="1">+IF(B2121&gt;'sap nuevo'!$V$1,"cargar",IF(C2121="","cargar","pagado"))</f>
        <v>cargar</v>
      </c>
      <c r="I2121" s="32">
        <f t="shared" si="284"/>
        <v>2026</v>
      </c>
      <c r="J2121" s="32">
        <f t="shared" si="285"/>
        <v>7</v>
      </c>
    </row>
    <row r="2122" spans="1:10" x14ac:dyDescent="0.25">
      <c r="A2122" t="s">
        <v>1731</v>
      </c>
      <c r="B2122" t="s">
        <v>1770</v>
      </c>
      <c r="C2122">
        <v>91003313</v>
      </c>
      <c r="D2122">
        <v>140</v>
      </c>
      <c r="E2122" s="4">
        <v>-8462338.5199999996</v>
      </c>
      <c r="F2122" t="s">
        <v>80</v>
      </c>
      <c r="G2122">
        <v>0</v>
      </c>
      <c r="H2122" s="32" t="str">
        <f ca="1">+IF(B2122&gt;'sap nuevo'!$V$1,"cargar",IF(C2122="","cargar","pagado"))</f>
        <v>cargar</v>
      </c>
      <c r="I2122" s="32">
        <f t="shared" si="284"/>
        <v>2026</v>
      </c>
      <c r="J2122" s="32">
        <f t="shared" si="285"/>
        <v>7</v>
      </c>
    </row>
    <row r="2123" spans="1:10" x14ac:dyDescent="0.25">
      <c r="A2123" t="s">
        <v>1731</v>
      </c>
      <c r="B2123" t="s">
        <v>1770</v>
      </c>
      <c r="C2123">
        <v>91003309</v>
      </c>
      <c r="D2123">
        <v>140</v>
      </c>
      <c r="E2123" s="4">
        <v>-7347164.3899999997</v>
      </c>
      <c r="F2123" t="s">
        <v>80</v>
      </c>
      <c r="G2123">
        <v>0</v>
      </c>
      <c r="H2123" s="32" t="str">
        <f ca="1">+IF(B2123&gt;'sap nuevo'!$V$1,"cargar",IF(C2123="","cargar","pagado"))</f>
        <v>cargar</v>
      </c>
      <c r="I2123" s="32">
        <f t="shared" si="284"/>
        <v>2026</v>
      </c>
      <c r="J2123" s="32">
        <f t="shared" si="285"/>
        <v>7</v>
      </c>
    </row>
    <row r="2124" spans="1:10" x14ac:dyDescent="0.25">
      <c r="A2124" t="s">
        <v>1731</v>
      </c>
      <c r="B2124" t="s">
        <v>1770</v>
      </c>
      <c r="C2124">
        <v>91003319</v>
      </c>
      <c r="D2124">
        <v>140</v>
      </c>
      <c r="E2124" s="4">
        <v>-6378951.2199999997</v>
      </c>
      <c r="F2124" t="s">
        <v>80</v>
      </c>
      <c r="G2124">
        <v>0</v>
      </c>
      <c r="H2124" s="32" t="str">
        <f ca="1">+IF(B2124&gt;'sap nuevo'!$V$1,"cargar",IF(C2124="","cargar","pagado"))</f>
        <v>cargar</v>
      </c>
      <c r="I2124" s="32">
        <f t="shared" si="284"/>
        <v>2026</v>
      </c>
      <c r="J2124" s="32">
        <f t="shared" si="285"/>
        <v>7</v>
      </c>
    </row>
    <row r="2125" spans="1:10" x14ac:dyDescent="0.25">
      <c r="A2125" t="s">
        <v>12</v>
      </c>
      <c r="B2125" t="s">
        <v>1771</v>
      </c>
      <c r="C2125">
        <v>91003314</v>
      </c>
      <c r="D2125">
        <v>140</v>
      </c>
      <c r="E2125" s="4">
        <v>-21526983.91</v>
      </c>
      <c r="F2125" t="s">
        <v>82</v>
      </c>
      <c r="G2125">
        <v>0</v>
      </c>
      <c r="H2125" s="32" t="str">
        <f ca="1">+IF(B2125&gt;'sap nuevo'!$V$1,"cargar",IF(C2125="","cargar","pagado"))</f>
        <v>cargar</v>
      </c>
      <c r="I2125" s="32">
        <f t="shared" si="284"/>
        <v>2026</v>
      </c>
      <c r="J2125" s="32">
        <f t="shared" si="285"/>
        <v>7</v>
      </c>
    </row>
    <row r="2126" spans="1:10" x14ac:dyDescent="0.25">
      <c r="A2126" t="s">
        <v>1731</v>
      </c>
      <c r="B2126" t="s">
        <v>1772</v>
      </c>
      <c r="C2126">
        <v>91003339</v>
      </c>
      <c r="D2126">
        <v>140</v>
      </c>
      <c r="E2126" s="4">
        <v>-22700807.460000001</v>
      </c>
      <c r="F2126" t="s">
        <v>80</v>
      </c>
      <c r="G2126">
        <v>0</v>
      </c>
      <c r="H2126" s="32" t="str">
        <f ca="1">+IF(B2126&gt;'sap nuevo'!$V$1,"cargar",IF(C2126="","cargar","pagado"))</f>
        <v>cargar</v>
      </c>
      <c r="I2126" s="32">
        <f t="shared" si="284"/>
        <v>2026</v>
      </c>
      <c r="J2126" s="32">
        <f t="shared" si="285"/>
        <v>7</v>
      </c>
    </row>
    <row r="2127" spans="1:10" x14ac:dyDescent="0.25">
      <c r="A2127" t="s">
        <v>1731</v>
      </c>
      <c r="B2127" t="s">
        <v>1772</v>
      </c>
      <c r="C2127">
        <v>91003327</v>
      </c>
      <c r="D2127">
        <v>140</v>
      </c>
      <c r="E2127" s="4">
        <v>-15170268.42</v>
      </c>
      <c r="F2127" t="s">
        <v>80</v>
      </c>
      <c r="G2127">
        <v>0</v>
      </c>
      <c r="H2127" s="32" t="str">
        <f ca="1">+IF(B2127&gt;'sap nuevo'!$V$1,"cargar",IF(C2127="","cargar","pagado"))</f>
        <v>cargar</v>
      </c>
      <c r="I2127" s="32">
        <f t="shared" si="284"/>
        <v>2026</v>
      </c>
      <c r="J2127" s="32">
        <f t="shared" si="285"/>
        <v>7</v>
      </c>
    </row>
    <row r="2128" spans="1:10" x14ac:dyDescent="0.25">
      <c r="A2128" t="s">
        <v>1731</v>
      </c>
      <c r="B2128" t="s">
        <v>1772</v>
      </c>
      <c r="C2128">
        <v>91003332</v>
      </c>
      <c r="D2128">
        <v>140</v>
      </c>
      <c r="E2128" s="4">
        <v>-15010301.109999999</v>
      </c>
      <c r="F2128" t="s">
        <v>80</v>
      </c>
      <c r="G2128">
        <v>0</v>
      </c>
      <c r="H2128" s="32" t="str">
        <f ca="1">+IF(B2128&gt;'sap nuevo'!$V$1,"cargar",IF(C2128="","cargar","pagado"))</f>
        <v>cargar</v>
      </c>
      <c r="I2128" s="32">
        <f t="shared" si="284"/>
        <v>2026</v>
      </c>
      <c r="J2128" s="32">
        <f t="shared" si="285"/>
        <v>7</v>
      </c>
    </row>
    <row r="2129" spans="1:10" x14ac:dyDescent="0.25">
      <c r="A2129" t="s">
        <v>1731</v>
      </c>
      <c r="B2129" t="s">
        <v>1772</v>
      </c>
      <c r="C2129">
        <v>91003329</v>
      </c>
      <c r="D2129">
        <v>140</v>
      </c>
      <c r="E2129" s="4">
        <v>-15000000</v>
      </c>
      <c r="F2129" t="s">
        <v>80</v>
      </c>
      <c r="G2129">
        <v>0</v>
      </c>
      <c r="H2129" s="32" t="str">
        <f ca="1">+IF(B2129&gt;'sap nuevo'!$V$1,"cargar",IF(C2129="","cargar","pagado"))</f>
        <v>cargar</v>
      </c>
      <c r="I2129" s="32">
        <f t="shared" si="284"/>
        <v>2026</v>
      </c>
      <c r="J2129" s="32">
        <f t="shared" si="285"/>
        <v>7</v>
      </c>
    </row>
    <row r="2130" spans="1:10" x14ac:dyDescent="0.25">
      <c r="A2130" t="s">
        <v>1731</v>
      </c>
      <c r="B2130" t="s">
        <v>1772</v>
      </c>
      <c r="C2130">
        <v>91003331</v>
      </c>
      <c r="D2130">
        <v>140</v>
      </c>
      <c r="E2130" s="4">
        <v>-13391321.01</v>
      </c>
      <c r="F2130" t="s">
        <v>80</v>
      </c>
      <c r="G2130">
        <v>0</v>
      </c>
      <c r="H2130" s="32" t="str">
        <f ca="1">+IF(B2130&gt;'sap nuevo'!$V$1,"cargar",IF(C2130="","cargar","pagado"))</f>
        <v>cargar</v>
      </c>
      <c r="I2130" s="32">
        <f t="shared" si="284"/>
        <v>2026</v>
      </c>
      <c r="J2130" s="32">
        <f t="shared" si="285"/>
        <v>7</v>
      </c>
    </row>
    <row r="2131" spans="1:10" x14ac:dyDescent="0.25">
      <c r="A2131" t="s">
        <v>12</v>
      </c>
      <c r="B2131" t="s">
        <v>1772</v>
      </c>
      <c r="C2131">
        <v>91003336</v>
      </c>
      <c r="D2131">
        <v>140</v>
      </c>
      <c r="E2131" s="4">
        <v>-12361745.539999999</v>
      </c>
      <c r="F2131" t="s">
        <v>82</v>
      </c>
      <c r="G2131">
        <v>0</v>
      </c>
      <c r="H2131" s="32" t="str">
        <f ca="1">+IF(B2131&gt;'sap nuevo'!$V$1,"cargar",IF(C2131="","cargar","pagado"))</f>
        <v>cargar</v>
      </c>
      <c r="I2131" s="32">
        <f t="shared" si="284"/>
        <v>2026</v>
      </c>
      <c r="J2131" s="32">
        <f t="shared" si="285"/>
        <v>7</v>
      </c>
    </row>
    <row r="2132" spans="1:10" x14ac:dyDescent="0.25">
      <c r="A2132" t="s">
        <v>1731</v>
      </c>
      <c r="B2132" t="s">
        <v>1772</v>
      </c>
      <c r="C2132">
        <v>91003325</v>
      </c>
      <c r="D2132">
        <v>140</v>
      </c>
      <c r="E2132" s="4">
        <v>-11741181.529999999</v>
      </c>
      <c r="F2132" t="s">
        <v>80</v>
      </c>
      <c r="G2132">
        <v>0</v>
      </c>
      <c r="H2132" s="32" t="str">
        <f ca="1">+IF(B2132&gt;'sap nuevo'!$V$1,"cargar",IF(C2132="","cargar","pagado"))</f>
        <v>cargar</v>
      </c>
      <c r="I2132" s="32">
        <f t="shared" si="284"/>
        <v>2026</v>
      </c>
      <c r="J2132" s="32">
        <f t="shared" si="285"/>
        <v>7</v>
      </c>
    </row>
    <row r="2133" spans="1:10" x14ac:dyDescent="0.25">
      <c r="A2133" t="s">
        <v>1731</v>
      </c>
      <c r="B2133" t="s">
        <v>1772</v>
      </c>
      <c r="C2133">
        <v>91003330</v>
      </c>
      <c r="D2133">
        <v>140</v>
      </c>
      <c r="E2133" s="4">
        <v>-10880378.08</v>
      </c>
      <c r="F2133" t="s">
        <v>80</v>
      </c>
      <c r="G2133">
        <v>0</v>
      </c>
      <c r="H2133" s="32" t="str">
        <f ca="1">+IF(B2133&gt;'sap nuevo'!$V$1,"cargar",IF(C2133="","cargar","pagado"))</f>
        <v>cargar</v>
      </c>
      <c r="I2133" s="32">
        <f t="shared" si="284"/>
        <v>2026</v>
      </c>
      <c r="J2133" s="32">
        <f t="shared" si="285"/>
        <v>7</v>
      </c>
    </row>
    <row r="2134" spans="1:10" x14ac:dyDescent="0.25">
      <c r="A2134" t="s">
        <v>1731</v>
      </c>
      <c r="B2134" t="s">
        <v>1772</v>
      </c>
      <c r="C2134">
        <v>91003324</v>
      </c>
      <c r="D2134">
        <v>140</v>
      </c>
      <c r="E2134" s="4">
        <v>-8236487.5199999996</v>
      </c>
      <c r="F2134" t="s">
        <v>80</v>
      </c>
      <c r="G2134">
        <v>0</v>
      </c>
      <c r="H2134" s="32" t="str">
        <f ca="1">+IF(B2134&gt;'sap nuevo'!$V$1,"cargar",IF(C2134="","cargar","pagado"))</f>
        <v>cargar</v>
      </c>
      <c r="I2134" s="32">
        <f t="shared" si="284"/>
        <v>2026</v>
      </c>
      <c r="J2134" s="32">
        <f t="shared" si="285"/>
        <v>7</v>
      </c>
    </row>
    <row r="2135" spans="1:10" x14ac:dyDescent="0.25">
      <c r="A2135" t="s">
        <v>1731</v>
      </c>
      <c r="B2135" t="s">
        <v>1772</v>
      </c>
      <c r="C2135">
        <v>91003337</v>
      </c>
      <c r="D2135">
        <v>140</v>
      </c>
      <c r="E2135" s="4">
        <v>-7812681.4100000001</v>
      </c>
      <c r="F2135" t="s">
        <v>80</v>
      </c>
      <c r="G2135">
        <v>0</v>
      </c>
      <c r="H2135" s="32" t="str">
        <f ca="1">+IF(B2135&gt;'sap nuevo'!$V$1,"cargar",IF(C2135="","cargar","pagado"))</f>
        <v>cargar</v>
      </c>
      <c r="I2135" s="32">
        <f t="shared" ref="I2135:I2198" si="286">+YEAR(B2135)</f>
        <v>2026</v>
      </c>
      <c r="J2135" s="32">
        <f t="shared" ref="J2135:J2198" si="287">+MONTH(B2135)</f>
        <v>7</v>
      </c>
    </row>
    <row r="2136" spans="1:10" x14ac:dyDescent="0.25">
      <c r="A2136" t="s">
        <v>1731</v>
      </c>
      <c r="B2136" t="s">
        <v>1772</v>
      </c>
      <c r="C2136">
        <v>91003333</v>
      </c>
      <c r="D2136">
        <v>140</v>
      </c>
      <c r="E2136" s="4">
        <v>-7314226.79</v>
      </c>
      <c r="F2136" t="s">
        <v>80</v>
      </c>
      <c r="G2136">
        <v>0</v>
      </c>
      <c r="H2136" s="32" t="str">
        <f ca="1">+IF(B2136&gt;'sap nuevo'!$V$1,"cargar",IF(C2136="","cargar","pagado"))</f>
        <v>cargar</v>
      </c>
      <c r="I2136" s="32">
        <f t="shared" si="286"/>
        <v>2026</v>
      </c>
      <c r="J2136" s="32">
        <f t="shared" si="287"/>
        <v>7</v>
      </c>
    </row>
    <row r="2137" spans="1:10" x14ac:dyDescent="0.25">
      <c r="A2137" t="s">
        <v>1731</v>
      </c>
      <c r="B2137" t="s">
        <v>1772</v>
      </c>
      <c r="C2137">
        <v>91003320</v>
      </c>
      <c r="D2137">
        <v>140</v>
      </c>
      <c r="E2137" s="4">
        <v>-7255671.1699999999</v>
      </c>
      <c r="F2137" t="s">
        <v>80</v>
      </c>
      <c r="G2137">
        <v>0</v>
      </c>
      <c r="H2137" s="32" t="str">
        <f ca="1">+IF(B2137&gt;'sap nuevo'!$V$1,"cargar",IF(C2137="","cargar","pagado"))</f>
        <v>cargar</v>
      </c>
      <c r="I2137" s="32">
        <f t="shared" si="286"/>
        <v>2026</v>
      </c>
      <c r="J2137" s="32">
        <f t="shared" si="287"/>
        <v>7</v>
      </c>
    </row>
    <row r="2138" spans="1:10" x14ac:dyDescent="0.25">
      <c r="A2138" t="s">
        <v>1731</v>
      </c>
      <c r="B2138" t="s">
        <v>1772</v>
      </c>
      <c r="C2138">
        <v>91003334</v>
      </c>
      <c r="D2138">
        <v>140</v>
      </c>
      <c r="E2138" s="4">
        <v>-6003269</v>
      </c>
      <c r="F2138" t="s">
        <v>80</v>
      </c>
      <c r="G2138">
        <v>0</v>
      </c>
      <c r="H2138" s="32" t="str">
        <f ca="1">+IF(B2138&gt;'sap nuevo'!$V$1,"cargar",IF(C2138="","cargar","pagado"))</f>
        <v>cargar</v>
      </c>
      <c r="I2138" s="32">
        <f t="shared" si="286"/>
        <v>2026</v>
      </c>
      <c r="J2138" s="32">
        <f t="shared" si="287"/>
        <v>7</v>
      </c>
    </row>
    <row r="2139" spans="1:10" x14ac:dyDescent="0.25">
      <c r="A2139" t="s">
        <v>1731</v>
      </c>
      <c r="B2139" t="s">
        <v>1772</v>
      </c>
      <c r="C2139">
        <v>91003338</v>
      </c>
      <c r="D2139">
        <v>140</v>
      </c>
      <c r="E2139" s="4">
        <v>-5471093.4000000004</v>
      </c>
      <c r="F2139" t="s">
        <v>80</v>
      </c>
      <c r="G2139">
        <v>0</v>
      </c>
      <c r="H2139" s="32" t="str">
        <f ca="1">+IF(B2139&gt;'sap nuevo'!$V$1,"cargar",IF(C2139="","cargar","pagado"))</f>
        <v>cargar</v>
      </c>
      <c r="I2139" s="32">
        <f t="shared" si="286"/>
        <v>2026</v>
      </c>
      <c r="J2139" s="32">
        <f t="shared" si="287"/>
        <v>7</v>
      </c>
    </row>
    <row r="2140" spans="1:10" x14ac:dyDescent="0.25">
      <c r="A2140" t="s">
        <v>1731</v>
      </c>
      <c r="B2140" t="s">
        <v>1772</v>
      </c>
      <c r="C2140">
        <v>91003326</v>
      </c>
      <c r="D2140">
        <v>140</v>
      </c>
      <c r="E2140" s="4">
        <v>-5220309.6900000004</v>
      </c>
      <c r="F2140" t="s">
        <v>80</v>
      </c>
      <c r="G2140">
        <v>0</v>
      </c>
      <c r="H2140" s="32" t="str">
        <f ca="1">+IF(B2140&gt;'sap nuevo'!$V$1,"cargar",IF(C2140="","cargar","pagado"))</f>
        <v>cargar</v>
      </c>
      <c r="I2140" s="32">
        <f t="shared" si="286"/>
        <v>2026</v>
      </c>
      <c r="J2140" s="32">
        <f t="shared" si="287"/>
        <v>7</v>
      </c>
    </row>
    <row r="2141" spans="1:10" x14ac:dyDescent="0.25">
      <c r="A2141" t="s">
        <v>1731</v>
      </c>
      <c r="B2141" t="s">
        <v>1777</v>
      </c>
      <c r="C2141">
        <v>91003342</v>
      </c>
      <c r="D2141">
        <v>140</v>
      </c>
      <c r="E2141" s="4">
        <v>-20000000</v>
      </c>
      <c r="F2141" t="s">
        <v>80</v>
      </c>
      <c r="G2141">
        <v>0</v>
      </c>
      <c r="H2141" s="32" t="str">
        <f ca="1">+IF(B2141&gt;'sap nuevo'!$V$1,"cargar",IF(C2141="","cargar","pagado"))</f>
        <v>cargar</v>
      </c>
      <c r="I2141" s="32">
        <f t="shared" si="286"/>
        <v>2026</v>
      </c>
      <c r="J2141" s="32">
        <f t="shared" si="287"/>
        <v>7</v>
      </c>
    </row>
    <row r="2142" spans="1:10" x14ac:dyDescent="0.25">
      <c r="A2142" t="s">
        <v>1731</v>
      </c>
      <c r="B2142" t="s">
        <v>1777</v>
      </c>
      <c r="C2142">
        <v>91003241</v>
      </c>
      <c r="D2142">
        <v>140</v>
      </c>
      <c r="E2142" s="4">
        <v>-7261380</v>
      </c>
      <c r="F2142" t="s">
        <v>80</v>
      </c>
      <c r="G2142">
        <v>0</v>
      </c>
      <c r="H2142" s="32" t="str">
        <f ca="1">+IF(B2142&gt;'sap nuevo'!$V$1,"cargar",IF(C2142="","cargar","pagado"))</f>
        <v>cargar</v>
      </c>
      <c r="I2142" s="32">
        <f t="shared" si="286"/>
        <v>2026</v>
      </c>
      <c r="J2142" s="32">
        <f t="shared" si="287"/>
        <v>7</v>
      </c>
    </row>
    <row r="2143" spans="1:10" x14ac:dyDescent="0.25">
      <c r="A2143" t="s">
        <v>1731</v>
      </c>
      <c r="B2143" t="s">
        <v>1777</v>
      </c>
      <c r="C2143">
        <v>91003335</v>
      </c>
      <c r="D2143">
        <v>140</v>
      </c>
      <c r="E2143" s="4">
        <v>-5643449.7599999998</v>
      </c>
      <c r="F2143" t="s">
        <v>80</v>
      </c>
      <c r="G2143">
        <v>0</v>
      </c>
      <c r="H2143" s="32" t="str">
        <f ca="1">+IF(B2143&gt;'sap nuevo'!$V$1,"cargar",IF(C2143="","cargar","pagado"))</f>
        <v>cargar</v>
      </c>
      <c r="I2143" s="32">
        <f t="shared" si="286"/>
        <v>2026</v>
      </c>
      <c r="J2143" s="32">
        <f t="shared" si="287"/>
        <v>7</v>
      </c>
    </row>
    <row r="2144" spans="1:10" x14ac:dyDescent="0.25">
      <c r="A2144" t="s">
        <v>1731</v>
      </c>
      <c r="B2144" t="s">
        <v>1777</v>
      </c>
      <c r="C2144">
        <v>61301862</v>
      </c>
      <c r="D2144">
        <v>140</v>
      </c>
      <c r="E2144" s="4">
        <v>-4500000</v>
      </c>
      <c r="F2144" t="s">
        <v>80</v>
      </c>
      <c r="G2144">
        <v>0</v>
      </c>
      <c r="H2144" s="32" t="str">
        <f ca="1">+IF(B2144&gt;'sap nuevo'!$V$1,"cargar",IF(C2144="","cargar","pagado"))</f>
        <v>cargar</v>
      </c>
      <c r="I2144" s="32">
        <f t="shared" si="286"/>
        <v>2026</v>
      </c>
      <c r="J2144" s="32">
        <f t="shared" si="287"/>
        <v>7</v>
      </c>
    </row>
    <row r="2145" spans="1:10" x14ac:dyDescent="0.25">
      <c r="A2145" t="s">
        <v>1731</v>
      </c>
      <c r="B2145" t="s">
        <v>1778</v>
      </c>
      <c r="C2145">
        <v>91003344</v>
      </c>
      <c r="D2145">
        <v>140</v>
      </c>
      <c r="E2145" s="4">
        <v>-20916741.260000002</v>
      </c>
      <c r="F2145" t="s">
        <v>80</v>
      </c>
      <c r="G2145">
        <v>0</v>
      </c>
      <c r="H2145" s="32" t="str">
        <f ca="1">+IF(B2145&gt;'sap nuevo'!$V$1,"cargar",IF(C2145="","cargar","pagado"))</f>
        <v>cargar</v>
      </c>
      <c r="I2145" s="32">
        <f t="shared" si="286"/>
        <v>2026</v>
      </c>
      <c r="J2145" s="32">
        <f t="shared" si="287"/>
        <v>7</v>
      </c>
    </row>
    <row r="2146" spans="1:10" x14ac:dyDescent="0.25">
      <c r="A2146" t="s">
        <v>1731</v>
      </c>
      <c r="B2146" t="s">
        <v>1778</v>
      </c>
      <c r="C2146">
        <v>91003353</v>
      </c>
      <c r="D2146">
        <v>140</v>
      </c>
      <c r="E2146" s="4">
        <v>-20100625.23</v>
      </c>
      <c r="F2146" t="s">
        <v>80</v>
      </c>
      <c r="G2146">
        <v>0</v>
      </c>
      <c r="H2146" s="32" t="str">
        <f ca="1">+IF(B2146&gt;'sap nuevo'!$V$1,"cargar",IF(C2146="","cargar","pagado"))</f>
        <v>cargar</v>
      </c>
      <c r="I2146" s="32">
        <f t="shared" si="286"/>
        <v>2026</v>
      </c>
      <c r="J2146" s="32">
        <f t="shared" si="287"/>
        <v>7</v>
      </c>
    </row>
    <row r="2147" spans="1:10" x14ac:dyDescent="0.25">
      <c r="A2147" t="s">
        <v>1731</v>
      </c>
      <c r="B2147" t="s">
        <v>1778</v>
      </c>
      <c r="C2147">
        <v>91003354</v>
      </c>
      <c r="D2147">
        <v>140</v>
      </c>
      <c r="E2147" s="4">
        <v>-17042210.379999999</v>
      </c>
      <c r="F2147" t="s">
        <v>80</v>
      </c>
      <c r="G2147">
        <v>0</v>
      </c>
      <c r="H2147" s="32" t="str">
        <f ca="1">+IF(B2147&gt;'sap nuevo'!$V$1,"cargar",IF(C2147="","cargar","pagado"))</f>
        <v>cargar</v>
      </c>
      <c r="I2147" s="32">
        <f t="shared" si="286"/>
        <v>2026</v>
      </c>
      <c r="J2147" s="32">
        <f t="shared" si="287"/>
        <v>7</v>
      </c>
    </row>
    <row r="2148" spans="1:10" x14ac:dyDescent="0.25">
      <c r="A2148" t="s">
        <v>1731</v>
      </c>
      <c r="B2148" t="s">
        <v>1778</v>
      </c>
      <c r="C2148">
        <v>91003343</v>
      </c>
      <c r="D2148">
        <v>140</v>
      </c>
      <c r="E2148" s="4">
        <v>-16379416.83</v>
      </c>
      <c r="F2148" t="s">
        <v>80</v>
      </c>
      <c r="G2148">
        <v>0</v>
      </c>
      <c r="H2148" s="32" t="str">
        <f ca="1">+IF(B2148&gt;'sap nuevo'!$V$1,"cargar",IF(C2148="","cargar","pagado"))</f>
        <v>cargar</v>
      </c>
      <c r="I2148" s="32">
        <f t="shared" si="286"/>
        <v>2026</v>
      </c>
      <c r="J2148" s="32">
        <f t="shared" si="287"/>
        <v>7</v>
      </c>
    </row>
    <row r="2149" spans="1:10" x14ac:dyDescent="0.25">
      <c r="A2149" t="s">
        <v>12</v>
      </c>
      <c r="B2149" t="s">
        <v>1778</v>
      </c>
      <c r="C2149">
        <v>91003347</v>
      </c>
      <c r="D2149">
        <v>140</v>
      </c>
      <c r="E2149" s="4">
        <v>-16235667.48</v>
      </c>
      <c r="F2149" t="s">
        <v>82</v>
      </c>
      <c r="G2149">
        <v>0</v>
      </c>
      <c r="H2149" s="32" t="str">
        <f ca="1">+IF(B2149&gt;'sap nuevo'!$V$1,"cargar",IF(C2149="","cargar","pagado"))</f>
        <v>cargar</v>
      </c>
      <c r="I2149" s="32">
        <f t="shared" si="286"/>
        <v>2026</v>
      </c>
      <c r="J2149" s="32">
        <f t="shared" si="287"/>
        <v>7</v>
      </c>
    </row>
    <row r="2150" spans="1:10" x14ac:dyDescent="0.25">
      <c r="A2150" t="s">
        <v>1731</v>
      </c>
      <c r="B2150" t="s">
        <v>1778</v>
      </c>
      <c r="C2150">
        <v>91003349</v>
      </c>
      <c r="D2150">
        <v>140</v>
      </c>
      <c r="E2150" s="4">
        <v>-10566361.52</v>
      </c>
      <c r="F2150" t="s">
        <v>80</v>
      </c>
      <c r="G2150">
        <v>0</v>
      </c>
      <c r="H2150" s="32" t="str">
        <f ca="1">+IF(B2150&gt;'sap nuevo'!$V$1,"cargar",IF(C2150="","cargar","pagado"))</f>
        <v>cargar</v>
      </c>
      <c r="I2150" s="32">
        <f t="shared" si="286"/>
        <v>2026</v>
      </c>
      <c r="J2150" s="32">
        <f t="shared" si="287"/>
        <v>7</v>
      </c>
    </row>
    <row r="2151" spans="1:10" x14ac:dyDescent="0.25">
      <c r="A2151" t="s">
        <v>1731</v>
      </c>
      <c r="B2151" t="s">
        <v>1778</v>
      </c>
      <c r="C2151">
        <v>91003345</v>
      </c>
      <c r="D2151">
        <v>140</v>
      </c>
      <c r="E2151" s="4">
        <v>-8539093.4000000004</v>
      </c>
      <c r="F2151" t="s">
        <v>80</v>
      </c>
      <c r="G2151">
        <v>0</v>
      </c>
      <c r="H2151" s="32" t="str">
        <f ca="1">+IF(B2151&gt;'sap nuevo'!$V$1,"cargar",IF(C2151="","cargar","pagado"))</f>
        <v>cargar</v>
      </c>
      <c r="I2151" s="32">
        <f t="shared" si="286"/>
        <v>2026</v>
      </c>
      <c r="J2151" s="32">
        <f t="shared" si="287"/>
        <v>7</v>
      </c>
    </row>
    <row r="2152" spans="1:10" x14ac:dyDescent="0.25">
      <c r="A2152" t="s">
        <v>1731</v>
      </c>
      <c r="B2152" t="s">
        <v>1778</v>
      </c>
      <c r="C2152">
        <v>91003356</v>
      </c>
      <c r="D2152">
        <v>140</v>
      </c>
      <c r="E2152" s="4">
        <v>-6419237.9100000001</v>
      </c>
      <c r="F2152" t="s">
        <v>80</v>
      </c>
      <c r="G2152">
        <v>0</v>
      </c>
      <c r="H2152" s="32" t="str">
        <f ca="1">+IF(B2152&gt;'sap nuevo'!$V$1,"cargar",IF(C2152="","cargar","pagado"))</f>
        <v>cargar</v>
      </c>
      <c r="I2152" s="32">
        <f t="shared" si="286"/>
        <v>2026</v>
      </c>
      <c r="J2152" s="32">
        <f t="shared" si="287"/>
        <v>7</v>
      </c>
    </row>
    <row r="2153" spans="1:10" x14ac:dyDescent="0.25">
      <c r="A2153" t="s">
        <v>1731</v>
      </c>
      <c r="B2153" t="s">
        <v>1778</v>
      </c>
      <c r="C2153">
        <v>91003357</v>
      </c>
      <c r="D2153">
        <v>140</v>
      </c>
      <c r="E2153" s="4">
        <v>-5945350.1200000001</v>
      </c>
      <c r="F2153" t="s">
        <v>80</v>
      </c>
      <c r="G2153">
        <v>0</v>
      </c>
      <c r="H2153" s="32" t="str">
        <f ca="1">+IF(B2153&gt;'sap nuevo'!$V$1,"cargar",IF(C2153="","cargar","pagado"))</f>
        <v>cargar</v>
      </c>
      <c r="I2153" s="32">
        <f t="shared" si="286"/>
        <v>2026</v>
      </c>
      <c r="J2153" s="32">
        <f t="shared" si="287"/>
        <v>7</v>
      </c>
    </row>
    <row r="2154" spans="1:10" x14ac:dyDescent="0.25">
      <c r="A2154" t="s">
        <v>1731</v>
      </c>
      <c r="B2154" t="s">
        <v>1778</v>
      </c>
      <c r="C2154">
        <v>91003352</v>
      </c>
      <c r="D2154">
        <v>140</v>
      </c>
      <c r="E2154" s="4">
        <v>-5749016.1100000003</v>
      </c>
      <c r="F2154" t="s">
        <v>80</v>
      </c>
      <c r="G2154">
        <v>0</v>
      </c>
      <c r="H2154" s="32" t="str">
        <f ca="1">+IF(B2154&gt;'sap nuevo'!$V$1,"cargar",IF(C2154="","cargar","pagado"))</f>
        <v>cargar</v>
      </c>
      <c r="I2154" s="32">
        <f t="shared" si="286"/>
        <v>2026</v>
      </c>
      <c r="J2154" s="32">
        <f t="shared" si="287"/>
        <v>7</v>
      </c>
    </row>
    <row r="2155" spans="1:10" x14ac:dyDescent="0.25">
      <c r="A2155" t="s">
        <v>1731</v>
      </c>
      <c r="B2155" t="s">
        <v>1778</v>
      </c>
      <c r="C2155">
        <v>91003355</v>
      </c>
      <c r="D2155">
        <v>140</v>
      </c>
      <c r="E2155" s="4">
        <v>-5520914.6299999999</v>
      </c>
      <c r="F2155" t="s">
        <v>80</v>
      </c>
      <c r="G2155">
        <v>0</v>
      </c>
      <c r="H2155" s="32" t="str">
        <f ca="1">+IF(B2155&gt;'sap nuevo'!$V$1,"cargar",IF(C2155="","cargar","pagado"))</f>
        <v>cargar</v>
      </c>
      <c r="I2155" s="32">
        <f t="shared" si="286"/>
        <v>2026</v>
      </c>
      <c r="J2155" s="32">
        <f t="shared" si="287"/>
        <v>7</v>
      </c>
    </row>
    <row r="2156" spans="1:10" x14ac:dyDescent="0.25">
      <c r="A2156" t="s">
        <v>1731</v>
      </c>
      <c r="B2156" t="s">
        <v>1778</v>
      </c>
      <c r="C2156">
        <v>91003351</v>
      </c>
      <c r="D2156">
        <v>140</v>
      </c>
      <c r="E2156" s="4">
        <v>-5256841.4000000004</v>
      </c>
      <c r="F2156" t="s">
        <v>80</v>
      </c>
      <c r="G2156">
        <v>0</v>
      </c>
      <c r="H2156" s="32" t="str">
        <f ca="1">+IF(B2156&gt;'sap nuevo'!$V$1,"cargar",IF(C2156="","cargar","pagado"))</f>
        <v>cargar</v>
      </c>
      <c r="I2156" s="32">
        <f t="shared" si="286"/>
        <v>2026</v>
      </c>
      <c r="J2156" s="32">
        <f t="shared" si="287"/>
        <v>7</v>
      </c>
    </row>
    <row r="2157" spans="1:10" x14ac:dyDescent="0.25">
      <c r="A2157" t="s">
        <v>1731</v>
      </c>
      <c r="B2157" t="s">
        <v>1778</v>
      </c>
      <c r="C2157">
        <v>91003341</v>
      </c>
      <c r="D2157">
        <v>140</v>
      </c>
      <c r="E2157" s="4">
        <v>-5236393.82</v>
      </c>
      <c r="F2157" t="s">
        <v>80</v>
      </c>
      <c r="G2157">
        <v>0</v>
      </c>
      <c r="H2157" s="32" t="str">
        <f ca="1">+IF(B2157&gt;'sap nuevo'!$V$1,"cargar",IF(C2157="","cargar","pagado"))</f>
        <v>cargar</v>
      </c>
      <c r="I2157" s="32">
        <f t="shared" si="286"/>
        <v>2026</v>
      </c>
      <c r="J2157" s="32">
        <f t="shared" si="287"/>
        <v>7</v>
      </c>
    </row>
    <row r="2158" spans="1:10" x14ac:dyDescent="0.25">
      <c r="A2158" t="s">
        <v>1731</v>
      </c>
      <c r="B2158" t="s">
        <v>1779</v>
      </c>
      <c r="C2158">
        <v>91003350</v>
      </c>
      <c r="D2158">
        <v>140</v>
      </c>
      <c r="E2158" s="4">
        <v>-19087807.280000001</v>
      </c>
      <c r="F2158" t="s">
        <v>80</v>
      </c>
      <c r="G2158">
        <v>0</v>
      </c>
      <c r="H2158" s="32" t="str">
        <f ca="1">+IF(B2158&gt;'sap nuevo'!$V$1,"cargar",IF(C2158="","cargar","pagado"))</f>
        <v>cargar</v>
      </c>
      <c r="I2158" s="32">
        <f t="shared" si="286"/>
        <v>2026</v>
      </c>
      <c r="J2158" s="32">
        <f t="shared" si="287"/>
        <v>7</v>
      </c>
    </row>
    <row r="2159" spans="1:10" x14ac:dyDescent="0.25">
      <c r="A2159" t="s">
        <v>1731</v>
      </c>
      <c r="B2159" t="s">
        <v>1779</v>
      </c>
      <c r="C2159">
        <v>91003348</v>
      </c>
      <c r="D2159">
        <v>140</v>
      </c>
      <c r="E2159" s="4">
        <v>-13166941.689999999</v>
      </c>
      <c r="F2159" t="s">
        <v>80</v>
      </c>
      <c r="G2159">
        <v>0</v>
      </c>
      <c r="H2159" s="32" t="str">
        <f ca="1">+IF(B2159&gt;'sap nuevo'!$V$1,"cargar",IF(C2159="","cargar","pagado"))</f>
        <v>cargar</v>
      </c>
      <c r="I2159" s="32">
        <f t="shared" si="286"/>
        <v>2026</v>
      </c>
      <c r="J2159" s="32">
        <f t="shared" si="287"/>
        <v>7</v>
      </c>
    </row>
    <row r="2160" spans="1:10" x14ac:dyDescent="0.25">
      <c r="A2160" t="s">
        <v>1731</v>
      </c>
      <c r="B2160" t="s">
        <v>1779</v>
      </c>
      <c r="C2160">
        <v>91003346</v>
      </c>
      <c r="D2160">
        <v>140</v>
      </c>
      <c r="E2160" s="4">
        <v>-11518182.73</v>
      </c>
      <c r="F2160" t="s">
        <v>80</v>
      </c>
      <c r="G2160">
        <v>0</v>
      </c>
      <c r="H2160" s="32" t="str">
        <f ca="1">+IF(B2160&gt;'sap nuevo'!$V$1,"cargar",IF(C2160="","cargar","pagado"))</f>
        <v>cargar</v>
      </c>
      <c r="I2160" s="32">
        <f t="shared" si="286"/>
        <v>2026</v>
      </c>
      <c r="J2160" s="32">
        <f t="shared" si="287"/>
        <v>7</v>
      </c>
    </row>
    <row r="2161" spans="1:10" x14ac:dyDescent="0.25">
      <c r="A2161" t="s">
        <v>1731</v>
      </c>
      <c r="B2161" t="s">
        <v>1779</v>
      </c>
      <c r="C2161">
        <v>61301857</v>
      </c>
      <c r="D2161">
        <v>140</v>
      </c>
      <c r="E2161" s="4">
        <v>-7669554.5300000003</v>
      </c>
      <c r="F2161" t="s">
        <v>80</v>
      </c>
      <c r="G2161">
        <v>0</v>
      </c>
      <c r="H2161" s="32" t="str">
        <f ca="1">+IF(B2161&gt;'sap nuevo'!$V$1,"cargar",IF(C2161="","cargar","pagado"))</f>
        <v>cargar</v>
      </c>
      <c r="I2161" s="32">
        <f t="shared" si="286"/>
        <v>2026</v>
      </c>
      <c r="J2161" s="32">
        <f t="shared" si="287"/>
        <v>7</v>
      </c>
    </row>
    <row r="2162" spans="1:10" x14ac:dyDescent="0.25">
      <c r="A2162" t="s">
        <v>1731</v>
      </c>
      <c r="B2162" t="s">
        <v>1780</v>
      </c>
      <c r="C2162">
        <v>91003275</v>
      </c>
      <c r="D2162">
        <v>140</v>
      </c>
      <c r="E2162" s="4">
        <v>-20391102.609999999</v>
      </c>
      <c r="F2162" t="s">
        <v>80</v>
      </c>
      <c r="G2162">
        <v>0</v>
      </c>
      <c r="H2162" s="32" t="str">
        <f ca="1">+IF(B2162&gt;'sap nuevo'!$V$1,"cargar",IF(C2162="","cargar","pagado"))</f>
        <v>cargar</v>
      </c>
      <c r="I2162" s="32">
        <f t="shared" si="286"/>
        <v>2026</v>
      </c>
      <c r="J2162" s="32">
        <f t="shared" si="287"/>
        <v>7</v>
      </c>
    </row>
    <row r="2163" spans="1:10" x14ac:dyDescent="0.25">
      <c r="A2163" t="s">
        <v>1731</v>
      </c>
      <c r="B2163" t="s">
        <v>1780</v>
      </c>
      <c r="C2163">
        <v>91003328</v>
      </c>
      <c r="D2163">
        <v>140</v>
      </c>
      <c r="E2163" s="4">
        <v>-15000000</v>
      </c>
      <c r="F2163" t="s">
        <v>80</v>
      </c>
      <c r="G2163">
        <v>0</v>
      </c>
      <c r="H2163" s="32" t="str">
        <f ca="1">+IF(B2163&gt;'sap nuevo'!$V$1,"cargar",IF(C2163="","cargar","pagado"))</f>
        <v>cargar</v>
      </c>
      <c r="I2163" s="32">
        <f t="shared" si="286"/>
        <v>2026</v>
      </c>
      <c r="J2163" s="32">
        <f t="shared" si="287"/>
        <v>7</v>
      </c>
    </row>
    <row r="2164" spans="1:10" x14ac:dyDescent="0.25">
      <c r="A2164" t="s">
        <v>1731</v>
      </c>
      <c r="B2164" t="s">
        <v>1780</v>
      </c>
      <c r="C2164">
        <v>61301856</v>
      </c>
      <c r="D2164">
        <v>140</v>
      </c>
      <c r="E2164" s="4">
        <v>-7416248.1600000001</v>
      </c>
      <c r="F2164" t="s">
        <v>80</v>
      </c>
      <c r="G2164">
        <v>0</v>
      </c>
      <c r="H2164" s="32" t="str">
        <f ca="1">+IF(B2164&gt;'sap nuevo'!$V$1,"cargar",IF(C2164="","cargar","pagado"))</f>
        <v>cargar</v>
      </c>
      <c r="I2164" s="32">
        <f t="shared" si="286"/>
        <v>2026</v>
      </c>
      <c r="J2164" s="32">
        <f t="shared" si="287"/>
        <v>7</v>
      </c>
    </row>
    <row r="2165" spans="1:10" x14ac:dyDescent="0.25">
      <c r="A2165" t="s">
        <v>12</v>
      </c>
      <c r="B2165" t="s">
        <v>1780</v>
      </c>
      <c r="C2165">
        <v>61301861</v>
      </c>
      <c r="D2165">
        <v>140</v>
      </c>
      <c r="E2165" s="4">
        <v>-6132962.7300000004</v>
      </c>
      <c r="F2165" t="s">
        <v>82</v>
      </c>
      <c r="G2165">
        <v>0</v>
      </c>
      <c r="H2165" s="32" t="str">
        <f ca="1">+IF(B2165&gt;'sap nuevo'!$V$1,"cargar",IF(C2165="","cargar","pagado"))</f>
        <v>cargar</v>
      </c>
      <c r="I2165" s="32">
        <f t="shared" si="286"/>
        <v>2026</v>
      </c>
      <c r="J2165" s="32">
        <f t="shared" si="287"/>
        <v>7</v>
      </c>
    </row>
    <row r="2166" spans="1:10" x14ac:dyDescent="0.25">
      <c r="A2166" t="s">
        <v>12</v>
      </c>
      <c r="B2166" t="s">
        <v>1780</v>
      </c>
      <c r="C2166">
        <v>61301860</v>
      </c>
      <c r="D2166">
        <v>140</v>
      </c>
      <c r="E2166" s="4">
        <v>-4364576.5999999996</v>
      </c>
      <c r="F2166" t="s">
        <v>82</v>
      </c>
      <c r="G2166">
        <v>0</v>
      </c>
      <c r="H2166" s="32" t="str">
        <f ca="1">+IF(B2166&gt;'sap nuevo'!$V$1,"cargar",IF(C2166="","cargar","pagado"))</f>
        <v>cargar</v>
      </c>
      <c r="I2166" s="32">
        <f t="shared" si="286"/>
        <v>2026</v>
      </c>
      <c r="J2166" s="32">
        <f t="shared" si="287"/>
        <v>7</v>
      </c>
    </row>
    <row r="2167" spans="1:10" x14ac:dyDescent="0.25">
      <c r="A2167" t="s">
        <v>1731</v>
      </c>
      <c r="B2167" t="s">
        <v>1781</v>
      </c>
      <c r="C2167">
        <v>95780904</v>
      </c>
      <c r="D2167">
        <v>140</v>
      </c>
      <c r="E2167" s="4">
        <v>-43955280</v>
      </c>
      <c r="F2167" t="s">
        <v>80</v>
      </c>
      <c r="G2167">
        <v>0</v>
      </c>
      <c r="H2167" s="32" t="str">
        <f ca="1">+IF(B2167&gt;'sap nuevo'!$V$1,"cargar",IF(C2167="","cargar","pagado"))</f>
        <v>cargar</v>
      </c>
      <c r="I2167" s="32">
        <f t="shared" si="286"/>
        <v>2026</v>
      </c>
      <c r="J2167" s="32">
        <f t="shared" si="287"/>
        <v>7</v>
      </c>
    </row>
    <row r="2168" spans="1:10" x14ac:dyDescent="0.25">
      <c r="A2168" t="s">
        <v>1731</v>
      </c>
      <c r="B2168" t="s">
        <v>1781</v>
      </c>
      <c r="C2168">
        <v>91003369</v>
      </c>
      <c r="D2168">
        <v>140</v>
      </c>
      <c r="E2168" s="4">
        <v>-33765919.299999997</v>
      </c>
      <c r="F2168" t="s">
        <v>80</v>
      </c>
      <c r="G2168">
        <v>0</v>
      </c>
      <c r="H2168" s="32" t="str">
        <f ca="1">+IF(B2168&gt;'sap nuevo'!$V$1,"cargar",IF(C2168="","cargar","pagado"))</f>
        <v>cargar</v>
      </c>
      <c r="I2168" s="32">
        <f t="shared" si="286"/>
        <v>2026</v>
      </c>
      <c r="J2168" s="32">
        <f t="shared" si="287"/>
        <v>7</v>
      </c>
    </row>
    <row r="2169" spans="1:10" x14ac:dyDescent="0.25">
      <c r="A2169" t="s">
        <v>1731</v>
      </c>
      <c r="B2169" t="s">
        <v>1781</v>
      </c>
      <c r="C2169">
        <v>61301864</v>
      </c>
      <c r="D2169">
        <v>140</v>
      </c>
      <c r="E2169" s="4">
        <v>-22733841.359999999</v>
      </c>
      <c r="F2169" t="s">
        <v>80</v>
      </c>
      <c r="G2169">
        <v>0</v>
      </c>
      <c r="H2169" s="32" t="str">
        <f ca="1">+IF(B2169&gt;'sap nuevo'!$V$1,"cargar",IF(C2169="","cargar","pagado"))</f>
        <v>cargar</v>
      </c>
      <c r="I2169" s="32">
        <f t="shared" si="286"/>
        <v>2026</v>
      </c>
      <c r="J2169" s="32">
        <f t="shared" si="287"/>
        <v>7</v>
      </c>
    </row>
    <row r="2170" spans="1:10" x14ac:dyDescent="0.25">
      <c r="A2170" t="s">
        <v>1731</v>
      </c>
      <c r="B2170" t="s">
        <v>1781</v>
      </c>
      <c r="C2170">
        <v>91003368</v>
      </c>
      <c r="D2170">
        <v>140</v>
      </c>
      <c r="E2170" s="4">
        <v>-20659765.75</v>
      </c>
      <c r="F2170" t="s">
        <v>80</v>
      </c>
      <c r="G2170">
        <v>0</v>
      </c>
      <c r="H2170" s="32" t="str">
        <f ca="1">+IF(B2170&gt;'sap nuevo'!$V$1,"cargar",IF(C2170="","cargar","pagado"))</f>
        <v>cargar</v>
      </c>
      <c r="I2170" s="32">
        <f t="shared" si="286"/>
        <v>2026</v>
      </c>
      <c r="J2170" s="32">
        <f t="shared" si="287"/>
        <v>7</v>
      </c>
    </row>
    <row r="2171" spans="1:10" x14ac:dyDescent="0.25">
      <c r="A2171" t="s">
        <v>1731</v>
      </c>
      <c r="B2171" t="s">
        <v>1781</v>
      </c>
      <c r="C2171">
        <v>91003358</v>
      </c>
      <c r="D2171">
        <v>140</v>
      </c>
      <c r="E2171" s="4">
        <v>-19156407.719999999</v>
      </c>
      <c r="F2171" t="s">
        <v>80</v>
      </c>
      <c r="G2171">
        <v>0</v>
      </c>
      <c r="H2171" s="32" t="str">
        <f ca="1">+IF(B2171&gt;'sap nuevo'!$V$1,"cargar",IF(C2171="","cargar","pagado"))</f>
        <v>cargar</v>
      </c>
      <c r="I2171" s="32">
        <f t="shared" si="286"/>
        <v>2026</v>
      </c>
      <c r="J2171" s="32">
        <f t="shared" si="287"/>
        <v>7</v>
      </c>
    </row>
    <row r="2172" spans="1:10" x14ac:dyDescent="0.25">
      <c r="A2172" t="s">
        <v>12</v>
      </c>
      <c r="B2172" t="s">
        <v>1781</v>
      </c>
      <c r="C2172">
        <v>91003365</v>
      </c>
      <c r="D2172">
        <v>140</v>
      </c>
      <c r="E2172" s="4">
        <v>-15376417.08</v>
      </c>
      <c r="F2172" t="s">
        <v>82</v>
      </c>
      <c r="G2172">
        <v>0</v>
      </c>
      <c r="H2172" s="32" t="str">
        <f ca="1">+IF(B2172&gt;'sap nuevo'!$V$1,"cargar",IF(C2172="","cargar","pagado"))</f>
        <v>cargar</v>
      </c>
      <c r="I2172" s="32">
        <f t="shared" si="286"/>
        <v>2026</v>
      </c>
      <c r="J2172" s="32">
        <f t="shared" si="287"/>
        <v>7</v>
      </c>
    </row>
    <row r="2173" spans="1:10" x14ac:dyDescent="0.25">
      <c r="A2173" t="s">
        <v>12</v>
      </c>
      <c r="B2173" t="s">
        <v>1781</v>
      </c>
      <c r="C2173">
        <v>91003364</v>
      </c>
      <c r="D2173">
        <v>140</v>
      </c>
      <c r="E2173" s="4">
        <v>-14694000</v>
      </c>
      <c r="F2173" t="s">
        <v>82</v>
      </c>
      <c r="G2173">
        <v>0</v>
      </c>
      <c r="H2173" s="32" t="str">
        <f ca="1">+IF(B2173&gt;'sap nuevo'!$V$1,"cargar",IF(C2173="","cargar","pagado"))</f>
        <v>cargar</v>
      </c>
      <c r="I2173" s="32">
        <f t="shared" si="286"/>
        <v>2026</v>
      </c>
      <c r="J2173" s="32">
        <f t="shared" si="287"/>
        <v>7</v>
      </c>
    </row>
    <row r="2174" spans="1:10" x14ac:dyDescent="0.25">
      <c r="A2174" t="s">
        <v>1731</v>
      </c>
      <c r="B2174" t="s">
        <v>1781</v>
      </c>
      <c r="C2174">
        <v>91003370</v>
      </c>
      <c r="D2174">
        <v>140</v>
      </c>
      <c r="E2174" s="4">
        <v>-11739889.42</v>
      </c>
      <c r="F2174" t="s">
        <v>80</v>
      </c>
      <c r="G2174">
        <v>0</v>
      </c>
      <c r="H2174" s="32" t="str">
        <f ca="1">+IF(B2174&gt;'sap nuevo'!$V$1,"cargar",IF(C2174="","cargar","pagado"))</f>
        <v>cargar</v>
      </c>
      <c r="I2174" s="32">
        <f t="shared" si="286"/>
        <v>2026</v>
      </c>
      <c r="J2174" s="32">
        <f t="shared" si="287"/>
        <v>7</v>
      </c>
    </row>
    <row r="2175" spans="1:10" x14ac:dyDescent="0.25">
      <c r="A2175" t="s">
        <v>12</v>
      </c>
      <c r="B2175" t="s">
        <v>1781</v>
      </c>
      <c r="C2175">
        <v>91003360</v>
      </c>
      <c r="D2175">
        <v>140</v>
      </c>
      <c r="E2175" s="4">
        <v>-11461364.26</v>
      </c>
      <c r="F2175" t="s">
        <v>82</v>
      </c>
      <c r="G2175">
        <v>0</v>
      </c>
      <c r="H2175" s="32" t="str">
        <f ca="1">+IF(B2175&gt;'sap nuevo'!$V$1,"cargar",IF(C2175="","cargar","pagado"))</f>
        <v>cargar</v>
      </c>
      <c r="I2175" s="32">
        <f t="shared" si="286"/>
        <v>2026</v>
      </c>
      <c r="J2175" s="32">
        <f t="shared" si="287"/>
        <v>7</v>
      </c>
    </row>
    <row r="2176" spans="1:10" x14ac:dyDescent="0.25">
      <c r="A2176" t="s">
        <v>12</v>
      </c>
      <c r="B2176" t="s">
        <v>1781</v>
      </c>
      <c r="C2176">
        <v>91003363</v>
      </c>
      <c r="D2176">
        <v>140</v>
      </c>
      <c r="E2176" s="4">
        <v>-11405380</v>
      </c>
      <c r="F2176" t="s">
        <v>82</v>
      </c>
      <c r="G2176">
        <v>0</v>
      </c>
      <c r="H2176" s="32" t="str">
        <f ca="1">+IF(B2176&gt;'sap nuevo'!$V$1,"cargar",IF(C2176="","cargar","pagado"))</f>
        <v>cargar</v>
      </c>
      <c r="I2176" s="32">
        <f t="shared" si="286"/>
        <v>2026</v>
      </c>
      <c r="J2176" s="32">
        <f t="shared" si="287"/>
        <v>7</v>
      </c>
    </row>
    <row r="2177" spans="1:10" x14ac:dyDescent="0.25">
      <c r="A2177" t="s">
        <v>12</v>
      </c>
      <c r="B2177" t="s">
        <v>1781</v>
      </c>
      <c r="C2177">
        <v>91003362</v>
      </c>
      <c r="D2177">
        <v>140</v>
      </c>
      <c r="E2177" s="4">
        <v>-6408915.9000000004</v>
      </c>
      <c r="F2177" t="s">
        <v>82</v>
      </c>
      <c r="G2177">
        <v>0</v>
      </c>
      <c r="H2177" s="32" t="str">
        <f ca="1">+IF(B2177&gt;'sap nuevo'!$V$1,"cargar",IF(C2177="","cargar","pagado"))</f>
        <v>cargar</v>
      </c>
      <c r="I2177" s="32">
        <f t="shared" si="286"/>
        <v>2026</v>
      </c>
      <c r="J2177" s="32">
        <f t="shared" si="287"/>
        <v>7</v>
      </c>
    </row>
    <row r="2178" spans="1:10" x14ac:dyDescent="0.25">
      <c r="A2178" t="s">
        <v>1731</v>
      </c>
      <c r="B2178" t="s">
        <v>1781</v>
      </c>
      <c r="C2178">
        <v>91003367</v>
      </c>
      <c r="D2178">
        <v>140</v>
      </c>
      <c r="E2178" s="4">
        <v>-5777004.5099999998</v>
      </c>
      <c r="F2178" t="s">
        <v>80</v>
      </c>
      <c r="G2178">
        <v>0</v>
      </c>
      <c r="H2178" s="32" t="str">
        <f ca="1">+IF(B2178&gt;'sap nuevo'!$V$1,"cargar",IF(C2178="","cargar","pagado"))</f>
        <v>cargar</v>
      </c>
      <c r="I2178" s="32">
        <f t="shared" si="286"/>
        <v>2026</v>
      </c>
      <c r="J2178" s="32">
        <f t="shared" si="287"/>
        <v>7</v>
      </c>
    </row>
    <row r="2179" spans="1:10" x14ac:dyDescent="0.25">
      <c r="A2179" t="s">
        <v>1731</v>
      </c>
      <c r="B2179" t="s">
        <v>1781</v>
      </c>
      <c r="C2179">
        <v>91003366</v>
      </c>
      <c r="D2179">
        <v>140</v>
      </c>
      <c r="E2179" s="4">
        <v>-5234927.92</v>
      </c>
      <c r="F2179" t="s">
        <v>80</v>
      </c>
      <c r="G2179">
        <v>0</v>
      </c>
      <c r="H2179" s="32" t="str">
        <f ca="1">+IF(B2179&gt;'sap nuevo'!$V$1,"cargar",IF(C2179="","cargar","pagado"))</f>
        <v>cargar</v>
      </c>
      <c r="I2179" s="32">
        <f t="shared" si="286"/>
        <v>2026</v>
      </c>
      <c r="J2179" s="32">
        <f t="shared" si="287"/>
        <v>7</v>
      </c>
    </row>
    <row r="2180" spans="1:10" x14ac:dyDescent="0.25">
      <c r="A2180" t="s">
        <v>12</v>
      </c>
      <c r="B2180" t="s">
        <v>1785</v>
      </c>
      <c r="C2180">
        <v>91003375</v>
      </c>
      <c r="D2180">
        <v>140</v>
      </c>
      <c r="E2180" s="4">
        <v>-39978684.420000002</v>
      </c>
      <c r="F2180" t="s">
        <v>82</v>
      </c>
      <c r="G2180">
        <v>0</v>
      </c>
      <c r="H2180" s="32" t="str">
        <f ca="1">+IF(B2180&gt;'sap nuevo'!$V$1,"cargar",IF(C2180="","cargar","pagado"))</f>
        <v>cargar</v>
      </c>
      <c r="I2180" s="32">
        <f t="shared" si="286"/>
        <v>2026</v>
      </c>
      <c r="J2180" s="32">
        <f t="shared" si="287"/>
        <v>7</v>
      </c>
    </row>
    <row r="2181" spans="1:10" x14ac:dyDescent="0.25">
      <c r="A2181" t="s">
        <v>1731</v>
      </c>
      <c r="B2181" t="s">
        <v>1785</v>
      </c>
      <c r="C2181">
        <v>91003378</v>
      </c>
      <c r="D2181">
        <v>140</v>
      </c>
      <c r="E2181" s="4">
        <v>-33109439.16</v>
      </c>
      <c r="F2181" t="s">
        <v>80</v>
      </c>
      <c r="G2181">
        <v>0</v>
      </c>
      <c r="H2181" s="32" t="str">
        <f ca="1">+IF(B2181&gt;'sap nuevo'!$V$1,"cargar",IF(C2181="","cargar","pagado"))</f>
        <v>cargar</v>
      </c>
      <c r="I2181" s="32">
        <f t="shared" si="286"/>
        <v>2026</v>
      </c>
      <c r="J2181" s="32">
        <f t="shared" si="287"/>
        <v>7</v>
      </c>
    </row>
    <row r="2182" spans="1:10" x14ac:dyDescent="0.25">
      <c r="A2182" t="s">
        <v>1731</v>
      </c>
      <c r="B2182" t="s">
        <v>1785</v>
      </c>
      <c r="C2182">
        <v>91003373</v>
      </c>
      <c r="D2182">
        <v>140</v>
      </c>
      <c r="E2182" s="4">
        <v>-25899764.850000001</v>
      </c>
      <c r="F2182" t="s">
        <v>80</v>
      </c>
      <c r="G2182">
        <v>0</v>
      </c>
      <c r="H2182" s="32" t="str">
        <f ca="1">+IF(B2182&gt;'sap nuevo'!$V$1,"cargar",IF(C2182="","cargar","pagado"))</f>
        <v>cargar</v>
      </c>
      <c r="I2182" s="32">
        <f t="shared" si="286"/>
        <v>2026</v>
      </c>
      <c r="J2182" s="32">
        <f t="shared" si="287"/>
        <v>7</v>
      </c>
    </row>
    <row r="2183" spans="1:10" x14ac:dyDescent="0.25">
      <c r="A2183" t="s">
        <v>12</v>
      </c>
      <c r="B2183" t="s">
        <v>1785</v>
      </c>
      <c r="C2183">
        <v>91003376</v>
      </c>
      <c r="D2183">
        <v>140</v>
      </c>
      <c r="E2183" s="4">
        <v>-18202167.920000002</v>
      </c>
      <c r="F2183" t="s">
        <v>82</v>
      </c>
      <c r="G2183">
        <v>0</v>
      </c>
      <c r="H2183" s="32" t="str">
        <f ca="1">+IF(B2183&gt;'sap nuevo'!$V$1,"cargar",IF(C2183="","cargar","pagado"))</f>
        <v>cargar</v>
      </c>
      <c r="I2183" s="32">
        <f t="shared" si="286"/>
        <v>2026</v>
      </c>
      <c r="J2183" s="32">
        <f t="shared" si="287"/>
        <v>7</v>
      </c>
    </row>
    <row r="2184" spans="1:10" x14ac:dyDescent="0.25">
      <c r="A2184" t="s">
        <v>1731</v>
      </c>
      <c r="B2184" t="s">
        <v>1785</v>
      </c>
      <c r="C2184">
        <v>91003380</v>
      </c>
      <c r="D2184">
        <v>140</v>
      </c>
      <c r="E2184" s="4">
        <v>-11350142.369999999</v>
      </c>
      <c r="F2184" t="s">
        <v>80</v>
      </c>
      <c r="G2184">
        <v>0</v>
      </c>
      <c r="H2184" s="32" t="str">
        <f ca="1">+IF(B2184&gt;'sap nuevo'!$V$1,"cargar",IF(C2184="","cargar","pagado"))</f>
        <v>cargar</v>
      </c>
      <c r="I2184" s="32">
        <f t="shared" si="286"/>
        <v>2026</v>
      </c>
      <c r="J2184" s="32">
        <f t="shared" si="287"/>
        <v>7</v>
      </c>
    </row>
    <row r="2185" spans="1:10" x14ac:dyDescent="0.25">
      <c r="A2185" t="s">
        <v>1731</v>
      </c>
      <c r="B2185" t="s">
        <v>1785</v>
      </c>
      <c r="C2185">
        <v>91003374</v>
      </c>
      <c r="D2185">
        <v>140</v>
      </c>
      <c r="E2185" s="4">
        <v>-11087231.119999999</v>
      </c>
      <c r="F2185" t="s">
        <v>80</v>
      </c>
      <c r="G2185">
        <v>0</v>
      </c>
      <c r="H2185" s="32" t="str">
        <f ca="1">+IF(B2185&gt;'sap nuevo'!$V$1,"cargar",IF(C2185="","cargar","pagado"))</f>
        <v>cargar</v>
      </c>
      <c r="I2185" s="32">
        <f t="shared" si="286"/>
        <v>2026</v>
      </c>
      <c r="J2185" s="32">
        <f t="shared" si="287"/>
        <v>7</v>
      </c>
    </row>
    <row r="2186" spans="1:10" x14ac:dyDescent="0.25">
      <c r="A2186" t="s">
        <v>1731</v>
      </c>
      <c r="B2186" t="s">
        <v>1785</v>
      </c>
      <c r="C2186">
        <v>91003379</v>
      </c>
      <c r="D2186">
        <v>140</v>
      </c>
      <c r="E2186" s="4">
        <v>-10067805.58</v>
      </c>
      <c r="F2186" t="s">
        <v>80</v>
      </c>
      <c r="G2186">
        <v>0</v>
      </c>
      <c r="H2186" s="32" t="str">
        <f ca="1">+IF(B2186&gt;'sap nuevo'!$V$1,"cargar",IF(C2186="","cargar","pagado"))</f>
        <v>cargar</v>
      </c>
      <c r="I2186" s="32">
        <f t="shared" si="286"/>
        <v>2026</v>
      </c>
      <c r="J2186" s="32">
        <f t="shared" si="287"/>
        <v>7</v>
      </c>
    </row>
    <row r="2187" spans="1:10" x14ac:dyDescent="0.25">
      <c r="A2187" t="s">
        <v>12</v>
      </c>
      <c r="B2187" t="s">
        <v>1785</v>
      </c>
      <c r="C2187">
        <v>91003361</v>
      </c>
      <c r="D2187">
        <v>140</v>
      </c>
      <c r="E2187" s="4">
        <v>-7353600.2999999998</v>
      </c>
      <c r="F2187" t="s">
        <v>82</v>
      </c>
      <c r="G2187">
        <v>0</v>
      </c>
      <c r="H2187" s="32" t="str">
        <f ca="1">+IF(B2187&gt;'sap nuevo'!$V$1,"cargar",IF(C2187="","cargar","pagado"))</f>
        <v>cargar</v>
      </c>
      <c r="I2187" s="32">
        <f t="shared" si="286"/>
        <v>2026</v>
      </c>
      <c r="J2187" s="32">
        <f t="shared" si="287"/>
        <v>7</v>
      </c>
    </row>
    <row r="2188" spans="1:10" x14ac:dyDescent="0.25">
      <c r="A2188" t="s">
        <v>1731</v>
      </c>
      <c r="B2188" t="s">
        <v>1786</v>
      </c>
      <c r="C2188">
        <v>91002856</v>
      </c>
      <c r="D2188">
        <v>140</v>
      </c>
      <c r="E2188" s="4">
        <v>-5275000</v>
      </c>
      <c r="F2188" t="s">
        <v>80</v>
      </c>
      <c r="G2188">
        <v>0</v>
      </c>
      <c r="H2188" s="32" t="str">
        <f ca="1">+IF(B2188&gt;'sap nuevo'!$V$1,"cargar",IF(C2188="","cargar","pagado"))</f>
        <v>cargar</v>
      </c>
      <c r="I2188" s="32">
        <f t="shared" si="286"/>
        <v>2026</v>
      </c>
      <c r="J2188" s="32">
        <f t="shared" si="287"/>
        <v>7</v>
      </c>
    </row>
    <row r="2189" spans="1:10" x14ac:dyDescent="0.25">
      <c r="A2189" t="s">
        <v>1731</v>
      </c>
      <c r="B2189" t="s">
        <v>1787</v>
      </c>
      <c r="C2189">
        <v>61301858</v>
      </c>
      <c r="D2189">
        <v>140</v>
      </c>
      <c r="E2189" s="4">
        <v>-5704781.5599999996</v>
      </c>
      <c r="F2189" t="s">
        <v>80</v>
      </c>
      <c r="G2189">
        <v>0</v>
      </c>
      <c r="H2189" s="32" t="str">
        <f ca="1">+IF(B2189&gt;'sap nuevo'!$V$1,"cargar",IF(C2189="","cargar","pagado"))</f>
        <v>cargar</v>
      </c>
      <c r="I2189" s="32">
        <f t="shared" si="286"/>
        <v>2026</v>
      </c>
      <c r="J2189" s="32">
        <f t="shared" si="287"/>
        <v>7</v>
      </c>
    </row>
    <row r="2190" spans="1:10" x14ac:dyDescent="0.25">
      <c r="A2190" t="s">
        <v>1731</v>
      </c>
      <c r="B2190" t="s">
        <v>1788</v>
      </c>
      <c r="C2190">
        <v>61301863</v>
      </c>
      <c r="D2190">
        <v>140</v>
      </c>
      <c r="E2190" s="4">
        <v>-1233278</v>
      </c>
      <c r="F2190" t="s">
        <v>80</v>
      </c>
      <c r="G2190">
        <v>0</v>
      </c>
      <c r="H2190" s="32" t="str">
        <f ca="1">+IF(B2190&gt;'sap nuevo'!$V$1,"cargar",IF(C2190="","cargar","pagado"))</f>
        <v>cargar</v>
      </c>
      <c r="I2190" s="32">
        <f t="shared" si="286"/>
        <v>2026</v>
      </c>
      <c r="J2190" s="32">
        <f t="shared" si="287"/>
        <v>7</v>
      </c>
    </row>
    <row r="2191" spans="1:10" x14ac:dyDescent="0.25">
      <c r="A2191" t="s">
        <v>12</v>
      </c>
      <c r="B2191" t="s">
        <v>1789</v>
      </c>
      <c r="C2191">
        <v>91003385</v>
      </c>
      <c r="D2191">
        <v>140</v>
      </c>
      <c r="E2191" s="4">
        <v>-45669992.840000004</v>
      </c>
      <c r="F2191" t="s">
        <v>82</v>
      </c>
      <c r="G2191">
        <v>0</v>
      </c>
      <c r="H2191" s="32" t="str">
        <f ca="1">+IF(B2191&gt;'sap nuevo'!$V$1,"cargar",IF(C2191="","cargar","pagado"))</f>
        <v>cargar</v>
      </c>
      <c r="I2191" s="32">
        <f t="shared" si="286"/>
        <v>2026</v>
      </c>
      <c r="J2191" s="32">
        <f t="shared" si="287"/>
        <v>7</v>
      </c>
    </row>
    <row r="2192" spans="1:10" x14ac:dyDescent="0.25">
      <c r="A2192" t="s">
        <v>1731</v>
      </c>
      <c r="B2192" t="s">
        <v>1789</v>
      </c>
      <c r="C2192">
        <v>91003389</v>
      </c>
      <c r="D2192">
        <v>140</v>
      </c>
      <c r="E2192" s="4">
        <v>-37344496.280000001</v>
      </c>
      <c r="F2192" t="s">
        <v>80</v>
      </c>
      <c r="G2192">
        <v>0</v>
      </c>
      <c r="H2192" s="32" t="str">
        <f ca="1">+IF(B2192&gt;'sap nuevo'!$V$1,"cargar",IF(C2192="","cargar","pagado"))</f>
        <v>cargar</v>
      </c>
      <c r="I2192" s="32">
        <f t="shared" si="286"/>
        <v>2026</v>
      </c>
      <c r="J2192" s="32">
        <f t="shared" si="287"/>
        <v>7</v>
      </c>
    </row>
    <row r="2193" spans="1:10" x14ac:dyDescent="0.25">
      <c r="A2193" t="s">
        <v>1731</v>
      </c>
      <c r="B2193" t="s">
        <v>1789</v>
      </c>
      <c r="C2193">
        <v>91003388</v>
      </c>
      <c r="D2193">
        <v>140</v>
      </c>
      <c r="E2193" s="4">
        <v>-15516146.66</v>
      </c>
      <c r="F2193" t="s">
        <v>80</v>
      </c>
      <c r="G2193">
        <v>0</v>
      </c>
      <c r="H2193" s="32" t="str">
        <f ca="1">+IF(B2193&gt;'sap nuevo'!$V$1,"cargar",IF(C2193="","cargar","pagado"))</f>
        <v>cargar</v>
      </c>
      <c r="I2193" s="32">
        <f t="shared" si="286"/>
        <v>2026</v>
      </c>
      <c r="J2193" s="32">
        <f t="shared" si="287"/>
        <v>7</v>
      </c>
    </row>
    <row r="2194" spans="1:10" x14ac:dyDescent="0.25">
      <c r="A2194" t="s">
        <v>1731</v>
      </c>
      <c r="B2194" t="s">
        <v>1789</v>
      </c>
      <c r="C2194">
        <v>91003390</v>
      </c>
      <c r="D2194">
        <v>140</v>
      </c>
      <c r="E2194" s="4">
        <v>-11831043.35</v>
      </c>
      <c r="F2194" t="s">
        <v>80</v>
      </c>
      <c r="G2194">
        <v>0</v>
      </c>
      <c r="H2194" s="32" t="str">
        <f ca="1">+IF(B2194&gt;'sap nuevo'!$V$1,"cargar",IF(C2194="","cargar","pagado"))</f>
        <v>cargar</v>
      </c>
      <c r="I2194" s="32">
        <f t="shared" si="286"/>
        <v>2026</v>
      </c>
      <c r="J2194" s="32">
        <f t="shared" si="287"/>
        <v>7</v>
      </c>
    </row>
    <row r="2195" spans="1:10" x14ac:dyDescent="0.25">
      <c r="A2195" t="s">
        <v>1731</v>
      </c>
      <c r="B2195" t="s">
        <v>1789</v>
      </c>
      <c r="C2195">
        <v>91003387</v>
      </c>
      <c r="D2195">
        <v>140</v>
      </c>
      <c r="E2195" s="4">
        <v>-11501432.369999999</v>
      </c>
      <c r="F2195" t="s">
        <v>80</v>
      </c>
      <c r="G2195">
        <v>0</v>
      </c>
      <c r="H2195" s="32" t="str">
        <f ca="1">+IF(B2195&gt;'sap nuevo'!$V$1,"cargar",IF(C2195="","cargar","pagado"))</f>
        <v>cargar</v>
      </c>
      <c r="I2195" s="32">
        <f t="shared" si="286"/>
        <v>2026</v>
      </c>
      <c r="J2195" s="32">
        <f t="shared" si="287"/>
        <v>7</v>
      </c>
    </row>
    <row r="2196" spans="1:10" x14ac:dyDescent="0.25">
      <c r="A2196" t="s">
        <v>1731</v>
      </c>
      <c r="B2196" t="s">
        <v>1789</v>
      </c>
      <c r="C2196">
        <v>91003381</v>
      </c>
      <c r="D2196">
        <v>140</v>
      </c>
      <c r="E2196" s="4">
        <v>-10488239.15</v>
      </c>
      <c r="F2196" t="s">
        <v>80</v>
      </c>
      <c r="G2196">
        <v>0</v>
      </c>
      <c r="H2196" s="32" t="str">
        <f ca="1">+IF(B2196&gt;'sap nuevo'!$V$1,"cargar",IF(C2196="","cargar","pagado"))</f>
        <v>cargar</v>
      </c>
      <c r="I2196" s="32">
        <f t="shared" si="286"/>
        <v>2026</v>
      </c>
      <c r="J2196" s="32">
        <f t="shared" si="287"/>
        <v>7</v>
      </c>
    </row>
    <row r="2197" spans="1:10" x14ac:dyDescent="0.25">
      <c r="A2197" t="s">
        <v>1731</v>
      </c>
      <c r="B2197" t="s">
        <v>1790</v>
      </c>
      <c r="C2197">
        <v>91003403</v>
      </c>
      <c r="D2197">
        <v>140</v>
      </c>
      <c r="E2197" s="4">
        <v>-30083865.960000001</v>
      </c>
      <c r="F2197" t="s">
        <v>80</v>
      </c>
      <c r="G2197">
        <v>0</v>
      </c>
      <c r="H2197" s="32" t="str">
        <f ca="1">+IF(B2197&gt;'sap nuevo'!$V$1,"cargar",IF(C2197="","cargar","pagado"))</f>
        <v>cargar</v>
      </c>
      <c r="I2197" s="32">
        <f t="shared" si="286"/>
        <v>2026</v>
      </c>
      <c r="J2197" s="32">
        <f t="shared" si="287"/>
        <v>8</v>
      </c>
    </row>
    <row r="2198" spans="1:10" x14ac:dyDescent="0.25">
      <c r="A2198" t="s">
        <v>12</v>
      </c>
      <c r="B2198" t="s">
        <v>1790</v>
      </c>
      <c r="C2198">
        <v>91003398</v>
      </c>
      <c r="D2198">
        <v>140</v>
      </c>
      <c r="E2198" s="4">
        <v>-27158985</v>
      </c>
      <c r="F2198" t="s">
        <v>82</v>
      </c>
      <c r="G2198">
        <v>0</v>
      </c>
      <c r="H2198" s="32" t="str">
        <f ca="1">+IF(B2198&gt;'sap nuevo'!$V$1,"cargar",IF(C2198="","cargar","pagado"))</f>
        <v>cargar</v>
      </c>
      <c r="I2198" s="32">
        <f t="shared" si="286"/>
        <v>2026</v>
      </c>
      <c r="J2198" s="32">
        <f t="shared" si="287"/>
        <v>8</v>
      </c>
    </row>
    <row r="2199" spans="1:10" x14ac:dyDescent="0.25">
      <c r="A2199" t="s">
        <v>1731</v>
      </c>
      <c r="B2199" t="s">
        <v>1790</v>
      </c>
      <c r="C2199">
        <v>91003401</v>
      </c>
      <c r="D2199">
        <v>140</v>
      </c>
      <c r="E2199" s="4">
        <v>-21831600</v>
      </c>
      <c r="F2199" t="s">
        <v>80</v>
      </c>
      <c r="G2199">
        <v>0</v>
      </c>
      <c r="H2199" s="32" t="str">
        <f ca="1">+IF(B2199&gt;'sap nuevo'!$V$1,"cargar",IF(C2199="","cargar","pagado"))</f>
        <v>cargar</v>
      </c>
      <c r="I2199" s="32">
        <f t="shared" ref="I2199:I2212" si="288">+YEAR(B2199)</f>
        <v>2026</v>
      </c>
      <c r="J2199" s="32">
        <f t="shared" ref="J2199:J2212" si="289">+MONTH(B2199)</f>
        <v>8</v>
      </c>
    </row>
    <row r="2200" spans="1:10" x14ac:dyDescent="0.25">
      <c r="A2200" t="s">
        <v>1731</v>
      </c>
      <c r="B2200" t="s">
        <v>1790</v>
      </c>
      <c r="C2200">
        <v>91003395</v>
      </c>
      <c r="D2200">
        <v>140</v>
      </c>
      <c r="E2200" s="4">
        <v>-20407800</v>
      </c>
      <c r="F2200" t="s">
        <v>80</v>
      </c>
      <c r="G2200">
        <v>0</v>
      </c>
      <c r="H2200" s="32" t="str">
        <f ca="1">+IF(B2200&gt;'sap nuevo'!$V$1,"cargar",IF(C2200="","cargar","pagado"))</f>
        <v>cargar</v>
      </c>
      <c r="I2200" s="32">
        <f t="shared" si="288"/>
        <v>2026</v>
      </c>
      <c r="J2200" s="32">
        <f t="shared" si="289"/>
        <v>8</v>
      </c>
    </row>
    <row r="2201" spans="1:10" x14ac:dyDescent="0.25">
      <c r="A2201" t="s">
        <v>1731</v>
      </c>
      <c r="B2201" t="s">
        <v>1790</v>
      </c>
      <c r="C2201">
        <v>91003397</v>
      </c>
      <c r="D2201">
        <v>140</v>
      </c>
      <c r="E2201" s="4">
        <v>-18868422.68</v>
      </c>
      <c r="F2201" t="s">
        <v>80</v>
      </c>
      <c r="G2201">
        <v>0</v>
      </c>
      <c r="H2201" s="32" t="str">
        <f ca="1">+IF(B2201&gt;'sap nuevo'!$V$1,"cargar",IF(C2201="","cargar","pagado"))</f>
        <v>cargar</v>
      </c>
      <c r="I2201" s="32">
        <f t="shared" si="288"/>
        <v>2026</v>
      </c>
      <c r="J2201" s="32">
        <f t="shared" si="289"/>
        <v>8</v>
      </c>
    </row>
    <row r="2202" spans="1:10" x14ac:dyDescent="0.25">
      <c r="A2202" t="s">
        <v>1731</v>
      </c>
      <c r="B2202" t="s">
        <v>1790</v>
      </c>
      <c r="C2202">
        <v>91003399</v>
      </c>
      <c r="D2202">
        <v>140</v>
      </c>
      <c r="E2202" s="4">
        <v>-16283235.300000001</v>
      </c>
      <c r="F2202" t="s">
        <v>80</v>
      </c>
      <c r="G2202">
        <v>0</v>
      </c>
      <c r="H2202" s="32" t="str">
        <f ca="1">+IF(B2202&gt;'sap nuevo'!$V$1,"cargar",IF(C2202="","cargar","pagado"))</f>
        <v>cargar</v>
      </c>
      <c r="I2202" s="32">
        <f t="shared" si="288"/>
        <v>2026</v>
      </c>
      <c r="J2202" s="32">
        <f t="shared" si="289"/>
        <v>8</v>
      </c>
    </row>
    <row r="2203" spans="1:10" x14ac:dyDescent="0.25">
      <c r="A2203" t="s">
        <v>1731</v>
      </c>
      <c r="B2203" t="s">
        <v>1790</v>
      </c>
      <c r="C2203">
        <v>91003406</v>
      </c>
      <c r="D2203">
        <v>140</v>
      </c>
      <c r="E2203" s="4">
        <v>-13769881.73</v>
      </c>
      <c r="F2203" t="s">
        <v>80</v>
      </c>
      <c r="G2203">
        <v>0</v>
      </c>
      <c r="H2203" s="32" t="str">
        <f ca="1">+IF(B2203&gt;'sap nuevo'!$V$1,"cargar",IF(C2203="","cargar","pagado"))</f>
        <v>cargar</v>
      </c>
      <c r="I2203" s="32">
        <f t="shared" si="288"/>
        <v>2026</v>
      </c>
      <c r="J2203" s="32">
        <f t="shared" si="289"/>
        <v>8</v>
      </c>
    </row>
    <row r="2204" spans="1:10" x14ac:dyDescent="0.25">
      <c r="A2204" t="s">
        <v>12</v>
      </c>
      <c r="B2204" t="s">
        <v>1790</v>
      </c>
      <c r="C2204">
        <v>91003400</v>
      </c>
      <c r="D2204">
        <v>140</v>
      </c>
      <c r="E2204" s="4">
        <v>-10504023.1</v>
      </c>
      <c r="F2204" t="s">
        <v>82</v>
      </c>
      <c r="G2204">
        <v>0</v>
      </c>
      <c r="H2204" s="32" t="str">
        <f ca="1">+IF(B2204&gt;'sap nuevo'!$V$1,"cargar",IF(C2204="","cargar","pagado"))</f>
        <v>cargar</v>
      </c>
      <c r="I2204" s="32">
        <f t="shared" si="288"/>
        <v>2026</v>
      </c>
      <c r="J2204" s="32">
        <f t="shared" si="289"/>
        <v>8</v>
      </c>
    </row>
    <row r="2205" spans="1:10" x14ac:dyDescent="0.25">
      <c r="A2205" t="s">
        <v>1731</v>
      </c>
      <c r="B2205" t="s">
        <v>1790</v>
      </c>
      <c r="C2205">
        <v>91003402</v>
      </c>
      <c r="D2205">
        <v>140</v>
      </c>
      <c r="E2205" s="4">
        <v>-8400733.9900000002</v>
      </c>
      <c r="F2205" t="s">
        <v>80</v>
      </c>
      <c r="G2205">
        <v>0</v>
      </c>
      <c r="H2205" s="32" t="str">
        <f ca="1">+IF(B2205&gt;'sap nuevo'!$V$1,"cargar",IF(C2205="","cargar","pagado"))</f>
        <v>cargar</v>
      </c>
      <c r="I2205" s="32">
        <f t="shared" si="288"/>
        <v>2026</v>
      </c>
      <c r="J2205" s="32">
        <f t="shared" si="289"/>
        <v>8</v>
      </c>
    </row>
    <row r="2206" spans="1:10" x14ac:dyDescent="0.25">
      <c r="A2206" t="s">
        <v>1731</v>
      </c>
      <c r="B2206" t="s">
        <v>1790</v>
      </c>
      <c r="C2206">
        <v>91003383</v>
      </c>
      <c r="D2206">
        <v>140</v>
      </c>
      <c r="E2206" s="4">
        <v>-8354146</v>
      </c>
      <c r="F2206" t="s">
        <v>80</v>
      </c>
      <c r="G2206">
        <v>0</v>
      </c>
      <c r="H2206" s="32" t="str">
        <f ca="1">+IF(B2206&gt;'sap nuevo'!$V$1,"cargar",IF(C2206="","cargar","pagado"))</f>
        <v>cargar</v>
      </c>
      <c r="I2206" s="32">
        <f t="shared" si="288"/>
        <v>2026</v>
      </c>
      <c r="J2206" s="32">
        <f t="shared" si="289"/>
        <v>8</v>
      </c>
    </row>
    <row r="2207" spans="1:10" x14ac:dyDescent="0.25">
      <c r="A2207" t="s">
        <v>1731</v>
      </c>
      <c r="B2207" t="s">
        <v>1790</v>
      </c>
      <c r="C2207">
        <v>91003391</v>
      </c>
      <c r="D2207">
        <v>140</v>
      </c>
      <c r="E2207" s="4">
        <v>-7650430.1399999997</v>
      </c>
      <c r="F2207" t="s">
        <v>80</v>
      </c>
      <c r="G2207">
        <v>0</v>
      </c>
      <c r="H2207" s="32" t="str">
        <f ca="1">+IF(B2207&gt;'sap nuevo'!$V$1,"cargar",IF(C2207="","cargar","pagado"))</f>
        <v>cargar</v>
      </c>
      <c r="I2207" s="32">
        <f t="shared" si="288"/>
        <v>2026</v>
      </c>
      <c r="J2207" s="32">
        <f t="shared" si="289"/>
        <v>8</v>
      </c>
    </row>
    <row r="2208" spans="1:10" x14ac:dyDescent="0.25">
      <c r="A2208" t="s">
        <v>1731</v>
      </c>
      <c r="B2208" t="s">
        <v>1790</v>
      </c>
      <c r="C2208">
        <v>91003384</v>
      </c>
      <c r="D2208">
        <v>140</v>
      </c>
      <c r="E2208" s="4">
        <v>-7500000</v>
      </c>
      <c r="F2208" t="s">
        <v>80</v>
      </c>
      <c r="G2208">
        <v>0</v>
      </c>
      <c r="H2208" s="32" t="str">
        <f ca="1">+IF(B2208&gt;'sap nuevo'!$V$1,"cargar",IF(C2208="","cargar","pagado"))</f>
        <v>cargar</v>
      </c>
      <c r="I2208" s="32">
        <f t="shared" si="288"/>
        <v>2026</v>
      </c>
      <c r="J2208" s="32">
        <f t="shared" si="289"/>
        <v>8</v>
      </c>
    </row>
    <row r="2209" spans="1:10" x14ac:dyDescent="0.25">
      <c r="A2209" t="s">
        <v>1731</v>
      </c>
      <c r="B2209" t="s">
        <v>1790</v>
      </c>
      <c r="C2209">
        <v>91003405</v>
      </c>
      <c r="D2209">
        <v>140</v>
      </c>
      <c r="E2209" s="4">
        <v>-6841482.0199999996</v>
      </c>
      <c r="F2209" t="s">
        <v>80</v>
      </c>
      <c r="G2209">
        <v>0</v>
      </c>
      <c r="H2209" s="32" t="str">
        <f ca="1">+IF(B2209&gt;'sap nuevo'!$V$1,"cargar",IF(C2209="","cargar","pagado"))</f>
        <v>cargar</v>
      </c>
      <c r="I2209" s="32">
        <f t="shared" si="288"/>
        <v>2026</v>
      </c>
      <c r="J2209" s="32">
        <f t="shared" si="289"/>
        <v>8</v>
      </c>
    </row>
    <row r="2210" spans="1:10" x14ac:dyDescent="0.25">
      <c r="A2210" t="s">
        <v>1731</v>
      </c>
      <c r="B2210" t="s">
        <v>1790</v>
      </c>
      <c r="C2210">
        <v>91003393</v>
      </c>
      <c r="D2210">
        <v>140</v>
      </c>
      <c r="E2210" s="4">
        <v>-6709593.46</v>
      </c>
      <c r="F2210" t="s">
        <v>80</v>
      </c>
      <c r="G2210">
        <v>0</v>
      </c>
      <c r="H2210" s="32" t="str">
        <f ca="1">+IF(B2210&gt;'sap nuevo'!$V$1,"cargar",IF(C2210="","cargar","pagado"))</f>
        <v>cargar</v>
      </c>
      <c r="I2210" s="32">
        <f t="shared" si="288"/>
        <v>2026</v>
      </c>
      <c r="J2210" s="32">
        <f t="shared" si="289"/>
        <v>8</v>
      </c>
    </row>
    <row r="2211" spans="1:10" x14ac:dyDescent="0.25">
      <c r="A2211" t="s">
        <v>1731</v>
      </c>
      <c r="B2211" t="s">
        <v>1790</v>
      </c>
      <c r="C2211">
        <v>91003386</v>
      </c>
      <c r="D2211">
        <v>140</v>
      </c>
      <c r="E2211" s="4">
        <v>-6316433.0099999998</v>
      </c>
      <c r="F2211" t="s">
        <v>80</v>
      </c>
      <c r="G2211">
        <v>0</v>
      </c>
      <c r="H2211" s="32" t="str">
        <f ca="1">+IF(B2211&gt;'sap nuevo'!$V$1,"cargar",IF(C2211="","cargar","pagado"))</f>
        <v>cargar</v>
      </c>
      <c r="I2211" s="32">
        <f t="shared" si="288"/>
        <v>2026</v>
      </c>
      <c r="J2211" s="32">
        <f t="shared" si="289"/>
        <v>8</v>
      </c>
    </row>
    <row r="2212" spans="1:10" x14ac:dyDescent="0.25">
      <c r="A2212" t="s">
        <v>1731</v>
      </c>
      <c r="B2212" t="s">
        <v>1790</v>
      </c>
      <c r="C2212">
        <v>91003382</v>
      </c>
      <c r="D2212">
        <v>140</v>
      </c>
      <c r="E2212" s="4">
        <v>-5042700.57</v>
      </c>
      <c r="F2212" t="s">
        <v>80</v>
      </c>
      <c r="G2212">
        <v>0</v>
      </c>
      <c r="H2212" s="32" t="str">
        <f ca="1">+IF(B2212&gt;'sap nuevo'!$V$1,"cargar",IF(C2212="","cargar","pagado"))</f>
        <v>cargar</v>
      </c>
      <c r="I2212" s="32">
        <f t="shared" si="288"/>
        <v>2026</v>
      </c>
      <c r="J2212" s="32">
        <f t="shared" si="289"/>
        <v>8</v>
      </c>
    </row>
    <row r="2213" spans="1:10" x14ac:dyDescent="0.25">
      <c r="A2213" t="s">
        <v>12</v>
      </c>
      <c r="B2213" t="s">
        <v>1791</v>
      </c>
      <c r="C2213">
        <v>91003359</v>
      </c>
      <c r="D2213">
        <v>140</v>
      </c>
      <c r="E2213" s="4">
        <v>-20646345.800000001</v>
      </c>
      <c r="F2213" t="s">
        <v>82</v>
      </c>
      <c r="G2213">
        <v>0</v>
      </c>
      <c r="H2213" s="32" t="str">
        <f ca="1">+IF(B2213&gt;'sap nuevo'!$V$1,"cargar",IF(C2213="","cargar","pagado"))</f>
        <v>cargar</v>
      </c>
      <c r="I2213" s="32">
        <f t="shared" ref="I2213:I2276" si="290">+YEAR(B2213)</f>
        <v>2026</v>
      </c>
      <c r="J2213" s="32">
        <f t="shared" ref="J2213:J2276" si="291">+MONTH(B2213)</f>
        <v>8</v>
      </c>
    </row>
    <row r="2214" spans="1:10" x14ac:dyDescent="0.25">
      <c r="A2214" t="s">
        <v>1731</v>
      </c>
      <c r="B2214" t="s">
        <v>1791</v>
      </c>
      <c r="C2214">
        <v>91003404</v>
      </c>
      <c r="D2214">
        <v>140</v>
      </c>
      <c r="E2214" s="4">
        <v>-16006021.18</v>
      </c>
      <c r="F2214" t="s">
        <v>80</v>
      </c>
      <c r="G2214">
        <v>0</v>
      </c>
      <c r="H2214" s="32" t="str">
        <f ca="1">+IF(B2214&gt;'sap nuevo'!$V$1,"cargar",IF(C2214="","cargar","pagado"))</f>
        <v>cargar</v>
      </c>
      <c r="I2214" s="32">
        <f t="shared" si="290"/>
        <v>2026</v>
      </c>
      <c r="J2214" s="32">
        <f t="shared" si="291"/>
        <v>8</v>
      </c>
    </row>
    <row r="2215" spans="1:10" x14ac:dyDescent="0.25">
      <c r="A2215" t="s">
        <v>1731</v>
      </c>
      <c r="B2215" t="s">
        <v>1791</v>
      </c>
      <c r="C2215">
        <v>91003394</v>
      </c>
      <c r="D2215">
        <v>140</v>
      </c>
      <c r="E2215" s="4">
        <v>-8044675.6399999997</v>
      </c>
      <c r="F2215" t="s">
        <v>80</v>
      </c>
      <c r="G2215">
        <v>0</v>
      </c>
      <c r="H2215" s="32" t="str">
        <f ca="1">+IF(B2215&gt;'sap nuevo'!$V$1,"cargar",IF(C2215="","cargar","pagado"))</f>
        <v>cargar</v>
      </c>
      <c r="I2215" s="32">
        <f t="shared" si="290"/>
        <v>2026</v>
      </c>
      <c r="J2215" s="32">
        <f t="shared" si="291"/>
        <v>8</v>
      </c>
    </row>
    <row r="2216" spans="1:10" x14ac:dyDescent="0.25">
      <c r="A2216" t="s">
        <v>1731</v>
      </c>
      <c r="B2216" t="s">
        <v>1791</v>
      </c>
      <c r="C2216">
        <v>91003392</v>
      </c>
      <c r="D2216">
        <v>140</v>
      </c>
      <c r="E2216" s="4">
        <v>-7283525.3799999999</v>
      </c>
      <c r="F2216" t="s">
        <v>80</v>
      </c>
      <c r="G2216">
        <v>0</v>
      </c>
      <c r="H2216" s="32" t="str">
        <f ca="1">+IF(B2216&gt;'sap nuevo'!$V$1,"cargar",IF(C2216="","cargar","pagado"))</f>
        <v>cargar</v>
      </c>
      <c r="I2216" s="32">
        <f t="shared" si="290"/>
        <v>2026</v>
      </c>
      <c r="J2216" s="32">
        <f t="shared" si="291"/>
        <v>8</v>
      </c>
    </row>
    <row r="2217" spans="1:10" x14ac:dyDescent="0.25">
      <c r="A2217" t="s">
        <v>1731</v>
      </c>
      <c r="B2217" t="s">
        <v>1792</v>
      </c>
      <c r="C2217">
        <v>91003258</v>
      </c>
      <c r="D2217">
        <v>140</v>
      </c>
      <c r="E2217" s="4">
        <v>-11000000</v>
      </c>
      <c r="F2217" t="s">
        <v>80</v>
      </c>
      <c r="G2217">
        <v>0</v>
      </c>
      <c r="H2217" s="32" t="str">
        <f ca="1">+IF(B2217&gt;'sap nuevo'!$V$1,"cargar",IF(C2217="","cargar","pagado"))</f>
        <v>cargar</v>
      </c>
      <c r="I2217" s="32">
        <f t="shared" si="290"/>
        <v>2026</v>
      </c>
      <c r="J2217" s="32">
        <f t="shared" si="291"/>
        <v>8</v>
      </c>
    </row>
    <row r="2218" spans="1:10" x14ac:dyDescent="0.25">
      <c r="A2218" t="s">
        <v>1731</v>
      </c>
      <c r="B2218" t="s">
        <v>1792</v>
      </c>
      <c r="C2218">
        <v>61301865</v>
      </c>
      <c r="D2218">
        <v>140</v>
      </c>
      <c r="E2218" s="4">
        <v>-4099325.68</v>
      </c>
      <c r="F2218" t="s">
        <v>80</v>
      </c>
      <c r="G2218">
        <v>0</v>
      </c>
      <c r="H2218" s="32" t="str">
        <f ca="1">+IF(B2218&gt;'sap nuevo'!$V$1,"cargar",IF(C2218="","cargar","pagado"))</f>
        <v>cargar</v>
      </c>
      <c r="I2218" s="32">
        <f t="shared" si="290"/>
        <v>2026</v>
      </c>
      <c r="J2218" s="32">
        <f t="shared" si="291"/>
        <v>8</v>
      </c>
    </row>
    <row r="2219" spans="1:10" x14ac:dyDescent="0.25">
      <c r="A2219" t="s">
        <v>1731</v>
      </c>
      <c r="B2219" t="s">
        <v>1792</v>
      </c>
      <c r="C2219">
        <v>91003340</v>
      </c>
      <c r="D2219">
        <v>140</v>
      </c>
      <c r="E2219" s="4">
        <v>-667589.18000000005</v>
      </c>
      <c r="F2219" t="s">
        <v>80</v>
      </c>
      <c r="G2219">
        <v>0</v>
      </c>
      <c r="H2219" s="32" t="str">
        <f ca="1">+IF(B2219&gt;'sap nuevo'!$V$1,"cargar",IF(C2219="","cargar","pagado"))</f>
        <v>cargar</v>
      </c>
      <c r="I2219" s="32">
        <f t="shared" si="290"/>
        <v>2026</v>
      </c>
      <c r="J2219" s="32">
        <f t="shared" si="291"/>
        <v>8</v>
      </c>
    </row>
    <row r="2220" spans="1:10" x14ac:dyDescent="0.25">
      <c r="A2220" t="s">
        <v>1731</v>
      </c>
      <c r="B2220" t="s">
        <v>1796</v>
      </c>
      <c r="C2220">
        <v>91003321</v>
      </c>
      <c r="D2220">
        <v>140</v>
      </c>
      <c r="E2220">
        <v>-41951984.049999997</v>
      </c>
      <c r="F2220" t="s">
        <v>80</v>
      </c>
      <c r="G2220">
        <v>0</v>
      </c>
      <c r="H2220" s="32" t="str">
        <f ca="1">+IF(B2220&gt;'sap nuevo'!$V$1,"cargar",IF(C2220="","cargar","pagado"))</f>
        <v>cargar</v>
      </c>
      <c r="I2220" s="32">
        <f t="shared" si="290"/>
        <v>2026</v>
      </c>
      <c r="J2220" s="32">
        <f t="shared" si="291"/>
        <v>8</v>
      </c>
    </row>
    <row r="2221" spans="1:10" x14ac:dyDescent="0.25">
      <c r="A2221" t="s">
        <v>1731</v>
      </c>
      <c r="B2221" t="s">
        <v>1796</v>
      </c>
      <c r="C2221">
        <v>91003420</v>
      </c>
      <c r="D2221">
        <v>140</v>
      </c>
      <c r="E2221">
        <v>-34271130.200000003</v>
      </c>
      <c r="F2221" t="s">
        <v>80</v>
      </c>
      <c r="G2221">
        <v>0</v>
      </c>
      <c r="H2221" s="32" t="str">
        <f ca="1">+IF(B2221&gt;'sap nuevo'!$V$1,"cargar",IF(C2221="","cargar","pagado"))</f>
        <v>cargar</v>
      </c>
      <c r="I2221" s="32">
        <f t="shared" si="290"/>
        <v>2026</v>
      </c>
      <c r="J2221" s="32">
        <f t="shared" si="291"/>
        <v>8</v>
      </c>
    </row>
    <row r="2222" spans="1:10" x14ac:dyDescent="0.25">
      <c r="A2222" t="s">
        <v>1731</v>
      </c>
      <c r="B2222" t="s">
        <v>1796</v>
      </c>
      <c r="C2222">
        <v>91003396</v>
      </c>
      <c r="D2222">
        <v>140</v>
      </c>
      <c r="E2222">
        <v>-27129969.649999999</v>
      </c>
      <c r="F2222" t="s">
        <v>80</v>
      </c>
      <c r="G2222">
        <v>0</v>
      </c>
      <c r="H2222" s="32" t="str">
        <f ca="1">+IF(B2222&gt;'sap nuevo'!$V$1,"cargar",IF(C2222="","cargar","pagado"))</f>
        <v>cargar</v>
      </c>
      <c r="I2222" s="32">
        <f t="shared" si="290"/>
        <v>2026</v>
      </c>
      <c r="J2222" s="32">
        <f t="shared" si="291"/>
        <v>8</v>
      </c>
    </row>
    <row r="2223" spans="1:10" x14ac:dyDescent="0.25">
      <c r="A2223" t="s">
        <v>1731</v>
      </c>
      <c r="B2223" t="s">
        <v>1796</v>
      </c>
      <c r="C2223">
        <v>61301853</v>
      </c>
      <c r="D2223">
        <v>140</v>
      </c>
      <c r="E2223">
        <v>-19312053.399999999</v>
      </c>
      <c r="F2223" t="s">
        <v>80</v>
      </c>
      <c r="G2223">
        <v>0</v>
      </c>
      <c r="H2223" s="32" t="str">
        <f ca="1">+IF(B2223&gt;'sap nuevo'!$V$1,"cargar",IF(C2223="","cargar","pagado"))</f>
        <v>cargar</v>
      </c>
      <c r="I2223" s="32">
        <f t="shared" si="290"/>
        <v>2026</v>
      </c>
      <c r="J2223" s="32">
        <f t="shared" si="291"/>
        <v>8</v>
      </c>
    </row>
    <row r="2224" spans="1:10" x14ac:dyDescent="0.25">
      <c r="A2224" t="s">
        <v>1731</v>
      </c>
      <c r="B2224" t="s">
        <v>1796</v>
      </c>
      <c r="C2224">
        <v>91003417</v>
      </c>
      <c r="D2224">
        <v>140</v>
      </c>
      <c r="E2224">
        <v>-14053560.390000001</v>
      </c>
      <c r="F2224" t="s">
        <v>80</v>
      </c>
      <c r="G2224">
        <v>0</v>
      </c>
      <c r="H2224" s="32" t="str">
        <f ca="1">+IF(B2224&gt;'sap nuevo'!$V$1,"cargar",IF(C2224="","cargar","pagado"))</f>
        <v>cargar</v>
      </c>
      <c r="I2224" s="32">
        <f t="shared" si="290"/>
        <v>2026</v>
      </c>
      <c r="J2224" s="32">
        <f t="shared" si="291"/>
        <v>8</v>
      </c>
    </row>
    <row r="2225" spans="1:10" x14ac:dyDescent="0.25">
      <c r="A2225" t="s">
        <v>1731</v>
      </c>
      <c r="B2225" t="s">
        <v>1796</v>
      </c>
      <c r="C2225">
        <v>91003412</v>
      </c>
      <c r="D2225">
        <v>140</v>
      </c>
      <c r="E2225">
        <v>-12753742.130000001</v>
      </c>
      <c r="F2225" t="s">
        <v>80</v>
      </c>
      <c r="G2225">
        <v>0</v>
      </c>
      <c r="H2225" s="32" t="str">
        <f ca="1">+IF(B2225&gt;'sap nuevo'!$V$1,"cargar",IF(C2225="","cargar","pagado"))</f>
        <v>cargar</v>
      </c>
      <c r="I2225" s="32">
        <f t="shared" si="290"/>
        <v>2026</v>
      </c>
      <c r="J2225" s="32">
        <f t="shared" si="291"/>
        <v>8</v>
      </c>
    </row>
    <row r="2226" spans="1:10" x14ac:dyDescent="0.25">
      <c r="A2226" t="s">
        <v>1731</v>
      </c>
      <c r="B2226" t="s">
        <v>1796</v>
      </c>
      <c r="C2226">
        <v>91003414</v>
      </c>
      <c r="D2226">
        <v>140</v>
      </c>
      <c r="E2226">
        <v>-7959566.8600000003</v>
      </c>
      <c r="F2226" t="s">
        <v>80</v>
      </c>
      <c r="G2226">
        <v>0</v>
      </c>
      <c r="H2226" s="32" t="str">
        <f ca="1">+IF(B2226&gt;'sap nuevo'!$V$1,"cargar",IF(C2226="","cargar","pagado"))</f>
        <v>cargar</v>
      </c>
      <c r="I2226" s="32">
        <f t="shared" si="290"/>
        <v>2026</v>
      </c>
      <c r="J2226" s="32">
        <f t="shared" si="291"/>
        <v>8</v>
      </c>
    </row>
    <row r="2227" spans="1:10" x14ac:dyDescent="0.25">
      <c r="A2227" t="s">
        <v>1731</v>
      </c>
      <c r="B2227" t="s">
        <v>1796</v>
      </c>
      <c r="C2227">
        <v>91003408</v>
      </c>
      <c r="D2227">
        <v>140</v>
      </c>
      <c r="E2227">
        <v>-7479389.4400000004</v>
      </c>
      <c r="F2227" t="s">
        <v>80</v>
      </c>
      <c r="G2227">
        <v>0</v>
      </c>
      <c r="H2227" s="32" t="str">
        <f ca="1">+IF(B2227&gt;'sap nuevo'!$V$1,"cargar",IF(C2227="","cargar","pagado"))</f>
        <v>cargar</v>
      </c>
      <c r="I2227" s="32">
        <f t="shared" si="290"/>
        <v>2026</v>
      </c>
      <c r="J2227" s="32">
        <f t="shared" si="291"/>
        <v>8</v>
      </c>
    </row>
    <row r="2228" spans="1:10" x14ac:dyDescent="0.25">
      <c r="A2228" t="s">
        <v>1731</v>
      </c>
      <c r="B2228" t="s">
        <v>1796</v>
      </c>
      <c r="C2228">
        <v>91003416</v>
      </c>
      <c r="D2228">
        <v>140</v>
      </c>
      <c r="E2228">
        <v>-6656402.4299999997</v>
      </c>
      <c r="F2228" t="s">
        <v>80</v>
      </c>
      <c r="G2228">
        <v>0</v>
      </c>
      <c r="H2228" s="32" t="str">
        <f ca="1">+IF(B2228&gt;'sap nuevo'!$V$1,"cargar",IF(C2228="","cargar","pagado"))</f>
        <v>cargar</v>
      </c>
      <c r="I2228" s="32">
        <f t="shared" si="290"/>
        <v>2026</v>
      </c>
      <c r="J2228" s="32">
        <f t="shared" si="291"/>
        <v>8</v>
      </c>
    </row>
    <row r="2229" spans="1:10" x14ac:dyDescent="0.25">
      <c r="A2229" t="s">
        <v>1731</v>
      </c>
      <c r="B2229" t="s">
        <v>1796</v>
      </c>
      <c r="C2229">
        <v>91003407</v>
      </c>
      <c r="D2229">
        <v>140</v>
      </c>
      <c r="E2229">
        <v>-5762882.5300000003</v>
      </c>
      <c r="F2229" t="s">
        <v>80</v>
      </c>
      <c r="G2229">
        <v>0</v>
      </c>
      <c r="H2229" s="32" t="str">
        <f ca="1">+IF(B2229&gt;'sap nuevo'!$V$1,"cargar",IF(C2229="","cargar","pagado"))</f>
        <v>cargar</v>
      </c>
      <c r="I2229" s="32">
        <f t="shared" si="290"/>
        <v>2026</v>
      </c>
      <c r="J2229" s="32">
        <f t="shared" si="291"/>
        <v>8</v>
      </c>
    </row>
    <row r="2230" spans="1:10" x14ac:dyDescent="0.25">
      <c r="A2230" t="s">
        <v>1731</v>
      </c>
      <c r="B2230" t="s">
        <v>1796</v>
      </c>
      <c r="C2230">
        <v>91003415</v>
      </c>
      <c r="D2230">
        <v>140</v>
      </c>
      <c r="E2230">
        <v>-5005080</v>
      </c>
      <c r="F2230" t="s">
        <v>80</v>
      </c>
      <c r="G2230">
        <v>0</v>
      </c>
      <c r="H2230" s="32" t="str">
        <f ca="1">+IF(B2230&gt;'sap nuevo'!$V$1,"cargar",IF(C2230="","cargar","pagado"))</f>
        <v>cargar</v>
      </c>
      <c r="I2230" s="32">
        <f t="shared" si="290"/>
        <v>2026</v>
      </c>
      <c r="J2230" s="32">
        <f t="shared" si="291"/>
        <v>8</v>
      </c>
    </row>
    <row r="2231" spans="1:10" x14ac:dyDescent="0.25">
      <c r="A2231" t="s">
        <v>1731</v>
      </c>
      <c r="B2231" t="s">
        <v>1797</v>
      </c>
      <c r="C2231">
        <v>91003421</v>
      </c>
      <c r="D2231">
        <v>140</v>
      </c>
      <c r="E2231">
        <v>-35305119.100000001</v>
      </c>
      <c r="F2231" t="s">
        <v>80</v>
      </c>
      <c r="G2231">
        <v>0</v>
      </c>
      <c r="H2231" s="32" t="str">
        <f ca="1">+IF(B2231&gt;'sap nuevo'!$V$1,"cargar",IF(C2231="","cargar","pagado"))</f>
        <v>cargar</v>
      </c>
      <c r="I2231" s="32">
        <f t="shared" si="290"/>
        <v>2026</v>
      </c>
      <c r="J2231" s="32">
        <f t="shared" si="291"/>
        <v>8</v>
      </c>
    </row>
    <row r="2232" spans="1:10" x14ac:dyDescent="0.25">
      <c r="A2232" t="s">
        <v>1731</v>
      </c>
      <c r="B2232" t="s">
        <v>1797</v>
      </c>
      <c r="C2232">
        <v>91003429</v>
      </c>
      <c r="D2232">
        <v>140</v>
      </c>
      <c r="E2232">
        <v>-30460905.370000001</v>
      </c>
      <c r="F2232" t="s">
        <v>80</v>
      </c>
      <c r="G2232">
        <v>0</v>
      </c>
      <c r="H2232" s="32" t="str">
        <f ca="1">+IF(B2232&gt;'sap nuevo'!$V$1,"cargar",IF(C2232="","cargar","pagado"))</f>
        <v>cargar</v>
      </c>
      <c r="I2232" s="32">
        <f t="shared" si="290"/>
        <v>2026</v>
      </c>
      <c r="J2232" s="32">
        <f t="shared" si="291"/>
        <v>8</v>
      </c>
    </row>
    <row r="2233" spans="1:10" x14ac:dyDescent="0.25">
      <c r="A2233" t="s">
        <v>1731</v>
      </c>
      <c r="B2233" t="s">
        <v>1797</v>
      </c>
      <c r="C2233">
        <v>91003422</v>
      </c>
      <c r="D2233">
        <v>140</v>
      </c>
      <c r="E2233">
        <v>-29587417.920000002</v>
      </c>
      <c r="F2233" t="s">
        <v>80</v>
      </c>
      <c r="G2233">
        <v>0</v>
      </c>
      <c r="H2233" s="32" t="str">
        <f ca="1">+IF(B2233&gt;'sap nuevo'!$V$1,"cargar",IF(C2233="","cargar","pagado"))</f>
        <v>cargar</v>
      </c>
      <c r="I2233" s="32">
        <f t="shared" si="290"/>
        <v>2026</v>
      </c>
      <c r="J2233" s="32">
        <f t="shared" si="291"/>
        <v>8</v>
      </c>
    </row>
    <row r="2234" spans="1:10" x14ac:dyDescent="0.25">
      <c r="A2234" t="s">
        <v>1731</v>
      </c>
      <c r="B2234" t="s">
        <v>1797</v>
      </c>
      <c r="C2234">
        <v>91003425</v>
      </c>
      <c r="D2234">
        <v>140</v>
      </c>
      <c r="E2234">
        <v>-13036315.41</v>
      </c>
      <c r="F2234" t="s">
        <v>80</v>
      </c>
      <c r="G2234">
        <v>0</v>
      </c>
      <c r="H2234" s="32" t="str">
        <f ca="1">+IF(B2234&gt;'sap nuevo'!$V$1,"cargar",IF(C2234="","cargar","pagado"))</f>
        <v>cargar</v>
      </c>
      <c r="I2234" s="32">
        <f t="shared" si="290"/>
        <v>2026</v>
      </c>
      <c r="J2234" s="32">
        <f t="shared" si="291"/>
        <v>8</v>
      </c>
    </row>
    <row r="2235" spans="1:10" x14ac:dyDescent="0.25">
      <c r="A2235" t="s">
        <v>1731</v>
      </c>
      <c r="B2235" t="s">
        <v>1797</v>
      </c>
      <c r="C2235">
        <v>91003427</v>
      </c>
      <c r="D2235">
        <v>140</v>
      </c>
      <c r="E2235">
        <v>-11742840</v>
      </c>
      <c r="F2235" t="s">
        <v>80</v>
      </c>
      <c r="G2235">
        <v>0</v>
      </c>
      <c r="H2235" s="32" t="str">
        <f ca="1">+IF(B2235&gt;'sap nuevo'!$V$1,"cargar",IF(C2235="","cargar","pagado"))</f>
        <v>cargar</v>
      </c>
      <c r="I2235" s="32">
        <f t="shared" si="290"/>
        <v>2026</v>
      </c>
      <c r="J2235" s="32">
        <f t="shared" si="291"/>
        <v>8</v>
      </c>
    </row>
    <row r="2236" spans="1:10" x14ac:dyDescent="0.25">
      <c r="A2236" t="s">
        <v>1731</v>
      </c>
      <c r="B2236" t="s">
        <v>1797</v>
      </c>
      <c r="C2236">
        <v>91003424</v>
      </c>
      <c r="D2236">
        <v>140</v>
      </c>
      <c r="E2236">
        <v>-9432842.9199999999</v>
      </c>
      <c r="F2236" t="s">
        <v>80</v>
      </c>
      <c r="G2236">
        <v>0</v>
      </c>
      <c r="H2236" s="32" t="str">
        <f ca="1">+IF(B2236&gt;'sap nuevo'!$V$1,"cargar",IF(C2236="","cargar","pagado"))</f>
        <v>cargar</v>
      </c>
      <c r="I2236" s="32">
        <f t="shared" si="290"/>
        <v>2026</v>
      </c>
      <c r="J2236" s="32">
        <f t="shared" si="291"/>
        <v>8</v>
      </c>
    </row>
    <row r="2237" spans="1:10" x14ac:dyDescent="0.25">
      <c r="A2237" t="s">
        <v>1731</v>
      </c>
      <c r="B2237" t="s">
        <v>1797</v>
      </c>
      <c r="C2237">
        <v>91003426</v>
      </c>
      <c r="D2237">
        <v>140</v>
      </c>
      <c r="E2237">
        <v>-8691757.9199999999</v>
      </c>
      <c r="F2237" t="s">
        <v>80</v>
      </c>
      <c r="G2237">
        <v>0</v>
      </c>
      <c r="H2237" s="32" t="str">
        <f ca="1">+IF(B2237&gt;'sap nuevo'!$V$1,"cargar",IF(C2237="","cargar","pagado"))</f>
        <v>cargar</v>
      </c>
      <c r="I2237" s="32">
        <f t="shared" si="290"/>
        <v>2026</v>
      </c>
      <c r="J2237" s="32">
        <f t="shared" si="291"/>
        <v>8</v>
      </c>
    </row>
    <row r="2238" spans="1:10" x14ac:dyDescent="0.25">
      <c r="A2238" t="s">
        <v>1731</v>
      </c>
      <c r="B2238" t="s">
        <v>1797</v>
      </c>
      <c r="C2238">
        <v>91003428</v>
      </c>
      <c r="D2238">
        <v>140</v>
      </c>
      <c r="E2238">
        <v>-8224211.8899999997</v>
      </c>
      <c r="F2238" t="s">
        <v>80</v>
      </c>
      <c r="G2238">
        <v>0</v>
      </c>
      <c r="H2238" s="32" t="str">
        <f ca="1">+IF(B2238&gt;'sap nuevo'!$V$1,"cargar",IF(C2238="","cargar","pagado"))</f>
        <v>cargar</v>
      </c>
      <c r="I2238" s="32">
        <f t="shared" si="290"/>
        <v>2026</v>
      </c>
      <c r="J2238" s="32">
        <f t="shared" si="291"/>
        <v>8</v>
      </c>
    </row>
    <row r="2239" spans="1:10" x14ac:dyDescent="0.25">
      <c r="A2239" t="s">
        <v>1731</v>
      </c>
      <c r="B2239" t="s">
        <v>1797</v>
      </c>
      <c r="C2239">
        <v>91003413</v>
      </c>
      <c r="D2239">
        <v>140</v>
      </c>
      <c r="E2239">
        <v>-8188952.9199999999</v>
      </c>
      <c r="F2239" t="s">
        <v>80</v>
      </c>
      <c r="G2239">
        <v>0</v>
      </c>
      <c r="H2239" s="32" t="str">
        <f ca="1">+IF(B2239&gt;'sap nuevo'!$V$1,"cargar",IF(C2239="","cargar","pagado"))</f>
        <v>cargar</v>
      </c>
      <c r="I2239" s="32">
        <f t="shared" si="290"/>
        <v>2026</v>
      </c>
      <c r="J2239" s="32">
        <f t="shared" si="291"/>
        <v>8</v>
      </c>
    </row>
    <row r="2240" spans="1:10" x14ac:dyDescent="0.25">
      <c r="A2240" t="s">
        <v>1731</v>
      </c>
      <c r="B2240" t="s">
        <v>1797</v>
      </c>
      <c r="C2240">
        <v>91003419</v>
      </c>
      <c r="D2240">
        <v>140</v>
      </c>
      <c r="E2240">
        <v>-5473337.9199999999</v>
      </c>
      <c r="F2240" t="s">
        <v>80</v>
      </c>
      <c r="G2240">
        <v>0</v>
      </c>
      <c r="H2240" s="32" t="str">
        <f ca="1">+IF(B2240&gt;'sap nuevo'!$V$1,"cargar",IF(C2240="","cargar","pagado"))</f>
        <v>cargar</v>
      </c>
      <c r="I2240" s="32">
        <f t="shared" si="290"/>
        <v>2026</v>
      </c>
      <c r="J2240" s="32">
        <f t="shared" si="291"/>
        <v>8</v>
      </c>
    </row>
    <row r="2241" spans="1:10" x14ac:dyDescent="0.25">
      <c r="A2241" t="s">
        <v>1731</v>
      </c>
      <c r="B2241" t="s">
        <v>1797</v>
      </c>
      <c r="C2241">
        <v>91003411</v>
      </c>
      <c r="D2241">
        <v>140</v>
      </c>
      <c r="E2241">
        <v>-5265058.3</v>
      </c>
      <c r="F2241" t="s">
        <v>80</v>
      </c>
      <c r="G2241">
        <v>0</v>
      </c>
      <c r="H2241" s="32" t="str">
        <f ca="1">+IF(B2241&gt;'sap nuevo'!$V$1,"cargar",IF(C2241="","cargar","pagado"))</f>
        <v>cargar</v>
      </c>
      <c r="I2241" s="32">
        <f t="shared" si="290"/>
        <v>2026</v>
      </c>
      <c r="J2241" s="32">
        <f t="shared" si="291"/>
        <v>8</v>
      </c>
    </row>
    <row r="2242" spans="1:10" x14ac:dyDescent="0.25">
      <c r="A2242" t="s">
        <v>1731</v>
      </c>
      <c r="B2242" t="s">
        <v>1797</v>
      </c>
      <c r="C2242">
        <v>91003423</v>
      </c>
      <c r="D2242">
        <v>140</v>
      </c>
      <c r="E2242">
        <v>-5252179.4800000004</v>
      </c>
      <c r="F2242" t="s">
        <v>80</v>
      </c>
      <c r="G2242">
        <v>0</v>
      </c>
      <c r="H2242" s="32" t="str">
        <f ca="1">+IF(B2242&gt;'sap nuevo'!$V$1,"cargar",IF(C2242="","cargar","pagado"))</f>
        <v>cargar</v>
      </c>
      <c r="I2242" s="32">
        <f t="shared" si="290"/>
        <v>2026</v>
      </c>
      <c r="J2242" s="32">
        <f t="shared" si="291"/>
        <v>8</v>
      </c>
    </row>
    <row r="2243" spans="1:10" x14ac:dyDescent="0.25">
      <c r="A2243" t="s">
        <v>1731</v>
      </c>
      <c r="B2243" t="s">
        <v>1797</v>
      </c>
      <c r="C2243">
        <v>91003430</v>
      </c>
      <c r="D2243">
        <v>140</v>
      </c>
      <c r="E2243">
        <v>-5025398.29</v>
      </c>
      <c r="F2243" t="s">
        <v>80</v>
      </c>
      <c r="G2243">
        <v>0</v>
      </c>
      <c r="H2243" s="32" t="str">
        <f ca="1">+IF(B2243&gt;'sap nuevo'!$V$1,"cargar",IF(C2243="","cargar","pagado"))</f>
        <v>cargar</v>
      </c>
      <c r="I2243" s="32">
        <f t="shared" si="290"/>
        <v>2026</v>
      </c>
      <c r="J2243" s="32">
        <f t="shared" si="291"/>
        <v>8</v>
      </c>
    </row>
    <row r="2244" spans="1:10" x14ac:dyDescent="0.25">
      <c r="A2244" t="s">
        <v>12</v>
      </c>
      <c r="B2244" t="s">
        <v>1801</v>
      </c>
      <c r="C2244">
        <v>91003418</v>
      </c>
      <c r="D2244">
        <v>140</v>
      </c>
      <c r="E2244">
        <v>-5646389.5700000003</v>
      </c>
      <c r="F2244" t="s">
        <v>82</v>
      </c>
      <c r="G2244">
        <v>0</v>
      </c>
      <c r="H2244" s="32" t="str">
        <f ca="1">+IF(B2244&gt;'sap nuevo'!$V$1,"cargar",IF(C2244="","cargar","pagado"))</f>
        <v>cargar</v>
      </c>
      <c r="I2244" s="32">
        <f t="shared" si="290"/>
        <v>2026</v>
      </c>
      <c r="J2244" s="32">
        <f t="shared" si="291"/>
        <v>8</v>
      </c>
    </row>
    <row r="2245" spans="1:10" x14ac:dyDescent="0.25">
      <c r="A2245" t="s">
        <v>1731</v>
      </c>
      <c r="B2245" t="s">
        <v>1802</v>
      </c>
      <c r="C2245">
        <v>61301859</v>
      </c>
      <c r="D2245">
        <v>140</v>
      </c>
      <c r="E2245">
        <v>-19896630.829999998</v>
      </c>
      <c r="F2245" t="s">
        <v>80</v>
      </c>
      <c r="G2245">
        <v>0</v>
      </c>
      <c r="H2245" s="32" t="str">
        <f ca="1">+IF(B2245&gt;'sap nuevo'!$V$1,"cargar",IF(C2245="","cargar","pagado"))</f>
        <v>cargar</v>
      </c>
      <c r="I2245" s="32">
        <f t="shared" si="290"/>
        <v>2026</v>
      </c>
      <c r="J2245" s="32">
        <f t="shared" si="291"/>
        <v>8</v>
      </c>
    </row>
    <row r="2246" spans="1:10" x14ac:dyDescent="0.25">
      <c r="A2246" t="s">
        <v>1731</v>
      </c>
      <c r="B2246" t="s">
        <v>1802</v>
      </c>
      <c r="C2246">
        <v>91003409</v>
      </c>
      <c r="D2246">
        <v>140</v>
      </c>
      <c r="E2246">
        <v>-6873096</v>
      </c>
      <c r="F2246" t="s">
        <v>80</v>
      </c>
      <c r="G2246">
        <v>0</v>
      </c>
      <c r="H2246" s="32" t="str">
        <f ca="1">+IF(B2246&gt;'sap nuevo'!$V$1,"cargar",IF(C2246="","cargar","pagado"))</f>
        <v>cargar</v>
      </c>
      <c r="I2246" s="32">
        <f t="shared" si="290"/>
        <v>2026</v>
      </c>
      <c r="J2246" s="32">
        <f t="shared" si="291"/>
        <v>8</v>
      </c>
    </row>
    <row r="2247" spans="1:10" x14ac:dyDescent="0.25">
      <c r="A2247" t="s">
        <v>12</v>
      </c>
      <c r="B2247" t="s">
        <v>1803</v>
      </c>
      <c r="C2247">
        <v>91003441</v>
      </c>
      <c r="D2247">
        <v>140</v>
      </c>
      <c r="E2247">
        <v>-48746138.609999999</v>
      </c>
      <c r="F2247" t="s">
        <v>82</v>
      </c>
      <c r="G2247">
        <v>0</v>
      </c>
      <c r="H2247" s="32" t="str">
        <f ca="1">+IF(B2247&gt;'sap nuevo'!$V$1,"cargar",IF(C2247="","cargar","pagado"))</f>
        <v>cargar</v>
      </c>
      <c r="I2247" s="32">
        <f t="shared" si="290"/>
        <v>2026</v>
      </c>
      <c r="J2247" s="32">
        <f t="shared" si="291"/>
        <v>8</v>
      </c>
    </row>
    <row r="2248" spans="1:10" x14ac:dyDescent="0.25">
      <c r="A2248" t="s">
        <v>1731</v>
      </c>
      <c r="B2248" t="s">
        <v>1803</v>
      </c>
      <c r="C2248">
        <v>91003459</v>
      </c>
      <c r="D2248">
        <v>140</v>
      </c>
      <c r="E2248">
        <v>-40622666.259999998</v>
      </c>
      <c r="F2248" t="s">
        <v>80</v>
      </c>
      <c r="G2248">
        <v>0</v>
      </c>
      <c r="H2248" s="32" t="str">
        <f ca="1">+IF(B2248&gt;'sap nuevo'!$V$1,"cargar",IF(C2248="","cargar","pagado"))</f>
        <v>cargar</v>
      </c>
      <c r="I2248" s="32">
        <f t="shared" si="290"/>
        <v>2026</v>
      </c>
      <c r="J2248" s="32">
        <f t="shared" si="291"/>
        <v>8</v>
      </c>
    </row>
    <row r="2249" spans="1:10" x14ac:dyDescent="0.25">
      <c r="A2249" t="s">
        <v>1731</v>
      </c>
      <c r="B2249" t="s">
        <v>1803</v>
      </c>
      <c r="C2249">
        <v>91003457</v>
      </c>
      <c r="D2249">
        <v>140</v>
      </c>
      <c r="E2249">
        <v>-32683016.219999999</v>
      </c>
      <c r="F2249" t="s">
        <v>80</v>
      </c>
      <c r="G2249">
        <v>0</v>
      </c>
      <c r="H2249" s="32" t="str">
        <f ca="1">+IF(B2249&gt;'sap nuevo'!$V$1,"cargar",IF(C2249="","cargar","pagado"))</f>
        <v>cargar</v>
      </c>
      <c r="I2249" s="32">
        <f t="shared" si="290"/>
        <v>2026</v>
      </c>
      <c r="J2249" s="32">
        <f t="shared" si="291"/>
        <v>8</v>
      </c>
    </row>
    <row r="2250" spans="1:10" x14ac:dyDescent="0.25">
      <c r="A2250" t="s">
        <v>1731</v>
      </c>
      <c r="B2250" t="s">
        <v>1803</v>
      </c>
      <c r="C2250">
        <v>91003437</v>
      </c>
      <c r="D2250">
        <v>140</v>
      </c>
      <c r="E2250">
        <v>-25000000</v>
      </c>
      <c r="F2250" t="s">
        <v>80</v>
      </c>
      <c r="G2250">
        <v>0</v>
      </c>
      <c r="H2250" s="32" t="str">
        <f ca="1">+IF(B2250&gt;'sap nuevo'!$V$1,"cargar",IF(C2250="","cargar","pagado"))</f>
        <v>cargar</v>
      </c>
      <c r="I2250" s="32">
        <f t="shared" si="290"/>
        <v>2026</v>
      </c>
      <c r="J2250" s="32">
        <f t="shared" si="291"/>
        <v>8</v>
      </c>
    </row>
    <row r="2251" spans="1:10" x14ac:dyDescent="0.25">
      <c r="A2251" t="s">
        <v>12</v>
      </c>
      <c r="B2251" t="s">
        <v>1803</v>
      </c>
      <c r="C2251">
        <v>91003460</v>
      </c>
      <c r="D2251">
        <v>140</v>
      </c>
      <c r="E2251">
        <v>-22756182.469999999</v>
      </c>
      <c r="F2251" t="s">
        <v>82</v>
      </c>
      <c r="G2251">
        <v>0</v>
      </c>
      <c r="H2251" s="32" t="str">
        <f ca="1">+IF(B2251&gt;'sap nuevo'!$V$1,"cargar",IF(C2251="","cargar","pagado"))</f>
        <v>cargar</v>
      </c>
      <c r="I2251" s="32">
        <f t="shared" si="290"/>
        <v>2026</v>
      </c>
      <c r="J2251" s="32">
        <f t="shared" si="291"/>
        <v>8</v>
      </c>
    </row>
    <row r="2252" spans="1:10" x14ac:dyDescent="0.25">
      <c r="A2252" t="s">
        <v>1731</v>
      </c>
      <c r="B2252" t="s">
        <v>1803</v>
      </c>
      <c r="C2252">
        <v>91003450</v>
      </c>
      <c r="D2252">
        <v>140</v>
      </c>
      <c r="E2252">
        <v>-21699792.690000001</v>
      </c>
      <c r="F2252" t="s">
        <v>80</v>
      </c>
      <c r="G2252">
        <v>0</v>
      </c>
      <c r="H2252" s="32" t="str">
        <f ca="1">+IF(B2252&gt;'sap nuevo'!$V$1,"cargar",IF(C2252="","cargar","pagado"))</f>
        <v>cargar</v>
      </c>
      <c r="I2252" s="32">
        <f t="shared" si="290"/>
        <v>2026</v>
      </c>
      <c r="J2252" s="32">
        <f t="shared" si="291"/>
        <v>8</v>
      </c>
    </row>
    <row r="2253" spans="1:10" x14ac:dyDescent="0.25">
      <c r="A2253" t="s">
        <v>1731</v>
      </c>
      <c r="B2253" t="s">
        <v>1803</v>
      </c>
      <c r="C2253">
        <v>91003463</v>
      </c>
      <c r="D2253">
        <v>140</v>
      </c>
      <c r="E2253">
        <v>-21192379.57</v>
      </c>
      <c r="F2253" t="s">
        <v>80</v>
      </c>
      <c r="G2253">
        <v>0</v>
      </c>
      <c r="H2253" s="32" t="str">
        <f ca="1">+IF(B2253&gt;'sap nuevo'!$V$1,"cargar",IF(C2253="","cargar","pagado"))</f>
        <v>cargar</v>
      </c>
      <c r="I2253" s="32">
        <f t="shared" si="290"/>
        <v>2026</v>
      </c>
      <c r="J2253" s="32">
        <f t="shared" si="291"/>
        <v>8</v>
      </c>
    </row>
    <row r="2254" spans="1:10" x14ac:dyDescent="0.25">
      <c r="A2254" t="s">
        <v>1731</v>
      </c>
      <c r="B2254" t="s">
        <v>1803</v>
      </c>
      <c r="C2254">
        <v>91003446</v>
      </c>
      <c r="D2254">
        <v>140</v>
      </c>
      <c r="E2254">
        <v>-20701260.280000001</v>
      </c>
      <c r="F2254" t="s">
        <v>80</v>
      </c>
      <c r="G2254">
        <v>0</v>
      </c>
      <c r="H2254" s="32" t="str">
        <f ca="1">+IF(B2254&gt;'sap nuevo'!$V$1,"cargar",IF(C2254="","cargar","pagado"))</f>
        <v>cargar</v>
      </c>
      <c r="I2254" s="32">
        <f t="shared" si="290"/>
        <v>2026</v>
      </c>
      <c r="J2254" s="32">
        <f t="shared" si="291"/>
        <v>8</v>
      </c>
    </row>
    <row r="2255" spans="1:10" x14ac:dyDescent="0.25">
      <c r="A2255" t="s">
        <v>1731</v>
      </c>
      <c r="B2255" t="s">
        <v>1803</v>
      </c>
      <c r="C2255">
        <v>91003433</v>
      </c>
      <c r="D2255">
        <v>140</v>
      </c>
      <c r="E2255">
        <v>-16066665.800000001</v>
      </c>
      <c r="F2255" t="s">
        <v>80</v>
      </c>
      <c r="G2255">
        <v>0</v>
      </c>
      <c r="H2255" s="32" t="str">
        <f ca="1">+IF(B2255&gt;'sap nuevo'!$V$1,"cargar",IF(C2255="","cargar","pagado"))</f>
        <v>cargar</v>
      </c>
      <c r="I2255" s="32">
        <f t="shared" si="290"/>
        <v>2026</v>
      </c>
      <c r="J2255" s="32">
        <f t="shared" si="291"/>
        <v>8</v>
      </c>
    </row>
    <row r="2256" spans="1:10" x14ac:dyDescent="0.25">
      <c r="A2256" t="s">
        <v>1731</v>
      </c>
      <c r="B2256" t="s">
        <v>1803</v>
      </c>
      <c r="C2256">
        <v>91003435</v>
      </c>
      <c r="D2256">
        <v>140</v>
      </c>
      <c r="E2256">
        <v>-16061443.869999999</v>
      </c>
      <c r="F2256" t="s">
        <v>80</v>
      </c>
      <c r="G2256">
        <v>0</v>
      </c>
      <c r="H2256" s="32" t="str">
        <f ca="1">+IF(B2256&gt;'sap nuevo'!$V$1,"cargar",IF(C2256="","cargar","pagado"))</f>
        <v>cargar</v>
      </c>
      <c r="I2256" s="32">
        <f t="shared" si="290"/>
        <v>2026</v>
      </c>
      <c r="J2256" s="32">
        <f t="shared" si="291"/>
        <v>8</v>
      </c>
    </row>
    <row r="2257" spans="1:10" x14ac:dyDescent="0.25">
      <c r="A2257" t="s">
        <v>1731</v>
      </c>
      <c r="B2257" t="s">
        <v>1803</v>
      </c>
      <c r="C2257">
        <v>91003448</v>
      </c>
      <c r="D2257">
        <v>140</v>
      </c>
      <c r="E2257">
        <v>-15721125</v>
      </c>
      <c r="F2257" t="s">
        <v>80</v>
      </c>
      <c r="G2257">
        <v>0</v>
      </c>
      <c r="H2257" s="32" t="str">
        <f ca="1">+IF(B2257&gt;'sap nuevo'!$V$1,"cargar",IF(C2257="","cargar","pagado"))</f>
        <v>cargar</v>
      </c>
      <c r="I2257" s="32">
        <f t="shared" si="290"/>
        <v>2026</v>
      </c>
      <c r="J2257" s="32">
        <f t="shared" si="291"/>
        <v>8</v>
      </c>
    </row>
    <row r="2258" spans="1:10" x14ac:dyDescent="0.25">
      <c r="A2258" t="s">
        <v>1731</v>
      </c>
      <c r="B2258" t="s">
        <v>1803</v>
      </c>
      <c r="C2258">
        <v>91003434</v>
      </c>
      <c r="D2258">
        <v>140</v>
      </c>
      <c r="E2258">
        <v>-15667425.939999999</v>
      </c>
      <c r="F2258" t="s">
        <v>80</v>
      </c>
      <c r="G2258">
        <v>0</v>
      </c>
      <c r="H2258" s="32" t="str">
        <f ca="1">+IF(B2258&gt;'sap nuevo'!$V$1,"cargar",IF(C2258="","cargar","pagado"))</f>
        <v>cargar</v>
      </c>
      <c r="I2258" s="32">
        <f t="shared" si="290"/>
        <v>2026</v>
      </c>
      <c r="J2258" s="32">
        <f t="shared" si="291"/>
        <v>8</v>
      </c>
    </row>
    <row r="2259" spans="1:10" x14ac:dyDescent="0.25">
      <c r="A2259" t="s">
        <v>1731</v>
      </c>
      <c r="B2259" t="s">
        <v>1803</v>
      </c>
      <c r="C2259">
        <v>91003443</v>
      </c>
      <c r="D2259">
        <v>140</v>
      </c>
      <c r="E2259">
        <v>-13476107.789999999</v>
      </c>
      <c r="F2259" t="s">
        <v>80</v>
      </c>
      <c r="G2259">
        <v>0</v>
      </c>
      <c r="H2259" s="32" t="str">
        <f ca="1">+IF(B2259&gt;'sap nuevo'!$V$1,"cargar",IF(C2259="","cargar","pagado"))</f>
        <v>cargar</v>
      </c>
      <c r="I2259" s="32">
        <f t="shared" si="290"/>
        <v>2026</v>
      </c>
      <c r="J2259" s="32">
        <f t="shared" si="291"/>
        <v>8</v>
      </c>
    </row>
    <row r="2260" spans="1:10" x14ac:dyDescent="0.25">
      <c r="A2260" t="s">
        <v>12</v>
      </c>
      <c r="B2260" t="s">
        <v>1803</v>
      </c>
      <c r="C2260">
        <v>91003440</v>
      </c>
      <c r="D2260">
        <v>140</v>
      </c>
      <c r="E2260">
        <v>-12285246.16</v>
      </c>
      <c r="F2260" t="s">
        <v>82</v>
      </c>
      <c r="G2260">
        <v>0</v>
      </c>
      <c r="H2260" s="32" t="str">
        <f ca="1">+IF(B2260&gt;'sap nuevo'!$V$1,"cargar",IF(C2260="","cargar","pagado"))</f>
        <v>cargar</v>
      </c>
      <c r="I2260" s="32">
        <f t="shared" si="290"/>
        <v>2026</v>
      </c>
      <c r="J2260" s="32">
        <f t="shared" si="291"/>
        <v>8</v>
      </c>
    </row>
    <row r="2261" spans="1:10" x14ac:dyDescent="0.25">
      <c r="A2261" t="s">
        <v>1731</v>
      </c>
      <c r="B2261" t="s">
        <v>1803</v>
      </c>
      <c r="C2261">
        <v>91003455</v>
      </c>
      <c r="D2261">
        <v>140</v>
      </c>
      <c r="E2261">
        <v>-11223714.42</v>
      </c>
      <c r="F2261" t="s">
        <v>80</v>
      </c>
      <c r="G2261">
        <v>0</v>
      </c>
      <c r="H2261" s="32" t="str">
        <f ca="1">+IF(B2261&gt;'sap nuevo'!$V$1,"cargar",IF(C2261="","cargar","pagado"))</f>
        <v>cargar</v>
      </c>
      <c r="I2261" s="32">
        <f t="shared" si="290"/>
        <v>2026</v>
      </c>
      <c r="J2261" s="32">
        <f t="shared" si="291"/>
        <v>8</v>
      </c>
    </row>
    <row r="2262" spans="1:10" x14ac:dyDescent="0.25">
      <c r="A2262" t="s">
        <v>1731</v>
      </c>
      <c r="B2262" t="s">
        <v>1803</v>
      </c>
      <c r="C2262">
        <v>91003431</v>
      </c>
      <c r="D2262">
        <v>140</v>
      </c>
      <c r="E2262">
        <v>-10380401.630000001</v>
      </c>
      <c r="F2262" t="s">
        <v>80</v>
      </c>
      <c r="G2262">
        <v>0</v>
      </c>
      <c r="H2262" s="32" t="str">
        <f ca="1">+IF(B2262&gt;'sap nuevo'!$V$1,"cargar",IF(C2262="","cargar","pagado"))</f>
        <v>cargar</v>
      </c>
      <c r="I2262" s="32">
        <f t="shared" si="290"/>
        <v>2026</v>
      </c>
      <c r="J2262" s="32">
        <f t="shared" si="291"/>
        <v>8</v>
      </c>
    </row>
    <row r="2263" spans="1:10" x14ac:dyDescent="0.25">
      <c r="A2263" t="s">
        <v>1731</v>
      </c>
      <c r="B2263" t="s">
        <v>1803</v>
      </c>
      <c r="C2263">
        <v>91003452</v>
      </c>
      <c r="D2263">
        <v>140</v>
      </c>
      <c r="E2263">
        <v>-9900419.2300000004</v>
      </c>
      <c r="F2263" t="s">
        <v>80</v>
      </c>
      <c r="G2263">
        <v>0</v>
      </c>
      <c r="H2263" s="32" t="str">
        <f ca="1">+IF(B2263&gt;'sap nuevo'!$V$1,"cargar",IF(C2263="","cargar","pagado"))</f>
        <v>cargar</v>
      </c>
      <c r="I2263" s="32">
        <f t="shared" si="290"/>
        <v>2026</v>
      </c>
      <c r="J2263" s="32">
        <f t="shared" si="291"/>
        <v>8</v>
      </c>
    </row>
    <row r="2264" spans="1:10" x14ac:dyDescent="0.25">
      <c r="A2264" t="s">
        <v>1731</v>
      </c>
      <c r="B2264" t="s">
        <v>1803</v>
      </c>
      <c r="C2264">
        <v>91003432</v>
      </c>
      <c r="D2264">
        <v>140</v>
      </c>
      <c r="E2264">
        <v>-7964741.1100000003</v>
      </c>
      <c r="F2264" t="s">
        <v>80</v>
      </c>
      <c r="G2264">
        <v>0</v>
      </c>
      <c r="H2264" s="32" t="str">
        <f ca="1">+IF(B2264&gt;'sap nuevo'!$V$1,"cargar",IF(C2264="","cargar","pagado"))</f>
        <v>cargar</v>
      </c>
      <c r="I2264" s="32">
        <f t="shared" si="290"/>
        <v>2026</v>
      </c>
      <c r="J2264" s="32">
        <f t="shared" si="291"/>
        <v>8</v>
      </c>
    </row>
    <row r="2265" spans="1:10" x14ac:dyDescent="0.25">
      <c r="A2265" t="s">
        <v>12</v>
      </c>
      <c r="B2265" t="s">
        <v>1803</v>
      </c>
      <c r="C2265">
        <v>91003410</v>
      </c>
      <c r="D2265">
        <v>140</v>
      </c>
      <c r="E2265">
        <v>-7558680</v>
      </c>
      <c r="F2265" t="s">
        <v>82</v>
      </c>
      <c r="G2265">
        <v>0</v>
      </c>
      <c r="H2265" s="32" t="str">
        <f ca="1">+IF(B2265&gt;'sap nuevo'!$V$1,"cargar",IF(C2265="","cargar","pagado"))</f>
        <v>cargar</v>
      </c>
      <c r="I2265" s="32">
        <f t="shared" si="290"/>
        <v>2026</v>
      </c>
      <c r="J2265" s="32">
        <f t="shared" si="291"/>
        <v>8</v>
      </c>
    </row>
    <row r="2266" spans="1:10" x14ac:dyDescent="0.25">
      <c r="A2266" t="s">
        <v>1731</v>
      </c>
      <c r="B2266" t="s">
        <v>1803</v>
      </c>
      <c r="C2266">
        <v>91003439</v>
      </c>
      <c r="D2266">
        <v>140</v>
      </c>
      <c r="E2266">
        <v>-6952984.0099999998</v>
      </c>
      <c r="F2266" t="s">
        <v>80</v>
      </c>
      <c r="G2266">
        <v>0</v>
      </c>
      <c r="H2266" s="32" t="str">
        <f ca="1">+IF(B2266&gt;'sap nuevo'!$V$1,"cargar",IF(C2266="","cargar","pagado"))</f>
        <v>cargar</v>
      </c>
      <c r="I2266" s="32">
        <f t="shared" si="290"/>
        <v>2026</v>
      </c>
      <c r="J2266" s="32">
        <f t="shared" si="291"/>
        <v>8</v>
      </c>
    </row>
    <row r="2267" spans="1:10" x14ac:dyDescent="0.25">
      <c r="A2267" t="s">
        <v>1731</v>
      </c>
      <c r="B2267" t="s">
        <v>1803</v>
      </c>
      <c r="C2267">
        <v>91003445</v>
      </c>
      <c r="D2267">
        <v>140</v>
      </c>
      <c r="E2267">
        <v>-6884068.3499999996</v>
      </c>
      <c r="F2267" t="s">
        <v>80</v>
      </c>
      <c r="G2267">
        <v>0</v>
      </c>
      <c r="H2267" s="32" t="str">
        <f ca="1">+IF(B2267&gt;'sap nuevo'!$V$1,"cargar",IF(C2267="","cargar","pagado"))</f>
        <v>cargar</v>
      </c>
      <c r="I2267" s="32">
        <f t="shared" si="290"/>
        <v>2026</v>
      </c>
      <c r="J2267" s="32">
        <f t="shared" si="291"/>
        <v>8</v>
      </c>
    </row>
    <row r="2268" spans="1:10" x14ac:dyDescent="0.25">
      <c r="A2268" t="s">
        <v>1731</v>
      </c>
      <c r="B2268" t="s">
        <v>1803</v>
      </c>
      <c r="C2268">
        <v>91003436</v>
      </c>
      <c r="D2268">
        <v>140</v>
      </c>
      <c r="E2268">
        <v>-6800607.8799999999</v>
      </c>
      <c r="F2268" t="s">
        <v>80</v>
      </c>
      <c r="G2268">
        <v>0</v>
      </c>
      <c r="H2268" s="32" t="str">
        <f ca="1">+IF(B2268&gt;'sap nuevo'!$V$1,"cargar",IF(C2268="","cargar","pagado"))</f>
        <v>cargar</v>
      </c>
      <c r="I2268" s="32">
        <f t="shared" si="290"/>
        <v>2026</v>
      </c>
      <c r="J2268" s="32">
        <f t="shared" si="291"/>
        <v>8</v>
      </c>
    </row>
    <row r="2269" spans="1:10" x14ac:dyDescent="0.25">
      <c r="A2269" t="s">
        <v>1731</v>
      </c>
      <c r="B2269" t="s">
        <v>1803</v>
      </c>
      <c r="C2269">
        <v>91003454</v>
      </c>
      <c r="D2269">
        <v>140</v>
      </c>
      <c r="E2269">
        <v>-6261579.71</v>
      </c>
      <c r="F2269" t="s">
        <v>80</v>
      </c>
      <c r="G2269">
        <v>0</v>
      </c>
      <c r="H2269" s="32" t="str">
        <f ca="1">+IF(B2269&gt;'sap nuevo'!$V$1,"cargar",IF(C2269="","cargar","pagado"))</f>
        <v>cargar</v>
      </c>
      <c r="I2269" s="32">
        <f t="shared" si="290"/>
        <v>2026</v>
      </c>
      <c r="J2269" s="32">
        <f t="shared" si="291"/>
        <v>8</v>
      </c>
    </row>
    <row r="2270" spans="1:10" x14ac:dyDescent="0.25">
      <c r="A2270" t="s">
        <v>1731</v>
      </c>
      <c r="B2270" t="s">
        <v>1803</v>
      </c>
      <c r="C2270">
        <v>91003456</v>
      </c>
      <c r="D2270">
        <v>140</v>
      </c>
      <c r="E2270">
        <v>-6117737.4000000004</v>
      </c>
      <c r="F2270" t="s">
        <v>80</v>
      </c>
      <c r="G2270">
        <v>0</v>
      </c>
      <c r="H2270" s="32" t="str">
        <f ca="1">+IF(B2270&gt;'sap nuevo'!$V$1,"cargar",IF(C2270="","cargar","pagado"))</f>
        <v>cargar</v>
      </c>
      <c r="I2270" s="32">
        <f t="shared" si="290"/>
        <v>2026</v>
      </c>
      <c r="J2270" s="32">
        <f t="shared" si="291"/>
        <v>8</v>
      </c>
    </row>
    <row r="2271" spans="1:10" x14ac:dyDescent="0.25">
      <c r="A2271" t="s">
        <v>1731</v>
      </c>
      <c r="B2271" t="s">
        <v>1803</v>
      </c>
      <c r="C2271">
        <v>91003444</v>
      </c>
      <c r="D2271">
        <v>140</v>
      </c>
      <c r="E2271">
        <v>-5042931.2699999996</v>
      </c>
      <c r="F2271" t="s">
        <v>80</v>
      </c>
      <c r="G2271">
        <v>0</v>
      </c>
      <c r="H2271" s="32" t="str">
        <f ca="1">+IF(B2271&gt;'sap nuevo'!$V$1,"cargar",IF(C2271="","cargar","pagado"))</f>
        <v>cargar</v>
      </c>
      <c r="I2271" s="32">
        <f t="shared" si="290"/>
        <v>2026</v>
      </c>
      <c r="J2271" s="32">
        <f t="shared" si="291"/>
        <v>8</v>
      </c>
    </row>
    <row r="2272" spans="1:10" x14ac:dyDescent="0.25">
      <c r="A2272" t="s">
        <v>12</v>
      </c>
      <c r="B2272" t="s">
        <v>1803</v>
      </c>
      <c r="C2272">
        <v>61301868</v>
      </c>
      <c r="D2272">
        <v>140</v>
      </c>
      <c r="E2272">
        <v>-2930136.51</v>
      </c>
      <c r="F2272" t="s">
        <v>82</v>
      </c>
      <c r="G2272">
        <v>0</v>
      </c>
      <c r="H2272" s="32" t="str">
        <f ca="1">+IF(B2272&gt;'sap nuevo'!$V$1,"cargar",IF(C2272="","cargar","pagado"))</f>
        <v>cargar</v>
      </c>
      <c r="I2272" s="32">
        <f t="shared" si="290"/>
        <v>2026</v>
      </c>
      <c r="J2272" s="32">
        <f t="shared" si="291"/>
        <v>8</v>
      </c>
    </row>
    <row r="2273" spans="1:10" x14ac:dyDescent="0.25">
      <c r="A2273" t="s">
        <v>12</v>
      </c>
      <c r="B2273" t="s">
        <v>1803</v>
      </c>
      <c r="C2273">
        <v>61301872</v>
      </c>
      <c r="D2273">
        <v>140</v>
      </c>
      <c r="E2273">
        <v>-2500000</v>
      </c>
      <c r="F2273" t="s">
        <v>82</v>
      </c>
      <c r="G2273">
        <v>0</v>
      </c>
      <c r="H2273" s="32" t="str">
        <f ca="1">+IF(B2273&gt;'sap nuevo'!$V$1,"cargar",IF(C2273="","cargar","pagado"))</f>
        <v>cargar</v>
      </c>
      <c r="I2273" s="32">
        <f t="shared" si="290"/>
        <v>2026</v>
      </c>
      <c r="J2273" s="32">
        <f t="shared" si="291"/>
        <v>8</v>
      </c>
    </row>
    <row r="2274" spans="1:10" x14ac:dyDescent="0.25">
      <c r="A2274" t="s">
        <v>1731</v>
      </c>
      <c r="B2274" t="s">
        <v>1803</v>
      </c>
      <c r="C2274">
        <v>61301866</v>
      </c>
      <c r="D2274">
        <v>140</v>
      </c>
      <c r="E2274">
        <v>-1005781.98</v>
      </c>
      <c r="F2274" t="s">
        <v>80</v>
      </c>
      <c r="G2274">
        <v>0</v>
      </c>
      <c r="H2274" s="32" t="str">
        <f ca="1">+IF(B2274&gt;'sap nuevo'!$V$1,"cargar",IF(C2274="","cargar","pagado"))</f>
        <v>cargar</v>
      </c>
      <c r="I2274" s="32">
        <f t="shared" si="290"/>
        <v>2026</v>
      </c>
      <c r="J2274" s="32">
        <f t="shared" si="291"/>
        <v>8</v>
      </c>
    </row>
    <row r="2275" spans="1:10" x14ac:dyDescent="0.25">
      <c r="A2275" t="s">
        <v>1731</v>
      </c>
      <c r="B2275" t="s">
        <v>1811</v>
      </c>
      <c r="C2275">
        <v>91003464</v>
      </c>
      <c r="D2275">
        <v>140</v>
      </c>
      <c r="E2275">
        <v>-41856340.350000001</v>
      </c>
      <c r="F2275" t="s">
        <v>80</v>
      </c>
      <c r="G2275">
        <v>0</v>
      </c>
      <c r="H2275" s="32" t="str">
        <f ca="1">+IF(B2275&gt;'sap nuevo'!$V$1,"cargar",IF(C2275="","cargar","pagado"))</f>
        <v>cargar</v>
      </c>
      <c r="I2275" s="32">
        <f t="shared" si="290"/>
        <v>2026</v>
      </c>
      <c r="J2275" s="32">
        <f t="shared" si="291"/>
        <v>8</v>
      </c>
    </row>
    <row r="2276" spans="1:10" x14ac:dyDescent="0.25">
      <c r="A2276" t="s">
        <v>1731</v>
      </c>
      <c r="B2276" t="s">
        <v>1811</v>
      </c>
      <c r="C2276">
        <v>91003462</v>
      </c>
      <c r="D2276">
        <v>140</v>
      </c>
      <c r="E2276">
        <v>-28113073.309999999</v>
      </c>
      <c r="F2276" t="s">
        <v>80</v>
      </c>
      <c r="G2276">
        <v>0</v>
      </c>
      <c r="H2276" s="32" t="str">
        <f ca="1">+IF(B2276&gt;'sap nuevo'!$V$1,"cargar",IF(C2276="","cargar","pagado"))</f>
        <v>cargar</v>
      </c>
      <c r="I2276" s="32">
        <f t="shared" si="290"/>
        <v>2026</v>
      </c>
      <c r="J2276" s="32">
        <f t="shared" si="291"/>
        <v>8</v>
      </c>
    </row>
    <row r="2277" spans="1:10" x14ac:dyDescent="0.25">
      <c r="A2277" t="s">
        <v>1731</v>
      </c>
      <c r="B2277" t="s">
        <v>1811</v>
      </c>
      <c r="C2277">
        <v>91003438</v>
      </c>
      <c r="D2277">
        <v>140</v>
      </c>
      <c r="E2277">
        <v>-27112251.559999999</v>
      </c>
      <c r="F2277" t="s">
        <v>80</v>
      </c>
      <c r="G2277">
        <v>0</v>
      </c>
      <c r="H2277" s="32" t="str">
        <f ca="1">+IF(B2277&gt;'sap nuevo'!$V$1,"cargar",IF(C2277="","cargar","pagado"))</f>
        <v>cargar</v>
      </c>
      <c r="I2277" s="32">
        <f t="shared" ref="I2277:I2340" si="292">+YEAR(B2277)</f>
        <v>2026</v>
      </c>
      <c r="J2277" s="32">
        <f t="shared" ref="J2277:J2340" si="293">+MONTH(B2277)</f>
        <v>8</v>
      </c>
    </row>
    <row r="2278" spans="1:10" x14ac:dyDescent="0.25">
      <c r="A2278" t="s">
        <v>1731</v>
      </c>
      <c r="B2278" t="s">
        <v>1811</v>
      </c>
      <c r="C2278">
        <v>91003461</v>
      </c>
      <c r="D2278">
        <v>140</v>
      </c>
      <c r="E2278">
        <v>-25000000</v>
      </c>
      <c r="F2278" t="s">
        <v>80</v>
      </c>
      <c r="G2278">
        <v>0</v>
      </c>
      <c r="H2278" s="32" t="str">
        <f ca="1">+IF(B2278&gt;'sap nuevo'!$V$1,"cargar",IF(C2278="","cargar","pagado"))</f>
        <v>cargar</v>
      </c>
      <c r="I2278" s="32">
        <f t="shared" si="292"/>
        <v>2026</v>
      </c>
      <c r="J2278" s="32">
        <f t="shared" si="293"/>
        <v>8</v>
      </c>
    </row>
    <row r="2279" spans="1:10" x14ac:dyDescent="0.25">
      <c r="A2279" t="s">
        <v>1731</v>
      </c>
      <c r="B2279" t="s">
        <v>1811</v>
      </c>
      <c r="C2279">
        <v>91003458</v>
      </c>
      <c r="D2279">
        <v>140</v>
      </c>
      <c r="E2279">
        <v>-21978587.09</v>
      </c>
      <c r="F2279" t="s">
        <v>80</v>
      </c>
      <c r="G2279">
        <v>0</v>
      </c>
      <c r="H2279" s="32" t="str">
        <f ca="1">+IF(B2279&gt;'sap nuevo'!$V$1,"cargar",IF(C2279="","cargar","pagado"))</f>
        <v>cargar</v>
      </c>
      <c r="I2279" s="32">
        <f t="shared" si="292"/>
        <v>2026</v>
      </c>
      <c r="J2279" s="32">
        <f t="shared" si="293"/>
        <v>8</v>
      </c>
    </row>
    <row r="2280" spans="1:10" x14ac:dyDescent="0.25">
      <c r="A2280" t="s">
        <v>12</v>
      </c>
      <c r="B2280" t="s">
        <v>1811</v>
      </c>
      <c r="C2280">
        <v>91003442</v>
      </c>
      <c r="D2280">
        <v>140</v>
      </c>
      <c r="E2280">
        <v>-19398076.25</v>
      </c>
      <c r="F2280" t="s">
        <v>82</v>
      </c>
      <c r="G2280">
        <v>0</v>
      </c>
      <c r="H2280" s="32" t="str">
        <f ca="1">+IF(B2280&gt;'sap nuevo'!$V$1,"cargar",IF(C2280="","cargar","pagado"))</f>
        <v>cargar</v>
      </c>
      <c r="I2280" s="32">
        <f t="shared" si="292"/>
        <v>2026</v>
      </c>
      <c r="J2280" s="32">
        <f t="shared" si="293"/>
        <v>8</v>
      </c>
    </row>
    <row r="2281" spans="1:10" x14ac:dyDescent="0.25">
      <c r="A2281" t="s">
        <v>1731</v>
      </c>
      <c r="B2281" t="s">
        <v>1811</v>
      </c>
      <c r="C2281">
        <v>91003449</v>
      </c>
      <c r="D2281">
        <v>140</v>
      </c>
      <c r="E2281">
        <v>-10340277.960000001</v>
      </c>
      <c r="F2281" t="s">
        <v>80</v>
      </c>
      <c r="G2281">
        <v>0</v>
      </c>
      <c r="H2281" s="32" t="str">
        <f ca="1">+IF(B2281&gt;'sap nuevo'!$V$1,"cargar",IF(C2281="","cargar","pagado"))</f>
        <v>cargar</v>
      </c>
      <c r="I2281" s="32">
        <f t="shared" si="292"/>
        <v>2026</v>
      </c>
      <c r="J2281" s="32">
        <f t="shared" si="293"/>
        <v>8</v>
      </c>
    </row>
    <row r="2282" spans="1:10" x14ac:dyDescent="0.25">
      <c r="A2282" t="s">
        <v>1731</v>
      </c>
      <c r="B2282" t="s">
        <v>1812</v>
      </c>
      <c r="C2282">
        <v>61301870</v>
      </c>
      <c r="D2282">
        <v>140</v>
      </c>
      <c r="E2282">
        <v>-22000000</v>
      </c>
      <c r="F2282" t="s">
        <v>80</v>
      </c>
      <c r="G2282">
        <v>0</v>
      </c>
      <c r="H2282" s="32" t="str">
        <f ca="1">+IF(B2282&gt;'sap nuevo'!$V$1,"cargar",IF(C2282="","cargar","pagado"))</f>
        <v>cargar</v>
      </c>
      <c r="I2282" s="32">
        <f t="shared" si="292"/>
        <v>2026</v>
      </c>
      <c r="J2282" s="32">
        <f t="shared" si="293"/>
        <v>8</v>
      </c>
    </row>
    <row r="2283" spans="1:10" x14ac:dyDescent="0.25">
      <c r="A2283" t="s">
        <v>1731</v>
      </c>
      <c r="B2283" t="s">
        <v>1812</v>
      </c>
      <c r="C2283">
        <v>91003447</v>
      </c>
      <c r="D2283">
        <v>140</v>
      </c>
      <c r="E2283">
        <v>-19556107.18</v>
      </c>
      <c r="F2283" t="s">
        <v>80</v>
      </c>
      <c r="G2283">
        <v>0</v>
      </c>
      <c r="H2283" s="32" t="str">
        <f ca="1">+IF(B2283&gt;'sap nuevo'!$V$1,"cargar",IF(C2283="","cargar","pagado"))</f>
        <v>cargar</v>
      </c>
      <c r="I2283" s="32">
        <f t="shared" si="292"/>
        <v>2026</v>
      </c>
      <c r="J2283" s="32">
        <f t="shared" si="293"/>
        <v>8</v>
      </c>
    </row>
    <row r="2284" spans="1:10" x14ac:dyDescent="0.25">
      <c r="A2284" t="s">
        <v>1731</v>
      </c>
      <c r="B2284" t="s">
        <v>1812</v>
      </c>
      <c r="C2284">
        <v>91003467</v>
      </c>
      <c r="D2284">
        <v>140</v>
      </c>
      <c r="E2284">
        <v>-16052308</v>
      </c>
      <c r="F2284" t="s">
        <v>80</v>
      </c>
      <c r="G2284">
        <v>0</v>
      </c>
      <c r="H2284" s="32" t="str">
        <f ca="1">+IF(B2284&gt;'sap nuevo'!$V$1,"cargar",IF(C2284="","cargar","pagado"))</f>
        <v>cargar</v>
      </c>
      <c r="I2284" s="32">
        <f t="shared" si="292"/>
        <v>2026</v>
      </c>
      <c r="J2284" s="32">
        <f t="shared" si="293"/>
        <v>8</v>
      </c>
    </row>
    <row r="2285" spans="1:10" x14ac:dyDescent="0.25">
      <c r="A2285" t="s">
        <v>1731</v>
      </c>
      <c r="B2285" t="s">
        <v>1812</v>
      </c>
      <c r="C2285">
        <v>91003470</v>
      </c>
      <c r="D2285">
        <v>140</v>
      </c>
      <c r="E2285">
        <v>-14737546.800000001</v>
      </c>
      <c r="F2285" t="s">
        <v>80</v>
      </c>
      <c r="G2285">
        <v>0</v>
      </c>
      <c r="H2285" s="32" t="str">
        <f ca="1">+IF(B2285&gt;'sap nuevo'!$V$1,"cargar",IF(C2285="","cargar","pagado"))</f>
        <v>cargar</v>
      </c>
      <c r="I2285" s="32">
        <f t="shared" si="292"/>
        <v>2026</v>
      </c>
      <c r="J2285" s="32">
        <f t="shared" si="293"/>
        <v>8</v>
      </c>
    </row>
    <row r="2286" spans="1:10" x14ac:dyDescent="0.25">
      <c r="A2286" t="s">
        <v>1731</v>
      </c>
      <c r="B2286" t="s">
        <v>1812</v>
      </c>
      <c r="C2286">
        <v>91003471</v>
      </c>
      <c r="D2286">
        <v>140</v>
      </c>
      <c r="E2286">
        <v>-11742840</v>
      </c>
      <c r="F2286" t="s">
        <v>80</v>
      </c>
      <c r="G2286">
        <v>0</v>
      </c>
      <c r="H2286" s="32" t="str">
        <f ca="1">+IF(B2286&gt;'sap nuevo'!$V$1,"cargar",IF(C2286="","cargar","pagado"))</f>
        <v>cargar</v>
      </c>
      <c r="I2286" s="32">
        <f t="shared" si="292"/>
        <v>2026</v>
      </c>
      <c r="J2286" s="32">
        <f t="shared" si="293"/>
        <v>8</v>
      </c>
    </row>
    <row r="2287" spans="1:10" x14ac:dyDescent="0.25">
      <c r="A2287" t="s">
        <v>1731</v>
      </c>
      <c r="B2287" t="s">
        <v>1812</v>
      </c>
      <c r="C2287">
        <v>91003474</v>
      </c>
      <c r="D2287">
        <v>140</v>
      </c>
      <c r="E2287">
        <v>-10785916.880000001</v>
      </c>
      <c r="F2287" t="s">
        <v>80</v>
      </c>
      <c r="G2287">
        <v>0</v>
      </c>
      <c r="H2287" s="32" t="str">
        <f ca="1">+IF(B2287&gt;'sap nuevo'!$V$1,"cargar",IF(C2287="","cargar","pagado"))</f>
        <v>cargar</v>
      </c>
      <c r="I2287" s="32">
        <f t="shared" si="292"/>
        <v>2026</v>
      </c>
      <c r="J2287" s="32">
        <f t="shared" si="293"/>
        <v>8</v>
      </c>
    </row>
    <row r="2288" spans="1:10" x14ac:dyDescent="0.25">
      <c r="A2288" t="s">
        <v>1731</v>
      </c>
      <c r="B2288" t="s">
        <v>1812</v>
      </c>
      <c r="C2288">
        <v>91003469</v>
      </c>
      <c r="D2288">
        <v>140</v>
      </c>
      <c r="E2288">
        <v>-8411614.8000000007</v>
      </c>
      <c r="F2288" t="s">
        <v>80</v>
      </c>
      <c r="G2288">
        <v>0</v>
      </c>
      <c r="H2288" s="32" t="str">
        <f ca="1">+IF(B2288&gt;'sap nuevo'!$V$1,"cargar",IF(C2288="","cargar","pagado"))</f>
        <v>cargar</v>
      </c>
      <c r="I2288" s="32">
        <f t="shared" si="292"/>
        <v>2026</v>
      </c>
      <c r="J2288" s="32">
        <f t="shared" si="293"/>
        <v>8</v>
      </c>
    </row>
    <row r="2289" spans="1:10" x14ac:dyDescent="0.25">
      <c r="A2289" t="s">
        <v>12</v>
      </c>
      <c r="B2289" t="s">
        <v>1812</v>
      </c>
      <c r="C2289">
        <v>91003465</v>
      </c>
      <c r="D2289">
        <v>140</v>
      </c>
      <c r="E2289">
        <v>-7753970.7000000002</v>
      </c>
      <c r="F2289" t="s">
        <v>82</v>
      </c>
      <c r="G2289">
        <v>0</v>
      </c>
      <c r="H2289" s="32" t="str">
        <f ca="1">+IF(B2289&gt;'sap nuevo'!$V$1,"cargar",IF(C2289="","cargar","pagado"))</f>
        <v>cargar</v>
      </c>
      <c r="I2289" s="32">
        <f t="shared" si="292"/>
        <v>2026</v>
      </c>
      <c r="J2289" s="32">
        <f t="shared" si="293"/>
        <v>8</v>
      </c>
    </row>
    <row r="2290" spans="1:10" x14ac:dyDescent="0.25">
      <c r="A2290" t="s">
        <v>12</v>
      </c>
      <c r="B2290" t="s">
        <v>1812</v>
      </c>
      <c r="C2290">
        <v>91003476</v>
      </c>
      <c r="D2290">
        <v>140</v>
      </c>
      <c r="E2290">
        <v>-7363889.0800000001</v>
      </c>
      <c r="F2290" t="s">
        <v>82</v>
      </c>
      <c r="G2290">
        <v>0</v>
      </c>
      <c r="H2290" s="32" t="str">
        <f ca="1">+IF(B2290&gt;'sap nuevo'!$V$1,"cargar",IF(C2290="","cargar","pagado"))</f>
        <v>cargar</v>
      </c>
      <c r="I2290" s="32">
        <f t="shared" si="292"/>
        <v>2026</v>
      </c>
      <c r="J2290" s="32">
        <f t="shared" si="293"/>
        <v>8</v>
      </c>
    </row>
    <row r="2291" spans="1:10" x14ac:dyDescent="0.25">
      <c r="A2291" t="s">
        <v>1731</v>
      </c>
      <c r="B2291" t="s">
        <v>1812</v>
      </c>
      <c r="C2291">
        <v>91003242</v>
      </c>
      <c r="D2291">
        <v>140</v>
      </c>
      <c r="E2291">
        <v>-7261380</v>
      </c>
      <c r="F2291" t="s">
        <v>80</v>
      </c>
      <c r="G2291">
        <v>0</v>
      </c>
      <c r="H2291" s="32" t="str">
        <f ca="1">+IF(B2291&gt;'sap nuevo'!$V$1,"cargar",IF(C2291="","cargar","pagado"))</f>
        <v>cargar</v>
      </c>
      <c r="I2291" s="32">
        <f t="shared" si="292"/>
        <v>2026</v>
      </c>
      <c r="J2291" s="32">
        <f t="shared" si="293"/>
        <v>8</v>
      </c>
    </row>
    <row r="2292" spans="1:10" x14ac:dyDescent="0.25">
      <c r="A2292" t="s">
        <v>1731</v>
      </c>
      <c r="B2292" t="s">
        <v>1812</v>
      </c>
      <c r="C2292">
        <v>91003472</v>
      </c>
      <c r="D2292">
        <v>140</v>
      </c>
      <c r="E2292">
        <v>-7079595.6399999997</v>
      </c>
      <c r="F2292" t="s">
        <v>80</v>
      </c>
      <c r="G2292">
        <v>0</v>
      </c>
      <c r="H2292" s="32" t="str">
        <f ca="1">+IF(B2292&gt;'sap nuevo'!$V$1,"cargar",IF(C2292="","cargar","pagado"))</f>
        <v>cargar</v>
      </c>
      <c r="I2292" s="32">
        <f t="shared" si="292"/>
        <v>2026</v>
      </c>
      <c r="J2292" s="32">
        <f t="shared" si="293"/>
        <v>8</v>
      </c>
    </row>
    <row r="2293" spans="1:10" x14ac:dyDescent="0.25">
      <c r="A2293" t="s">
        <v>1731</v>
      </c>
      <c r="B2293" t="s">
        <v>1812</v>
      </c>
      <c r="C2293">
        <v>91003473</v>
      </c>
      <c r="D2293">
        <v>140</v>
      </c>
      <c r="E2293">
        <v>-6083967.8399999999</v>
      </c>
      <c r="F2293" t="s">
        <v>80</v>
      </c>
      <c r="G2293">
        <v>0</v>
      </c>
      <c r="H2293" s="32" t="str">
        <f ca="1">+IF(B2293&gt;'sap nuevo'!$V$1,"cargar",IF(C2293="","cargar","pagado"))</f>
        <v>cargar</v>
      </c>
      <c r="I2293" s="32">
        <f t="shared" si="292"/>
        <v>2026</v>
      </c>
      <c r="J2293" s="32">
        <f t="shared" si="293"/>
        <v>8</v>
      </c>
    </row>
    <row r="2294" spans="1:10" x14ac:dyDescent="0.25">
      <c r="A2294" t="s">
        <v>12</v>
      </c>
      <c r="B2294" t="s">
        <v>1812</v>
      </c>
      <c r="C2294">
        <v>91003466</v>
      </c>
      <c r="D2294">
        <v>140</v>
      </c>
      <c r="E2294">
        <v>-5673531.8799999999</v>
      </c>
      <c r="F2294" t="s">
        <v>82</v>
      </c>
      <c r="G2294">
        <v>0</v>
      </c>
      <c r="H2294" s="32" t="str">
        <f ca="1">+IF(B2294&gt;'sap nuevo'!$V$1,"cargar",IF(C2294="","cargar","pagado"))</f>
        <v>cargar</v>
      </c>
      <c r="I2294" s="32">
        <f t="shared" si="292"/>
        <v>2026</v>
      </c>
      <c r="J2294" s="32">
        <f t="shared" si="293"/>
        <v>8</v>
      </c>
    </row>
    <row r="2295" spans="1:10" x14ac:dyDescent="0.25">
      <c r="A2295" t="s">
        <v>12</v>
      </c>
      <c r="B2295" t="s">
        <v>1812</v>
      </c>
      <c r="C2295">
        <v>91003468</v>
      </c>
      <c r="D2295">
        <v>140</v>
      </c>
      <c r="E2295">
        <v>-5529090</v>
      </c>
      <c r="F2295" t="s">
        <v>82</v>
      </c>
      <c r="G2295">
        <v>0</v>
      </c>
      <c r="H2295" s="32" t="str">
        <f ca="1">+IF(B2295&gt;'sap nuevo'!$V$1,"cargar",IF(C2295="","cargar","pagado"))</f>
        <v>cargar</v>
      </c>
      <c r="I2295" s="32">
        <f t="shared" si="292"/>
        <v>2026</v>
      </c>
      <c r="J2295" s="32">
        <f t="shared" si="293"/>
        <v>8</v>
      </c>
    </row>
    <row r="2296" spans="1:10" x14ac:dyDescent="0.25">
      <c r="A2296" t="s">
        <v>1731</v>
      </c>
      <c r="B2296" t="s">
        <v>1812</v>
      </c>
      <c r="C2296">
        <v>66622026</v>
      </c>
      <c r="D2296">
        <v>140</v>
      </c>
      <c r="E2296">
        <v>-215909.12</v>
      </c>
      <c r="F2296" t="s">
        <v>80</v>
      </c>
      <c r="G2296">
        <v>0</v>
      </c>
      <c r="H2296" s="32" t="str">
        <f ca="1">+IF(B2296&gt;'sap nuevo'!$V$1,"cargar",IF(C2296="","cargar","pagado"))</f>
        <v>cargar</v>
      </c>
      <c r="I2296" s="32">
        <f t="shared" si="292"/>
        <v>2026</v>
      </c>
      <c r="J2296" s="32">
        <f t="shared" si="293"/>
        <v>8</v>
      </c>
    </row>
    <row r="2297" spans="1:10" x14ac:dyDescent="0.25">
      <c r="A2297" t="s">
        <v>1731</v>
      </c>
      <c r="B2297" t="s">
        <v>1813</v>
      </c>
      <c r="C2297">
        <v>91003475</v>
      </c>
      <c r="D2297">
        <v>140</v>
      </c>
      <c r="E2297">
        <v>-9219580.7699999996</v>
      </c>
      <c r="F2297" t="s">
        <v>80</v>
      </c>
      <c r="G2297">
        <v>0</v>
      </c>
      <c r="H2297" s="32" t="str">
        <f ca="1">+IF(B2297&gt;'sap nuevo'!$V$1,"cargar",IF(C2297="","cargar","pagado"))</f>
        <v>cargar</v>
      </c>
      <c r="I2297" s="32">
        <f t="shared" si="292"/>
        <v>2026</v>
      </c>
      <c r="J2297" s="32">
        <f t="shared" si="293"/>
        <v>8</v>
      </c>
    </row>
    <row r="2298" spans="1:10" x14ac:dyDescent="0.25">
      <c r="A2298" t="s">
        <v>1731</v>
      </c>
      <c r="B2298" t="s">
        <v>1813</v>
      </c>
      <c r="C2298">
        <v>91003477</v>
      </c>
      <c r="D2298">
        <v>140</v>
      </c>
      <c r="E2298">
        <v>-8182825.7599999998</v>
      </c>
      <c r="F2298" t="s">
        <v>80</v>
      </c>
      <c r="G2298">
        <v>0</v>
      </c>
      <c r="H2298" s="32" t="str">
        <f ca="1">+IF(B2298&gt;'sap nuevo'!$V$1,"cargar",IF(C2298="","cargar","pagado"))</f>
        <v>cargar</v>
      </c>
      <c r="I2298" s="32">
        <f t="shared" si="292"/>
        <v>2026</v>
      </c>
      <c r="J2298" s="32">
        <f t="shared" si="293"/>
        <v>8</v>
      </c>
    </row>
    <row r="2299" spans="1:10" x14ac:dyDescent="0.25">
      <c r="A2299" t="s">
        <v>1731</v>
      </c>
      <c r="B2299" t="s">
        <v>1813</v>
      </c>
      <c r="C2299">
        <v>91003377</v>
      </c>
      <c r="D2299">
        <v>140</v>
      </c>
      <c r="E2299">
        <v>-7920167.9199999999</v>
      </c>
      <c r="F2299" t="s">
        <v>80</v>
      </c>
      <c r="G2299">
        <v>0</v>
      </c>
      <c r="H2299" s="32" t="str">
        <f ca="1">+IF(B2299&gt;'sap nuevo'!$V$1,"cargar",IF(C2299="","cargar","pagado"))</f>
        <v>cargar</v>
      </c>
      <c r="I2299" s="32">
        <f t="shared" si="292"/>
        <v>2026</v>
      </c>
      <c r="J2299" s="32">
        <f t="shared" si="293"/>
        <v>8</v>
      </c>
    </row>
    <row r="2300" spans="1:10" x14ac:dyDescent="0.25">
      <c r="A2300" t="s">
        <v>12</v>
      </c>
      <c r="B2300" t="s">
        <v>1813</v>
      </c>
      <c r="C2300">
        <v>61301867</v>
      </c>
      <c r="D2300">
        <v>140</v>
      </c>
      <c r="E2300">
        <v>-2764712.92</v>
      </c>
      <c r="F2300" t="s">
        <v>82</v>
      </c>
      <c r="G2300">
        <v>0</v>
      </c>
      <c r="H2300" s="32" t="str">
        <f ca="1">+IF(B2300&gt;'sap nuevo'!$V$1,"cargar",IF(C2300="","cargar","pagado"))</f>
        <v>cargar</v>
      </c>
      <c r="I2300" s="32">
        <f t="shared" si="292"/>
        <v>2026</v>
      </c>
      <c r="J2300" s="32">
        <f t="shared" si="293"/>
        <v>8</v>
      </c>
    </row>
    <row r="2301" spans="1:10" x14ac:dyDescent="0.25">
      <c r="A2301" t="s">
        <v>1731</v>
      </c>
      <c r="B2301" t="s">
        <v>1814</v>
      </c>
      <c r="C2301">
        <v>61301869</v>
      </c>
      <c r="D2301">
        <v>140</v>
      </c>
      <c r="E2301">
        <v>-8875287.4700000007</v>
      </c>
      <c r="F2301" t="s">
        <v>80</v>
      </c>
      <c r="G2301">
        <v>0</v>
      </c>
      <c r="H2301" s="32" t="str">
        <f ca="1">+IF(B2301&gt;'sap nuevo'!$V$1,"cargar",IF(C2301="","cargar","pagado"))</f>
        <v>cargar</v>
      </c>
      <c r="I2301" s="32">
        <f t="shared" si="292"/>
        <v>2026</v>
      </c>
      <c r="J2301" s="32">
        <f t="shared" si="293"/>
        <v>8</v>
      </c>
    </row>
    <row r="2302" spans="1:10" x14ac:dyDescent="0.25">
      <c r="A2302" t="s">
        <v>1731</v>
      </c>
      <c r="B2302" t="s">
        <v>1818</v>
      </c>
      <c r="C2302">
        <v>95780905</v>
      </c>
      <c r="D2302">
        <v>140</v>
      </c>
      <c r="E2302">
        <v>-38997160</v>
      </c>
      <c r="F2302" t="s">
        <v>80</v>
      </c>
      <c r="G2302">
        <v>0</v>
      </c>
      <c r="H2302" s="32" t="str">
        <f ca="1">+IF(B2302&gt;'sap nuevo'!$V$1,"cargar",IF(C2302="","cargar","pagado"))</f>
        <v>cargar</v>
      </c>
      <c r="I2302" s="32">
        <f t="shared" si="292"/>
        <v>2026</v>
      </c>
      <c r="J2302" s="32">
        <f t="shared" si="293"/>
        <v>8</v>
      </c>
    </row>
    <row r="2303" spans="1:10" x14ac:dyDescent="0.25">
      <c r="A2303" t="s">
        <v>1731</v>
      </c>
      <c r="B2303" t="s">
        <v>1818</v>
      </c>
      <c r="C2303">
        <v>91003453</v>
      </c>
      <c r="D2303">
        <v>140</v>
      </c>
      <c r="E2303">
        <v>-8201247.2300000004</v>
      </c>
      <c r="F2303" t="s">
        <v>80</v>
      </c>
      <c r="G2303">
        <v>0</v>
      </c>
      <c r="H2303" s="32" t="str">
        <f ca="1">+IF(B2303&gt;'sap nuevo'!$V$1,"cargar",IF(C2303="","cargar","pagado"))</f>
        <v>cargar</v>
      </c>
      <c r="I2303" s="32">
        <f t="shared" si="292"/>
        <v>2026</v>
      </c>
      <c r="J2303" s="32">
        <f t="shared" si="293"/>
        <v>8</v>
      </c>
    </row>
    <row r="2304" spans="1:10" x14ac:dyDescent="0.25">
      <c r="A2304" t="s">
        <v>1731</v>
      </c>
      <c r="B2304" t="s">
        <v>1819</v>
      </c>
      <c r="C2304">
        <v>91003488</v>
      </c>
      <c r="D2304">
        <v>140</v>
      </c>
      <c r="E2304">
        <v>-13948499</v>
      </c>
      <c r="F2304" t="s">
        <v>80</v>
      </c>
      <c r="G2304">
        <v>0</v>
      </c>
      <c r="H2304" s="32" t="str">
        <f ca="1">+IF(B2304&gt;'sap nuevo'!$V$1,"cargar",IF(C2304="","cargar","pagado"))</f>
        <v>cargar</v>
      </c>
      <c r="I2304" s="32">
        <f t="shared" si="292"/>
        <v>2026</v>
      </c>
      <c r="J2304" s="32">
        <f t="shared" si="293"/>
        <v>8</v>
      </c>
    </row>
    <row r="2305" spans="1:10" x14ac:dyDescent="0.25">
      <c r="A2305" t="s">
        <v>1731</v>
      </c>
      <c r="B2305" t="s">
        <v>1820</v>
      </c>
      <c r="C2305">
        <v>95780906</v>
      </c>
      <c r="D2305">
        <v>140</v>
      </c>
      <c r="E2305">
        <v>-458463870</v>
      </c>
      <c r="F2305" t="s">
        <v>80</v>
      </c>
      <c r="G2305">
        <v>0</v>
      </c>
      <c r="H2305" s="32" t="str">
        <f ca="1">+IF(B2305&gt;'sap nuevo'!$V$1,"cargar",IF(C2305="","cargar","pagado"))</f>
        <v>cargar</v>
      </c>
      <c r="I2305" s="32">
        <f t="shared" si="292"/>
        <v>2026</v>
      </c>
      <c r="J2305" s="32">
        <f t="shared" si="293"/>
        <v>8</v>
      </c>
    </row>
    <row r="2306" spans="1:10" x14ac:dyDescent="0.25">
      <c r="A2306" t="s">
        <v>12</v>
      </c>
      <c r="B2306" t="s">
        <v>1820</v>
      </c>
      <c r="C2306">
        <v>91003478</v>
      </c>
      <c r="D2306">
        <v>140</v>
      </c>
      <c r="E2306">
        <v>-12208463.75</v>
      </c>
      <c r="F2306" t="s">
        <v>82</v>
      </c>
      <c r="G2306">
        <v>0</v>
      </c>
      <c r="H2306" s="32" t="str">
        <f ca="1">+IF(B2306&gt;'sap nuevo'!$V$1,"cargar",IF(C2306="","cargar","pagado"))</f>
        <v>cargar</v>
      </c>
      <c r="I2306" s="32">
        <f t="shared" si="292"/>
        <v>2026</v>
      </c>
      <c r="J2306" s="32">
        <f t="shared" si="293"/>
        <v>8</v>
      </c>
    </row>
    <row r="2307" spans="1:10" x14ac:dyDescent="0.25">
      <c r="A2307" t="s">
        <v>1731</v>
      </c>
      <c r="B2307" t="s">
        <v>1820</v>
      </c>
      <c r="C2307">
        <v>91003487</v>
      </c>
      <c r="D2307">
        <v>140</v>
      </c>
      <c r="E2307">
        <v>-11006871.609999999</v>
      </c>
      <c r="F2307" t="s">
        <v>80</v>
      </c>
      <c r="G2307">
        <v>0</v>
      </c>
      <c r="H2307" s="32" t="str">
        <f ca="1">+IF(B2307&gt;'sap nuevo'!$V$1,"cargar",IF(C2307="","cargar","pagado"))</f>
        <v>cargar</v>
      </c>
      <c r="I2307" s="32">
        <f t="shared" si="292"/>
        <v>2026</v>
      </c>
      <c r="J2307" s="32">
        <f t="shared" si="293"/>
        <v>8</v>
      </c>
    </row>
    <row r="2308" spans="1:10" x14ac:dyDescent="0.25">
      <c r="A2308" t="s">
        <v>1731</v>
      </c>
      <c r="B2308" t="s">
        <v>1820</v>
      </c>
      <c r="C2308">
        <v>91003480</v>
      </c>
      <c r="D2308">
        <v>140</v>
      </c>
      <c r="E2308">
        <v>-10427887.130000001</v>
      </c>
      <c r="F2308" t="s">
        <v>80</v>
      </c>
      <c r="G2308">
        <v>0</v>
      </c>
      <c r="H2308" s="32" t="str">
        <f ca="1">+IF(B2308&gt;'sap nuevo'!$V$1,"cargar",IF(C2308="","cargar","pagado"))</f>
        <v>cargar</v>
      </c>
      <c r="I2308" s="32">
        <f t="shared" si="292"/>
        <v>2026</v>
      </c>
      <c r="J2308" s="32">
        <f t="shared" si="293"/>
        <v>8</v>
      </c>
    </row>
    <row r="2309" spans="1:10" x14ac:dyDescent="0.25">
      <c r="A2309" t="s">
        <v>1731</v>
      </c>
      <c r="B2309" t="s">
        <v>1820</v>
      </c>
      <c r="C2309">
        <v>91003484</v>
      </c>
      <c r="D2309">
        <v>140</v>
      </c>
      <c r="E2309">
        <v>-8231290</v>
      </c>
      <c r="F2309" t="s">
        <v>80</v>
      </c>
      <c r="G2309">
        <v>0</v>
      </c>
      <c r="H2309" s="32" t="str">
        <f ca="1">+IF(B2309&gt;'sap nuevo'!$V$1,"cargar",IF(C2309="","cargar","pagado"))</f>
        <v>cargar</v>
      </c>
      <c r="I2309" s="32">
        <f t="shared" si="292"/>
        <v>2026</v>
      </c>
      <c r="J2309" s="32">
        <f t="shared" si="293"/>
        <v>8</v>
      </c>
    </row>
    <row r="2310" spans="1:10" x14ac:dyDescent="0.25">
      <c r="A2310" t="s">
        <v>1731</v>
      </c>
      <c r="B2310" t="s">
        <v>1820</v>
      </c>
      <c r="C2310">
        <v>91003485</v>
      </c>
      <c r="D2310">
        <v>140</v>
      </c>
      <c r="E2310">
        <v>-8220240</v>
      </c>
      <c r="F2310" t="s">
        <v>80</v>
      </c>
      <c r="G2310">
        <v>0</v>
      </c>
      <c r="H2310" s="32" t="str">
        <f ca="1">+IF(B2310&gt;'sap nuevo'!$V$1,"cargar",IF(C2310="","cargar","pagado"))</f>
        <v>cargar</v>
      </c>
      <c r="I2310" s="32">
        <f t="shared" si="292"/>
        <v>2026</v>
      </c>
      <c r="J2310" s="32">
        <f t="shared" si="293"/>
        <v>8</v>
      </c>
    </row>
    <row r="2311" spans="1:10" x14ac:dyDescent="0.25">
      <c r="A2311" t="s">
        <v>1731</v>
      </c>
      <c r="B2311" t="s">
        <v>1820</v>
      </c>
      <c r="C2311">
        <v>91003479</v>
      </c>
      <c r="D2311">
        <v>140</v>
      </c>
      <c r="E2311">
        <v>-7198980.8799999999</v>
      </c>
      <c r="F2311" t="s">
        <v>80</v>
      </c>
      <c r="G2311">
        <v>0</v>
      </c>
      <c r="H2311" s="32" t="str">
        <f ca="1">+IF(B2311&gt;'sap nuevo'!$V$1,"cargar",IF(C2311="","cargar","pagado"))</f>
        <v>cargar</v>
      </c>
      <c r="I2311" s="32">
        <f t="shared" si="292"/>
        <v>2026</v>
      </c>
      <c r="J2311" s="32">
        <f t="shared" si="293"/>
        <v>8</v>
      </c>
    </row>
    <row r="2312" spans="1:10" x14ac:dyDescent="0.25">
      <c r="A2312" t="s">
        <v>12</v>
      </c>
      <c r="B2312" t="s">
        <v>1820</v>
      </c>
      <c r="C2312">
        <v>91003486</v>
      </c>
      <c r="D2312">
        <v>140</v>
      </c>
      <c r="E2312">
        <v>-6222653.0800000001</v>
      </c>
      <c r="F2312" t="s">
        <v>82</v>
      </c>
      <c r="G2312">
        <v>0</v>
      </c>
      <c r="H2312" s="32" t="str">
        <f ca="1">+IF(B2312&gt;'sap nuevo'!$V$1,"cargar",IF(C2312="","cargar","pagado"))</f>
        <v>cargar</v>
      </c>
      <c r="I2312" s="32">
        <f t="shared" si="292"/>
        <v>2026</v>
      </c>
      <c r="J2312" s="32">
        <f t="shared" si="293"/>
        <v>8</v>
      </c>
    </row>
    <row r="2313" spans="1:10" x14ac:dyDescent="0.25">
      <c r="A2313" t="s">
        <v>1731</v>
      </c>
      <c r="B2313" t="s">
        <v>1820</v>
      </c>
      <c r="C2313">
        <v>91003483</v>
      </c>
      <c r="D2313">
        <v>140</v>
      </c>
      <c r="E2313">
        <v>-5529090</v>
      </c>
      <c r="F2313" t="s">
        <v>80</v>
      </c>
      <c r="G2313">
        <v>0</v>
      </c>
      <c r="H2313" s="32" t="str">
        <f ca="1">+IF(B2313&gt;'sap nuevo'!$V$1,"cargar",IF(C2313="","cargar","pagado"))</f>
        <v>cargar</v>
      </c>
      <c r="I2313" s="32">
        <f t="shared" si="292"/>
        <v>2026</v>
      </c>
      <c r="J2313" s="32">
        <f t="shared" si="293"/>
        <v>8</v>
      </c>
    </row>
    <row r="2314" spans="1:10" x14ac:dyDescent="0.25">
      <c r="A2314" t="s">
        <v>1731</v>
      </c>
      <c r="B2314" t="s">
        <v>1820</v>
      </c>
      <c r="C2314">
        <v>95780907</v>
      </c>
      <c r="D2314">
        <v>140</v>
      </c>
      <c r="E2314">
        <v>-10000</v>
      </c>
      <c r="F2314" t="s">
        <v>80</v>
      </c>
      <c r="G2314">
        <v>0</v>
      </c>
      <c r="H2314" s="32" t="str">
        <f ca="1">+IF(B2314&gt;'sap nuevo'!$V$1,"cargar",IF(C2314="","cargar","pagado"))</f>
        <v>cargar</v>
      </c>
      <c r="I2314" s="32">
        <f t="shared" si="292"/>
        <v>2026</v>
      </c>
      <c r="J2314" s="32">
        <f t="shared" si="293"/>
        <v>8</v>
      </c>
    </row>
    <row r="2315" spans="1:10" x14ac:dyDescent="0.25">
      <c r="A2315" t="s">
        <v>1731</v>
      </c>
      <c r="B2315" t="s">
        <v>1821</v>
      </c>
      <c r="C2315">
        <v>91003510</v>
      </c>
      <c r="D2315">
        <v>140</v>
      </c>
      <c r="E2315">
        <v>-29872126.079999998</v>
      </c>
      <c r="F2315" t="s">
        <v>80</v>
      </c>
      <c r="G2315">
        <v>0</v>
      </c>
      <c r="H2315" s="32" t="str">
        <f ca="1">+IF(B2315&gt;'sap nuevo'!$V$1,"cargar",IF(C2315="","cargar","pagado"))</f>
        <v>cargar</v>
      </c>
      <c r="I2315" s="32">
        <f t="shared" si="292"/>
        <v>2026</v>
      </c>
      <c r="J2315" s="32">
        <f t="shared" si="293"/>
        <v>8</v>
      </c>
    </row>
    <row r="2316" spans="1:10" x14ac:dyDescent="0.25">
      <c r="A2316" t="s">
        <v>12</v>
      </c>
      <c r="B2316" t="s">
        <v>1821</v>
      </c>
      <c r="C2316">
        <v>91003481</v>
      </c>
      <c r="D2316">
        <v>140</v>
      </c>
      <c r="E2316">
        <v>-14723459.039999999</v>
      </c>
      <c r="F2316" t="s">
        <v>82</v>
      </c>
      <c r="G2316">
        <v>0</v>
      </c>
      <c r="H2316" s="32" t="str">
        <f ca="1">+IF(B2316&gt;'sap nuevo'!$V$1,"cargar",IF(C2316="","cargar","pagado"))</f>
        <v>cargar</v>
      </c>
      <c r="I2316" s="32">
        <f t="shared" si="292"/>
        <v>2026</v>
      </c>
      <c r="J2316" s="32">
        <f t="shared" si="293"/>
        <v>8</v>
      </c>
    </row>
    <row r="2317" spans="1:10" x14ac:dyDescent="0.25">
      <c r="A2317" t="s">
        <v>1731</v>
      </c>
      <c r="B2317" t="s">
        <v>1821</v>
      </c>
      <c r="C2317">
        <v>91003502</v>
      </c>
      <c r="D2317">
        <v>140</v>
      </c>
      <c r="E2317">
        <v>-13809910</v>
      </c>
      <c r="F2317" t="s">
        <v>80</v>
      </c>
      <c r="G2317">
        <v>0</v>
      </c>
      <c r="H2317" s="32" t="str">
        <f ca="1">+IF(B2317&gt;'sap nuevo'!$V$1,"cargar",IF(C2317="","cargar","pagado"))</f>
        <v>cargar</v>
      </c>
      <c r="I2317" s="32">
        <f t="shared" si="292"/>
        <v>2026</v>
      </c>
      <c r="J2317" s="32">
        <f t="shared" si="293"/>
        <v>8</v>
      </c>
    </row>
    <row r="2318" spans="1:10" x14ac:dyDescent="0.25">
      <c r="A2318" t="s">
        <v>1731</v>
      </c>
      <c r="B2318" t="s">
        <v>1821</v>
      </c>
      <c r="C2318">
        <v>91003509</v>
      </c>
      <c r="D2318">
        <v>140</v>
      </c>
      <c r="E2318">
        <v>-11870543.4</v>
      </c>
      <c r="F2318" t="s">
        <v>80</v>
      </c>
      <c r="G2318">
        <v>0</v>
      </c>
      <c r="H2318" s="32" t="str">
        <f ca="1">+IF(B2318&gt;'sap nuevo'!$V$1,"cargar",IF(C2318="","cargar","pagado"))</f>
        <v>cargar</v>
      </c>
      <c r="I2318" s="32">
        <f t="shared" si="292"/>
        <v>2026</v>
      </c>
      <c r="J2318" s="32">
        <f t="shared" si="293"/>
        <v>8</v>
      </c>
    </row>
    <row r="2319" spans="1:10" x14ac:dyDescent="0.25">
      <c r="A2319" t="s">
        <v>1731</v>
      </c>
      <c r="B2319" t="s">
        <v>1821</v>
      </c>
      <c r="C2319">
        <v>91003499</v>
      </c>
      <c r="D2319">
        <v>140</v>
      </c>
      <c r="E2319">
        <v>-9420989</v>
      </c>
      <c r="F2319" t="s">
        <v>80</v>
      </c>
      <c r="G2319">
        <v>0</v>
      </c>
      <c r="H2319" s="32" t="str">
        <f ca="1">+IF(B2319&gt;'sap nuevo'!$V$1,"cargar",IF(C2319="","cargar","pagado"))</f>
        <v>cargar</v>
      </c>
      <c r="I2319" s="32">
        <f t="shared" si="292"/>
        <v>2026</v>
      </c>
      <c r="J2319" s="32">
        <f t="shared" si="293"/>
        <v>8</v>
      </c>
    </row>
    <row r="2320" spans="1:10" x14ac:dyDescent="0.25">
      <c r="A2320" t="s">
        <v>1731</v>
      </c>
      <c r="B2320" t="s">
        <v>1821</v>
      </c>
      <c r="C2320">
        <v>91003508</v>
      </c>
      <c r="D2320">
        <v>140</v>
      </c>
      <c r="E2320">
        <v>-9247413.9900000002</v>
      </c>
      <c r="F2320" t="s">
        <v>80</v>
      </c>
      <c r="G2320">
        <v>0</v>
      </c>
      <c r="H2320" s="32" t="str">
        <f ca="1">+IF(B2320&gt;'sap nuevo'!$V$1,"cargar",IF(C2320="","cargar","pagado"))</f>
        <v>cargar</v>
      </c>
      <c r="I2320" s="32">
        <f t="shared" si="292"/>
        <v>2026</v>
      </c>
      <c r="J2320" s="32">
        <f t="shared" si="293"/>
        <v>8</v>
      </c>
    </row>
    <row r="2321" spans="1:10" x14ac:dyDescent="0.25">
      <c r="A2321" t="s">
        <v>1731</v>
      </c>
      <c r="B2321" t="s">
        <v>1821</v>
      </c>
      <c r="C2321">
        <v>91003500</v>
      </c>
      <c r="D2321">
        <v>140</v>
      </c>
      <c r="E2321">
        <v>-8231032.1699999999</v>
      </c>
      <c r="F2321" t="s">
        <v>80</v>
      </c>
      <c r="G2321">
        <v>0</v>
      </c>
      <c r="H2321" s="32" t="str">
        <f ca="1">+IF(B2321&gt;'sap nuevo'!$V$1,"cargar",IF(C2321="","cargar","pagado"))</f>
        <v>cargar</v>
      </c>
      <c r="I2321" s="32">
        <f t="shared" si="292"/>
        <v>2026</v>
      </c>
      <c r="J2321" s="32">
        <f t="shared" si="293"/>
        <v>8</v>
      </c>
    </row>
    <row r="2322" spans="1:10" x14ac:dyDescent="0.25">
      <c r="A2322" t="s">
        <v>1731</v>
      </c>
      <c r="B2322" t="s">
        <v>1821</v>
      </c>
      <c r="C2322">
        <v>91003493</v>
      </c>
      <c r="D2322">
        <v>140</v>
      </c>
      <c r="E2322">
        <v>-4707675.99</v>
      </c>
      <c r="F2322" t="s">
        <v>80</v>
      </c>
      <c r="G2322">
        <v>0</v>
      </c>
      <c r="H2322" s="32" t="str">
        <f ca="1">+IF(B2322&gt;'sap nuevo'!$V$1,"cargar",IF(C2322="","cargar","pagado"))</f>
        <v>cargar</v>
      </c>
      <c r="I2322" s="32">
        <f t="shared" si="292"/>
        <v>2026</v>
      </c>
      <c r="J2322" s="32">
        <f t="shared" si="293"/>
        <v>8</v>
      </c>
    </row>
    <row r="2323" spans="1:10" x14ac:dyDescent="0.25">
      <c r="A2323" t="s">
        <v>12</v>
      </c>
      <c r="B2323" t="s">
        <v>1821</v>
      </c>
      <c r="C2323">
        <v>91003496</v>
      </c>
      <c r="D2323">
        <v>140</v>
      </c>
      <c r="E2323">
        <v>-4577865</v>
      </c>
      <c r="F2323" t="s">
        <v>82</v>
      </c>
      <c r="G2323">
        <v>0</v>
      </c>
      <c r="H2323" s="32" t="str">
        <f ca="1">+IF(B2323&gt;'sap nuevo'!$V$1,"cargar",IF(C2323="","cargar","pagado"))</f>
        <v>cargar</v>
      </c>
      <c r="I2323" s="32">
        <f t="shared" si="292"/>
        <v>2026</v>
      </c>
      <c r="J2323" s="32">
        <f t="shared" si="293"/>
        <v>8</v>
      </c>
    </row>
    <row r="2324" spans="1:10" x14ac:dyDescent="0.25">
      <c r="A2324" t="s">
        <v>1731</v>
      </c>
      <c r="B2324" t="s">
        <v>1821</v>
      </c>
      <c r="C2324">
        <v>91003513</v>
      </c>
      <c r="D2324">
        <v>140</v>
      </c>
      <c r="E2324">
        <v>-4384701.4000000004</v>
      </c>
      <c r="F2324" t="s">
        <v>80</v>
      </c>
      <c r="G2324">
        <v>0</v>
      </c>
      <c r="H2324" s="32" t="str">
        <f ca="1">+IF(B2324&gt;'sap nuevo'!$V$1,"cargar",IF(C2324="","cargar","pagado"))</f>
        <v>cargar</v>
      </c>
      <c r="I2324" s="32">
        <f t="shared" si="292"/>
        <v>2026</v>
      </c>
      <c r="J2324" s="32">
        <f t="shared" si="293"/>
        <v>8</v>
      </c>
    </row>
    <row r="2325" spans="1:10" x14ac:dyDescent="0.25">
      <c r="A2325" t="s">
        <v>1731</v>
      </c>
      <c r="B2325" t="s">
        <v>1821</v>
      </c>
      <c r="C2325">
        <v>91003514</v>
      </c>
      <c r="D2325">
        <v>140</v>
      </c>
      <c r="E2325">
        <v>-4286064.24</v>
      </c>
      <c r="F2325" t="s">
        <v>80</v>
      </c>
      <c r="G2325">
        <v>0</v>
      </c>
      <c r="H2325" s="32" t="str">
        <f ca="1">+IF(B2325&gt;'sap nuevo'!$V$1,"cargar",IF(C2325="","cargar","pagado"))</f>
        <v>cargar</v>
      </c>
      <c r="I2325" s="32">
        <f t="shared" si="292"/>
        <v>2026</v>
      </c>
      <c r="J2325" s="32">
        <f t="shared" si="293"/>
        <v>8</v>
      </c>
    </row>
    <row r="2326" spans="1:10" x14ac:dyDescent="0.25">
      <c r="A2326" t="s">
        <v>1731</v>
      </c>
      <c r="B2326" t="s">
        <v>1821</v>
      </c>
      <c r="C2326">
        <v>91003505</v>
      </c>
      <c r="D2326">
        <v>140</v>
      </c>
      <c r="E2326">
        <v>-4072503.18</v>
      </c>
      <c r="F2326" t="s">
        <v>80</v>
      </c>
      <c r="G2326">
        <v>0</v>
      </c>
      <c r="H2326" s="32" t="str">
        <f ca="1">+IF(B2326&gt;'sap nuevo'!$V$1,"cargar",IF(C2326="","cargar","pagado"))</f>
        <v>cargar</v>
      </c>
      <c r="I2326" s="32">
        <f t="shared" si="292"/>
        <v>2026</v>
      </c>
      <c r="J2326" s="32">
        <f t="shared" si="293"/>
        <v>8</v>
      </c>
    </row>
    <row r="2327" spans="1:10" x14ac:dyDescent="0.25">
      <c r="A2327" t="s">
        <v>12</v>
      </c>
      <c r="B2327" t="s">
        <v>1821</v>
      </c>
      <c r="C2327">
        <v>91003491</v>
      </c>
      <c r="D2327">
        <v>140</v>
      </c>
      <c r="E2327">
        <v>-3767425.94</v>
      </c>
      <c r="F2327" t="s">
        <v>82</v>
      </c>
      <c r="G2327">
        <v>0</v>
      </c>
      <c r="H2327" s="32" t="str">
        <f ca="1">+IF(B2327&gt;'sap nuevo'!$V$1,"cargar",IF(C2327="","cargar","pagado"))</f>
        <v>cargar</v>
      </c>
      <c r="I2327" s="32">
        <f t="shared" si="292"/>
        <v>2026</v>
      </c>
      <c r="J2327" s="32">
        <f t="shared" si="293"/>
        <v>8</v>
      </c>
    </row>
    <row r="2328" spans="1:10" x14ac:dyDescent="0.25">
      <c r="A2328" t="s">
        <v>1731</v>
      </c>
      <c r="B2328" t="s">
        <v>1821</v>
      </c>
      <c r="C2328">
        <v>91003515</v>
      </c>
      <c r="D2328">
        <v>140</v>
      </c>
      <c r="E2328">
        <v>-3708400</v>
      </c>
      <c r="F2328" t="s">
        <v>80</v>
      </c>
      <c r="G2328">
        <v>0</v>
      </c>
      <c r="H2328" s="32" t="str">
        <f ca="1">+IF(B2328&gt;'sap nuevo'!$V$1,"cargar",IF(C2328="","cargar","pagado"))</f>
        <v>cargar</v>
      </c>
      <c r="I2328" s="32">
        <f t="shared" si="292"/>
        <v>2026</v>
      </c>
      <c r="J2328" s="32">
        <f t="shared" si="293"/>
        <v>8</v>
      </c>
    </row>
    <row r="2329" spans="1:10" x14ac:dyDescent="0.25">
      <c r="A2329" t="s">
        <v>1731</v>
      </c>
      <c r="B2329" t="s">
        <v>1821</v>
      </c>
      <c r="C2329">
        <v>91003490</v>
      </c>
      <c r="D2329">
        <v>140</v>
      </c>
      <c r="E2329">
        <v>-3285959.9</v>
      </c>
      <c r="F2329" t="s">
        <v>80</v>
      </c>
      <c r="G2329">
        <v>0</v>
      </c>
      <c r="H2329" s="32" t="str">
        <f ca="1">+IF(B2329&gt;'sap nuevo'!$V$1,"cargar",IF(C2329="","cargar","pagado"))</f>
        <v>cargar</v>
      </c>
      <c r="I2329" s="32">
        <f t="shared" si="292"/>
        <v>2026</v>
      </c>
      <c r="J2329" s="32">
        <f t="shared" si="293"/>
        <v>8</v>
      </c>
    </row>
    <row r="2330" spans="1:10" x14ac:dyDescent="0.25">
      <c r="A2330" t="s">
        <v>1731</v>
      </c>
      <c r="B2330" t="s">
        <v>1821</v>
      </c>
      <c r="C2330">
        <v>91003498</v>
      </c>
      <c r="D2330">
        <v>140</v>
      </c>
      <c r="E2330">
        <v>-3212127</v>
      </c>
      <c r="F2330" t="s">
        <v>80</v>
      </c>
      <c r="G2330">
        <v>0</v>
      </c>
      <c r="H2330" s="32" t="str">
        <f ca="1">+IF(B2330&gt;'sap nuevo'!$V$1,"cargar",IF(C2330="","cargar","pagado"))</f>
        <v>cargar</v>
      </c>
      <c r="I2330" s="32">
        <f t="shared" si="292"/>
        <v>2026</v>
      </c>
      <c r="J2330" s="32">
        <f t="shared" si="293"/>
        <v>8</v>
      </c>
    </row>
    <row r="2331" spans="1:10" x14ac:dyDescent="0.25">
      <c r="A2331" t="s">
        <v>1731</v>
      </c>
      <c r="B2331" t="s">
        <v>1821</v>
      </c>
      <c r="C2331">
        <v>91003504</v>
      </c>
      <c r="D2331">
        <v>140</v>
      </c>
      <c r="E2331">
        <v>-3124350</v>
      </c>
      <c r="F2331" t="s">
        <v>80</v>
      </c>
      <c r="G2331">
        <v>0</v>
      </c>
      <c r="H2331" s="32" t="str">
        <f ca="1">+IF(B2331&gt;'sap nuevo'!$V$1,"cargar",IF(C2331="","cargar","pagado"))</f>
        <v>cargar</v>
      </c>
      <c r="I2331" s="32">
        <f t="shared" si="292"/>
        <v>2026</v>
      </c>
      <c r="J2331" s="32">
        <f t="shared" si="293"/>
        <v>8</v>
      </c>
    </row>
    <row r="2332" spans="1:10" x14ac:dyDescent="0.25">
      <c r="A2332" t="s">
        <v>1731</v>
      </c>
      <c r="B2332" t="s">
        <v>1821</v>
      </c>
      <c r="C2332">
        <v>91003506</v>
      </c>
      <c r="D2332">
        <v>140</v>
      </c>
      <c r="E2332">
        <v>-2943381.06</v>
      </c>
      <c r="F2332" t="s">
        <v>80</v>
      </c>
      <c r="G2332">
        <v>0</v>
      </c>
      <c r="H2332" s="32" t="str">
        <f ca="1">+IF(B2332&gt;'sap nuevo'!$V$1,"cargar",IF(C2332="","cargar","pagado"))</f>
        <v>cargar</v>
      </c>
      <c r="I2332" s="32">
        <f t="shared" si="292"/>
        <v>2026</v>
      </c>
      <c r="J2332" s="32">
        <f t="shared" si="293"/>
        <v>8</v>
      </c>
    </row>
    <row r="2333" spans="1:10" x14ac:dyDescent="0.25">
      <c r="A2333" t="s">
        <v>12</v>
      </c>
      <c r="B2333" t="s">
        <v>1821</v>
      </c>
      <c r="C2333">
        <v>91003495</v>
      </c>
      <c r="D2333">
        <v>140</v>
      </c>
      <c r="E2333">
        <v>-2651575.5</v>
      </c>
      <c r="F2333" t="s">
        <v>82</v>
      </c>
      <c r="G2333">
        <v>0</v>
      </c>
      <c r="H2333" s="32" t="str">
        <f ca="1">+IF(B2333&gt;'sap nuevo'!$V$1,"cargar",IF(C2333="","cargar","pagado"))</f>
        <v>cargar</v>
      </c>
      <c r="I2333" s="32">
        <f t="shared" si="292"/>
        <v>2026</v>
      </c>
      <c r="J2333" s="32">
        <f t="shared" si="293"/>
        <v>8</v>
      </c>
    </row>
    <row r="2334" spans="1:10" x14ac:dyDescent="0.25">
      <c r="A2334" t="s">
        <v>1731</v>
      </c>
      <c r="B2334" t="s">
        <v>1821</v>
      </c>
      <c r="C2334">
        <v>91003489</v>
      </c>
      <c r="D2334">
        <v>140</v>
      </c>
      <c r="E2334">
        <v>-2516000</v>
      </c>
      <c r="F2334" t="s">
        <v>80</v>
      </c>
      <c r="G2334">
        <v>0</v>
      </c>
      <c r="H2334" s="32" t="str">
        <f ca="1">+IF(B2334&gt;'sap nuevo'!$V$1,"cargar",IF(C2334="","cargar","pagado"))</f>
        <v>cargar</v>
      </c>
      <c r="I2334" s="32">
        <f t="shared" si="292"/>
        <v>2026</v>
      </c>
      <c r="J2334" s="32">
        <f t="shared" si="293"/>
        <v>8</v>
      </c>
    </row>
    <row r="2335" spans="1:10" x14ac:dyDescent="0.25">
      <c r="A2335" t="s">
        <v>1731</v>
      </c>
      <c r="B2335" t="s">
        <v>1821</v>
      </c>
      <c r="C2335">
        <v>91003492</v>
      </c>
      <c r="D2335">
        <v>140</v>
      </c>
      <c r="E2335">
        <v>-2514200</v>
      </c>
      <c r="F2335" t="s">
        <v>80</v>
      </c>
      <c r="G2335">
        <v>0</v>
      </c>
      <c r="H2335" s="32" t="str">
        <f ca="1">+IF(B2335&gt;'sap nuevo'!$V$1,"cargar",IF(C2335="","cargar","pagado"))</f>
        <v>cargar</v>
      </c>
      <c r="I2335" s="32">
        <f t="shared" si="292"/>
        <v>2026</v>
      </c>
      <c r="J2335" s="32">
        <f t="shared" si="293"/>
        <v>8</v>
      </c>
    </row>
    <row r="2336" spans="1:10" x14ac:dyDescent="0.25">
      <c r="A2336" t="s">
        <v>1731</v>
      </c>
      <c r="B2336" t="s">
        <v>1821</v>
      </c>
      <c r="C2336">
        <v>91003497</v>
      </c>
      <c r="D2336">
        <v>140</v>
      </c>
      <c r="E2336">
        <v>-2084351.67</v>
      </c>
      <c r="F2336" t="s">
        <v>80</v>
      </c>
      <c r="G2336">
        <v>0</v>
      </c>
      <c r="H2336" s="32" t="str">
        <f ca="1">+IF(B2336&gt;'sap nuevo'!$V$1,"cargar",IF(C2336="","cargar","pagado"))</f>
        <v>cargar</v>
      </c>
      <c r="I2336" s="32">
        <f t="shared" si="292"/>
        <v>2026</v>
      </c>
      <c r="J2336" s="32">
        <f t="shared" si="293"/>
        <v>8</v>
      </c>
    </row>
    <row r="2337" spans="1:10" x14ac:dyDescent="0.25">
      <c r="A2337" t="s">
        <v>1731</v>
      </c>
      <c r="B2337" t="s">
        <v>1822</v>
      </c>
      <c r="C2337">
        <v>91003482</v>
      </c>
      <c r="D2337">
        <v>140</v>
      </c>
      <c r="E2337">
        <v>-6608817.7199999997</v>
      </c>
      <c r="F2337" t="s">
        <v>80</v>
      </c>
      <c r="G2337">
        <v>0</v>
      </c>
      <c r="H2337" s="32" t="str">
        <f ca="1">+IF(B2337&gt;'sap nuevo'!$V$1,"cargar",IF(C2337="","cargar","pagado"))</f>
        <v>cargar</v>
      </c>
      <c r="I2337" s="32">
        <f t="shared" si="292"/>
        <v>2026</v>
      </c>
      <c r="J2337" s="32">
        <f t="shared" si="293"/>
        <v>8</v>
      </c>
    </row>
    <row r="2338" spans="1:10" x14ac:dyDescent="0.25">
      <c r="A2338" t="s">
        <v>1731</v>
      </c>
      <c r="B2338" t="s">
        <v>1822</v>
      </c>
      <c r="C2338">
        <v>91003501</v>
      </c>
      <c r="D2338">
        <v>140</v>
      </c>
      <c r="E2338">
        <v>-5529090</v>
      </c>
      <c r="F2338" t="s">
        <v>80</v>
      </c>
      <c r="G2338">
        <v>0</v>
      </c>
      <c r="H2338" s="32" t="str">
        <f ca="1">+IF(B2338&gt;'sap nuevo'!$V$1,"cargar",IF(C2338="","cargar","pagado"))</f>
        <v>cargar</v>
      </c>
      <c r="I2338" s="32">
        <f t="shared" si="292"/>
        <v>2026</v>
      </c>
      <c r="J2338" s="32">
        <f t="shared" si="293"/>
        <v>8</v>
      </c>
    </row>
    <row r="2339" spans="1:10" x14ac:dyDescent="0.25">
      <c r="A2339" t="s">
        <v>1731</v>
      </c>
      <c r="B2339" t="s">
        <v>1822</v>
      </c>
      <c r="C2339">
        <v>91003511</v>
      </c>
      <c r="D2339">
        <v>140</v>
      </c>
      <c r="E2339">
        <v>-2825723.4</v>
      </c>
      <c r="F2339" t="s">
        <v>80</v>
      </c>
      <c r="G2339">
        <v>0</v>
      </c>
      <c r="H2339" s="32" t="str">
        <f ca="1">+IF(B2339&gt;'sap nuevo'!$V$1,"cargar",IF(C2339="","cargar","pagado"))</f>
        <v>cargar</v>
      </c>
      <c r="I2339" s="32">
        <f t="shared" si="292"/>
        <v>2026</v>
      </c>
      <c r="J2339" s="32">
        <f t="shared" si="293"/>
        <v>8</v>
      </c>
    </row>
    <row r="2340" spans="1:10" x14ac:dyDescent="0.25">
      <c r="A2340" t="s">
        <v>1731</v>
      </c>
      <c r="B2340" t="s">
        <v>1824</v>
      </c>
      <c r="C2340">
        <v>91003531</v>
      </c>
      <c r="D2340">
        <v>140</v>
      </c>
      <c r="E2340">
        <v>-42777430.670000002</v>
      </c>
      <c r="F2340" t="s">
        <v>80</v>
      </c>
      <c r="G2340">
        <v>0</v>
      </c>
      <c r="H2340" s="32" t="str">
        <f ca="1">+IF(B2340&gt;'sap nuevo'!$V$1,"cargar",IF(C2340="","cargar","pagado"))</f>
        <v>cargar</v>
      </c>
      <c r="I2340" s="32">
        <f t="shared" si="292"/>
        <v>2026</v>
      </c>
      <c r="J2340" s="32">
        <f t="shared" si="293"/>
        <v>8</v>
      </c>
    </row>
    <row r="2341" spans="1:10" x14ac:dyDescent="0.25">
      <c r="A2341" t="s">
        <v>1731</v>
      </c>
      <c r="B2341" t="s">
        <v>1824</v>
      </c>
      <c r="C2341">
        <v>91003530</v>
      </c>
      <c r="D2341">
        <v>140</v>
      </c>
      <c r="E2341">
        <v>-39270743.020000003</v>
      </c>
      <c r="F2341" t="s">
        <v>80</v>
      </c>
      <c r="G2341">
        <v>0</v>
      </c>
      <c r="H2341" s="32" t="str">
        <f ca="1">+IF(B2341&gt;'sap nuevo'!$V$1,"cargar",IF(C2341="","cargar","pagado"))</f>
        <v>cargar</v>
      </c>
      <c r="I2341" s="32">
        <f t="shared" ref="I2341:I2363" si="294">+YEAR(B2341)</f>
        <v>2026</v>
      </c>
      <c r="J2341" s="32">
        <f t="shared" ref="J2341:J2363" si="295">+MONTH(B2341)</f>
        <v>8</v>
      </c>
    </row>
    <row r="2342" spans="1:10" x14ac:dyDescent="0.25">
      <c r="A2342" t="s">
        <v>1731</v>
      </c>
      <c r="B2342" t="s">
        <v>1824</v>
      </c>
      <c r="C2342">
        <v>91003518</v>
      </c>
      <c r="D2342">
        <v>140</v>
      </c>
      <c r="E2342">
        <v>-22340293.399999999</v>
      </c>
      <c r="F2342" t="s">
        <v>80</v>
      </c>
      <c r="G2342">
        <v>0</v>
      </c>
      <c r="H2342" s="32" t="str">
        <f ca="1">+IF(B2342&gt;'sap nuevo'!$V$1,"cargar",IF(C2342="","cargar","pagado"))</f>
        <v>cargar</v>
      </c>
      <c r="I2342" s="32">
        <f t="shared" si="294"/>
        <v>2026</v>
      </c>
      <c r="J2342" s="32">
        <f t="shared" si="295"/>
        <v>8</v>
      </c>
    </row>
    <row r="2343" spans="1:10" x14ac:dyDescent="0.25">
      <c r="A2343" t="s">
        <v>1731</v>
      </c>
      <c r="B2343" t="s">
        <v>1824</v>
      </c>
      <c r="C2343">
        <v>91003523</v>
      </c>
      <c r="D2343">
        <v>140</v>
      </c>
      <c r="E2343">
        <v>-21895924.300000001</v>
      </c>
      <c r="F2343" t="s">
        <v>80</v>
      </c>
      <c r="G2343">
        <v>0</v>
      </c>
      <c r="H2343" s="32" t="str">
        <f ca="1">+IF(B2343&gt;'sap nuevo'!$V$1,"cargar",IF(C2343="","cargar","pagado"))</f>
        <v>cargar</v>
      </c>
      <c r="I2343" s="32">
        <f t="shared" si="294"/>
        <v>2026</v>
      </c>
      <c r="J2343" s="32">
        <f t="shared" si="295"/>
        <v>8</v>
      </c>
    </row>
    <row r="2344" spans="1:10" x14ac:dyDescent="0.25">
      <c r="A2344" t="s">
        <v>1731</v>
      </c>
      <c r="B2344" t="s">
        <v>1824</v>
      </c>
      <c r="C2344">
        <v>91003451</v>
      </c>
      <c r="D2344">
        <v>140</v>
      </c>
      <c r="E2344">
        <v>-15212171.48</v>
      </c>
      <c r="F2344" t="s">
        <v>80</v>
      </c>
      <c r="G2344">
        <v>0</v>
      </c>
      <c r="H2344" s="32" t="str">
        <f ca="1">+IF(B2344&gt;'sap nuevo'!$V$1,"cargar",IF(C2344="","cargar","pagado"))</f>
        <v>cargar</v>
      </c>
      <c r="I2344" s="32">
        <f t="shared" si="294"/>
        <v>2026</v>
      </c>
      <c r="J2344" s="32">
        <f t="shared" si="295"/>
        <v>8</v>
      </c>
    </row>
    <row r="2345" spans="1:10" x14ac:dyDescent="0.25">
      <c r="A2345" t="s">
        <v>1731</v>
      </c>
      <c r="B2345" t="s">
        <v>1824</v>
      </c>
      <c r="C2345">
        <v>91003525</v>
      </c>
      <c r="D2345">
        <v>140</v>
      </c>
      <c r="E2345">
        <v>-12522622.35</v>
      </c>
      <c r="F2345" t="s">
        <v>80</v>
      </c>
      <c r="G2345">
        <v>0</v>
      </c>
      <c r="H2345" s="32" t="str">
        <f ca="1">+IF(B2345&gt;'sap nuevo'!$V$1,"cargar",IF(C2345="","cargar","pagado"))</f>
        <v>cargar</v>
      </c>
      <c r="I2345" s="32">
        <f t="shared" si="294"/>
        <v>2026</v>
      </c>
      <c r="J2345" s="32">
        <f t="shared" si="295"/>
        <v>8</v>
      </c>
    </row>
    <row r="2346" spans="1:10" x14ac:dyDescent="0.25">
      <c r="A2346" t="s">
        <v>1731</v>
      </c>
      <c r="B2346" t="s">
        <v>1824</v>
      </c>
      <c r="C2346">
        <v>91003532</v>
      </c>
      <c r="D2346">
        <v>140</v>
      </c>
      <c r="E2346">
        <v>-8995080.8599999994</v>
      </c>
      <c r="F2346" t="s">
        <v>80</v>
      </c>
      <c r="G2346">
        <v>0</v>
      </c>
      <c r="H2346" s="32" t="str">
        <f ca="1">+IF(B2346&gt;'sap nuevo'!$V$1,"cargar",IF(C2346="","cargar","pagado"))</f>
        <v>cargar</v>
      </c>
      <c r="I2346" s="32">
        <f t="shared" si="294"/>
        <v>2026</v>
      </c>
      <c r="J2346" s="32">
        <f t="shared" si="295"/>
        <v>8</v>
      </c>
    </row>
    <row r="2347" spans="1:10" x14ac:dyDescent="0.25">
      <c r="A2347" t="s">
        <v>12</v>
      </c>
      <c r="B2347" t="s">
        <v>1824</v>
      </c>
      <c r="C2347">
        <v>91003520</v>
      </c>
      <c r="D2347">
        <v>140</v>
      </c>
      <c r="E2347">
        <v>-8510227.1899999995</v>
      </c>
      <c r="F2347" t="s">
        <v>82</v>
      </c>
      <c r="G2347">
        <v>0</v>
      </c>
      <c r="H2347" s="32" t="str">
        <f ca="1">+IF(B2347&gt;'sap nuevo'!$V$1,"cargar",IF(C2347="","cargar","pagado"))</f>
        <v>cargar</v>
      </c>
      <c r="I2347" s="32">
        <f t="shared" si="294"/>
        <v>2026</v>
      </c>
      <c r="J2347" s="32">
        <f t="shared" si="295"/>
        <v>8</v>
      </c>
    </row>
    <row r="2348" spans="1:10" x14ac:dyDescent="0.25">
      <c r="A2348" t="s">
        <v>1731</v>
      </c>
      <c r="B2348" t="s">
        <v>1824</v>
      </c>
      <c r="C2348">
        <v>91003516</v>
      </c>
      <c r="D2348">
        <v>140</v>
      </c>
      <c r="E2348">
        <v>-8385787.0700000003</v>
      </c>
      <c r="F2348" t="s">
        <v>80</v>
      </c>
      <c r="G2348">
        <v>0</v>
      </c>
      <c r="H2348" s="32" t="str">
        <f ca="1">+IF(B2348&gt;'sap nuevo'!$V$1,"cargar",IF(C2348="","cargar","pagado"))</f>
        <v>cargar</v>
      </c>
      <c r="I2348" s="32">
        <f t="shared" si="294"/>
        <v>2026</v>
      </c>
      <c r="J2348" s="32">
        <f t="shared" si="295"/>
        <v>8</v>
      </c>
    </row>
    <row r="2349" spans="1:10" x14ac:dyDescent="0.25">
      <c r="A2349" t="s">
        <v>1731</v>
      </c>
      <c r="B2349" t="s">
        <v>1824</v>
      </c>
      <c r="C2349">
        <v>91003524</v>
      </c>
      <c r="D2349">
        <v>140</v>
      </c>
      <c r="E2349">
        <v>-8088204.1100000003</v>
      </c>
      <c r="F2349" t="s">
        <v>80</v>
      </c>
      <c r="G2349">
        <v>0</v>
      </c>
      <c r="H2349" s="32" t="str">
        <f ca="1">+IF(B2349&gt;'sap nuevo'!$V$1,"cargar",IF(C2349="","cargar","pagado"))</f>
        <v>cargar</v>
      </c>
      <c r="I2349" s="32">
        <f t="shared" si="294"/>
        <v>2026</v>
      </c>
      <c r="J2349" s="32">
        <f t="shared" si="295"/>
        <v>8</v>
      </c>
    </row>
    <row r="2350" spans="1:10" x14ac:dyDescent="0.25">
      <c r="A2350" t="s">
        <v>1731</v>
      </c>
      <c r="B2350" t="s">
        <v>1824</v>
      </c>
      <c r="C2350">
        <v>91003529</v>
      </c>
      <c r="D2350">
        <v>140</v>
      </c>
      <c r="E2350">
        <v>-7749760.04</v>
      </c>
      <c r="F2350" t="s">
        <v>80</v>
      </c>
      <c r="G2350">
        <v>0</v>
      </c>
      <c r="H2350" s="32" t="str">
        <f ca="1">+IF(B2350&gt;'sap nuevo'!$V$1,"cargar",IF(C2350="","cargar","pagado"))</f>
        <v>cargar</v>
      </c>
      <c r="I2350" s="32">
        <f t="shared" si="294"/>
        <v>2026</v>
      </c>
      <c r="J2350" s="32">
        <f t="shared" si="295"/>
        <v>8</v>
      </c>
    </row>
    <row r="2351" spans="1:10" x14ac:dyDescent="0.25">
      <c r="A2351" t="s">
        <v>1731</v>
      </c>
      <c r="B2351" t="s">
        <v>1824</v>
      </c>
      <c r="C2351">
        <v>91003519</v>
      </c>
      <c r="D2351">
        <v>140</v>
      </c>
      <c r="E2351">
        <v>-7688930.2699999996</v>
      </c>
      <c r="F2351" t="s">
        <v>80</v>
      </c>
      <c r="G2351">
        <v>0</v>
      </c>
      <c r="H2351" s="32" t="str">
        <f ca="1">+IF(B2351&gt;'sap nuevo'!$V$1,"cargar",IF(C2351="","cargar","pagado"))</f>
        <v>cargar</v>
      </c>
      <c r="I2351" s="32">
        <f t="shared" si="294"/>
        <v>2026</v>
      </c>
      <c r="J2351" s="32">
        <f t="shared" si="295"/>
        <v>8</v>
      </c>
    </row>
    <row r="2352" spans="1:10" x14ac:dyDescent="0.25">
      <c r="A2352" t="s">
        <v>1731</v>
      </c>
      <c r="B2352" t="s">
        <v>1824</v>
      </c>
      <c r="C2352">
        <v>91003517</v>
      </c>
      <c r="D2352">
        <v>140</v>
      </c>
      <c r="E2352">
        <v>-6303157</v>
      </c>
      <c r="F2352" t="s">
        <v>80</v>
      </c>
      <c r="G2352">
        <v>0</v>
      </c>
      <c r="H2352" s="32" t="str">
        <f ca="1">+IF(B2352&gt;'sap nuevo'!$V$1,"cargar",IF(C2352="","cargar","pagado"))</f>
        <v>cargar</v>
      </c>
      <c r="I2352" s="32">
        <f t="shared" si="294"/>
        <v>2026</v>
      </c>
      <c r="J2352" s="32">
        <f t="shared" si="295"/>
        <v>8</v>
      </c>
    </row>
    <row r="2353" spans="1:10" x14ac:dyDescent="0.25">
      <c r="A2353" t="s">
        <v>1731</v>
      </c>
      <c r="B2353" t="s">
        <v>1824</v>
      </c>
      <c r="C2353">
        <v>91003528</v>
      </c>
      <c r="D2353">
        <v>140</v>
      </c>
      <c r="E2353">
        <v>-5866810.9299999997</v>
      </c>
      <c r="F2353" t="s">
        <v>80</v>
      </c>
      <c r="G2353">
        <v>0</v>
      </c>
      <c r="H2353" s="32" t="str">
        <f ca="1">+IF(B2353&gt;'sap nuevo'!$V$1,"cargar",IF(C2353="","cargar","pagado"))</f>
        <v>cargar</v>
      </c>
      <c r="I2353" s="32">
        <f t="shared" si="294"/>
        <v>2026</v>
      </c>
      <c r="J2353" s="32">
        <f t="shared" si="295"/>
        <v>8</v>
      </c>
    </row>
    <row r="2354" spans="1:10" x14ac:dyDescent="0.25">
      <c r="A2354" t="s">
        <v>1731</v>
      </c>
      <c r="B2354" t="s">
        <v>1825</v>
      </c>
      <c r="C2354">
        <v>91003522</v>
      </c>
      <c r="D2354">
        <v>140</v>
      </c>
      <c r="E2354">
        <v>-18603636.140000001</v>
      </c>
      <c r="F2354" t="s">
        <v>80</v>
      </c>
      <c r="G2354">
        <v>0</v>
      </c>
      <c r="H2354" s="32" t="str">
        <f ca="1">+IF(B2354&gt;'sap nuevo'!$V$1,"cargar",IF(C2354="","cargar","pagado"))</f>
        <v>cargar</v>
      </c>
      <c r="I2354" s="32">
        <f t="shared" si="294"/>
        <v>2026</v>
      </c>
      <c r="J2354" s="32">
        <f t="shared" si="295"/>
        <v>9</v>
      </c>
    </row>
    <row r="2355" spans="1:10" x14ac:dyDescent="0.25">
      <c r="A2355" t="s">
        <v>1731</v>
      </c>
      <c r="B2355" t="s">
        <v>1825</v>
      </c>
      <c r="C2355">
        <v>91003526</v>
      </c>
      <c r="D2355">
        <v>140</v>
      </c>
      <c r="E2355">
        <v>-7289316.6500000004</v>
      </c>
      <c r="F2355" t="s">
        <v>80</v>
      </c>
      <c r="G2355">
        <v>0</v>
      </c>
      <c r="H2355" s="32" t="str">
        <f ca="1">+IF(B2355&gt;'sap nuevo'!$V$1,"cargar",IF(C2355="","cargar","pagado"))</f>
        <v>cargar</v>
      </c>
      <c r="I2355" s="32">
        <f t="shared" si="294"/>
        <v>2026</v>
      </c>
      <c r="J2355" s="32">
        <f t="shared" si="295"/>
        <v>9</v>
      </c>
    </row>
    <row r="2356" spans="1:10" x14ac:dyDescent="0.25">
      <c r="A2356" t="s">
        <v>1731</v>
      </c>
      <c r="B2356" t="s">
        <v>1825</v>
      </c>
      <c r="C2356">
        <v>91003533</v>
      </c>
      <c r="D2356">
        <v>140</v>
      </c>
      <c r="E2356">
        <v>-6654193.9699999997</v>
      </c>
      <c r="F2356" t="s">
        <v>80</v>
      </c>
      <c r="G2356">
        <v>0</v>
      </c>
      <c r="H2356" s="32" t="str">
        <f ca="1">+IF(B2356&gt;'sap nuevo'!$V$1,"cargar",IF(C2356="","cargar","pagado"))</f>
        <v>cargar</v>
      </c>
      <c r="I2356" s="32">
        <f t="shared" si="294"/>
        <v>2026</v>
      </c>
      <c r="J2356" s="32">
        <f t="shared" si="295"/>
        <v>9</v>
      </c>
    </row>
    <row r="2357" spans="1:10" x14ac:dyDescent="0.25">
      <c r="A2357" t="s">
        <v>1731</v>
      </c>
      <c r="B2357" t="s">
        <v>1825</v>
      </c>
      <c r="C2357">
        <v>91003527</v>
      </c>
      <c r="D2357">
        <v>140</v>
      </c>
      <c r="E2357">
        <v>-6310818.3099999996</v>
      </c>
      <c r="F2357" t="s">
        <v>80</v>
      </c>
      <c r="G2357">
        <v>0</v>
      </c>
      <c r="H2357" s="32" t="str">
        <f ca="1">+IF(B2357&gt;'sap nuevo'!$V$1,"cargar",IF(C2357="","cargar","pagado"))</f>
        <v>cargar</v>
      </c>
      <c r="I2357" s="32">
        <f t="shared" si="294"/>
        <v>2026</v>
      </c>
      <c r="J2357" s="32">
        <f t="shared" si="295"/>
        <v>9</v>
      </c>
    </row>
    <row r="2358" spans="1:10" x14ac:dyDescent="0.25">
      <c r="A2358" t="s">
        <v>1731</v>
      </c>
      <c r="B2358" t="s">
        <v>1825</v>
      </c>
      <c r="C2358">
        <v>91003521</v>
      </c>
      <c r="D2358">
        <v>140</v>
      </c>
      <c r="E2358">
        <v>-6029748.1699999999</v>
      </c>
      <c r="F2358" t="s">
        <v>80</v>
      </c>
      <c r="G2358">
        <v>0</v>
      </c>
      <c r="H2358" s="32" t="str">
        <f ca="1">+IF(B2358&gt;'sap nuevo'!$V$1,"cargar",IF(C2358="","cargar","pagado"))</f>
        <v>cargar</v>
      </c>
      <c r="I2358" s="32">
        <f t="shared" si="294"/>
        <v>2026</v>
      </c>
      <c r="J2358" s="32">
        <f t="shared" si="295"/>
        <v>9</v>
      </c>
    </row>
    <row r="2359" spans="1:10" x14ac:dyDescent="0.25">
      <c r="A2359" t="s">
        <v>1731</v>
      </c>
      <c r="B2359" t="s">
        <v>1825</v>
      </c>
      <c r="C2359">
        <v>91002857</v>
      </c>
      <c r="D2359">
        <v>140</v>
      </c>
      <c r="E2359">
        <v>-5275000</v>
      </c>
      <c r="F2359" t="s">
        <v>80</v>
      </c>
      <c r="G2359">
        <v>0</v>
      </c>
      <c r="H2359" s="32" t="str">
        <f ca="1">+IF(B2359&gt;'sap nuevo'!$V$1,"cargar",IF(C2359="","cargar","pagado"))</f>
        <v>cargar</v>
      </c>
      <c r="I2359" s="32">
        <f t="shared" si="294"/>
        <v>2026</v>
      </c>
      <c r="J2359" s="32">
        <f t="shared" si="295"/>
        <v>9</v>
      </c>
    </row>
    <row r="2360" spans="1:10" x14ac:dyDescent="0.25">
      <c r="A2360" t="s">
        <v>1731</v>
      </c>
      <c r="B2360" t="s">
        <v>1826</v>
      </c>
      <c r="C2360">
        <v>91003541</v>
      </c>
      <c r="D2360">
        <v>140</v>
      </c>
      <c r="E2360">
        <v>-17002700</v>
      </c>
      <c r="F2360" t="s">
        <v>80</v>
      </c>
      <c r="G2360">
        <v>0</v>
      </c>
      <c r="H2360" s="32" t="str">
        <f ca="1">+IF(B2360&gt;'sap nuevo'!$V$1,"cargar",IF(C2360="","cargar","pagado"))</f>
        <v>cargar</v>
      </c>
      <c r="I2360" s="32">
        <f t="shared" si="294"/>
        <v>2026</v>
      </c>
      <c r="J2360" s="32">
        <f t="shared" si="295"/>
        <v>9</v>
      </c>
    </row>
    <row r="2361" spans="1:10" x14ac:dyDescent="0.25">
      <c r="A2361" t="s">
        <v>12</v>
      </c>
      <c r="B2361" t="s">
        <v>1826</v>
      </c>
      <c r="C2361">
        <v>91003535</v>
      </c>
      <c r="D2361">
        <v>140</v>
      </c>
      <c r="E2361">
        <v>-16012232</v>
      </c>
      <c r="F2361" t="s">
        <v>82</v>
      </c>
      <c r="G2361">
        <v>0</v>
      </c>
      <c r="H2361" s="32" t="str">
        <f ca="1">+IF(B2361&gt;'sap nuevo'!$V$1,"cargar",IF(C2361="","cargar","pagado"))</f>
        <v>cargar</v>
      </c>
      <c r="I2361" s="32">
        <f t="shared" si="294"/>
        <v>2026</v>
      </c>
      <c r="J2361" s="32">
        <f t="shared" si="295"/>
        <v>9</v>
      </c>
    </row>
    <row r="2362" spans="1:10" x14ac:dyDescent="0.25">
      <c r="A2362" t="s">
        <v>12</v>
      </c>
      <c r="B2362" t="s">
        <v>1826</v>
      </c>
      <c r="C2362">
        <v>91003539</v>
      </c>
      <c r="D2362">
        <v>140</v>
      </c>
      <c r="E2362">
        <v>-15721125</v>
      </c>
      <c r="F2362" t="s">
        <v>82</v>
      </c>
      <c r="G2362">
        <v>0</v>
      </c>
      <c r="H2362" s="32" t="str">
        <f ca="1">+IF(B2362&gt;'sap nuevo'!$V$1,"cargar",IF(C2362="","cargar","pagado"))</f>
        <v>cargar</v>
      </c>
      <c r="I2362" s="32">
        <f t="shared" si="294"/>
        <v>2026</v>
      </c>
      <c r="J2362" s="32">
        <f t="shared" si="295"/>
        <v>9</v>
      </c>
    </row>
    <row r="2363" spans="1:10" x14ac:dyDescent="0.25">
      <c r="A2363" t="s">
        <v>1731</v>
      </c>
      <c r="B2363" t="s">
        <v>1826</v>
      </c>
      <c r="C2363">
        <v>91003537</v>
      </c>
      <c r="D2363">
        <v>140</v>
      </c>
      <c r="E2363">
        <v>-11204469.970000001</v>
      </c>
      <c r="F2363" t="s">
        <v>80</v>
      </c>
      <c r="G2363">
        <v>0</v>
      </c>
      <c r="H2363" s="32" t="str">
        <f ca="1">+IF(B2363&gt;'sap nuevo'!$V$1,"cargar",IF(C2363="","cargar","pagado"))</f>
        <v>cargar</v>
      </c>
      <c r="I2363" s="32">
        <f t="shared" si="294"/>
        <v>2026</v>
      </c>
      <c r="J2363" s="32">
        <f t="shared" si="295"/>
        <v>9</v>
      </c>
    </row>
    <row r="2364" spans="1:10" x14ac:dyDescent="0.25">
      <c r="A2364" t="s">
        <v>12</v>
      </c>
      <c r="B2364" t="s">
        <v>1826</v>
      </c>
      <c r="C2364">
        <v>91003540</v>
      </c>
      <c r="D2364">
        <v>140</v>
      </c>
      <c r="E2364">
        <v>-8293635</v>
      </c>
      <c r="F2364" t="s">
        <v>82</v>
      </c>
      <c r="G2364">
        <v>0</v>
      </c>
      <c r="H2364" s="32" t="str">
        <f ca="1">+IF(B2364&gt;'sap nuevo'!$V$1,"cargar",IF(C2364="","cargar","pagado"))</f>
        <v>cargar</v>
      </c>
      <c r="I2364" s="32">
        <f t="shared" ref="I2364:I2373" si="296">+YEAR(B2364)</f>
        <v>2026</v>
      </c>
      <c r="J2364" s="32">
        <f t="shared" ref="J2364:J2373" si="297">+MONTH(B2364)</f>
        <v>9</v>
      </c>
    </row>
    <row r="2365" spans="1:10" x14ac:dyDescent="0.25">
      <c r="A2365" t="s">
        <v>12</v>
      </c>
      <c r="B2365" t="s">
        <v>1826</v>
      </c>
      <c r="C2365">
        <v>91003534</v>
      </c>
      <c r="D2365">
        <v>140</v>
      </c>
      <c r="E2365">
        <v>-7012764.0899999999</v>
      </c>
      <c r="F2365" t="s">
        <v>82</v>
      </c>
      <c r="G2365">
        <v>0</v>
      </c>
      <c r="H2365" s="32" t="str">
        <f ca="1">+IF(B2365&gt;'sap nuevo'!$V$1,"cargar",IF(C2365="","cargar","pagado"))</f>
        <v>cargar</v>
      </c>
      <c r="I2365" s="32">
        <f t="shared" si="296"/>
        <v>2026</v>
      </c>
      <c r="J2365" s="32">
        <f t="shared" si="297"/>
        <v>9</v>
      </c>
    </row>
    <row r="2366" spans="1:10" x14ac:dyDescent="0.25">
      <c r="A2366" t="s">
        <v>1731</v>
      </c>
      <c r="B2366" t="s">
        <v>1826</v>
      </c>
      <c r="C2366">
        <v>91003538</v>
      </c>
      <c r="D2366">
        <v>140</v>
      </c>
      <c r="E2366">
        <v>-6689354.1399999997</v>
      </c>
      <c r="F2366" t="s">
        <v>80</v>
      </c>
      <c r="G2366">
        <v>0</v>
      </c>
      <c r="H2366" s="32" t="str">
        <f ca="1">+IF(B2366&gt;'sap nuevo'!$V$1,"cargar",IF(C2366="","cargar","pagado"))</f>
        <v>cargar</v>
      </c>
      <c r="I2366" s="32">
        <f t="shared" si="296"/>
        <v>2026</v>
      </c>
      <c r="J2366" s="32">
        <f t="shared" si="297"/>
        <v>9</v>
      </c>
    </row>
    <row r="2367" spans="1:10" x14ac:dyDescent="0.25">
      <c r="A2367" t="s">
        <v>1731</v>
      </c>
      <c r="B2367" t="s">
        <v>1827</v>
      </c>
      <c r="C2367">
        <v>91003552</v>
      </c>
      <c r="D2367">
        <v>140</v>
      </c>
      <c r="E2367">
        <v>-39228520.280000001</v>
      </c>
      <c r="F2367" t="s">
        <v>80</v>
      </c>
      <c r="G2367">
        <v>0</v>
      </c>
      <c r="H2367" s="32" t="str">
        <f ca="1">+IF(B2367&gt;'sap nuevo'!$V$1,"cargar",IF(C2367="","cargar","pagado"))</f>
        <v>cargar</v>
      </c>
      <c r="I2367" s="32">
        <f t="shared" si="296"/>
        <v>2026</v>
      </c>
      <c r="J2367" s="32">
        <f t="shared" si="297"/>
        <v>9</v>
      </c>
    </row>
    <row r="2368" spans="1:10" x14ac:dyDescent="0.25">
      <c r="A2368" t="s">
        <v>1731</v>
      </c>
      <c r="B2368" t="s">
        <v>1827</v>
      </c>
      <c r="C2368">
        <v>91003543</v>
      </c>
      <c r="D2368">
        <v>140</v>
      </c>
      <c r="E2368">
        <v>-33776131.770000003</v>
      </c>
      <c r="F2368" t="s">
        <v>80</v>
      </c>
      <c r="G2368">
        <v>0</v>
      </c>
      <c r="H2368" s="32" t="str">
        <f ca="1">+IF(B2368&gt;'sap nuevo'!$V$1,"cargar",IF(C2368="","cargar","pagado"))</f>
        <v>cargar</v>
      </c>
      <c r="I2368" s="32">
        <f t="shared" si="296"/>
        <v>2026</v>
      </c>
      <c r="J2368" s="32">
        <f t="shared" si="297"/>
        <v>9</v>
      </c>
    </row>
    <row r="2369" spans="1:10" x14ac:dyDescent="0.25">
      <c r="A2369" t="s">
        <v>12</v>
      </c>
      <c r="B2369" t="s">
        <v>1828</v>
      </c>
      <c r="C2369">
        <v>61301873</v>
      </c>
      <c r="D2369">
        <v>140</v>
      </c>
      <c r="E2369">
        <v>-2500000</v>
      </c>
      <c r="F2369" t="s">
        <v>82</v>
      </c>
      <c r="G2369">
        <v>0</v>
      </c>
      <c r="H2369" s="32" t="str">
        <f ca="1">+IF(B2369&gt;'sap nuevo'!$V$1,"cargar",IF(C2369="","cargar","pagado"))</f>
        <v>cargar</v>
      </c>
      <c r="I2369" s="32">
        <f t="shared" si="296"/>
        <v>2026</v>
      </c>
      <c r="J2369" s="32">
        <f t="shared" si="297"/>
        <v>9</v>
      </c>
    </row>
    <row r="2370" spans="1:10" x14ac:dyDescent="0.25">
      <c r="A2370" t="s">
        <v>1731</v>
      </c>
      <c r="B2370" t="s">
        <v>1828</v>
      </c>
      <c r="C2370">
        <v>66622028</v>
      </c>
      <c r="D2370">
        <v>140</v>
      </c>
      <c r="E2370">
        <v>-1713032.21</v>
      </c>
      <c r="F2370" t="s">
        <v>80</v>
      </c>
      <c r="G2370">
        <v>0</v>
      </c>
      <c r="H2370" s="32" t="str">
        <f ca="1">+IF(B2370&gt;'sap nuevo'!$V$1,"cargar",IF(C2370="","cargar","pagado"))</f>
        <v>cargar</v>
      </c>
      <c r="I2370" s="32">
        <f t="shared" si="296"/>
        <v>2026</v>
      </c>
      <c r="J2370" s="32">
        <f t="shared" si="297"/>
        <v>9</v>
      </c>
    </row>
    <row r="2371" spans="1:10" x14ac:dyDescent="0.25">
      <c r="G2371">
        <v>0</v>
      </c>
      <c r="H2371" s="32" t="str">
        <f ca="1">+IF(B2371&gt;'sap nuevo'!$V$1,"cargar",IF(C2371="","cargar","pagado"))</f>
        <v>cargar</v>
      </c>
      <c r="I2371" s="32">
        <f t="shared" si="296"/>
        <v>1900</v>
      </c>
      <c r="J2371" s="32">
        <f t="shared" si="297"/>
        <v>1</v>
      </c>
    </row>
    <row r="2372" spans="1:10" x14ac:dyDescent="0.25">
      <c r="G2372">
        <v>0</v>
      </c>
      <c r="H2372" s="32" t="str">
        <f ca="1">+IF(B2372&gt;'sap nuevo'!$V$1,"cargar",IF(C2372="","cargar","pagado"))</f>
        <v>cargar</v>
      </c>
      <c r="I2372" s="32">
        <f t="shared" si="296"/>
        <v>1900</v>
      </c>
      <c r="J2372" s="32">
        <f t="shared" si="297"/>
        <v>1</v>
      </c>
    </row>
    <row r="2373" spans="1:10" x14ac:dyDescent="0.25">
      <c r="G2373">
        <v>0</v>
      </c>
      <c r="H2373" s="32" t="str">
        <f ca="1">+IF(B2373&gt;'sap nuevo'!$V$1,"cargar",IF(C2373="","cargar","pagado"))</f>
        <v>cargar</v>
      </c>
      <c r="I2373" s="32">
        <f t="shared" si="296"/>
        <v>1900</v>
      </c>
      <c r="J2373" s="32">
        <f t="shared" si="297"/>
        <v>1</v>
      </c>
    </row>
  </sheetData>
  <autoFilter ref="A1:J1" xr:uid="{00000000-0009-0000-0000-000003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3"/>
  <sheetViews>
    <sheetView workbookViewId="0">
      <selection activeCell="C12" sqref="C12"/>
    </sheetView>
  </sheetViews>
  <sheetFormatPr baseColWidth="10" defaultRowHeight="15" x14ac:dyDescent="0.25"/>
  <cols>
    <col min="1" max="1" width="17.7109375" bestFit="1" customWidth="1"/>
    <col min="2" max="2" width="14.5703125" customWidth="1"/>
    <col min="3" max="3" width="16.42578125" customWidth="1"/>
    <col min="5" max="5" width="14.42578125" customWidth="1"/>
    <col min="7" max="7" width="14.42578125" bestFit="1" customWidth="1"/>
  </cols>
  <sheetData>
    <row r="1" spans="1:7" ht="23.25" x14ac:dyDescent="0.35">
      <c r="A1" s="27" t="s">
        <v>44</v>
      </c>
      <c r="B1" s="28" t="s">
        <v>7</v>
      </c>
      <c r="C1" s="29" t="s">
        <v>10</v>
      </c>
      <c r="D1" s="29" t="s">
        <v>535</v>
      </c>
      <c r="E1" s="29" t="s">
        <v>18</v>
      </c>
    </row>
    <row r="2" spans="1:7" x14ac:dyDescent="0.25">
      <c r="A2">
        <v>91003542</v>
      </c>
      <c r="B2" t="s">
        <v>1829</v>
      </c>
      <c r="C2" s="9">
        <v>-27505450.899999999</v>
      </c>
      <c r="D2" s="11" t="str">
        <f t="shared" ref="D2:D8" si="0">+IF(A2="","cargar","clearing")</f>
        <v>clearing</v>
      </c>
      <c r="E2" s="9" t="str">
        <f>VLOOKUP(A2,'sap nuevo'!E:H,4,FALSE)</f>
        <v>MACRO</v>
      </c>
    </row>
    <row r="3" spans="1:7" x14ac:dyDescent="0.25">
      <c r="A3">
        <v>91003545</v>
      </c>
      <c r="B3" t="s">
        <v>1829</v>
      </c>
      <c r="C3" s="9">
        <v>-10473653.380000001</v>
      </c>
      <c r="D3" s="11" t="str">
        <f t="shared" si="0"/>
        <v>clearing</v>
      </c>
      <c r="E3" s="9" t="str">
        <f>VLOOKUP(A3,'sap nuevo'!E:H,4,FALSE)</f>
        <v>MACRO</v>
      </c>
    </row>
    <row r="4" spans="1:7" x14ac:dyDescent="0.25">
      <c r="A4">
        <v>91003547</v>
      </c>
      <c r="B4" t="s">
        <v>1829</v>
      </c>
      <c r="C4" s="9">
        <v>-9474131.5199999996</v>
      </c>
      <c r="D4" s="11" t="str">
        <f t="shared" si="0"/>
        <v>clearing</v>
      </c>
      <c r="E4" s="9" t="str">
        <f>VLOOKUP(A4,'sap nuevo'!E:H,4,FALSE)</f>
        <v>MACRO</v>
      </c>
    </row>
    <row r="5" spans="1:7" x14ac:dyDescent="0.25">
      <c r="A5">
        <v>91003549</v>
      </c>
      <c r="B5" t="s">
        <v>1829</v>
      </c>
      <c r="C5" s="9">
        <v>-11817540</v>
      </c>
      <c r="D5" s="11" t="str">
        <f t="shared" si="0"/>
        <v>clearing</v>
      </c>
      <c r="E5" s="9" t="str">
        <f>VLOOKUP(A5,'sap nuevo'!E:H,4,FALSE)</f>
        <v>MACRO</v>
      </c>
    </row>
    <row r="6" spans="1:7" x14ac:dyDescent="0.25">
      <c r="A6">
        <v>91003550</v>
      </c>
      <c r="B6" t="s">
        <v>1829</v>
      </c>
      <c r="C6" s="9">
        <v>-15450713.76</v>
      </c>
      <c r="D6" s="11" t="str">
        <f t="shared" si="0"/>
        <v>clearing</v>
      </c>
      <c r="E6" s="9" t="str">
        <f>VLOOKUP(A6,'sap nuevo'!E:H,4,FALSE)</f>
        <v>MACRO</v>
      </c>
    </row>
    <row r="7" spans="1:7" x14ac:dyDescent="0.25">
      <c r="A7">
        <v>91003551</v>
      </c>
      <c r="B7" t="s">
        <v>1829</v>
      </c>
      <c r="C7" s="9">
        <v>-11365560</v>
      </c>
      <c r="D7" s="11" t="str">
        <f t="shared" si="0"/>
        <v>clearing</v>
      </c>
      <c r="E7" s="9" t="str">
        <f>VLOOKUP(A7,'sap nuevo'!E:H,4,FALSE)</f>
        <v>MACRO</v>
      </c>
    </row>
    <row r="8" spans="1:7" x14ac:dyDescent="0.25">
      <c r="A8">
        <v>91003554</v>
      </c>
      <c r="B8" t="s">
        <v>1829</v>
      </c>
      <c r="C8" s="9">
        <v>-12576900.01</v>
      </c>
      <c r="D8" s="11" t="str">
        <f t="shared" si="0"/>
        <v>clearing</v>
      </c>
      <c r="E8" s="9" t="str">
        <f>VLOOKUP(A8,'sap nuevo'!E:H,4,FALSE)</f>
        <v>MACRO</v>
      </c>
    </row>
    <row r="9" spans="1:7" x14ac:dyDescent="0.25">
      <c r="C9" s="9"/>
      <c r="D9" s="11" t="str">
        <f t="shared" ref="D9:D43" si="1">+IF(A9="","cargar","clearing")</f>
        <v>cargar</v>
      </c>
      <c r="E9" s="9" t="e">
        <f>VLOOKUP(A9,'sap nuevo'!E:H,4,FALSE)</f>
        <v>#N/A</v>
      </c>
    </row>
    <row r="10" spans="1:7" x14ac:dyDescent="0.25">
      <c r="C10" s="9"/>
      <c r="D10" s="11" t="str">
        <f t="shared" si="1"/>
        <v>cargar</v>
      </c>
      <c r="E10" s="9" t="e">
        <f>VLOOKUP(A10,'sap nuevo'!E:H,4,FALSE)</f>
        <v>#N/A</v>
      </c>
    </row>
    <row r="11" spans="1:7" x14ac:dyDescent="0.25">
      <c r="C11" s="9"/>
      <c r="D11" s="11" t="str">
        <f t="shared" si="1"/>
        <v>cargar</v>
      </c>
      <c r="E11" s="9" t="e">
        <f>VLOOKUP(A11,'sap nuevo'!E:H,4,FALSE)</f>
        <v>#N/A</v>
      </c>
      <c r="G11" s="9"/>
    </row>
    <row r="12" spans="1:7" x14ac:dyDescent="0.25">
      <c r="C12" s="9"/>
      <c r="D12" s="11" t="str">
        <f t="shared" si="1"/>
        <v>cargar</v>
      </c>
      <c r="E12" s="9" t="e">
        <f>VLOOKUP(A12,'sap nuevo'!E:H,4,FALSE)</f>
        <v>#N/A</v>
      </c>
    </row>
    <row r="13" spans="1:7" x14ac:dyDescent="0.25">
      <c r="C13" s="9"/>
      <c r="D13" s="11" t="str">
        <f t="shared" si="1"/>
        <v>cargar</v>
      </c>
      <c r="E13" s="9" t="e">
        <f>VLOOKUP(A13,'sap nuevo'!E:H,4,FALSE)</f>
        <v>#N/A</v>
      </c>
    </row>
    <row r="14" spans="1:7" x14ac:dyDescent="0.25">
      <c r="C14" s="9"/>
      <c r="D14" s="11" t="str">
        <f t="shared" si="1"/>
        <v>cargar</v>
      </c>
      <c r="E14" s="9" t="e">
        <f>VLOOKUP(A14,'sap nuevo'!E:H,4,FALSE)</f>
        <v>#N/A</v>
      </c>
    </row>
    <row r="15" spans="1:7" x14ac:dyDescent="0.25">
      <c r="C15" s="9"/>
      <c r="D15" s="11" t="str">
        <f t="shared" si="1"/>
        <v>cargar</v>
      </c>
      <c r="E15" s="9" t="e">
        <f>VLOOKUP(A15,'sap nuevo'!E:H,4,FALSE)</f>
        <v>#N/A</v>
      </c>
    </row>
    <row r="16" spans="1:7" x14ac:dyDescent="0.25">
      <c r="C16" s="9"/>
      <c r="D16" s="11" t="str">
        <f t="shared" si="1"/>
        <v>cargar</v>
      </c>
      <c r="E16" s="9" t="e">
        <f>VLOOKUP(A16,'sap nuevo'!E:H,4,FALSE)</f>
        <v>#N/A</v>
      </c>
    </row>
    <row r="17" spans="2:5" x14ac:dyDescent="0.25">
      <c r="C17" s="9"/>
      <c r="D17" s="11" t="str">
        <f t="shared" si="1"/>
        <v>cargar</v>
      </c>
      <c r="E17" s="9" t="e">
        <f>VLOOKUP(A17,'sap nuevo'!E:H,4,FALSE)</f>
        <v>#N/A</v>
      </c>
    </row>
    <row r="18" spans="2:5" x14ac:dyDescent="0.25">
      <c r="C18" s="9"/>
      <c r="D18" s="11" t="str">
        <f t="shared" si="1"/>
        <v>cargar</v>
      </c>
      <c r="E18" s="9" t="e">
        <f>VLOOKUP(A18,'sap nuevo'!E:H,4,FALSE)</f>
        <v>#N/A</v>
      </c>
    </row>
    <row r="19" spans="2:5" x14ac:dyDescent="0.25">
      <c r="C19" s="9"/>
      <c r="D19" s="11" t="str">
        <f t="shared" si="1"/>
        <v>cargar</v>
      </c>
      <c r="E19" s="9" t="e">
        <f>VLOOKUP(A19,'sap nuevo'!E:H,4,FALSE)</f>
        <v>#N/A</v>
      </c>
    </row>
    <row r="20" spans="2:5" x14ac:dyDescent="0.25">
      <c r="C20" s="9"/>
      <c r="D20" s="11" t="str">
        <f t="shared" si="1"/>
        <v>cargar</v>
      </c>
      <c r="E20" s="9" t="e">
        <f>VLOOKUP(A20,'sap nuevo'!E:H,4,FALSE)</f>
        <v>#N/A</v>
      </c>
    </row>
    <row r="21" spans="2:5" x14ac:dyDescent="0.25">
      <c r="C21" s="9"/>
      <c r="D21" s="11" t="str">
        <f t="shared" si="1"/>
        <v>cargar</v>
      </c>
      <c r="E21" s="9" t="e">
        <f>VLOOKUP(A21,'sap nuevo'!E:H,4,FALSE)</f>
        <v>#N/A</v>
      </c>
    </row>
    <row r="22" spans="2:5" x14ac:dyDescent="0.25">
      <c r="C22" s="9"/>
      <c r="D22" s="11" t="str">
        <f t="shared" si="1"/>
        <v>cargar</v>
      </c>
      <c r="E22" s="9" t="e">
        <f>VLOOKUP(A22,'sap nuevo'!E:H,4,FALSE)</f>
        <v>#N/A</v>
      </c>
    </row>
    <row r="23" spans="2:5" x14ac:dyDescent="0.25">
      <c r="C23" s="9"/>
      <c r="D23" s="11" t="str">
        <f t="shared" si="1"/>
        <v>cargar</v>
      </c>
      <c r="E23" s="9" t="e">
        <f>VLOOKUP(A23,'sap nuevo'!E:H,4,FALSE)</f>
        <v>#N/A</v>
      </c>
    </row>
    <row r="24" spans="2:5" x14ac:dyDescent="0.25">
      <c r="C24" s="9"/>
      <c r="D24" s="11" t="str">
        <f t="shared" si="1"/>
        <v>cargar</v>
      </c>
      <c r="E24" s="9" t="e">
        <f>VLOOKUP(A24,'sap nuevo'!E:H,4,FALSE)</f>
        <v>#N/A</v>
      </c>
    </row>
    <row r="25" spans="2:5" x14ac:dyDescent="0.25">
      <c r="C25" s="9"/>
      <c r="D25" s="11" t="str">
        <f t="shared" si="1"/>
        <v>cargar</v>
      </c>
      <c r="E25" s="9" t="e">
        <f>VLOOKUP(A25,'sap nuevo'!E:H,4,FALSE)</f>
        <v>#N/A</v>
      </c>
    </row>
    <row r="26" spans="2:5" x14ac:dyDescent="0.25">
      <c r="C26" s="9"/>
      <c r="D26" s="11" t="str">
        <f t="shared" si="1"/>
        <v>cargar</v>
      </c>
      <c r="E26" s="9" t="e">
        <f>VLOOKUP(A26,'sap nuevo'!E:H,4,FALSE)</f>
        <v>#N/A</v>
      </c>
    </row>
    <row r="27" spans="2:5" x14ac:dyDescent="0.25">
      <c r="C27" s="9"/>
      <c r="D27" s="11" t="str">
        <f t="shared" si="1"/>
        <v>cargar</v>
      </c>
      <c r="E27" s="9" t="e">
        <f>VLOOKUP(A27,'sap nuevo'!E:H,4,FALSE)</f>
        <v>#N/A</v>
      </c>
    </row>
    <row r="28" spans="2:5" x14ac:dyDescent="0.25">
      <c r="B28" s="3"/>
      <c r="C28" s="9"/>
      <c r="D28" s="11" t="str">
        <f t="shared" si="1"/>
        <v>cargar</v>
      </c>
      <c r="E28" s="9" t="e">
        <f>VLOOKUP(A28,'sap nuevo'!E:H,4,FALSE)</f>
        <v>#N/A</v>
      </c>
    </row>
    <row r="29" spans="2:5" x14ac:dyDescent="0.25">
      <c r="B29" s="3"/>
      <c r="C29" s="9"/>
      <c r="D29" s="11" t="str">
        <f t="shared" si="1"/>
        <v>cargar</v>
      </c>
      <c r="E29" s="9" t="e">
        <f>VLOOKUP(A29,'sap nuevo'!E:H,4,FALSE)</f>
        <v>#N/A</v>
      </c>
    </row>
    <row r="30" spans="2:5" x14ac:dyDescent="0.25">
      <c r="B30" s="3"/>
      <c r="C30" s="9"/>
      <c r="D30" s="11" t="str">
        <f t="shared" si="1"/>
        <v>cargar</v>
      </c>
      <c r="E30" s="9" t="e">
        <f>VLOOKUP(A30,'sap nuevo'!E:H,4,FALSE)</f>
        <v>#N/A</v>
      </c>
    </row>
    <row r="31" spans="2:5" x14ac:dyDescent="0.25">
      <c r="B31" s="3"/>
      <c r="C31" s="9"/>
      <c r="D31" s="11" t="str">
        <f t="shared" si="1"/>
        <v>cargar</v>
      </c>
      <c r="E31" s="9" t="e">
        <f>VLOOKUP(A31,'sap nuevo'!E:H,4,FALSE)</f>
        <v>#N/A</v>
      </c>
    </row>
    <row r="32" spans="2:5" x14ac:dyDescent="0.25">
      <c r="B32" s="3"/>
      <c r="C32" s="9"/>
      <c r="D32" s="11" t="str">
        <f t="shared" si="1"/>
        <v>cargar</v>
      </c>
      <c r="E32" s="9" t="e">
        <f>VLOOKUP(A32,'sap nuevo'!E:H,4,FALSE)</f>
        <v>#N/A</v>
      </c>
    </row>
    <row r="33" spans="2:5" x14ac:dyDescent="0.25">
      <c r="B33" s="3"/>
      <c r="C33" s="9"/>
      <c r="D33" s="11" t="str">
        <f t="shared" si="1"/>
        <v>cargar</v>
      </c>
      <c r="E33" s="9" t="e">
        <f>VLOOKUP(A33,'sap nuevo'!E:H,4,FALSE)</f>
        <v>#N/A</v>
      </c>
    </row>
    <row r="34" spans="2:5" x14ac:dyDescent="0.25">
      <c r="B34" s="3"/>
      <c r="C34" s="9"/>
      <c r="D34" s="11" t="str">
        <f t="shared" si="1"/>
        <v>cargar</v>
      </c>
      <c r="E34" s="9" t="e">
        <f>VLOOKUP(A34,'sap nuevo'!E:H,4,FALSE)</f>
        <v>#N/A</v>
      </c>
    </row>
    <row r="35" spans="2:5" x14ac:dyDescent="0.25">
      <c r="B35" s="3"/>
      <c r="C35" s="9"/>
      <c r="D35" s="11" t="str">
        <f t="shared" si="1"/>
        <v>cargar</v>
      </c>
      <c r="E35" s="9" t="e">
        <f>VLOOKUP(A35,'sap nuevo'!E:H,4,FALSE)</f>
        <v>#N/A</v>
      </c>
    </row>
    <row r="36" spans="2:5" x14ac:dyDescent="0.25">
      <c r="B36" s="3"/>
      <c r="C36" s="9"/>
      <c r="D36" s="11" t="str">
        <f t="shared" si="1"/>
        <v>cargar</v>
      </c>
      <c r="E36" s="9" t="e">
        <f>VLOOKUP(A36,'sap nuevo'!E:H,4,FALSE)</f>
        <v>#N/A</v>
      </c>
    </row>
    <row r="37" spans="2:5" x14ac:dyDescent="0.25">
      <c r="B37" s="3"/>
      <c r="C37" s="9"/>
      <c r="D37" s="11" t="str">
        <f t="shared" si="1"/>
        <v>cargar</v>
      </c>
      <c r="E37" s="9" t="e">
        <f>VLOOKUP(A37,'sap nuevo'!E:H,4,FALSE)</f>
        <v>#N/A</v>
      </c>
    </row>
    <row r="38" spans="2:5" x14ac:dyDescent="0.25">
      <c r="B38" s="3"/>
      <c r="C38" s="9"/>
      <c r="D38" s="11" t="str">
        <f t="shared" si="1"/>
        <v>cargar</v>
      </c>
      <c r="E38" s="9" t="e">
        <f>VLOOKUP(A38,'sap nuevo'!E:H,4,FALSE)</f>
        <v>#N/A</v>
      </c>
    </row>
    <row r="39" spans="2:5" x14ac:dyDescent="0.25">
      <c r="B39" s="3"/>
      <c r="C39" s="9"/>
      <c r="D39" s="11" t="str">
        <f t="shared" si="1"/>
        <v>cargar</v>
      </c>
      <c r="E39" s="9" t="e">
        <f>VLOOKUP(A39,'sap nuevo'!E:H,4,FALSE)</f>
        <v>#N/A</v>
      </c>
    </row>
    <row r="40" spans="2:5" x14ac:dyDescent="0.25">
      <c r="B40" s="3"/>
      <c r="C40" s="9"/>
      <c r="D40" s="11" t="str">
        <f t="shared" si="1"/>
        <v>cargar</v>
      </c>
      <c r="E40" s="9" t="e">
        <f>VLOOKUP(A40,'sap nuevo'!E:H,4,FALSE)</f>
        <v>#N/A</v>
      </c>
    </row>
    <row r="41" spans="2:5" x14ac:dyDescent="0.25">
      <c r="B41" s="3"/>
      <c r="C41" s="9"/>
      <c r="D41" s="11" t="str">
        <f t="shared" si="1"/>
        <v>cargar</v>
      </c>
      <c r="E41" s="9" t="e">
        <f>VLOOKUP(A41,'sap nuevo'!E:H,4,FALSE)</f>
        <v>#N/A</v>
      </c>
    </row>
    <row r="42" spans="2:5" x14ac:dyDescent="0.25">
      <c r="B42" s="3"/>
      <c r="C42" s="9"/>
      <c r="D42" s="11" t="str">
        <f t="shared" si="1"/>
        <v>cargar</v>
      </c>
      <c r="E42" s="9" t="e">
        <f>VLOOKUP(A42,'sap nuevo'!E:H,4,FALSE)</f>
        <v>#N/A</v>
      </c>
    </row>
    <row r="43" spans="2:5" x14ac:dyDescent="0.25">
      <c r="B43" s="3"/>
      <c r="C43" s="9"/>
      <c r="D43" s="11" t="str">
        <f t="shared" si="1"/>
        <v>cargar</v>
      </c>
      <c r="E43" s="9" t="e">
        <f>VLOOKUP(A43,'sap nuevo'!E:H,4,FALSE)</f>
        <v>#N/A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208"/>
  <sheetViews>
    <sheetView showGridLines="0" tabSelected="1" zoomScale="85" zoomScaleNormal="85" workbookViewId="0">
      <selection activeCell="G16" sqref="G16"/>
    </sheetView>
  </sheetViews>
  <sheetFormatPr baseColWidth="10" defaultRowHeight="15" x14ac:dyDescent="0.25"/>
  <cols>
    <col min="1" max="1" width="17.5703125" bestFit="1" customWidth="1"/>
    <col min="2" max="2" width="10.7109375" style="3" bestFit="1" customWidth="1"/>
    <col min="3" max="3" width="22.42578125" bestFit="1" customWidth="1"/>
    <col min="4" max="4" width="13.7109375" bestFit="1" customWidth="1"/>
    <col min="5" max="6" width="17.7109375" customWidth="1"/>
    <col min="7" max="7" width="18" bestFit="1" customWidth="1"/>
    <col min="8" max="8" width="2.5703125" customWidth="1"/>
    <col min="9" max="9" width="4.7109375" customWidth="1"/>
    <col min="10" max="10" width="17.5703125" bestFit="1" customWidth="1"/>
    <col min="11" max="11" width="20.140625" style="3" bestFit="1" customWidth="1"/>
    <col min="12" max="12" width="22.42578125" bestFit="1" customWidth="1"/>
    <col min="13" max="13" width="13.7109375" bestFit="1" customWidth="1"/>
    <col min="14" max="14" width="5.28515625" customWidth="1"/>
    <col min="15" max="15" width="2.28515625" customWidth="1"/>
    <col min="16" max="16" width="3.28515625" customWidth="1"/>
    <col min="17" max="17" width="17.5703125" bestFit="1" customWidth="1"/>
    <col min="18" max="18" width="11.28515625" bestFit="1" customWidth="1"/>
    <col min="19" max="19" width="22.42578125" bestFit="1" customWidth="1"/>
    <col min="20" max="20" width="12.7109375" bestFit="1" customWidth="1"/>
    <col min="21" max="21" width="13.7109375" bestFit="1" customWidth="1"/>
    <col min="22" max="22" width="17.5703125" customWidth="1"/>
    <col min="23" max="23" width="10.42578125" customWidth="1"/>
    <col min="24" max="24" width="22.42578125" customWidth="1"/>
    <col min="25" max="25" width="12.5703125" customWidth="1"/>
    <col min="26" max="26" width="3" customWidth="1"/>
    <col min="27" max="27" width="2.7109375" customWidth="1"/>
    <col min="28" max="28" width="3.85546875" customWidth="1"/>
    <col min="29" max="29" width="12.7109375" bestFit="1" customWidth="1"/>
    <col min="30" max="30" width="11" customWidth="1"/>
    <col min="31" max="31" width="15.28515625" bestFit="1" customWidth="1"/>
    <col min="33" max="33" width="15.7109375" bestFit="1" customWidth="1"/>
    <col min="35" max="35" width="15.7109375" bestFit="1" customWidth="1"/>
    <col min="39" max="39" width="17.5703125" bestFit="1" customWidth="1"/>
    <col min="40" max="40" width="21.7109375" customWidth="1"/>
    <col min="41" max="41" width="12.5703125" bestFit="1" customWidth="1"/>
  </cols>
  <sheetData>
    <row r="1" spans="1:27" x14ac:dyDescent="0.25">
      <c r="A1" s="108" t="s">
        <v>1719</v>
      </c>
      <c r="B1" s="108"/>
      <c r="C1" s="108"/>
      <c r="D1" s="24" t="s">
        <v>198</v>
      </c>
      <c r="E1" s="24" t="s">
        <v>32</v>
      </c>
      <c r="F1" s="24" t="s">
        <v>79</v>
      </c>
      <c r="G1" s="24" t="s">
        <v>26</v>
      </c>
    </row>
    <row r="2" spans="1:27" x14ac:dyDescent="0.25">
      <c r="A2" s="110" t="s">
        <v>27</v>
      </c>
      <c r="B2" s="110"/>
      <c r="C2" s="31">
        <f ca="1">TODAY()</f>
        <v>46272</v>
      </c>
      <c r="D2" s="10">
        <v>0</v>
      </c>
      <c r="E2" s="10">
        <f>IFERROR(GETPIVOTDATA("importe",$Q$12,"Banco","GALICIA"),0)</f>
        <v>0</v>
      </c>
      <c r="F2" s="10">
        <f>IFERROR(GETPIVOTDATA("importe",$Q$12,"Banco","MACRO"),0)</f>
        <v>98663949.570000008</v>
      </c>
      <c r="G2" s="13">
        <f>+D2+E2+F2</f>
        <v>98663949.570000008</v>
      </c>
    </row>
    <row r="3" spans="1:27" x14ac:dyDescent="0.25">
      <c r="A3" s="30"/>
      <c r="B3" s="30"/>
      <c r="C3" s="30"/>
      <c r="D3" s="16"/>
      <c r="E3" s="16"/>
      <c r="F3" s="16"/>
      <c r="G3" s="14"/>
      <c r="Q3" s="10"/>
    </row>
    <row r="4" spans="1:27" x14ac:dyDescent="0.25">
      <c r="A4" s="110" t="s">
        <v>28</v>
      </c>
      <c r="B4" s="110"/>
      <c r="C4" s="31">
        <f ca="1">+TODAY()-1</f>
        <v>46271</v>
      </c>
      <c r="D4" s="12">
        <v>0</v>
      </c>
      <c r="E4" s="5">
        <f>IFERROR(GETPIVOTDATA("importe",$A$13,"Banco","GALICIA")-E2, 0)</f>
        <v>0</v>
      </c>
      <c r="F4" s="12">
        <f>IFERROR(GETPIVOTDATA("importe",$A$13,"Banco","MACRO")-F2,0)</f>
        <v>94643520.689999953</v>
      </c>
      <c r="G4" s="13">
        <f>+D4+E4+F4</f>
        <v>94643520.689999953</v>
      </c>
      <c r="Q4" s="10"/>
    </row>
    <row r="5" spans="1:27" x14ac:dyDescent="0.25">
      <c r="A5" s="110" t="s">
        <v>1823</v>
      </c>
      <c r="B5" s="110"/>
      <c r="C5" s="110"/>
      <c r="D5" s="12">
        <v>0</v>
      </c>
      <c r="E5" s="12">
        <f>SUM(K12)</f>
        <v>0</v>
      </c>
      <c r="F5" s="12">
        <f>SUM(L14:L22)</f>
        <v>139435439.61000001</v>
      </c>
      <c r="G5" s="13">
        <f>+D5+E5+F5</f>
        <v>139435439.61000001</v>
      </c>
      <c r="J5" s="19"/>
    </row>
    <row r="6" spans="1:27" x14ac:dyDescent="0.25">
      <c r="A6" s="110" t="s">
        <v>1830</v>
      </c>
      <c r="B6" s="110"/>
      <c r="C6" s="110"/>
      <c r="D6" s="12">
        <v>0</v>
      </c>
      <c r="E6" s="12">
        <f>SUM(K13)</f>
        <v>0</v>
      </c>
      <c r="F6" s="12">
        <f>SUM(L13)</f>
        <v>0</v>
      </c>
      <c r="G6" s="13">
        <f>+D6+E6+F6</f>
        <v>0</v>
      </c>
    </row>
    <row r="7" spans="1:27" x14ac:dyDescent="0.25">
      <c r="A7" s="110" t="s">
        <v>1831</v>
      </c>
      <c r="B7" s="110"/>
      <c r="C7" s="110"/>
      <c r="D7" s="12">
        <v>0</v>
      </c>
      <c r="E7" s="12">
        <f>SUM(K13)</f>
        <v>0</v>
      </c>
      <c r="F7" s="12">
        <f>SUM(L23:L29)</f>
        <v>47536959.630000003</v>
      </c>
      <c r="G7" s="13">
        <f t="shared" ref="G7" si="0">+D7+E7+F7</f>
        <v>47536959.630000003</v>
      </c>
    </row>
    <row r="8" spans="1:27" x14ac:dyDescent="0.25">
      <c r="A8" s="109" t="s">
        <v>26</v>
      </c>
      <c r="B8" s="109"/>
      <c r="C8" s="109"/>
      <c r="D8" s="15">
        <f>+D4+D5+D2+D6+D7</f>
        <v>0</v>
      </c>
      <c r="E8" s="15">
        <f>+E4+E5+E2+E6+E7</f>
        <v>0</v>
      </c>
      <c r="F8" s="15">
        <f>+F4+F5+F2+F6+F7</f>
        <v>380279869.49999994</v>
      </c>
      <c r="G8" s="15">
        <f>+D8+E8+F8</f>
        <v>380279869.49999994</v>
      </c>
    </row>
    <row r="9" spans="1:27" x14ac:dyDescent="0.25">
      <c r="J9" s="6" t="s">
        <v>50</v>
      </c>
      <c r="K9" t="s">
        <v>164</v>
      </c>
      <c r="Q9" s="17" t="s">
        <v>59</v>
      </c>
      <c r="R9" s="17"/>
    </row>
    <row r="10" spans="1:27" x14ac:dyDescent="0.25">
      <c r="A10" s="25" t="s">
        <v>58</v>
      </c>
      <c r="B10" s="26"/>
      <c r="C10" s="25"/>
      <c r="J10" s="6" t="s">
        <v>53</v>
      </c>
      <c r="K10" t="s">
        <v>65</v>
      </c>
      <c r="Q10" s="6" t="s">
        <v>54</v>
      </c>
      <c r="R10" t="s">
        <v>1793</v>
      </c>
    </row>
    <row r="11" spans="1:27" x14ac:dyDescent="0.25">
      <c r="A11" s="6" t="s">
        <v>50</v>
      </c>
      <c r="B11" t="s">
        <v>52</v>
      </c>
      <c r="K11"/>
    </row>
    <row r="12" spans="1:27" x14ac:dyDescent="0.25">
      <c r="B12"/>
      <c r="J12" s="6" t="s">
        <v>51</v>
      </c>
      <c r="K12"/>
      <c r="L12" s="6" t="s">
        <v>19</v>
      </c>
      <c r="Q12" s="6" t="s">
        <v>51</v>
      </c>
      <c r="S12" s="6" t="s">
        <v>19</v>
      </c>
    </row>
    <row r="13" spans="1:27" x14ac:dyDescent="0.25">
      <c r="A13" s="6" t="s">
        <v>51</v>
      </c>
      <c r="B13"/>
      <c r="C13" s="6" t="s">
        <v>19</v>
      </c>
      <c r="J13" s="107" t="s">
        <v>0</v>
      </c>
      <c r="K13" s="6" t="s">
        <v>46</v>
      </c>
      <c r="L13" t="s">
        <v>79</v>
      </c>
      <c r="M13" t="s">
        <v>1</v>
      </c>
      <c r="Q13" s="6" t="s">
        <v>0</v>
      </c>
      <c r="R13" s="107" t="s">
        <v>6</v>
      </c>
      <c r="S13" t="s">
        <v>79</v>
      </c>
      <c r="T13" t="s">
        <v>1</v>
      </c>
    </row>
    <row r="14" spans="1:27" x14ac:dyDescent="0.25">
      <c r="A14" s="6" t="s">
        <v>0</v>
      </c>
      <c r="B14" s="107" t="s">
        <v>6</v>
      </c>
      <c r="C14" t="s">
        <v>79</v>
      </c>
      <c r="D14" t="s">
        <v>1</v>
      </c>
      <c r="H14" s="9"/>
      <c r="I14" s="9"/>
      <c r="J14" s="3">
        <v>46272</v>
      </c>
      <c r="K14">
        <v>91003259</v>
      </c>
      <c r="L14" s="9">
        <v>11000000</v>
      </c>
      <c r="M14" s="9">
        <v>11000000</v>
      </c>
      <c r="Q14" s="7">
        <v>91003542</v>
      </c>
      <c r="R14" s="8">
        <v>46269</v>
      </c>
      <c r="S14" s="9">
        <v>27505450.899999999</v>
      </c>
      <c r="T14" s="9">
        <v>27505450.899999999</v>
      </c>
      <c r="Z14" s="9"/>
      <c r="AA14" s="9"/>
    </row>
    <row r="15" spans="1:27" x14ac:dyDescent="0.25">
      <c r="A15" s="7">
        <v>91003494</v>
      </c>
      <c r="B15" s="8">
        <v>46260</v>
      </c>
      <c r="C15" s="9">
        <v>3576314.4</v>
      </c>
      <c r="D15" s="9">
        <v>3576314.4</v>
      </c>
      <c r="G15" s="9"/>
      <c r="H15" s="9"/>
      <c r="I15" s="9"/>
      <c r="K15">
        <v>91003556</v>
      </c>
      <c r="L15" s="9">
        <v>38917367.920000002</v>
      </c>
      <c r="M15" s="9">
        <v>38917367.920000002</v>
      </c>
      <c r="Q15" s="7">
        <v>91003545</v>
      </c>
      <c r="R15" s="8">
        <v>46268</v>
      </c>
      <c r="S15" s="9">
        <v>10473653.380000001</v>
      </c>
      <c r="T15" s="9">
        <v>10473653.380000001</v>
      </c>
      <c r="Z15" s="9"/>
      <c r="AA15" s="9"/>
    </row>
    <row r="16" spans="1:27" x14ac:dyDescent="0.25">
      <c r="A16" s="7">
        <v>91003503</v>
      </c>
      <c r="B16" s="8">
        <v>46260</v>
      </c>
      <c r="C16" s="9">
        <v>3910060.28</v>
      </c>
      <c r="D16" s="9">
        <v>3910060.28</v>
      </c>
      <c r="G16" s="9"/>
      <c r="H16" s="9"/>
      <c r="I16" s="9"/>
      <c r="K16">
        <v>91003557</v>
      </c>
      <c r="L16" s="9">
        <v>5935943.4000000004</v>
      </c>
      <c r="M16" s="9">
        <v>5935943.4000000004</v>
      </c>
      <c r="Q16" s="7">
        <v>91003547</v>
      </c>
      <c r="R16" s="8">
        <v>46269</v>
      </c>
      <c r="S16" s="9">
        <v>9474131.5199999996</v>
      </c>
      <c r="T16" s="9">
        <v>9474131.5199999996</v>
      </c>
    </row>
    <row r="17" spans="1:20" x14ac:dyDescent="0.25">
      <c r="A17" s="7">
        <v>91003507</v>
      </c>
      <c r="B17" s="8">
        <v>46260</v>
      </c>
      <c r="C17" s="9">
        <v>4464734.33</v>
      </c>
      <c r="D17" s="9">
        <v>4464734.33</v>
      </c>
      <c r="G17" s="9"/>
      <c r="H17" s="9"/>
      <c r="I17" s="9"/>
      <c r="K17">
        <v>91003558</v>
      </c>
      <c r="L17" s="9">
        <v>5305667.92</v>
      </c>
      <c r="M17" s="9">
        <v>5305667.92</v>
      </c>
      <c r="Q17" s="7">
        <v>91003549</v>
      </c>
      <c r="R17" s="8">
        <v>46269</v>
      </c>
      <c r="S17" s="9">
        <v>11817540</v>
      </c>
      <c r="T17" s="9">
        <v>11817540</v>
      </c>
    </row>
    <row r="18" spans="1:20" x14ac:dyDescent="0.25">
      <c r="A18" s="7">
        <v>91003512</v>
      </c>
      <c r="B18" s="8">
        <v>46260</v>
      </c>
      <c r="C18" s="9">
        <v>2165486</v>
      </c>
      <c r="D18" s="9">
        <v>2165486</v>
      </c>
      <c r="G18" s="9"/>
      <c r="H18" s="9"/>
      <c r="I18" s="9"/>
      <c r="K18">
        <v>91003559</v>
      </c>
      <c r="L18" s="9">
        <v>11555762.869999999</v>
      </c>
      <c r="M18" s="9">
        <v>11555762.869999999</v>
      </c>
      <c r="Q18" s="7">
        <v>91003550</v>
      </c>
      <c r="R18" s="8">
        <v>46269</v>
      </c>
      <c r="S18" s="9">
        <v>15450713.76</v>
      </c>
      <c r="T18" s="9">
        <v>15450713.76</v>
      </c>
    </row>
    <row r="19" spans="1:20" x14ac:dyDescent="0.25">
      <c r="A19" s="7">
        <v>66622027</v>
      </c>
      <c r="B19" s="8">
        <v>46260</v>
      </c>
      <c r="C19" s="9">
        <v>8397402.3100000005</v>
      </c>
      <c r="D19" s="9">
        <v>8397402.3100000005</v>
      </c>
      <c r="G19" s="9"/>
      <c r="H19" s="9"/>
      <c r="I19" s="9"/>
      <c r="K19">
        <v>91003560</v>
      </c>
      <c r="L19" s="9">
        <v>16859867.920000002</v>
      </c>
      <c r="M19" s="9">
        <v>16859867.920000002</v>
      </c>
      <c r="Q19" s="7">
        <v>91003551</v>
      </c>
      <c r="R19" s="8">
        <v>46269</v>
      </c>
      <c r="S19" s="9">
        <v>11365560</v>
      </c>
      <c r="T19" s="9">
        <v>11365560</v>
      </c>
    </row>
    <row r="20" spans="1:20" x14ac:dyDescent="0.25">
      <c r="A20" s="7">
        <v>91003536</v>
      </c>
      <c r="B20" s="8">
        <v>46266</v>
      </c>
      <c r="C20" s="9">
        <v>7610257.6900000004</v>
      </c>
      <c r="D20" s="9">
        <v>7610257.6900000004</v>
      </c>
      <c r="G20" s="9"/>
      <c r="H20" s="9"/>
      <c r="I20" s="9"/>
      <c r="K20">
        <v>91003561</v>
      </c>
      <c r="L20" s="9">
        <v>17393857.059999999</v>
      </c>
      <c r="M20" s="9">
        <v>17393857.059999999</v>
      </c>
      <c r="Q20" s="7">
        <v>91003554</v>
      </c>
      <c r="R20" s="8">
        <v>46269</v>
      </c>
      <c r="S20" s="9">
        <v>12576900.01</v>
      </c>
      <c r="T20" s="9">
        <v>12576900.01</v>
      </c>
    </row>
    <row r="21" spans="1:20" x14ac:dyDescent="0.25">
      <c r="A21" s="7">
        <v>91003542</v>
      </c>
      <c r="B21" s="8">
        <v>46269</v>
      </c>
      <c r="C21" s="9">
        <v>27505450.899999999</v>
      </c>
      <c r="D21" s="9">
        <v>27505450.899999999</v>
      </c>
      <c r="G21" s="9"/>
      <c r="H21" s="9"/>
      <c r="I21" s="9"/>
      <c r="J21" s="3">
        <v>46275</v>
      </c>
      <c r="K21">
        <v>61301871</v>
      </c>
      <c r="L21" s="9">
        <v>21466972.52</v>
      </c>
      <c r="M21" s="9">
        <v>21466972.52</v>
      </c>
      <c r="Q21" s="8" t="s">
        <v>1</v>
      </c>
      <c r="R21" s="3"/>
      <c r="S21" s="9">
        <v>98663949.570000008</v>
      </c>
      <c r="T21" s="9">
        <v>98663949.570000008</v>
      </c>
    </row>
    <row r="22" spans="1:20" x14ac:dyDescent="0.25">
      <c r="A22" s="7">
        <v>91003544</v>
      </c>
      <c r="B22" s="8">
        <v>46267</v>
      </c>
      <c r="C22" s="9">
        <v>42236088.270000003</v>
      </c>
      <c r="D22" s="9">
        <v>42236088.270000003</v>
      </c>
      <c r="G22" s="9"/>
      <c r="H22" s="9"/>
      <c r="I22" s="9"/>
      <c r="K22">
        <v>91003371</v>
      </c>
      <c r="L22" s="9">
        <v>11000000</v>
      </c>
      <c r="M22" s="9">
        <v>11000000</v>
      </c>
    </row>
    <row r="23" spans="1:20" x14ac:dyDescent="0.25">
      <c r="A23" s="7">
        <v>91003545</v>
      </c>
      <c r="B23" s="8">
        <v>46268</v>
      </c>
      <c r="C23" s="9">
        <v>10473653.380000001</v>
      </c>
      <c r="D23" s="9">
        <v>10473653.380000001</v>
      </c>
      <c r="G23" s="9"/>
      <c r="H23" s="9"/>
      <c r="I23" s="9"/>
      <c r="J23" s="3">
        <v>46288</v>
      </c>
      <c r="K23">
        <v>91002858</v>
      </c>
      <c r="L23" s="9">
        <v>5275000</v>
      </c>
      <c r="M23" s="9">
        <v>5275000</v>
      </c>
    </row>
    <row r="24" spans="1:20" x14ac:dyDescent="0.25">
      <c r="A24" s="7">
        <v>91003546</v>
      </c>
      <c r="B24" s="8">
        <v>46269</v>
      </c>
      <c r="C24" s="9">
        <v>5357588.45</v>
      </c>
      <c r="D24" s="9">
        <v>5357588.45</v>
      </c>
      <c r="G24" s="9"/>
      <c r="H24" s="9"/>
      <c r="I24" s="9"/>
      <c r="J24" s="3">
        <v>46300</v>
      </c>
      <c r="K24">
        <v>61301874</v>
      </c>
      <c r="L24" s="9">
        <v>2500000</v>
      </c>
      <c r="M24" s="9">
        <v>2500000</v>
      </c>
    </row>
    <row r="25" spans="1:20" x14ac:dyDescent="0.25">
      <c r="A25" s="7">
        <v>91003547</v>
      </c>
      <c r="B25" s="8">
        <v>46269</v>
      </c>
      <c r="C25" s="9">
        <v>9474131.5199999996</v>
      </c>
      <c r="D25" s="9">
        <v>9474131.5199999996</v>
      </c>
      <c r="G25" s="9"/>
      <c r="H25" s="9"/>
      <c r="I25" s="9"/>
      <c r="K25">
        <v>91003260</v>
      </c>
      <c r="L25" s="9">
        <v>11000000</v>
      </c>
      <c r="M25" s="9">
        <v>11000000</v>
      </c>
    </row>
    <row r="26" spans="1:20" x14ac:dyDescent="0.25">
      <c r="A26" s="7">
        <v>91003548</v>
      </c>
      <c r="B26" s="8">
        <v>46269</v>
      </c>
      <c r="C26" s="9">
        <v>2764712.92</v>
      </c>
      <c r="D26" s="9">
        <v>2764712.92</v>
      </c>
      <c r="G26" s="9"/>
      <c r="H26" s="9"/>
      <c r="I26" s="9"/>
      <c r="J26" s="3">
        <v>46304</v>
      </c>
      <c r="K26">
        <v>91003372</v>
      </c>
      <c r="L26" s="9">
        <v>10124650.75</v>
      </c>
      <c r="M26" s="9">
        <v>10124650.75</v>
      </c>
    </row>
    <row r="27" spans="1:20" x14ac:dyDescent="0.25">
      <c r="A27" s="7">
        <v>91003549</v>
      </c>
      <c r="B27" s="8">
        <v>46269</v>
      </c>
      <c r="C27" s="9">
        <v>11817540</v>
      </c>
      <c r="D27" s="9">
        <v>11817540</v>
      </c>
      <c r="G27" s="9"/>
      <c r="H27" s="9"/>
      <c r="I27" s="9"/>
      <c r="J27" s="3">
        <v>46318</v>
      </c>
      <c r="K27">
        <v>91002859</v>
      </c>
      <c r="L27" s="9">
        <v>5278371.3899999997</v>
      </c>
      <c r="M27" s="9">
        <v>5278371.3899999997</v>
      </c>
    </row>
    <row r="28" spans="1:20" x14ac:dyDescent="0.25">
      <c r="A28" s="7">
        <v>91003550</v>
      </c>
      <c r="B28" s="8">
        <v>46269</v>
      </c>
      <c r="C28" s="9">
        <v>15450713.76</v>
      </c>
      <c r="D28" s="9">
        <v>15450713.76</v>
      </c>
      <c r="G28" s="9"/>
      <c r="H28" s="9"/>
      <c r="I28" s="9"/>
      <c r="J28" s="3">
        <v>46331</v>
      </c>
      <c r="K28">
        <v>61301875</v>
      </c>
      <c r="L28" s="9">
        <v>2265052.4900000002</v>
      </c>
      <c r="M28" s="9">
        <v>2265052.4900000002</v>
      </c>
    </row>
    <row r="29" spans="1:20" x14ac:dyDescent="0.25">
      <c r="A29" s="7">
        <v>91003551</v>
      </c>
      <c r="B29" s="8">
        <v>46269</v>
      </c>
      <c r="C29" s="9">
        <v>11365560</v>
      </c>
      <c r="D29" s="9">
        <v>11365560</v>
      </c>
      <c r="G29" s="9"/>
      <c r="K29">
        <v>91003261</v>
      </c>
      <c r="L29" s="9">
        <v>11093885</v>
      </c>
      <c r="M29" s="9">
        <v>11093885</v>
      </c>
    </row>
    <row r="30" spans="1:20" x14ac:dyDescent="0.25">
      <c r="A30" s="7">
        <v>91003553</v>
      </c>
      <c r="B30" s="8">
        <v>46269</v>
      </c>
      <c r="C30" s="9">
        <v>7359300</v>
      </c>
      <c r="D30" s="9">
        <v>7359300</v>
      </c>
      <c r="J30" s="3" t="s">
        <v>1</v>
      </c>
      <c r="L30" s="9">
        <v>186972399.24000001</v>
      </c>
      <c r="M30" s="9">
        <v>186972399.24000001</v>
      </c>
    </row>
    <row r="31" spans="1:20" x14ac:dyDescent="0.25">
      <c r="A31" s="7">
        <v>91003554</v>
      </c>
      <c r="B31" s="8">
        <v>46269</v>
      </c>
      <c r="C31" s="9">
        <v>12576900.01</v>
      </c>
      <c r="D31" s="9">
        <v>12576900.01</v>
      </c>
      <c r="K31"/>
    </row>
    <row r="32" spans="1:20" x14ac:dyDescent="0.25">
      <c r="A32" s="7">
        <v>91003555</v>
      </c>
      <c r="B32" s="8">
        <v>46269</v>
      </c>
      <c r="C32" s="9">
        <v>6801576.04</v>
      </c>
      <c r="D32" s="9">
        <v>6801576.04</v>
      </c>
      <c r="K32"/>
    </row>
    <row r="33" spans="1:11" x14ac:dyDescent="0.25">
      <c r="A33" s="8" t="s">
        <v>1</v>
      </c>
      <c r="C33" s="9">
        <v>193307470.25999996</v>
      </c>
      <c r="D33" s="9">
        <v>193307470.25999996</v>
      </c>
      <c r="K33"/>
    </row>
    <row r="34" spans="1:11" x14ac:dyDescent="0.25">
      <c r="B34"/>
      <c r="K34"/>
    </row>
    <row r="35" spans="1:11" x14ac:dyDescent="0.25">
      <c r="B35"/>
      <c r="K35"/>
    </row>
    <row r="36" spans="1:11" x14ac:dyDescent="0.25">
      <c r="B36"/>
      <c r="K36"/>
    </row>
    <row r="37" spans="1:11" x14ac:dyDescent="0.25">
      <c r="B37"/>
      <c r="K37"/>
    </row>
    <row r="38" spans="1:11" x14ac:dyDescent="0.25">
      <c r="B38"/>
      <c r="K38"/>
    </row>
    <row r="39" spans="1:11" x14ac:dyDescent="0.25">
      <c r="B39"/>
      <c r="K39"/>
    </row>
    <row r="40" spans="1:11" x14ac:dyDescent="0.25">
      <c r="B40"/>
      <c r="K40"/>
    </row>
    <row r="41" spans="1:11" x14ac:dyDescent="0.25">
      <c r="B41"/>
      <c r="K41"/>
    </row>
    <row r="42" spans="1:11" x14ac:dyDescent="0.25">
      <c r="B42"/>
      <c r="K42"/>
    </row>
    <row r="43" spans="1:11" x14ac:dyDescent="0.25">
      <c r="B43"/>
      <c r="K43"/>
    </row>
    <row r="44" spans="1:11" x14ac:dyDescent="0.25">
      <c r="B44"/>
      <c r="K44"/>
    </row>
    <row r="45" spans="1:11" x14ac:dyDescent="0.25">
      <c r="B45"/>
      <c r="K45"/>
    </row>
    <row r="46" spans="1:11" x14ac:dyDescent="0.25">
      <c r="B46"/>
      <c r="K46"/>
    </row>
    <row r="47" spans="1:11" x14ac:dyDescent="0.25">
      <c r="B47"/>
      <c r="K47"/>
    </row>
    <row r="48" spans="1:11" x14ac:dyDescent="0.25">
      <c r="B48"/>
      <c r="K48"/>
    </row>
    <row r="49" spans="2:11" x14ac:dyDescent="0.25">
      <c r="B49"/>
      <c r="K49"/>
    </row>
    <row r="50" spans="2:11" x14ac:dyDescent="0.25">
      <c r="B50"/>
      <c r="K50"/>
    </row>
    <row r="51" spans="2:11" x14ac:dyDescent="0.25">
      <c r="B51"/>
      <c r="K51"/>
    </row>
    <row r="52" spans="2:11" x14ac:dyDescent="0.25">
      <c r="B52"/>
      <c r="K52"/>
    </row>
    <row r="53" spans="2:11" x14ac:dyDescent="0.25">
      <c r="B53"/>
      <c r="K53"/>
    </row>
    <row r="54" spans="2:11" x14ac:dyDescent="0.25">
      <c r="B54"/>
      <c r="K54"/>
    </row>
    <row r="55" spans="2:11" x14ac:dyDescent="0.25">
      <c r="B55"/>
      <c r="K55"/>
    </row>
    <row r="56" spans="2:11" x14ac:dyDescent="0.25">
      <c r="B56"/>
      <c r="K56"/>
    </row>
    <row r="57" spans="2:11" x14ac:dyDescent="0.25">
      <c r="B57"/>
      <c r="K57"/>
    </row>
    <row r="58" spans="2:11" x14ac:dyDescent="0.25">
      <c r="B58"/>
      <c r="K58"/>
    </row>
    <row r="59" spans="2:11" x14ac:dyDescent="0.25">
      <c r="B59"/>
      <c r="K59"/>
    </row>
    <row r="60" spans="2:11" x14ac:dyDescent="0.25">
      <c r="B60"/>
      <c r="K60"/>
    </row>
    <row r="61" spans="2:11" x14ac:dyDescent="0.25">
      <c r="B61"/>
      <c r="K61"/>
    </row>
    <row r="62" spans="2:11" x14ac:dyDescent="0.25">
      <c r="B62"/>
      <c r="K62"/>
    </row>
    <row r="63" spans="2:11" x14ac:dyDescent="0.25">
      <c r="B63"/>
      <c r="K63"/>
    </row>
    <row r="64" spans="2:11" x14ac:dyDescent="0.25">
      <c r="B64"/>
      <c r="K64"/>
    </row>
    <row r="65" spans="2:11" x14ac:dyDescent="0.25">
      <c r="B65"/>
      <c r="K65"/>
    </row>
    <row r="66" spans="2:11" x14ac:dyDescent="0.25">
      <c r="B66"/>
      <c r="K66"/>
    </row>
    <row r="67" spans="2:11" x14ac:dyDescent="0.25">
      <c r="B67"/>
      <c r="K67"/>
    </row>
    <row r="68" spans="2:11" x14ac:dyDescent="0.25">
      <c r="B68"/>
      <c r="K68"/>
    </row>
    <row r="69" spans="2:11" x14ac:dyDescent="0.25">
      <c r="B69"/>
      <c r="K69"/>
    </row>
    <row r="70" spans="2:11" x14ac:dyDescent="0.25">
      <c r="B70"/>
      <c r="K70"/>
    </row>
    <row r="71" spans="2:11" x14ac:dyDescent="0.25">
      <c r="B71"/>
      <c r="K71"/>
    </row>
    <row r="72" spans="2:11" x14ac:dyDescent="0.25">
      <c r="B72"/>
      <c r="K72"/>
    </row>
    <row r="73" spans="2:11" x14ac:dyDescent="0.25">
      <c r="B73"/>
      <c r="K73"/>
    </row>
    <row r="74" spans="2:11" x14ac:dyDescent="0.25">
      <c r="B74"/>
      <c r="K74"/>
    </row>
    <row r="75" spans="2:11" x14ac:dyDescent="0.25">
      <c r="B75"/>
      <c r="K75"/>
    </row>
    <row r="76" spans="2:11" x14ac:dyDescent="0.25">
      <c r="B76"/>
      <c r="K76"/>
    </row>
    <row r="77" spans="2:11" x14ac:dyDescent="0.25">
      <c r="B77"/>
      <c r="K77"/>
    </row>
    <row r="78" spans="2:11" x14ac:dyDescent="0.25">
      <c r="B78"/>
      <c r="K78"/>
    </row>
    <row r="79" spans="2:11" x14ac:dyDescent="0.25">
      <c r="B79"/>
      <c r="K79"/>
    </row>
    <row r="80" spans="2:11" x14ac:dyDescent="0.25">
      <c r="B80"/>
      <c r="K80"/>
    </row>
    <row r="81" spans="2:11" x14ac:dyDescent="0.25">
      <c r="B81"/>
      <c r="K81"/>
    </row>
    <row r="82" spans="2:11" x14ac:dyDescent="0.25">
      <c r="B82"/>
      <c r="K82"/>
    </row>
    <row r="83" spans="2:11" x14ac:dyDescent="0.25">
      <c r="B83"/>
      <c r="K83"/>
    </row>
    <row r="84" spans="2:11" x14ac:dyDescent="0.25">
      <c r="B84"/>
      <c r="K84"/>
    </row>
    <row r="85" spans="2:11" x14ac:dyDescent="0.25">
      <c r="B85"/>
      <c r="K85"/>
    </row>
    <row r="86" spans="2:11" x14ac:dyDescent="0.25">
      <c r="B86"/>
      <c r="K86"/>
    </row>
    <row r="87" spans="2:11" x14ac:dyDescent="0.25">
      <c r="B87"/>
      <c r="K87"/>
    </row>
    <row r="88" spans="2:11" x14ac:dyDescent="0.25">
      <c r="B88"/>
      <c r="K88"/>
    </row>
    <row r="89" spans="2:11" x14ac:dyDescent="0.25">
      <c r="B89"/>
      <c r="K89"/>
    </row>
    <row r="90" spans="2:11" x14ac:dyDescent="0.25">
      <c r="B90"/>
      <c r="K90"/>
    </row>
    <row r="91" spans="2:11" x14ac:dyDescent="0.25">
      <c r="B91"/>
      <c r="K91"/>
    </row>
    <row r="92" spans="2:11" x14ac:dyDescent="0.25">
      <c r="B92"/>
      <c r="K92"/>
    </row>
    <row r="93" spans="2:11" x14ac:dyDescent="0.25">
      <c r="B93"/>
      <c r="K93"/>
    </row>
    <row r="94" spans="2:11" x14ac:dyDescent="0.25">
      <c r="B94"/>
      <c r="K94"/>
    </row>
    <row r="95" spans="2:11" x14ac:dyDescent="0.25">
      <c r="B95"/>
      <c r="K95"/>
    </row>
    <row r="96" spans="2:11" x14ac:dyDescent="0.25">
      <c r="B96"/>
      <c r="K96"/>
    </row>
    <row r="97" spans="2:11" x14ac:dyDescent="0.25">
      <c r="B97"/>
      <c r="K97"/>
    </row>
    <row r="98" spans="2:11" x14ac:dyDescent="0.25">
      <c r="B98"/>
      <c r="K98"/>
    </row>
    <row r="99" spans="2:11" x14ac:dyDescent="0.25">
      <c r="B99"/>
      <c r="K99"/>
    </row>
    <row r="100" spans="2:11" x14ac:dyDescent="0.25">
      <c r="B100"/>
      <c r="K100"/>
    </row>
    <row r="101" spans="2:11" x14ac:dyDescent="0.25">
      <c r="B101"/>
      <c r="K101"/>
    </row>
    <row r="102" spans="2:11" x14ac:dyDescent="0.25">
      <c r="B102"/>
      <c r="K102"/>
    </row>
    <row r="103" spans="2:11" x14ac:dyDescent="0.25">
      <c r="B103"/>
      <c r="K103"/>
    </row>
    <row r="104" spans="2:11" x14ac:dyDescent="0.25">
      <c r="B104"/>
      <c r="K104"/>
    </row>
    <row r="105" spans="2:11" x14ac:dyDescent="0.25">
      <c r="B105"/>
      <c r="K105"/>
    </row>
    <row r="106" spans="2:11" x14ac:dyDescent="0.25">
      <c r="B106"/>
      <c r="K106"/>
    </row>
    <row r="107" spans="2:11" x14ac:dyDescent="0.25">
      <c r="B107"/>
      <c r="K107"/>
    </row>
    <row r="108" spans="2:11" x14ac:dyDescent="0.25">
      <c r="B108"/>
      <c r="K108"/>
    </row>
    <row r="109" spans="2:11" x14ac:dyDescent="0.25">
      <c r="B109"/>
      <c r="K109"/>
    </row>
    <row r="110" spans="2:11" x14ac:dyDescent="0.25">
      <c r="B110"/>
      <c r="K110"/>
    </row>
    <row r="111" spans="2:11" x14ac:dyDescent="0.25">
      <c r="B111"/>
      <c r="K111"/>
    </row>
    <row r="112" spans="2:11" x14ac:dyDescent="0.25">
      <c r="B112"/>
      <c r="K112"/>
    </row>
    <row r="113" spans="2:11" x14ac:dyDescent="0.25">
      <c r="B113"/>
      <c r="K113"/>
    </row>
    <row r="114" spans="2:11" x14ac:dyDescent="0.25">
      <c r="B114"/>
      <c r="K114"/>
    </row>
    <row r="115" spans="2:11" x14ac:dyDescent="0.25">
      <c r="B115"/>
      <c r="K115"/>
    </row>
    <row r="116" spans="2:11" x14ac:dyDescent="0.25">
      <c r="B116"/>
      <c r="K116"/>
    </row>
    <row r="117" spans="2:11" x14ac:dyDescent="0.25">
      <c r="B117"/>
      <c r="K117"/>
    </row>
    <row r="118" spans="2:11" x14ac:dyDescent="0.25">
      <c r="B118"/>
      <c r="K118"/>
    </row>
    <row r="119" spans="2:11" x14ac:dyDescent="0.25">
      <c r="B119"/>
      <c r="K119"/>
    </row>
    <row r="120" spans="2:11" x14ac:dyDescent="0.25">
      <c r="B120"/>
      <c r="K120"/>
    </row>
    <row r="121" spans="2:11" x14ac:dyDescent="0.25">
      <c r="B121"/>
      <c r="K121"/>
    </row>
    <row r="122" spans="2:11" x14ac:dyDescent="0.25">
      <c r="B122"/>
      <c r="K122"/>
    </row>
    <row r="123" spans="2:11" x14ac:dyDescent="0.25">
      <c r="B123"/>
      <c r="K123"/>
    </row>
    <row r="124" spans="2:11" x14ac:dyDescent="0.25">
      <c r="B124"/>
      <c r="K124"/>
    </row>
    <row r="125" spans="2:11" x14ac:dyDescent="0.25">
      <c r="B125"/>
      <c r="K125"/>
    </row>
    <row r="126" spans="2:11" x14ac:dyDescent="0.25">
      <c r="B126"/>
      <c r="K126"/>
    </row>
    <row r="127" spans="2:11" x14ac:dyDescent="0.25">
      <c r="B127"/>
      <c r="K127"/>
    </row>
    <row r="128" spans="2:11" x14ac:dyDescent="0.25">
      <c r="B128"/>
      <c r="K128"/>
    </row>
    <row r="129" spans="2:11" x14ac:dyDescent="0.25">
      <c r="B129"/>
      <c r="K129"/>
    </row>
    <row r="130" spans="2:11" x14ac:dyDescent="0.25">
      <c r="B130"/>
      <c r="K130"/>
    </row>
    <row r="131" spans="2:11" x14ac:dyDescent="0.25">
      <c r="B131"/>
      <c r="K131"/>
    </row>
    <row r="132" spans="2:11" x14ac:dyDescent="0.25">
      <c r="B132"/>
      <c r="K132"/>
    </row>
    <row r="133" spans="2:11" x14ac:dyDescent="0.25">
      <c r="B133"/>
      <c r="K133"/>
    </row>
    <row r="134" spans="2:11" x14ac:dyDescent="0.25">
      <c r="B134"/>
      <c r="K134"/>
    </row>
    <row r="135" spans="2:11" x14ac:dyDescent="0.25">
      <c r="B135"/>
      <c r="K135"/>
    </row>
    <row r="136" spans="2:11" x14ac:dyDescent="0.25">
      <c r="B136"/>
      <c r="K136"/>
    </row>
    <row r="137" spans="2:11" x14ac:dyDescent="0.25">
      <c r="B137"/>
      <c r="K137"/>
    </row>
    <row r="138" spans="2:11" x14ac:dyDescent="0.25">
      <c r="B138"/>
      <c r="K138"/>
    </row>
    <row r="139" spans="2:11" x14ac:dyDescent="0.25">
      <c r="B139"/>
      <c r="K139"/>
    </row>
    <row r="140" spans="2:11" x14ac:dyDescent="0.25">
      <c r="B140"/>
      <c r="K140"/>
    </row>
    <row r="141" spans="2:11" x14ac:dyDescent="0.25">
      <c r="B141"/>
      <c r="K141"/>
    </row>
    <row r="142" spans="2:11" x14ac:dyDescent="0.25">
      <c r="B142"/>
      <c r="K142"/>
    </row>
    <row r="143" spans="2:11" x14ac:dyDescent="0.25">
      <c r="B143"/>
      <c r="K143"/>
    </row>
    <row r="144" spans="2:11" x14ac:dyDescent="0.25">
      <c r="B144"/>
      <c r="K144"/>
    </row>
    <row r="145" spans="2:11" x14ac:dyDescent="0.25">
      <c r="B145"/>
      <c r="K145"/>
    </row>
    <row r="146" spans="2:11" x14ac:dyDescent="0.25">
      <c r="B146"/>
      <c r="K146"/>
    </row>
    <row r="147" spans="2:11" x14ac:dyDescent="0.25">
      <c r="B147"/>
      <c r="K147"/>
    </row>
    <row r="148" spans="2:11" x14ac:dyDescent="0.25">
      <c r="B148"/>
      <c r="K148"/>
    </row>
    <row r="149" spans="2:11" x14ac:dyDescent="0.25">
      <c r="B149"/>
      <c r="K149"/>
    </row>
    <row r="150" spans="2:11" x14ac:dyDescent="0.25">
      <c r="B150"/>
      <c r="K150"/>
    </row>
    <row r="151" spans="2:11" x14ac:dyDescent="0.25">
      <c r="B151"/>
      <c r="K151"/>
    </row>
    <row r="152" spans="2:11" x14ac:dyDescent="0.25">
      <c r="B152"/>
      <c r="K152"/>
    </row>
    <row r="153" spans="2:11" x14ac:dyDescent="0.25">
      <c r="B153"/>
      <c r="K153"/>
    </row>
    <row r="154" spans="2:11" x14ac:dyDescent="0.25">
      <c r="B154"/>
      <c r="K154"/>
    </row>
    <row r="155" spans="2:11" x14ac:dyDescent="0.25">
      <c r="B155"/>
      <c r="K155"/>
    </row>
    <row r="156" spans="2:11" x14ac:dyDescent="0.25">
      <c r="B156"/>
      <c r="K156"/>
    </row>
    <row r="157" spans="2:11" x14ac:dyDescent="0.25">
      <c r="B157"/>
      <c r="K157"/>
    </row>
    <row r="158" spans="2:11" x14ac:dyDescent="0.25">
      <c r="B158"/>
      <c r="K158"/>
    </row>
    <row r="159" spans="2:11" x14ac:dyDescent="0.25">
      <c r="B159"/>
      <c r="K159"/>
    </row>
    <row r="160" spans="2:11" x14ac:dyDescent="0.25">
      <c r="B160"/>
      <c r="K160"/>
    </row>
    <row r="161" spans="2:11" x14ac:dyDescent="0.25">
      <c r="B161"/>
      <c r="K161"/>
    </row>
    <row r="162" spans="2:11" x14ac:dyDescent="0.25">
      <c r="B162"/>
      <c r="K162"/>
    </row>
    <row r="163" spans="2:11" x14ac:dyDescent="0.25">
      <c r="B163"/>
      <c r="K163"/>
    </row>
    <row r="164" spans="2:11" x14ac:dyDescent="0.25">
      <c r="B164"/>
      <c r="K164"/>
    </row>
    <row r="165" spans="2:11" x14ac:dyDescent="0.25">
      <c r="B165"/>
      <c r="K165"/>
    </row>
    <row r="166" spans="2:11" x14ac:dyDescent="0.25">
      <c r="B166"/>
      <c r="K166"/>
    </row>
    <row r="167" spans="2:11" x14ac:dyDescent="0.25">
      <c r="B167"/>
      <c r="K167"/>
    </row>
    <row r="168" spans="2:11" x14ac:dyDescent="0.25">
      <c r="B168"/>
      <c r="K168"/>
    </row>
    <row r="169" spans="2:11" x14ac:dyDescent="0.25">
      <c r="B169"/>
      <c r="K169"/>
    </row>
    <row r="170" spans="2:11" x14ac:dyDescent="0.25">
      <c r="B170"/>
      <c r="K170"/>
    </row>
    <row r="171" spans="2:11" x14ac:dyDescent="0.25">
      <c r="B171"/>
      <c r="K171"/>
    </row>
    <row r="172" spans="2:11" x14ac:dyDescent="0.25">
      <c r="B172"/>
      <c r="K172"/>
    </row>
    <row r="173" spans="2:11" x14ac:dyDescent="0.25">
      <c r="B173"/>
      <c r="K173"/>
    </row>
    <row r="174" spans="2:11" x14ac:dyDescent="0.25">
      <c r="B174"/>
      <c r="K174"/>
    </row>
    <row r="175" spans="2:11" x14ac:dyDescent="0.25">
      <c r="B175"/>
      <c r="K175"/>
    </row>
    <row r="176" spans="2:11" x14ac:dyDescent="0.25">
      <c r="B176"/>
      <c r="K176"/>
    </row>
    <row r="177" spans="2:11" x14ac:dyDescent="0.25">
      <c r="B177"/>
      <c r="K177"/>
    </row>
    <row r="178" spans="2:11" x14ac:dyDescent="0.25">
      <c r="B178"/>
      <c r="K178"/>
    </row>
    <row r="179" spans="2:11" x14ac:dyDescent="0.25">
      <c r="B179"/>
      <c r="K179"/>
    </row>
    <row r="180" spans="2:11" x14ac:dyDescent="0.25">
      <c r="B180"/>
      <c r="K180"/>
    </row>
    <row r="181" spans="2:11" x14ac:dyDescent="0.25">
      <c r="B181"/>
      <c r="K181"/>
    </row>
    <row r="182" spans="2:11" x14ac:dyDescent="0.25">
      <c r="B182"/>
      <c r="K182"/>
    </row>
    <row r="183" spans="2:11" x14ac:dyDescent="0.25">
      <c r="B183"/>
      <c r="K183"/>
    </row>
    <row r="184" spans="2:11" x14ac:dyDescent="0.25">
      <c r="B184"/>
      <c r="K184"/>
    </row>
    <row r="185" spans="2:11" x14ac:dyDescent="0.25">
      <c r="B185"/>
      <c r="K185"/>
    </row>
    <row r="186" spans="2:11" x14ac:dyDescent="0.25">
      <c r="B186"/>
      <c r="K186"/>
    </row>
    <row r="187" spans="2:11" x14ac:dyDescent="0.25">
      <c r="B187"/>
      <c r="K187"/>
    </row>
    <row r="188" spans="2:11" x14ac:dyDescent="0.25">
      <c r="B188"/>
      <c r="K188"/>
    </row>
    <row r="189" spans="2:11" x14ac:dyDescent="0.25">
      <c r="B189"/>
      <c r="K189"/>
    </row>
    <row r="190" spans="2:11" x14ac:dyDescent="0.25">
      <c r="B190"/>
      <c r="K190"/>
    </row>
    <row r="191" spans="2:11" x14ac:dyDescent="0.25">
      <c r="B191"/>
      <c r="K191"/>
    </row>
    <row r="192" spans="2:11" x14ac:dyDescent="0.25">
      <c r="B192"/>
      <c r="K192"/>
    </row>
    <row r="193" spans="2:11" x14ac:dyDescent="0.25">
      <c r="B193"/>
      <c r="K193"/>
    </row>
    <row r="194" spans="2:11" x14ac:dyDescent="0.25">
      <c r="B194"/>
      <c r="K194"/>
    </row>
    <row r="195" spans="2:11" x14ac:dyDescent="0.25">
      <c r="B195"/>
      <c r="K195"/>
    </row>
    <row r="196" spans="2:11" x14ac:dyDescent="0.25">
      <c r="B196"/>
      <c r="K196"/>
    </row>
    <row r="197" spans="2:11" x14ac:dyDescent="0.25">
      <c r="B197"/>
      <c r="K197"/>
    </row>
    <row r="198" spans="2:11" x14ac:dyDescent="0.25">
      <c r="B198"/>
      <c r="K198"/>
    </row>
    <row r="199" spans="2:11" x14ac:dyDescent="0.25">
      <c r="B199"/>
      <c r="K199"/>
    </row>
    <row r="200" spans="2:11" x14ac:dyDescent="0.25">
      <c r="B200"/>
      <c r="K200"/>
    </row>
    <row r="201" spans="2:11" x14ac:dyDescent="0.25">
      <c r="B201"/>
      <c r="K201"/>
    </row>
    <row r="202" spans="2:11" x14ac:dyDescent="0.25">
      <c r="B202"/>
      <c r="K202"/>
    </row>
    <row r="203" spans="2:11" x14ac:dyDescent="0.25">
      <c r="B203"/>
      <c r="K203"/>
    </row>
    <row r="204" spans="2:11" x14ac:dyDescent="0.25">
      <c r="B204"/>
      <c r="K204"/>
    </row>
    <row r="205" spans="2:11" x14ac:dyDescent="0.25">
      <c r="B205"/>
      <c r="K205"/>
    </row>
    <row r="206" spans="2:11" x14ac:dyDescent="0.25">
      <c r="B206"/>
      <c r="K206"/>
    </row>
    <row r="207" spans="2:11" x14ac:dyDescent="0.25">
      <c r="B207"/>
      <c r="K207"/>
    </row>
    <row r="208" spans="2:11" x14ac:dyDescent="0.25">
      <c r="B208"/>
      <c r="K208"/>
    </row>
    <row r="209" spans="2:11" x14ac:dyDescent="0.25">
      <c r="B209"/>
      <c r="K209"/>
    </row>
    <row r="210" spans="2:11" x14ac:dyDescent="0.25">
      <c r="B210"/>
      <c r="K210"/>
    </row>
    <row r="211" spans="2:11" x14ac:dyDescent="0.25">
      <c r="B211"/>
      <c r="K211"/>
    </row>
    <row r="212" spans="2:11" x14ac:dyDescent="0.25">
      <c r="B212"/>
      <c r="K212"/>
    </row>
    <row r="213" spans="2:11" x14ac:dyDescent="0.25">
      <c r="B213"/>
      <c r="K213"/>
    </row>
    <row r="214" spans="2:11" x14ac:dyDescent="0.25">
      <c r="B214"/>
      <c r="K214"/>
    </row>
    <row r="215" spans="2:11" x14ac:dyDescent="0.25">
      <c r="B215"/>
      <c r="K215"/>
    </row>
    <row r="216" spans="2:11" x14ac:dyDescent="0.25">
      <c r="B216"/>
      <c r="K216"/>
    </row>
    <row r="217" spans="2:11" x14ac:dyDescent="0.25">
      <c r="B217"/>
      <c r="K217"/>
    </row>
    <row r="218" spans="2:11" x14ac:dyDescent="0.25">
      <c r="B218"/>
      <c r="K218"/>
    </row>
    <row r="219" spans="2:11" x14ac:dyDescent="0.25">
      <c r="B219"/>
      <c r="K219"/>
    </row>
    <row r="220" spans="2:11" x14ac:dyDescent="0.25">
      <c r="B220"/>
      <c r="K220"/>
    </row>
    <row r="221" spans="2:11" x14ac:dyDescent="0.25">
      <c r="B221"/>
      <c r="K221"/>
    </row>
    <row r="222" spans="2:11" x14ac:dyDescent="0.25">
      <c r="B222"/>
      <c r="K222"/>
    </row>
    <row r="223" spans="2:11" x14ac:dyDescent="0.25">
      <c r="B223"/>
      <c r="K223"/>
    </row>
    <row r="224" spans="2:11" x14ac:dyDescent="0.25">
      <c r="B224"/>
      <c r="K224"/>
    </row>
    <row r="225" spans="2:11" x14ac:dyDescent="0.25">
      <c r="B225"/>
      <c r="K225"/>
    </row>
    <row r="226" spans="2:11" x14ac:dyDescent="0.25">
      <c r="B226"/>
      <c r="K226"/>
    </row>
    <row r="227" spans="2:11" x14ac:dyDescent="0.25">
      <c r="B227"/>
      <c r="K227"/>
    </row>
    <row r="228" spans="2:11" x14ac:dyDescent="0.25">
      <c r="B228"/>
      <c r="K228"/>
    </row>
    <row r="229" spans="2:11" x14ac:dyDescent="0.25">
      <c r="B229"/>
      <c r="K229"/>
    </row>
    <row r="230" spans="2:11" x14ac:dyDescent="0.25">
      <c r="B230"/>
      <c r="K230"/>
    </row>
    <row r="231" spans="2:11" x14ac:dyDescent="0.25">
      <c r="B231"/>
      <c r="K231"/>
    </row>
    <row r="232" spans="2:11" x14ac:dyDescent="0.25">
      <c r="B232"/>
      <c r="K232"/>
    </row>
    <row r="233" spans="2:11" x14ac:dyDescent="0.25">
      <c r="B233"/>
      <c r="K233"/>
    </row>
    <row r="234" spans="2:11" x14ac:dyDescent="0.25">
      <c r="B234"/>
      <c r="K234"/>
    </row>
    <row r="235" spans="2:11" x14ac:dyDescent="0.25">
      <c r="B235"/>
      <c r="K235"/>
    </row>
    <row r="236" spans="2:11" x14ac:dyDescent="0.25">
      <c r="B236"/>
      <c r="K236"/>
    </row>
    <row r="237" spans="2:11" x14ac:dyDescent="0.25">
      <c r="B237"/>
      <c r="K237"/>
    </row>
    <row r="238" spans="2:11" x14ac:dyDescent="0.25">
      <c r="B238"/>
      <c r="K238"/>
    </row>
    <row r="239" spans="2:11" x14ac:dyDescent="0.25">
      <c r="B239"/>
      <c r="K239"/>
    </row>
    <row r="240" spans="2:11" x14ac:dyDescent="0.25">
      <c r="B240"/>
      <c r="K240"/>
    </row>
    <row r="241" spans="2:11" x14ac:dyDescent="0.25">
      <c r="B241"/>
      <c r="K241"/>
    </row>
    <row r="242" spans="2:11" x14ac:dyDescent="0.25">
      <c r="B242"/>
      <c r="K242"/>
    </row>
    <row r="243" spans="2:11" x14ac:dyDescent="0.25">
      <c r="B243"/>
      <c r="K243"/>
    </row>
    <row r="244" spans="2:11" x14ac:dyDescent="0.25">
      <c r="B244"/>
      <c r="K244"/>
    </row>
    <row r="245" spans="2:11" x14ac:dyDescent="0.25">
      <c r="B245"/>
      <c r="K245"/>
    </row>
    <row r="246" spans="2:11" x14ac:dyDescent="0.25">
      <c r="B246"/>
      <c r="K246"/>
    </row>
    <row r="247" spans="2:11" x14ac:dyDescent="0.25">
      <c r="B247"/>
      <c r="K247"/>
    </row>
    <row r="248" spans="2:11" x14ac:dyDescent="0.25">
      <c r="B248"/>
      <c r="K248"/>
    </row>
    <row r="249" spans="2:11" x14ac:dyDescent="0.25">
      <c r="B249"/>
      <c r="K249"/>
    </row>
    <row r="250" spans="2:11" x14ac:dyDescent="0.25">
      <c r="B250"/>
      <c r="K250"/>
    </row>
    <row r="251" spans="2:11" x14ac:dyDescent="0.25">
      <c r="B251"/>
      <c r="K251"/>
    </row>
    <row r="252" spans="2:11" x14ac:dyDescent="0.25">
      <c r="B252"/>
      <c r="K252"/>
    </row>
    <row r="253" spans="2:11" x14ac:dyDescent="0.25">
      <c r="B253"/>
      <c r="K253"/>
    </row>
    <row r="254" spans="2:11" x14ac:dyDescent="0.25">
      <c r="B254"/>
      <c r="K254"/>
    </row>
    <row r="255" spans="2:11" x14ac:dyDescent="0.25">
      <c r="B255"/>
      <c r="K255"/>
    </row>
    <row r="256" spans="2:11" x14ac:dyDescent="0.25">
      <c r="B256"/>
      <c r="K256"/>
    </row>
    <row r="257" spans="2:11" x14ac:dyDescent="0.25">
      <c r="B257"/>
      <c r="K257"/>
    </row>
    <row r="258" spans="2:11" x14ac:dyDescent="0.25">
      <c r="B258"/>
      <c r="K258"/>
    </row>
    <row r="259" spans="2:11" x14ac:dyDescent="0.25">
      <c r="B259"/>
      <c r="K259"/>
    </row>
    <row r="260" spans="2:11" x14ac:dyDescent="0.25">
      <c r="B260"/>
      <c r="K260"/>
    </row>
    <row r="261" spans="2:11" x14ac:dyDescent="0.25">
      <c r="B261"/>
      <c r="K261"/>
    </row>
    <row r="262" spans="2:11" x14ac:dyDescent="0.25">
      <c r="B262"/>
      <c r="K262"/>
    </row>
    <row r="263" spans="2:11" x14ac:dyDescent="0.25">
      <c r="B263"/>
      <c r="K263"/>
    </row>
    <row r="264" spans="2:11" x14ac:dyDescent="0.25">
      <c r="B264"/>
      <c r="K264"/>
    </row>
    <row r="265" spans="2:11" x14ac:dyDescent="0.25">
      <c r="B265"/>
      <c r="K265"/>
    </row>
    <row r="266" spans="2:11" x14ac:dyDescent="0.25">
      <c r="B266"/>
      <c r="K266"/>
    </row>
    <row r="267" spans="2:11" x14ac:dyDescent="0.25">
      <c r="B267"/>
      <c r="K267"/>
    </row>
    <row r="268" spans="2:11" x14ac:dyDescent="0.25">
      <c r="B268"/>
      <c r="K268"/>
    </row>
    <row r="269" spans="2:11" x14ac:dyDescent="0.25">
      <c r="B269"/>
      <c r="K269"/>
    </row>
    <row r="270" spans="2:11" x14ac:dyDescent="0.25">
      <c r="B270"/>
      <c r="K270"/>
    </row>
    <row r="271" spans="2:11" x14ac:dyDescent="0.25">
      <c r="B271"/>
      <c r="K271"/>
    </row>
    <row r="272" spans="2:11" x14ac:dyDescent="0.25">
      <c r="B272"/>
      <c r="K272"/>
    </row>
    <row r="273" spans="2:11" x14ac:dyDescent="0.25">
      <c r="B273"/>
      <c r="K273"/>
    </row>
    <row r="274" spans="2:11" x14ac:dyDescent="0.25">
      <c r="B274"/>
      <c r="K274"/>
    </row>
    <row r="275" spans="2:11" x14ac:dyDescent="0.25">
      <c r="B275"/>
      <c r="K275"/>
    </row>
    <row r="276" spans="2:11" x14ac:dyDescent="0.25">
      <c r="B276"/>
      <c r="K276"/>
    </row>
    <row r="277" spans="2:11" x14ac:dyDescent="0.25">
      <c r="B277"/>
      <c r="K277"/>
    </row>
    <row r="278" spans="2:11" x14ac:dyDescent="0.25">
      <c r="B278"/>
      <c r="K278"/>
    </row>
    <row r="279" spans="2:11" x14ac:dyDescent="0.25">
      <c r="B279"/>
      <c r="K279"/>
    </row>
    <row r="280" spans="2:11" x14ac:dyDescent="0.25">
      <c r="B280"/>
      <c r="K280"/>
    </row>
    <row r="281" spans="2:11" x14ac:dyDescent="0.25">
      <c r="B281"/>
      <c r="K281"/>
    </row>
    <row r="282" spans="2:11" x14ac:dyDescent="0.25">
      <c r="B282"/>
      <c r="K282"/>
    </row>
    <row r="283" spans="2:11" x14ac:dyDescent="0.25">
      <c r="B283"/>
      <c r="K283"/>
    </row>
    <row r="284" spans="2:11" x14ac:dyDescent="0.25">
      <c r="B284"/>
      <c r="K284"/>
    </row>
    <row r="285" spans="2:11" x14ac:dyDescent="0.25">
      <c r="B285"/>
      <c r="K285"/>
    </row>
    <row r="286" spans="2:11" x14ac:dyDescent="0.25">
      <c r="B286"/>
      <c r="K286"/>
    </row>
    <row r="287" spans="2:11" x14ac:dyDescent="0.25">
      <c r="B287"/>
      <c r="K287"/>
    </row>
    <row r="288" spans="2:11" x14ac:dyDescent="0.25">
      <c r="B288"/>
      <c r="K288"/>
    </row>
    <row r="289" spans="2:11" x14ac:dyDescent="0.25">
      <c r="B289"/>
      <c r="K289"/>
    </row>
    <row r="290" spans="2:11" x14ac:dyDescent="0.25">
      <c r="B290"/>
      <c r="K290"/>
    </row>
    <row r="291" spans="2:11" x14ac:dyDescent="0.25">
      <c r="B291"/>
      <c r="K291"/>
    </row>
    <row r="292" spans="2:11" x14ac:dyDescent="0.25">
      <c r="B292"/>
      <c r="K292"/>
    </row>
    <row r="293" spans="2:11" x14ac:dyDescent="0.25">
      <c r="B293"/>
      <c r="K293"/>
    </row>
    <row r="294" spans="2:11" x14ac:dyDescent="0.25">
      <c r="B294"/>
      <c r="K294"/>
    </row>
    <row r="295" spans="2:11" x14ac:dyDescent="0.25">
      <c r="B295"/>
      <c r="K295"/>
    </row>
    <row r="296" spans="2:11" x14ac:dyDescent="0.25">
      <c r="B296"/>
      <c r="K296"/>
    </row>
    <row r="297" spans="2:11" x14ac:dyDescent="0.25">
      <c r="B297"/>
      <c r="K297"/>
    </row>
    <row r="298" spans="2:11" x14ac:dyDescent="0.25">
      <c r="B298"/>
      <c r="K298"/>
    </row>
    <row r="299" spans="2:11" x14ac:dyDescent="0.25">
      <c r="B299"/>
      <c r="K299"/>
    </row>
    <row r="300" spans="2:11" x14ac:dyDescent="0.25">
      <c r="B300"/>
      <c r="K300"/>
    </row>
    <row r="301" spans="2:11" x14ac:dyDescent="0.25">
      <c r="B301"/>
      <c r="K301"/>
    </row>
    <row r="302" spans="2:11" x14ac:dyDescent="0.25">
      <c r="B302"/>
      <c r="K302"/>
    </row>
    <row r="303" spans="2:11" x14ac:dyDescent="0.25">
      <c r="B303"/>
      <c r="K303"/>
    </row>
    <row r="304" spans="2:11" x14ac:dyDescent="0.25">
      <c r="B304"/>
      <c r="K304"/>
    </row>
    <row r="305" spans="2:11" x14ac:dyDescent="0.25">
      <c r="B305"/>
      <c r="K305"/>
    </row>
    <row r="306" spans="2:11" x14ac:dyDescent="0.25">
      <c r="B306"/>
      <c r="K306"/>
    </row>
    <row r="307" spans="2:11" x14ac:dyDescent="0.25">
      <c r="B307"/>
      <c r="K307"/>
    </row>
    <row r="308" spans="2:11" x14ac:dyDescent="0.25">
      <c r="B308"/>
      <c r="K308"/>
    </row>
    <row r="309" spans="2:11" x14ac:dyDescent="0.25">
      <c r="B309"/>
      <c r="K309"/>
    </row>
    <row r="310" spans="2:11" x14ac:dyDescent="0.25">
      <c r="B310"/>
      <c r="K310"/>
    </row>
    <row r="311" spans="2:11" x14ac:dyDescent="0.25">
      <c r="B311"/>
      <c r="K311"/>
    </row>
    <row r="312" spans="2:11" x14ac:dyDescent="0.25">
      <c r="B312"/>
      <c r="K312"/>
    </row>
    <row r="313" spans="2:11" x14ac:dyDescent="0.25">
      <c r="B313"/>
      <c r="K313"/>
    </row>
    <row r="314" spans="2:11" x14ac:dyDescent="0.25">
      <c r="B314"/>
      <c r="K314"/>
    </row>
    <row r="315" spans="2:11" x14ac:dyDescent="0.25">
      <c r="B315"/>
      <c r="K315"/>
    </row>
    <row r="316" spans="2:11" x14ac:dyDescent="0.25">
      <c r="B316"/>
      <c r="K316"/>
    </row>
    <row r="317" spans="2:11" x14ac:dyDescent="0.25">
      <c r="B317"/>
      <c r="K317"/>
    </row>
    <row r="318" spans="2:11" x14ac:dyDescent="0.25">
      <c r="B318"/>
      <c r="K318"/>
    </row>
    <row r="319" spans="2:11" x14ac:dyDescent="0.25">
      <c r="B319"/>
      <c r="K319"/>
    </row>
    <row r="320" spans="2:11" x14ac:dyDescent="0.25">
      <c r="B320"/>
      <c r="K320"/>
    </row>
    <row r="321" spans="2:11" x14ac:dyDescent="0.25">
      <c r="B321"/>
      <c r="K321"/>
    </row>
    <row r="322" spans="2:11" x14ac:dyDescent="0.25">
      <c r="B322"/>
      <c r="K322"/>
    </row>
    <row r="323" spans="2:11" x14ac:dyDescent="0.25">
      <c r="B323"/>
      <c r="K323"/>
    </row>
    <row r="324" spans="2:11" x14ac:dyDescent="0.25">
      <c r="B324"/>
      <c r="K324"/>
    </row>
    <row r="325" spans="2:11" x14ac:dyDescent="0.25">
      <c r="B325"/>
      <c r="K325"/>
    </row>
    <row r="326" spans="2:11" x14ac:dyDescent="0.25">
      <c r="B326"/>
      <c r="K326"/>
    </row>
    <row r="327" spans="2:11" x14ac:dyDescent="0.25">
      <c r="B327"/>
      <c r="K327"/>
    </row>
    <row r="328" spans="2:11" x14ac:dyDescent="0.25">
      <c r="B328"/>
      <c r="K328"/>
    </row>
    <row r="329" spans="2:11" x14ac:dyDescent="0.25">
      <c r="B329"/>
      <c r="K329"/>
    </row>
    <row r="330" spans="2:11" x14ac:dyDescent="0.25">
      <c r="B330"/>
      <c r="K330"/>
    </row>
    <row r="331" spans="2:11" x14ac:dyDescent="0.25">
      <c r="B331"/>
      <c r="K331"/>
    </row>
    <row r="332" spans="2:11" x14ac:dyDescent="0.25">
      <c r="B332"/>
      <c r="K332"/>
    </row>
    <row r="333" spans="2:11" x14ac:dyDescent="0.25">
      <c r="B333"/>
      <c r="K333"/>
    </row>
    <row r="334" spans="2:11" x14ac:dyDescent="0.25">
      <c r="B334"/>
      <c r="K334"/>
    </row>
    <row r="335" spans="2:11" x14ac:dyDescent="0.25">
      <c r="B335"/>
      <c r="K335"/>
    </row>
    <row r="336" spans="2:11" x14ac:dyDescent="0.25">
      <c r="B336"/>
      <c r="K336"/>
    </row>
    <row r="337" spans="2:11" x14ac:dyDescent="0.25">
      <c r="B337"/>
      <c r="K337"/>
    </row>
    <row r="338" spans="2:11" x14ac:dyDescent="0.25">
      <c r="B338"/>
      <c r="K338"/>
    </row>
    <row r="339" spans="2:11" x14ac:dyDescent="0.25">
      <c r="B339"/>
      <c r="K339"/>
    </row>
    <row r="340" spans="2:11" x14ac:dyDescent="0.25">
      <c r="B340"/>
      <c r="K340"/>
    </row>
    <row r="341" spans="2:11" x14ac:dyDescent="0.25">
      <c r="B341"/>
      <c r="K341"/>
    </row>
    <row r="342" spans="2:11" x14ac:dyDescent="0.25">
      <c r="B342"/>
      <c r="K342"/>
    </row>
    <row r="343" spans="2:11" x14ac:dyDescent="0.25">
      <c r="B343"/>
      <c r="K343"/>
    </row>
    <row r="344" spans="2:11" x14ac:dyDescent="0.25">
      <c r="B344"/>
      <c r="K344"/>
    </row>
    <row r="345" spans="2:11" x14ac:dyDescent="0.25">
      <c r="B345"/>
      <c r="K345"/>
    </row>
    <row r="346" spans="2:11" x14ac:dyDescent="0.25">
      <c r="B346"/>
      <c r="K346"/>
    </row>
    <row r="347" spans="2:11" x14ac:dyDescent="0.25">
      <c r="B347"/>
      <c r="K347"/>
    </row>
    <row r="348" spans="2:11" x14ac:dyDescent="0.25">
      <c r="B348"/>
      <c r="K348"/>
    </row>
    <row r="349" spans="2:11" x14ac:dyDescent="0.25">
      <c r="B349"/>
      <c r="K349"/>
    </row>
    <row r="350" spans="2:11" x14ac:dyDescent="0.25">
      <c r="B350"/>
      <c r="K350"/>
    </row>
    <row r="351" spans="2:11" x14ac:dyDescent="0.25">
      <c r="B351"/>
      <c r="K351"/>
    </row>
    <row r="352" spans="2:11" x14ac:dyDescent="0.25">
      <c r="B352"/>
      <c r="K352"/>
    </row>
    <row r="353" spans="2:11" x14ac:dyDescent="0.25">
      <c r="B353"/>
      <c r="K353"/>
    </row>
    <row r="354" spans="2:11" x14ac:dyDescent="0.25">
      <c r="B354"/>
      <c r="K354"/>
    </row>
    <row r="355" spans="2:11" x14ac:dyDescent="0.25">
      <c r="B355"/>
      <c r="K355"/>
    </row>
    <row r="356" spans="2:11" x14ac:dyDescent="0.25">
      <c r="B356"/>
      <c r="K356"/>
    </row>
    <row r="357" spans="2:11" x14ac:dyDescent="0.25">
      <c r="B357"/>
      <c r="K357"/>
    </row>
    <row r="358" spans="2:11" x14ac:dyDescent="0.25">
      <c r="B358"/>
      <c r="K358"/>
    </row>
    <row r="359" spans="2:11" x14ac:dyDescent="0.25">
      <c r="B359"/>
      <c r="K359"/>
    </row>
    <row r="360" spans="2:11" x14ac:dyDescent="0.25">
      <c r="B360"/>
      <c r="K360"/>
    </row>
    <row r="361" spans="2:11" x14ac:dyDescent="0.25">
      <c r="B361"/>
      <c r="K361"/>
    </row>
    <row r="362" spans="2:11" x14ac:dyDescent="0.25">
      <c r="B362"/>
      <c r="K362"/>
    </row>
    <row r="363" spans="2:11" x14ac:dyDescent="0.25">
      <c r="B363"/>
      <c r="K363"/>
    </row>
    <row r="364" spans="2:11" x14ac:dyDescent="0.25">
      <c r="B364"/>
      <c r="K364"/>
    </row>
    <row r="365" spans="2:11" x14ac:dyDescent="0.25">
      <c r="B365"/>
      <c r="K365"/>
    </row>
    <row r="366" spans="2:11" x14ac:dyDescent="0.25">
      <c r="B366"/>
      <c r="K366"/>
    </row>
    <row r="367" spans="2:11" x14ac:dyDescent="0.25">
      <c r="B367"/>
      <c r="K367"/>
    </row>
    <row r="368" spans="2:11" x14ac:dyDescent="0.25">
      <c r="B368"/>
      <c r="K368"/>
    </row>
    <row r="369" spans="2:11" x14ac:dyDescent="0.25">
      <c r="B369"/>
      <c r="K369"/>
    </row>
    <row r="370" spans="2:11" x14ac:dyDescent="0.25">
      <c r="B370"/>
      <c r="K370"/>
    </row>
    <row r="371" spans="2:11" x14ac:dyDescent="0.25">
      <c r="B371"/>
      <c r="K371"/>
    </row>
    <row r="372" spans="2:11" x14ac:dyDescent="0.25">
      <c r="B372"/>
      <c r="K372"/>
    </row>
    <row r="373" spans="2:11" x14ac:dyDescent="0.25">
      <c r="B373"/>
      <c r="K373"/>
    </row>
    <row r="374" spans="2:11" x14ac:dyDescent="0.25">
      <c r="B374"/>
      <c r="K374"/>
    </row>
    <row r="375" spans="2:11" x14ac:dyDescent="0.25">
      <c r="B375"/>
      <c r="K375"/>
    </row>
    <row r="376" spans="2:11" x14ac:dyDescent="0.25">
      <c r="B376"/>
      <c r="K376"/>
    </row>
    <row r="377" spans="2:11" x14ac:dyDescent="0.25">
      <c r="B377"/>
      <c r="K377"/>
    </row>
    <row r="378" spans="2:11" x14ac:dyDescent="0.25">
      <c r="B378"/>
      <c r="K378"/>
    </row>
    <row r="379" spans="2:11" x14ac:dyDescent="0.25">
      <c r="B379"/>
      <c r="K379"/>
    </row>
    <row r="380" spans="2:11" x14ac:dyDescent="0.25">
      <c r="B380"/>
      <c r="K380"/>
    </row>
    <row r="381" spans="2:11" x14ac:dyDescent="0.25">
      <c r="B381"/>
      <c r="K381"/>
    </row>
    <row r="382" spans="2:11" x14ac:dyDescent="0.25">
      <c r="B382"/>
      <c r="K382"/>
    </row>
    <row r="383" spans="2:11" x14ac:dyDescent="0.25">
      <c r="B383"/>
      <c r="K383"/>
    </row>
    <row r="384" spans="2:11" x14ac:dyDescent="0.25">
      <c r="B384"/>
      <c r="K384"/>
    </row>
    <row r="385" spans="2:11" x14ac:dyDescent="0.25">
      <c r="B385"/>
      <c r="K385"/>
    </row>
    <row r="386" spans="2:11" x14ac:dyDescent="0.25">
      <c r="B386"/>
      <c r="K386"/>
    </row>
    <row r="387" spans="2:11" x14ac:dyDescent="0.25">
      <c r="B387"/>
      <c r="K387"/>
    </row>
    <row r="388" spans="2:11" x14ac:dyDescent="0.25">
      <c r="B388"/>
      <c r="K388"/>
    </row>
    <row r="389" spans="2:11" x14ac:dyDescent="0.25">
      <c r="B389"/>
      <c r="K389"/>
    </row>
    <row r="390" spans="2:11" x14ac:dyDescent="0.25">
      <c r="B390"/>
      <c r="K390"/>
    </row>
    <row r="391" spans="2:11" x14ac:dyDescent="0.25">
      <c r="B391"/>
      <c r="K391"/>
    </row>
    <row r="392" spans="2:11" x14ac:dyDescent="0.25">
      <c r="B392"/>
      <c r="K392"/>
    </row>
    <row r="393" spans="2:11" x14ac:dyDescent="0.25">
      <c r="B393"/>
      <c r="K393"/>
    </row>
    <row r="394" spans="2:11" x14ac:dyDescent="0.25">
      <c r="B394"/>
      <c r="K394"/>
    </row>
    <row r="395" spans="2:11" x14ac:dyDescent="0.25">
      <c r="B395"/>
      <c r="K395"/>
    </row>
    <row r="396" spans="2:11" x14ac:dyDescent="0.25">
      <c r="B396"/>
      <c r="K396"/>
    </row>
    <row r="397" spans="2:11" x14ac:dyDescent="0.25">
      <c r="B397"/>
      <c r="K397"/>
    </row>
    <row r="398" spans="2:11" x14ac:dyDescent="0.25">
      <c r="B398"/>
      <c r="K398"/>
    </row>
    <row r="399" spans="2:11" x14ac:dyDescent="0.25">
      <c r="B399"/>
      <c r="K399"/>
    </row>
    <row r="400" spans="2:11" x14ac:dyDescent="0.25">
      <c r="B400"/>
      <c r="K400"/>
    </row>
    <row r="401" spans="2:11" x14ac:dyDescent="0.25">
      <c r="B401"/>
      <c r="K401"/>
    </row>
    <row r="402" spans="2:11" x14ac:dyDescent="0.25">
      <c r="B402"/>
      <c r="K402"/>
    </row>
    <row r="403" spans="2:11" x14ac:dyDescent="0.25">
      <c r="B403"/>
      <c r="K403"/>
    </row>
    <row r="404" spans="2:11" x14ac:dyDescent="0.25">
      <c r="B404"/>
      <c r="K404"/>
    </row>
    <row r="405" spans="2:11" x14ac:dyDescent="0.25">
      <c r="B405"/>
      <c r="K405"/>
    </row>
    <row r="406" spans="2:11" x14ac:dyDescent="0.25">
      <c r="B406"/>
      <c r="K406"/>
    </row>
    <row r="407" spans="2:11" x14ac:dyDescent="0.25">
      <c r="B407"/>
      <c r="K407"/>
    </row>
    <row r="408" spans="2:11" x14ac:dyDescent="0.25">
      <c r="B408"/>
      <c r="K408"/>
    </row>
    <row r="409" spans="2:11" x14ac:dyDescent="0.25">
      <c r="B409"/>
      <c r="K409"/>
    </row>
    <row r="410" spans="2:11" x14ac:dyDescent="0.25">
      <c r="B410"/>
      <c r="K410"/>
    </row>
    <row r="411" spans="2:11" x14ac:dyDescent="0.25">
      <c r="B411"/>
      <c r="K411"/>
    </row>
    <row r="412" spans="2:11" x14ac:dyDescent="0.25">
      <c r="B412"/>
      <c r="K412"/>
    </row>
    <row r="413" spans="2:11" x14ac:dyDescent="0.25">
      <c r="B413"/>
      <c r="K413"/>
    </row>
    <row r="414" spans="2:11" x14ac:dyDescent="0.25">
      <c r="B414"/>
      <c r="K414"/>
    </row>
    <row r="415" spans="2:11" x14ac:dyDescent="0.25">
      <c r="B415"/>
      <c r="K415"/>
    </row>
    <row r="416" spans="2:11" x14ac:dyDescent="0.25">
      <c r="B416"/>
      <c r="K416"/>
    </row>
    <row r="417" spans="2:11" x14ac:dyDescent="0.25">
      <c r="B417"/>
      <c r="K417"/>
    </row>
    <row r="418" spans="2:11" x14ac:dyDescent="0.25">
      <c r="B418"/>
      <c r="K418"/>
    </row>
    <row r="419" spans="2:11" x14ac:dyDescent="0.25">
      <c r="B419"/>
      <c r="K419"/>
    </row>
    <row r="420" spans="2:11" x14ac:dyDescent="0.25">
      <c r="B420"/>
      <c r="K420"/>
    </row>
    <row r="421" spans="2:11" x14ac:dyDescent="0.25">
      <c r="B421"/>
      <c r="K421"/>
    </row>
    <row r="422" spans="2:11" x14ac:dyDescent="0.25">
      <c r="B422"/>
      <c r="K422"/>
    </row>
    <row r="423" spans="2:11" x14ac:dyDescent="0.25">
      <c r="B423"/>
      <c r="K423"/>
    </row>
    <row r="424" spans="2:11" x14ac:dyDescent="0.25">
      <c r="B424"/>
      <c r="K424"/>
    </row>
    <row r="425" spans="2:11" x14ac:dyDescent="0.25">
      <c r="B425"/>
      <c r="K425"/>
    </row>
    <row r="426" spans="2:11" x14ac:dyDescent="0.25">
      <c r="B426"/>
      <c r="K426"/>
    </row>
    <row r="427" spans="2:11" x14ac:dyDescent="0.25">
      <c r="B427"/>
      <c r="K427"/>
    </row>
    <row r="428" spans="2:11" x14ac:dyDescent="0.25">
      <c r="B428"/>
      <c r="K428"/>
    </row>
    <row r="429" spans="2:11" x14ac:dyDescent="0.25">
      <c r="B429"/>
      <c r="K429"/>
    </row>
    <row r="430" spans="2:11" x14ac:dyDescent="0.25">
      <c r="B430"/>
      <c r="K430"/>
    </row>
    <row r="431" spans="2:11" x14ac:dyDescent="0.25">
      <c r="B431"/>
      <c r="K431"/>
    </row>
    <row r="432" spans="2:11" x14ac:dyDescent="0.25">
      <c r="B432"/>
      <c r="K432"/>
    </row>
    <row r="433" spans="2:11" x14ac:dyDescent="0.25">
      <c r="B433"/>
      <c r="K433"/>
    </row>
    <row r="434" spans="2:11" x14ac:dyDescent="0.25">
      <c r="B434"/>
      <c r="K434"/>
    </row>
    <row r="435" spans="2:11" x14ac:dyDescent="0.25">
      <c r="B435"/>
      <c r="K435"/>
    </row>
    <row r="436" spans="2:11" x14ac:dyDescent="0.25">
      <c r="B436"/>
      <c r="K436"/>
    </row>
    <row r="437" spans="2:11" x14ac:dyDescent="0.25">
      <c r="B437"/>
      <c r="K437"/>
    </row>
    <row r="438" spans="2:11" x14ac:dyDescent="0.25">
      <c r="B438"/>
      <c r="K438"/>
    </row>
    <row r="439" spans="2:11" x14ac:dyDescent="0.25">
      <c r="B439"/>
      <c r="K439"/>
    </row>
    <row r="440" spans="2:11" x14ac:dyDescent="0.25">
      <c r="B440"/>
      <c r="K440"/>
    </row>
    <row r="441" spans="2:11" x14ac:dyDescent="0.25">
      <c r="B441"/>
      <c r="K441"/>
    </row>
    <row r="442" spans="2:11" x14ac:dyDescent="0.25">
      <c r="B442"/>
      <c r="K442"/>
    </row>
    <row r="443" spans="2:11" x14ac:dyDescent="0.25">
      <c r="B443"/>
      <c r="K443"/>
    </row>
    <row r="444" spans="2:11" x14ac:dyDescent="0.25">
      <c r="B444"/>
      <c r="K444"/>
    </row>
    <row r="445" spans="2:11" x14ac:dyDescent="0.25">
      <c r="B445"/>
      <c r="K445"/>
    </row>
    <row r="446" spans="2:11" x14ac:dyDescent="0.25">
      <c r="B446"/>
      <c r="K446"/>
    </row>
    <row r="447" spans="2:11" x14ac:dyDescent="0.25">
      <c r="B447"/>
      <c r="K447"/>
    </row>
    <row r="448" spans="2:11" x14ac:dyDescent="0.25">
      <c r="B448"/>
      <c r="K448"/>
    </row>
    <row r="449" spans="2:11" x14ac:dyDescent="0.25">
      <c r="B449"/>
      <c r="K449"/>
    </row>
    <row r="450" spans="2:11" x14ac:dyDescent="0.25">
      <c r="B450"/>
      <c r="K450"/>
    </row>
    <row r="451" spans="2:11" x14ac:dyDescent="0.25">
      <c r="B451"/>
      <c r="K451"/>
    </row>
    <row r="452" spans="2:11" x14ac:dyDescent="0.25">
      <c r="B452"/>
      <c r="K452"/>
    </row>
    <row r="453" spans="2:11" x14ac:dyDescent="0.25">
      <c r="B453"/>
      <c r="K453"/>
    </row>
    <row r="454" spans="2:11" x14ac:dyDescent="0.25">
      <c r="B454"/>
      <c r="K454"/>
    </row>
    <row r="455" spans="2:11" x14ac:dyDescent="0.25">
      <c r="B455"/>
      <c r="K455"/>
    </row>
    <row r="456" spans="2:11" x14ac:dyDescent="0.25">
      <c r="B456"/>
      <c r="K456"/>
    </row>
    <row r="457" spans="2:11" x14ac:dyDescent="0.25">
      <c r="B457"/>
      <c r="K457"/>
    </row>
    <row r="458" spans="2:11" x14ac:dyDescent="0.25">
      <c r="B458"/>
      <c r="K458"/>
    </row>
    <row r="459" spans="2:11" x14ac:dyDescent="0.25">
      <c r="B459"/>
      <c r="K459"/>
    </row>
    <row r="460" spans="2:11" x14ac:dyDescent="0.25">
      <c r="B460"/>
      <c r="K460"/>
    </row>
    <row r="461" spans="2:11" x14ac:dyDescent="0.25">
      <c r="B461"/>
      <c r="K461"/>
    </row>
    <row r="462" spans="2:11" x14ac:dyDescent="0.25">
      <c r="B462"/>
      <c r="K462"/>
    </row>
    <row r="463" spans="2:11" x14ac:dyDescent="0.25">
      <c r="B463"/>
      <c r="K463"/>
    </row>
    <row r="464" spans="2:11" x14ac:dyDescent="0.25">
      <c r="B464"/>
      <c r="K464"/>
    </row>
    <row r="465" spans="2:11" x14ac:dyDescent="0.25">
      <c r="B465"/>
      <c r="K465"/>
    </row>
    <row r="466" spans="2:11" x14ac:dyDescent="0.25">
      <c r="B466"/>
      <c r="K466"/>
    </row>
    <row r="467" spans="2:11" x14ac:dyDescent="0.25">
      <c r="B467"/>
      <c r="K467"/>
    </row>
    <row r="468" spans="2:11" x14ac:dyDescent="0.25">
      <c r="B468"/>
      <c r="K468"/>
    </row>
    <row r="469" spans="2:11" x14ac:dyDescent="0.25">
      <c r="B469"/>
      <c r="K469"/>
    </row>
    <row r="470" spans="2:11" x14ac:dyDescent="0.25">
      <c r="B470"/>
      <c r="K470"/>
    </row>
    <row r="471" spans="2:11" x14ac:dyDescent="0.25">
      <c r="B471"/>
      <c r="K471"/>
    </row>
    <row r="472" spans="2:11" x14ac:dyDescent="0.25">
      <c r="B472"/>
      <c r="K472"/>
    </row>
    <row r="473" spans="2:11" x14ac:dyDescent="0.25">
      <c r="B473"/>
      <c r="K473"/>
    </row>
    <row r="474" spans="2:11" x14ac:dyDescent="0.25">
      <c r="B474"/>
      <c r="K474"/>
    </row>
    <row r="475" spans="2:11" x14ac:dyDescent="0.25">
      <c r="B475"/>
      <c r="K475"/>
    </row>
    <row r="476" spans="2:11" x14ac:dyDescent="0.25">
      <c r="B476"/>
      <c r="K476"/>
    </row>
    <row r="477" spans="2:11" x14ac:dyDescent="0.25">
      <c r="B477"/>
      <c r="K477"/>
    </row>
    <row r="478" spans="2:11" x14ac:dyDescent="0.25">
      <c r="B478"/>
      <c r="K478"/>
    </row>
    <row r="479" spans="2:11" x14ac:dyDescent="0.25">
      <c r="B479"/>
      <c r="K479"/>
    </row>
    <row r="480" spans="2:11" x14ac:dyDescent="0.25">
      <c r="B480"/>
      <c r="K480"/>
    </row>
    <row r="481" spans="2:11" x14ac:dyDescent="0.25">
      <c r="B481"/>
      <c r="K481"/>
    </row>
    <row r="482" spans="2:11" x14ac:dyDescent="0.25">
      <c r="B482"/>
      <c r="K482"/>
    </row>
    <row r="483" spans="2:11" x14ac:dyDescent="0.25">
      <c r="B483"/>
      <c r="K483"/>
    </row>
    <row r="484" spans="2:11" x14ac:dyDescent="0.25">
      <c r="B484"/>
      <c r="K484"/>
    </row>
    <row r="485" spans="2:11" x14ac:dyDescent="0.25">
      <c r="B485"/>
      <c r="K485"/>
    </row>
    <row r="486" spans="2:11" x14ac:dyDescent="0.25">
      <c r="B486"/>
      <c r="K486"/>
    </row>
    <row r="487" spans="2:11" x14ac:dyDescent="0.25">
      <c r="B487"/>
      <c r="K487"/>
    </row>
    <row r="488" spans="2:11" x14ac:dyDescent="0.25">
      <c r="B488"/>
      <c r="K488"/>
    </row>
    <row r="489" spans="2:11" x14ac:dyDescent="0.25">
      <c r="B489"/>
      <c r="K489"/>
    </row>
    <row r="490" spans="2:11" x14ac:dyDescent="0.25">
      <c r="B490"/>
      <c r="K490"/>
    </row>
    <row r="491" spans="2:11" x14ac:dyDescent="0.25">
      <c r="B491"/>
      <c r="K491"/>
    </row>
    <row r="492" spans="2:11" x14ac:dyDescent="0.25">
      <c r="B492"/>
      <c r="K492"/>
    </row>
    <row r="493" spans="2:11" x14ac:dyDescent="0.25">
      <c r="B493"/>
      <c r="K493"/>
    </row>
    <row r="494" spans="2:11" x14ac:dyDescent="0.25">
      <c r="B494"/>
      <c r="K494"/>
    </row>
    <row r="495" spans="2:11" x14ac:dyDescent="0.25">
      <c r="B495"/>
      <c r="K495"/>
    </row>
    <row r="496" spans="2:11" x14ac:dyDescent="0.25">
      <c r="B496"/>
      <c r="K496"/>
    </row>
    <row r="497" spans="2:11" x14ac:dyDescent="0.25">
      <c r="B497"/>
      <c r="K497"/>
    </row>
    <row r="498" spans="2:11" x14ac:dyDescent="0.25">
      <c r="B498"/>
      <c r="K498"/>
    </row>
    <row r="499" spans="2:11" x14ac:dyDescent="0.25">
      <c r="B499"/>
      <c r="K499"/>
    </row>
    <row r="500" spans="2:11" x14ac:dyDescent="0.25">
      <c r="B500"/>
      <c r="K500"/>
    </row>
    <row r="501" spans="2:11" x14ac:dyDescent="0.25">
      <c r="B501"/>
      <c r="K501"/>
    </row>
    <row r="502" spans="2:11" x14ac:dyDescent="0.25">
      <c r="B502"/>
      <c r="K502"/>
    </row>
    <row r="503" spans="2:11" x14ac:dyDescent="0.25">
      <c r="B503"/>
      <c r="K503"/>
    </row>
    <row r="504" spans="2:11" x14ac:dyDescent="0.25">
      <c r="B504"/>
      <c r="K504"/>
    </row>
    <row r="505" spans="2:11" x14ac:dyDescent="0.25">
      <c r="B505"/>
      <c r="K505"/>
    </row>
    <row r="506" spans="2:11" x14ac:dyDescent="0.25">
      <c r="B506"/>
      <c r="K506"/>
    </row>
    <row r="507" spans="2:11" x14ac:dyDescent="0.25">
      <c r="B507"/>
      <c r="K507"/>
    </row>
    <row r="508" spans="2:11" x14ac:dyDescent="0.25">
      <c r="B508"/>
      <c r="K508"/>
    </row>
    <row r="509" spans="2:11" x14ac:dyDescent="0.25">
      <c r="B509"/>
      <c r="K509"/>
    </row>
    <row r="510" spans="2:11" x14ac:dyDescent="0.25">
      <c r="B510"/>
      <c r="K510"/>
    </row>
    <row r="511" spans="2:11" x14ac:dyDescent="0.25">
      <c r="B511"/>
      <c r="K511"/>
    </row>
    <row r="512" spans="2:11" x14ac:dyDescent="0.25">
      <c r="B512"/>
      <c r="K512"/>
    </row>
    <row r="513" spans="2:11" x14ac:dyDescent="0.25">
      <c r="B513"/>
      <c r="K513"/>
    </row>
    <row r="514" spans="2:11" x14ac:dyDescent="0.25">
      <c r="B514"/>
      <c r="K514"/>
    </row>
    <row r="515" spans="2:11" x14ac:dyDescent="0.25">
      <c r="B515"/>
      <c r="K515"/>
    </row>
    <row r="516" spans="2:11" x14ac:dyDescent="0.25">
      <c r="B516"/>
      <c r="K516"/>
    </row>
    <row r="517" spans="2:11" x14ac:dyDescent="0.25">
      <c r="B517"/>
      <c r="K517"/>
    </row>
    <row r="518" spans="2:11" x14ac:dyDescent="0.25">
      <c r="B518"/>
      <c r="K518"/>
    </row>
    <row r="519" spans="2:11" x14ac:dyDescent="0.25">
      <c r="B519"/>
      <c r="K519"/>
    </row>
    <row r="520" spans="2:11" x14ac:dyDescent="0.25">
      <c r="B520"/>
      <c r="K520"/>
    </row>
    <row r="521" spans="2:11" x14ac:dyDescent="0.25">
      <c r="B521"/>
      <c r="K521"/>
    </row>
    <row r="522" spans="2:11" x14ac:dyDescent="0.25">
      <c r="B522"/>
      <c r="K522"/>
    </row>
    <row r="523" spans="2:11" x14ac:dyDescent="0.25">
      <c r="B523"/>
      <c r="K523"/>
    </row>
    <row r="524" spans="2:11" x14ac:dyDescent="0.25">
      <c r="B524"/>
      <c r="K524"/>
    </row>
    <row r="525" spans="2:11" x14ac:dyDescent="0.25">
      <c r="B525"/>
      <c r="K525"/>
    </row>
    <row r="526" spans="2:11" x14ac:dyDescent="0.25">
      <c r="B526"/>
      <c r="K526"/>
    </row>
    <row r="527" spans="2:11" x14ac:dyDescent="0.25">
      <c r="B527"/>
      <c r="K527"/>
    </row>
    <row r="528" spans="2:11" x14ac:dyDescent="0.25">
      <c r="B528"/>
      <c r="K528"/>
    </row>
    <row r="529" spans="2:11" x14ac:dyDescent="0.25">
      <c r="B529"/>
      <c r="K529"/>
    </row>
    <row r="530" spans="2:11" x14ac:dyDescent="0.25">
      <c r="B530"/>
      <c r="K530"/>
    </row>
    <row r="531" spans="2:11" x14ac:dyDescent="0.25">
      <c r="B531"/>
      <c r="K531"/>
    </row>
    <row r="532" spans="2:11" x14ac:dyDescent="0.25">
      <c r="B532"/>
      <c r="K532"/>
    </row>
    <row r="533" spans="2:11" x14ac:dyDescent="0.25">
      <c r="B533"/>
      <c r="K533"/>
    </row>
    <row r="534" spans="2:11" x14ac:dyDescent="0.25">
      <c r="B534"/>
      <c r="K534"/>
    </row>
    <row r="535" spans="2:11" x14ac:dyDescent="0.25">
      <c r="B535"/>
      <c r="K535"/>
    </row>
    <row r="536" spans="2:11" x14ac:dyDescent="0.25">
      <c r="B536"/>
      <c r="K536"/>
    </row>
    <row r="537" spans="2:11" x14ac:dyDescent="0.25">
      <c r="B537"/>
      <c r="K537"/>
    </row>
    <row r="538" spans="2:11" x14ac:dyDescent="0.25">
      <c r="B538"/>
      <c r="K538"/>
    </row>
    <row r="539" spans="2:11" x14ac:dyDescent="0.25">
      <c r="B539"/>
      <c r="K539"/>
    </row>
    <row r="540" spans="2:11" x14ac:dyDescent="0.25">
      <c r="B540"/>
      <c r="K540"/>
    </row>
    <row r="541" spans="2:11" x14ac:dyDescent="0.25">
      <c r="B541"/>
      <c r="K541"/>
    </row>
    <row r="542" spans="2:11" x14ac:dyDescent="0.25">
      <c r="B542"/>
      <c r="K542"/>
    </row>
    <row r="543" spans="2:11" x14ac:dyDescent="0.25">
      <c r="B543"/>
      <c r="K543"/>
    </row>
    <row r="544" spans="2:11" x14ac:dyDescent="0.25">
      <c r="B544"/>
      <c r="K544"/>
    </row>
    <row r="545" spans="2:11" x14ac:dyDescent="0.25">
      <c r="B545"/>
      <c r="K545"/>
    </row>
    <row r="546" spans="2:11" x14ac:dyDescent="0.25">
      <c r="B546"/>
      <c r="K546"/>
    </row>
    <row r="547" spans="2:11" x14ac:dyDescent="0.25">
      <c r="B547"/>
      <c r="K547"/>
    </row>
    <row r="548" spans="2:11" x14ac:dyDescent="0.25">
      <c r="B548"/>
      <c r="K548"/>
    </row>
    <row r="549" spans="2:11" x14ac:dyDescent="0.25">
      <c r="B549"/>
      <c r="K549"/>
    </row>
    <row r="550" spans="2:11" x14ac:dyDescent="0.25">
      <c r="B550"/>
      <c r="K550"/>
    </row>
    <row r="551" spans="2:11" x14ac:dyDescent="0.25">
      <c r="B551"/>
      <c r="K551"/>
    </row>
    <row r="552" spans="2:11" x14ac:dyDescent="0.25">
      <c r="B552"/>
      <c r="K552"/>
    </row>
    <row r="553" spans="2:11" x14ac:dyDescent="0.25">
      <c r="B553"/>
      <c r="K553"/>
    </row>
    <row r="554" spans="2:11" x14ac:dyDescent="0.25">
      <c r="B554"/>
      <c r="K554"/>
    </row>
    <row r="555" spans="2:11" x14ac:dyDescent="0.25">
      <c r="B555"/>
      <c r="K555"/>
    </row>
    <row r="556" spans="2:11" x14ac:dyDescent="0.25">
      <c r="B556"/>
      <c r="K556"/>
    </row>
    <row r="557" spans="2:11" x14ac:dyDescent="0.25">
      <c r="B557"/>
      <c r="K557"/>
    </row>
    <row r="558" spans="2:11" x14ac:dyDescent="0.25">
      <c r="B558"/>
      <c r="K558"/>
    </row>
    <row r="559" spans="2:11" x14ac:dyDescent="0.25">
      <c r="B559"/>
      <c r="K559"/>
    </row>
    <row r="560" spans="2:11" x14ac:dyDescent="0.25">
      <c r="B560"/>
      <c r="K560"/>
    </row>
    <row r="561" spans="2:11" x14ac:dyDescent="0.25">
      <c r="B561"/>
      <c r="K561"/>
    </row>
    <row r="562" spans="2:11" x14ac:dyDescent="0.25">
      <c r="B562"/>
      <c r="K562"/>
    </row>
    <row r="563" spans="2:11" x14ac:dyDescent="0.25">
      <c r="B563"/>
      <c r="K563"/>
    </row>
    <row r="564" spans="2:11" x14ac:dyDescent="0.25">
      <c r="B564"/>
      <c r="K564"/>
    </row>
    <row r="565" spans="2:11" x14ac:dyDescent="0.25">
      <c r="B565"/>
      <c r="K565"/>
    </row>
    <row r="566" spans="2:11" x14ac:dyDescent="0.25">
      <c r="B566"/>
      <c r="K566"/>
    </row>
    <row r="567" spans="2:11" x14ac:dyDescent="0.25">
      <c r="B567"/>
      <c r="K567"/>
    </row>
    <row r="568" spans="2:11" x14ac:dyDescent="0.25">
      <c r="B568"/>
      <c r="K568"/>
    </row>
    <row r="569" spans="2:11" x14ac:dyDescent="0.25">
      <c r="B569"/>
      <c r="K569"/>
    </row>
    <row r="570" spans="2:11" x14ac:dyDescent="0.25">
      <c r="B570"/>
      <c r="K570"/>
    </row>
    <row r="571" spans="2:11" x14ac:dyDescent="0.25">
      <c r="B571"/>
      <c r="K571"/>
    </row>
    <row r="572" spans="2:11" x14ac:dyDescent="0.25">
      <c r="B572"/>
      <c r="K572"/>
    </row>
    <row r="573" spans="2:11" x14ac:dyDescent="0.25">
      <c r="B573"/>
      <c r="K573"/>
    </row>
    <row r="574" spans="2:11" x14ac:dyDescent="0.25">
      <c r="B574"/>
      <c r="K574"/>
    </row>
    <row r="575" spans="2:11" x14ac:dyDescent="0.25">
      <c r="B575"/>
      <c r="K575"/>
    </row>
    <row r="576" spans="2:11" x14ac:dyDescent="0.25">
      <c r="B576"/>
      <c r="K576"/>
    </row>
    <row r="577" spans="2:11" x14ac:dyDescent="0.25">
      <c r="B577"/>
      <c r="K577"/>
    </row>
    <row r="578" spans="2:11" x14ac:dyDescent="0.25">
      <c r="B578"/>
      <c r="K578"/>
    </row>
    <row r="579" spans="2:11" x14ac:dyDescent="0.25">
      <c r="B579"/>
      <c r="K579"/>
    </row>
    <row r="580" spans="2:11" x14ac:dyDescent="0.25">
      <c r="B580"/>
      <c r="K580"/>
    </row>
    <row r="581" spans="2:11" x14ac:dyDescent="0.25">
      <c r="B581"/>
      <c r="K581"/>
    </row>
    <row r="582" spans="2:11" x14ac:dyDescent="0.25">
      <c r="B582"/>
      <c r="K582"/>
    </row>
    <row r="583" spans="2:11" x14ac:dyDescent="0.25">
      <c r="B583"/>
      <c r="K583"/>
    </row>
    <row r="584" spans="2:11" x14ac:dyDescent="0.25">
      <c r="B584"/>
      <c r="K584"/>
    </row>
    <row r="585" spans="2:11" x14ac:dyDescent="0.25">
      <c r="B585"/>
      <c r="K585"/>
    </row>
    <row r="586" spans="2:11" x14ac:dyDescent="0.25">
      <c r="B586"/>
      <c r="K586"/>
    </row>
    <row r="587" spans="2:11" x14ac:dyDescent="0.25">
      <c r="B587"/>
      <c r="K587"/>
    </row>
    <row r="588" spans="2:11" x14ac:dyDescent="0.25">
      <c r="B588"/>
      <c r="K588"/>
    </row>
    <row r="589" spans="2:11" x14ac:dyDescent="0.25">
      <c r="B589"/>
      <c r="K589"/>
    </row>
    <row r="590" spans="2:11" x14ac:dyDescent="0.25">
      <c r="B590"/>
      <c r="K590"/>
    </row>
    <row r="591" spans="2:11" x14ac:dyDescent="0.25">
      <c r="B591"/>
      <c r="K591"/>
    </row>
    <row r="592" spans="2:11" x14ac:dyDescent="0.25">
      <c r="B592"/>
      <c r="K592"/>
    </row>
    <row r="593" spans="2:11" x14ac:dyDescent="0.25">
      <c r="B593"/>
      <c r="K593"/>
    </row>
    <row r="594" spans="2:11" x14ac:dyDescent="0.25">
      <c r="B594"/>
      <c r="K594"/>
    </row>
    <row r="595" spans="2:11" x14ac:dyDescent="0.25">
      <c r="B595"/>
      <c r="K595"/>
    </row>
    <row r="596" spans="2:11" x14ac:dyDescent="0.25">
      <c r="B596"/>
      <c r="K596"/>
    </row>
    <row r="597" spans="2:11" x14ac:dyDescent="0.25">
      <c r="B597"/>
      <c r="K597"/>
    </row>
    <row r="598" spans="2:11" x14ac:dyDescent="0.25">
      <c r="B598"/>
      <c r="K598"/>
    </row>
    <row r="599" spans="2:11" x14ac:dyDescent="0.25">
      <c r="B599"/>
      <c r="K599"/>
    </row>
    <row r="600" spans="2:11" x14ac:dyDescent="0.25">
      <c r="B600"/>
      <c r="K600"/>
    </row>
    <row r="601" spans="2:11" x14ac:dyDescent="0.25">
      <c r="B601"/>
      <c r="K601"/>
    </row>
    <row r="602" spans="2:11" x14ac:dyDescent="0.25">
      <c r="B602"/>
      <c r="K602"/>
    </row>
    <row r="603" spans="2:11" x14ac:dyDescent="0.25">
      <c r="B603"/>
      <c r="K603"/>
    </row>
    <row r="604" spans="2:11" x14ac:dyDescent="0.25">
      <c r="B604"/>
      <c r="K604"/>
    </row>
    <row r="605" spans="2:11" x14ac:dyDescent="0.25">
      <c r="B605"/>
      <c r="K605"/>
    </row>
    <row r="606" spans="2:11" x14ac:dyDescent="0.25">
      <c r="B606"/>
      <c r="K606"/>
    </row>
    <row r="607" spans="2:11" x14ac:dyDescent="0.25">
      <c r="B607"/>
      <c r="K607"/>
    </row>
    <row r="608" spans="2:11" x14ac:dyDescent="0.25">
      <c r="B608"/>
      <c r="K608"/>
    </row>
    <row r="609" spans="2:11" x14ac:dyDescent="0.25">
      <c r="B609"/>
      <c r="K609"/>
    </row>
    <row r="610" spans="2:11" x14ac:dyDescent="0.25">
      <c r="B610"/>
      <c r="K610"/>
    </row>
    <row r="611" spans="2:11" x14ac:dyDescent="0.25">
      <c r="B611"/>
      <c r="K611"/>
    </row>
    <row r="612" spans="2:11" x14ac:dyDescent="0.25">
      <c r="B612"/>
      <c r="K612"/>
    </row>
    <row r="613" spans="2:11" x14ac:dyDescent="0.25">
      <c r="B613"/>
      <c r="K613"/>
    </row>
    <row r="614" spans="2:11" x14ac:dyDescent="0.25">
      <c r="B614"/>
      <c r="K614"/>
    </row>
    <row r="615" spans="2:11" x14ac:dyDescent="0.25">
      <c r="B615"/>
      <c r="K615"/>
    </row>
    <row r="616" spans="2:11" x14ac:dyDescent="0.25">
      <c r="B616"/>
      <c r="K616"/>
    </row>
    <row r="617" spans="2:11" x14ac:dyDescent="0.25">
      <c r="B617"/>
      <c r="K617"/>
    </row>
    <row r="618" spans="2:11" x14ac:dyDescent="0.25">
      <c r="B618"/>
      <c r="K618"/>
    </row>
    <row r="619" spans="2:11" x14ac:dyDescent="0.25">
      <c r="B619"/>
      <c r="K619"/>
    </row>
    <row r="620" spans="2:11" x14ac:dyDescent="0.25">
      <c r="B620"/>
      <c r="K620"/>
    </row>
    <row r="621" spans="2:11" x14ac:dyDescent="0.25">
      <c r="B621"/>
      <c r="K621"/>
    </row>
    <row r="622" spans="2:11" x14ac:dyDescent="0.25">
      <c r="B622"/>
      <c r="K622"/>
    </row>
    <row r="623" spans="2:11" x14ac:dyDescent="0.25">
      <c r="B623"/>
      <c r="K623"/>
    </row>
    <row r="624" spans="2:11" x14ac:dyDescent="0.25">
      <c r="B624"/>
      <c r="K624"/>
    </row>
    <row r="625" spans="2:11" x14ac:dyDescent="0.25">
      <c r="B625"/>
      <c r="K625"/>
    </row>
    <row r="626" spans="2:11" x14ac:dyDescent="0.25">
      <c r="B626"/>
      <c r="K626"/>
    </row>
    <row r="627" spans="2:11" x14ac:dyDescent="0.25">
      <c r="B627"/>
      <c r="K627"/>
    </row>
    <row r="628" spans="2:11" x14ac:dyDescent="0.25">
      <c r="B628"/>
      <c r="K628"/>
    </row>
    <row r="629" spans="2:11" x14ac:dyDescent="0.25">
      <c r="B629"/>
      <c r="K629"/>
    </row>
    <row r="630" spans="2:11" x14ac:dyDescent="0.25">
      <c r="B630"/>
      <c r="K630"/>
    </row>
    <row r="631" spans="2:11" x14ac:dyDescent="0.25">
      <c r="B631"/>
      <c r="K631"/>
    </row>
    <row r="632" spans="2:11" x14ac:dyDescent="0.25">
      <c r="B632"/>
      <c r="K632"/>
    </row>
    <row r="633" spans="2:11" x14ac:dyDescent="0.25">
      <c r="B633"/>
      <c r="K633"/>
    </row>
    <row r="634" spans="2:11" x14ac:dyDescent="0.25">
      <c r="B634"/>
      <c r="K634"/>
    </row>
    <row r="635" spans="2:11" x14ac:dyDescent="0.25">
      <c r="B635"/>
      <c r="K635"/>
    </row>
    <row r="636" spans="2:11" x14ac:dyDescent="0.25">
      <c r="B636"/>
      <c r="K636"/>
    </row>
    <row r="637" spans="2:11" x14ac:dyDescent="0.25">
      <c r="B637"/>
      <c r="K637"/>
    </row>
    <row r="638" spans="2:11" x14ac:dyDescent="0.25">
      <c r="B638"/>
      <c r="K638"/>
    </row>
    <row r="639" spans="2:11" x14ac:dyDescent="0.25">
      <c r="B639"/>
      <c r="K639"/>
    </row>
    <row r="640" spans="2:11" x14ac:dyDescent="0.25">
      <c r="B640"/>
      <c r="K640"/>
    </row>
    <row r="641" spans="2:11" x14ac:dyDescent="0.25">
      <c r="B641"/>
      <c r="K641"/>
    </row>
    <row r="642" spans="2:11" x14ac:dyDescent="0.25">
      <c r="B642"/>
      <c r="K642"/>
    </row>
    <row r="643" spans="2:11" x14ac:dyDescent="0.25">
      <c r="B643"/>
      <c r="K643"/>
    </row>
    <row r="644" spans="2:11" x14ac:dyDescent="0.25">
      <c r="B644"/>
      <c r="K644"/>
    </row>
    <row r="645" spans="2:11" x14ac:dyDescent="0.25">
      <c r="B645"/>
      <c r="K645"/>
    </row>
    <row r="646" spans="2:11" x14ac:dyDescent="0.25">
      <c r="B646"/>
      <c r="K646"/>
    </row>
    <row r="647" spans="2:11" x14ac:dyDescent="0.25">
      <c r="B647"/>
      <c r="K647"/>
    </row>
    <row r="648" spans="2:11" x14ac:dyDescent="0.25">
      <c r="B648"/>
      <c r="K648"/>
    </row>
    <row r="649" spans="2:11" x14ac:dyDescent="0.25">
      <c r="B649"/>
      <c r="K649"/>
    </row>
    <row r="650" spans="2:11" x14ac:dyDescent="0.25">
      <c r="B650"/>
      <c r="K650"/>
    </row>
    <row r="651" spans="2:11" x14ac:dyDescent="0.25">
      <c r="B651"/>
      <c r="K651"/>
    </row>
    <row r="652" spans="2:11" x14ac:dyDescent="0.25">
      <c r="B652"/>
      <c r="K652"/>
    </row>
    <row r="653" spans="2:11" x14ac:dyDescent="0.25">
      <c r="B653"/>
      <c r="K653"/>
    </row>
    <row r="654" spans="2:11" x14ac:dyDescent="0.25">
      <c r="B654"/>
      <c r="K654"/>
    </row>
    <row r="655" spans="2:11" x14ac:dyDescent="0.25">
      <c r="B655"/>
      <c r="K655"/>
    </row>
    <row r="656" spans="2:11" x14ac:dyDescent="0.25">
      <c r="B656"/>
      <c r="K656"/>
    </row>
    <row r="657" spans="2:11" x14ac:dyDescent="0.25">
      <c r="B657"/>
      <c r="K657"/>
    </row>
    <row r="658" spans="2:11" x14ac:dyDescent="0.25">
      <c r="B658"/>
      <c r="K658"/>
    </row>
    <row r="659" spans="2:11" x14ac:dyDescent="0.25">
      <c r="B659"/>
      <c r="K659"/>
    </row>
    <row r="660" spans="2:11" x14ac:dyDescent="0.25">
      <c r="B660"/>
      <c r="K660"/>
    </row>
    <row r="661" spans="2:11" x14ac:dyDescent="0.25">
      <c r="B661"/>
      <c r="K661"/>
    </row>
    <row r="662" spans="2:11" x14ac:dyDescent="0.25">
      <c r="B662"/>
      <c r="K662"/>
    </row>
    <row r="663" spans="2:11" x14ac:dyDescent="0.25">
      <c r="B663"/>
      <c r="K663"/>
    </row>
    <row r="664" spans="2:11" x14ac:dyDescent="0.25">
      <c r="B664"/>
      <c r="K664"/>
    </row>
    <row r="665" spans="2:11" x14ac:dyDescent="0.25">
      <c r="B665"/>
      <c r="K665"/>
    </row>
    <row r="666" spans="2:11" x14ac:dyDescent="0.25">
      <c r="B666"/>
      <c r="K666"/>
    </row>
    <row r="667" spans="2:11" x14ac:dyDescent="0.25">
      <c r="B667"/>
      <c r="K667"/>
    </row>
    <row r="668" spans="2:11" x14ac:dyDescent="0.25">
      <c r="B668"/>
      <c r="K668"/>
    </row>
    <row r="669" spans="2:11" x14ac:dyDescent="0.25">
      <c r="B669"/>
      <c r="K669"/>
    </row>
    <row r="670" spans="2:11" x14ac:dyDescent="0.25">
      <c r="B670"/>
      <c r="K670"/>
    </row>
    <row r="671" spans="2:11" x14ac:dyDescent="0.25">
      <c r="B671"/>
      <c r="K671"/>
    </row>
    <row r="672" spans="2:11" x14ac:dyDescent="0.25">
      <c r="B672"/>
      <c r="K672"/>
    </row>
    <row r="673" spans="2:11" x14ac:dyDescent="0.25">
      <c r="B673"/>
      <c r="K673"/>
    </row>
    <row r="674" spans="2:11" x14ac:dyDescent="0.25">
      <c r="B674"/>
      <c r="K674"/>
    </row>
    <row r="675" spans="2:11" x14ac:dyDescent="0.25">
      <c r="B675"/>
      <c r="K675"/>
    </row>
    <row r="676" spans="2:11" x14ac:dyDescent="0.25">
      <c r="B676"/>
      <c r="K676"/>
    </row>
    <row r="677" spans="2:11" x14ac:dyDescent="0.25">
      <c r="B677"/>
      <c r="K677"/>
    </row>
    <row r="678" spans="2:11" x14ac:dyDescent="0.25">
      <c r="B678"/>
      <c r="K678"/>
    </row>
    <row r="679" spans="2:11" x14ac:dyDescent="0.25">
      <c r="B679"/>
      <c r="K679"/>
    </row>
    <row r="680" spans="2:11" x14ac:dyDescent="0.25">
      <c r="B680"/>
      <c r="K680"/>
    </row>
    <row r="681" spans="2:11" x14ac:dyDescent="0.25">
      <c r="B681"/>
      <c r="K681"/>
    </row>
    <row r="682" spans="2:11" x14ac:dyDescent="0.25">
      <c r="B682"/>
      <c r="K682"/>
    </row>
    <row r="683" spans="2:11" x14ac:dyDescent="0.25">
      <c r="B683"/>
      <c r="K683"/>
    </row>
    <row r="684" spans="2:11" x14ac:dyDescent="0.25">
      <c r="B684"/>
      <c r="K684"/>
    </row>
    <row r="685" spans="2:11" x14ac:dyDescent="0.25">
      <c r="B685"/>
      <c r="K685"/>
    </row>
    <row r="686" spans="2:11" x14ac:dyDescent="0.25">
      <c r="B686"/>
      <c r="K686"/>
    </row>
    <row r="687" spans="2:11" x14ac:dyDescent="0.25">
      <c r="B687"/>
      <c r="K687"/>
    </row>
    <row r="688" spans="2:11" x14ac:dyDescent="0.25">
      <c r="B688"/>
      <c r="K688"/>
    </row>
    <row r="689" spans="2:11" x14ac:dyDescent="0.25">
      <c r="B689"/>
      <c r="K689"/>
    </row>
    <row r="690" spans="2:11" x14ac:dyDescent="0.25">
      <c r="B690"/>
      <c r="K690"/>
    </row>
    <row r="691" spans="2:11" x14ac:dyDescent="0.25">
      <c r="B691"/>
      <c r="K691"/>
    </row>
    <row r="692" spans="2:11" x14ac:dyDescent="0.25">
      <c r="B692"/>
      <c r="K692"/>
    </row>
    <row r="693" spans="2:11" x14ac:dyDescent="0.25">
      <c r="B693"/>
      <c r="K693"/>
    </row>
    <row r="694" spans="2:11" x14ac:dyDescent="0.25">
      <c r="B694"/>
      <c r="K694"/>
    </row>
    <row r="695" spans="2:11" x14ac:dyDescent="0.25">
      <c r="B695"/>
      <c r="K695"/>
    </row>
    <row r="696" spans="2:11" x14ac:dyDescent="0.25">
      <c r="B696"/>
      <c r="K696"/>
    </row>
    <row r="697" spans="2:11" x14ac:dyDescent="0.25">
      <c r="B697"/>
      <c r="K697"/>
    </row>
    <row r="698" spans="2:11" x14ac:dyDescent="0.25">
      <c r="B698"/>
      <c r="K698"/>
    </row>
    <row r="699" spans="2:11" x14ac:dyDescent="0.25">
      <c r="B699"/>
      <c r="K699"/>
    </row>
    <row r="700" spans="2:11" x14ac:dyDescent="0.25">
      <c r="B700"/>
      <c r="K700"/>
    </row>
    <row r="701" spans="2:11" x14ac:dyDescent="0.25">
      <c r="B701"/>
      <c r="K701"/>
    </row>
    <row r="702" spans="2:11" x14ac:dyDescent="0.25">
      <c r="B702"/>
      <c r="K702"/>
    </row>
    <row r="703" spans="2:11" x14ac:dyDescent="0.25">
      <c r="B703"/>
      <c r="K703"/>
    </row>
    <row r="704" spans="2:11" x14ac:dyDescent="0.25">
      <c r="B704"/>
      <c r="K704"/>
    </row>
    <row r="705" spans="2:11" x14ac:dyDescent="0.25">
      <c r="B705"/>
      <c r="K705"/>
    </row>
    <row r="706" spans="2:11" x14ac:dyDescent="0.25">
      <c r="B706"/>
      <c r="K706"/>
    </row>
    <row r="707" spans="2:11" x14ac:dyDescent="0.25">
      <c r="B707"/>
      <c r="K707"/>
    </row>
    <row r="708" spans="2:11" x14ac:dyDescent="0.25">
      <c r="B708"/>
      <c r="K708"/>
    </row>
    <row r="709" spans="2:11" x14ac:dyDescent="0.25">
      <c r="B709"/>
      <c r="K709"/>
    </row>
    <row r="710" spans="2:11" x14ac:dyDescent="0.25">
      <c r="B710"/>
      <c r="K710"/>
    </row>
    <row r="711" spans="2:11" x14ac:dyDescent="0.25">
      <c r="B711"/>
      <c r="K711"/>
    </row>
    <row r="712" spans="2:11" x14ac:dyDescent="0.25">
      <c r="B712"/>
      <c r="K712"/>
    </row>
    <row r="713" spans="2:11" x14ac:dyDescent="0.25">
      <c r="B713"/>
      <c r="K713"/>
    </row>
    <row r="714" spans="2:11" x14ac:dyDescent="0.25">
      <c r="B714"/>
      <c r="K714"/>
    </row>
    <row r="715" spans="2:11" x14ac:dyDescent="0.25">
      <c r="B715"/>
      <c r="K715"/>
    </row>
    <row r="716" spans="2:11" x14ac:dyDescent="0.25">
      <c r="B716"/>
      <c r="K716"/>
    </row>
    <row r="717" spans="2:11" x14ac:dyDescent="0.25">
      <c r="B717"/>
      <c r="K717"/>
    </row>
    <row r="718" spans="2:11" x14ac:dyDescent="0.25">
      <c r="B718"/>
      <c r="K718"/>
    </row>
    <row r="719" spans="2:11" x14ac:dyDescent="0.25">
      <c r="B719"/>
      <c r="K719"/>
    </row>
    <row r="720" spans="2:11" x14ac:dyDescent="0.25">
      <c r="B720"/>
      <c r="K720"/>
    </row>
    <row r="721" spans="2:11" x14ac:dyDescent="0.25">
      <c r="B721"/>
      <c r="K721"/>
    </row>
    <row r="722" spans="2:11" x14ac:dyDescent="0.25">
      <c r="B722"/>
      <c r="K722"/>
    </row>
    <row r="723" spans="2:11" x14ac:dyDescent="0.25">
      <c r="B723"/>
      <c r="K723"/>
    </row>
    <row r="724" spans="2:11" x14ac:dyDescent="0.25">
      <c r="B724"/>
      <c r="K724"/>
    </row>
    <row r="725" spans="2:11" x14ac:dyDescent="0.25">
      <c r="B725"/>
      <c r="K725"/>
    </row>
    <row r="726" spans="2:11" x14ac:dyDescent="0.25">
      <c r="B726"/>
      <c r="K726"/>
    </row>
    <row r="727" spans="2:11" x14ac:dyDescent="0.25">
      <c r="B727"/>
      <c r="K727"/>
    </row>
    <row r="728" spans="2:11" x14ac:dyDescent="0.25">
      <c r="B728"/>
      <c r="K728"/>
    </row>
    <row r="729" spans="2:11" x14ac:dyDescent="0.25">
      <c r="B729"/>
      <c r="K729"/>
    </row>
    <row r="730" spans="2:11" x14ac:dyDescent="0.25">
      <c r="B730"/>
      <c r="K730"/>
    </row>
    <row r="731" spans="2:11" x14ac:dyDescent="0.25">
      <c r="B731"/>
      <c r="K731"/>
    </row>
    <row r="732" spans="2:11" x14ac:dyDescent="0.25">
      <c r="B732"/>
      <c r="K732"/>
    </row>
    <row r="733" spans="2:11" x14ac:dyDescent="0.25">
      <c r="B733"/>
      <c r="K733"/>
    </row>
    <row r="734" spans="2:11" x14ac:dyDescent="0.25">
      <c r="B734"/>
      <c r="K734"/>
    </row>
    <row r="735" spans="2:11" x14ac:dyDescent="0.25">
      <c r="B735"/>
      <c r="K735"/>
    </row>
    <row r="736" spans="2:11" x14ac:dyDescent="0.25">
      <c r="B736"/>
      <c r="K736"/>
    </row>
    <row r="737" spans="2:11" x14ac:dyDescent="0.25">
      <c r="B737"/>
      <c r="K737"/>
    </row>
    <row r="738" spans="2:11" x14ac:dyDescent="0.25">
      <c r="B738"/>
      <c r="K738"/>
    </row>
    <row r="739" spans="2:11" x14ac:dyDescent="0.25">
      <c r="B739"/>
      <c r="K739"/>
    </row>
    <row r="740" spans="2:11" x14ac:dyDescent="0.25">
      <c r="B740"/>
      <c r="K740"/>
    </row>
    <row r="741" spans="2:11" x14ac:dyDescent="0.25">
      <c r="B741"/>
      <c r="K741"/>
    </row>
    <row r="742" spans="2:11" x14ac:dyDescent="0.25">
      <c r="B742"/>
      <c r="K742"/>
    </row>
    <row r="743" spans="2:11" x14ac:dyDescent="0.25">
      <c r="B743"/>
      <c r="K743"/>
    </row>
    <row r="744" spans="2:11" x14ac:dyDescent="0.25">
      <c r="B744"/>
      <c r="K744"/>
    </row>
    <row r="745" spans="2:11" x14ac:dyDescent="0.25">
      <c r="B745"/>
      <c r="K745"/>
    </row>
    <row r="746" spans="2:11" x14ac:dyDescent="0.25">
      <c r="B746"/>
      <c r="K746"/>
    </row>
    <row r="747" spans="2:11" x14ac:dyDescent="0.25">
      <c r="B747"/>
      <c r="K747"/>
    </row>
    <row r="748" spans="2:11" x14ac:dyDescent="0.25">
      <c r="B748"/>
      <c r="K748"/>
    </row>
    <row r="749" spans="2:11" x14ac:dyDescent="0.25">
      <c r="B749"/>
      <c r="K749"/>
    </row>
    <row r="750" spans="2:11" x14ac:dyDescent="0.25">
      <c r="B750"/>
      <c r="K750"/>
    </row>
    <row r="751" spans="2:11" x14ac:dyDescent="0.25">
      <c r="B751"/>
      <c r="K751"/>
    </row>
    <row r="752" spans="2:11" x14ac:dyDescent="0.25">
      <c r="B752"/>
      <c r="K752"/>
    </row>
    <row r="753" spans="2:11" x14ac:dyDescent="0.25">
      <c r="B753"/>
      <c r="K753"/>
    </row>
    <row r="754" spans="2:11" x14ac:dyDescent="0.25">
      <c r="B754"/>
      <c r="K754"/>
    </row>
    <row r="755" spans="2:11" x14ac:dyDescent="0.25">
      <c r="B755"/>
      <c r="K755"/>
    </row>
    <row r="756" spans="2:11" x14ac:dyDescent="0.25">
      <c r="B756"/>
      <c r="K756"/>
    </row>
    <row r="757" spans="2:11" x14ac:dyDescent="0.25">
      <c r="B757"/>
      <c r="K757"/>
    </row>
    <row r="758" spans="2:11" x14ac:dyDescent="0.25">
      <c r="B758"/>
      <c r="K758"/>
    </row>
    <row r="759" spans="2:11" x14ac:dyDescent="0.25">
      <c r="B759"/>
      <c r="K759"/>
    </row>
    <row r="760" spans="2:11" x14ac:dyDescent="0.25">
      <c r="B760"/>
      <c r="K760"/>
    </row>
    <row r="761" spans="2:11" x14ac:dyDescent="0.25">
      <c r="B761"/>
      <c r="K761"/>
    </row>
    <row r="762" spans="2:11" x14ac:dyDescent="0.25">
      <c r="B762"/>
      <c r="K762"/>
    </row>
    <row r="763" spans="2:11" x14ac:dyDescent="0.25">
      <c r="B763"/>
      <c r="K763"/>
    </row>
    <row r="764" spans="2:11" x14ac:dyDescent="0.25">
      <c r="B764"/>
      <c r="K764"/>
    </row>
    <row r="765" spans="2:11" x14ac:dyDescent="0.25">
      <c r="B765"/>
      <c r="K765"/>
    </row>
    <row r="766" spans="2:11" x14ac:dyDescent="0.25">
      <c r="B766"/>
      <c r="K766"/>
    </row>
    <row r="767" spans="2:11" x14ac:dyDescent="0.25">
      <c r="B767"/>
      <c r="K767"/>
    </row>
    <row r="768" spans="2:11" x14ac:dyDescent="0.25">
      <c r="B768"/>
      <c r="K768"/>
    </row>
    <row r="769" spans="2:11" x14ac:dyDescent="0.25">
      <c r="B769"/>
      <c r="K769"/>
    </row>
    <row r="770" spans="2:11" x14ac:dyDescent="0.25">
      <c r="B770"/>
      <c r="K770"/>
    </row>
    <row r="771" spans="2:11" x14ac:dyDescent="0.25">
      <c r="B771"/>
      <c r="K771"/>
    </row>
    <row r="772" spans="2:11" x14ac:dyDescent="0.25">
      <c r="B772"/>
      <c r="K772"/>
    </row>
    <row r="773" spans="2:11" x14ac:dyDescent="0.25">
      <c r="B773"/>
      <c r="K773"/>
    </row>
    <row r="774" spans="2:11" x14ac:dyDescent="0.25">
      <c r="B774"/>
      <c r="K774"/>
    </row>
    <row r="775" spans="2:11" x14ac:dyDescent="0.25">
      <c r="B775"/>
      <c r="K775"/>
    </row>
    <row r="776" spans="2:11" x14ac:dyDescent="0.25">
      <c r="B776"/>
      <c r="K776"/>
    </row>
    <row r="777" spans="2:11" x14ac:dyDescent="0.25">
      <c r="B777"/>
      <c r="K777"/>
    </row>
    <row r="778" spans="2:11" x14ac:dyDescent="0.25">
      <c r="B778"/>
      <c r="K778"/>
    </row>
    <row r="779" spans="2:11" x14ac:dyDescent="0.25">
      <c r="B779"/>
      <c r="K779"/>
    </row>
    <row r="780" spans="2:11" x14ac:dyDescent="0.25">
      <c r="B780"/>
      <c r="K780"/>
    </row>
    <row r="781" spans="2:11" x14ac:dyDescent="0.25">
      <c r="B781"/>
      <c r="K781"/>
    </row>
    <row r="782" spans="2:11" x14ac:dyDescent="0.25">
      <c r="B782"/>
      <c r="K782"/>
    </row>
    <row r="783" spans="2:11" x14ac:dyDescent="0.25">
      <c r="B783"/>
      <c r="K783"/>
    </row>
    <row r="784" spans="2:11" x14ac:dyDescent="0.25">
      <c r="B784"/>
      <c r="K784"/>
    </row>
    <row r="785" spans="2:11" x14ac:dyDescent="0.25">
      <c r="B785"/>
      <c r="K785"/>
    </row>
    <row r="786" spans="2:11" x14ac:dyDescent="0.25">
      <c r="B786"/>
      <c r="K786"/>
    </row>
    <row r="787" spans="2:11" x14ac:dyDescent="0.25">
      <c r="B787"/>
      <c r="K787"/>
    </row>
    <row r="788" spans="2:11" x14ac:dyDescent="0.25">
      <c r="B788"/>
      <c r="K788"/>
    </row>
    <row r="789" spans="2:11" x14ac:dyDescent="0.25">
      <c r="B789"/>
      <c r="K789"/>
    </row>
    <row r="790" spans="2:11" x14ac:dyDescent="0.25">
      <c r="B790"/>
      <c r="K790"/>
    </row>
    <row r="791" spans="2:11" x14ac:dyDescent="0.25">
      <c r="B791"/>
      <c r="K791"/>
    </row>
    <row r="792" spans="2:11" x14ac:dyDescent="0.25">
      <c r="B792"/>
      <c r="K792"/>
    </row>
    <row r="793" spans="2:11" x14ac:dyDescent="0.25">
      <c r="B793"/>
      <c r="K793"/>
    </row>
    <row r="794" spans="2:11" x14ac:dyDescent="0.25">
      <c r="B794"/>
      <c r="K794"/>
    </row>
    <row r="795" spans="2:11" x14ac:dyDescent="0.25">
      <c r="B795"/>
      <c r="K795"/>
    </row>
    <row r="796" spans="2:11" x14ac:dyDescent="0.25">
      <c r="B796"/>
      <c r="K796"/>
    </row>
    <row r="797" spans="2:11" x14ac:dyDescent="0.25">
      <c r="B797"/>
      <c r="K797"/>
    </row>
    <row r="798" spans="2:11" x14ac:dyDescent="0.25">
      <c r="B798"/>
      <c r="K798"/>
    </row>
    <row r="799" spans="2:11" x14ac:dyDescent="0.25">
      <c r="B799"/>
      <c r="K799"/>
    </row>
    <row r="800" spans="2:11" x14ac:dyDescent="0.25">
      <c r="B800"/>
      <c r="K800"/>
    </row>
    <row r="801" spans="2:11" x14ac:dyDescent="0.25">
      <c r="B801"/>
      <c r="K801"/>
    </row>
    <row r="802" spans="2:11" x14ac:dyDescent="0.25">
      <c r="B802"/>
      <c r="K802"/>
    </row>
    <row r="803" spans="2:11" x14ac:dyDescent="0.25">
      <c r="B803"/>
      <c r="K803"/>
    </row>
    <row r="804" spans="2:11" x14ac:dyDescent="0.25">
      <c r="B804"/>
      <c r="K804"/>
    </row>
    <row r="805" spans="2:11" x14ac:dyDescent="0.25">
      <c r="B805"/>
      <c r="K805"/>
    </row>
    <row r="806" spans="2:11" x14ac:dyDescent="0.25">
      <c r="B806"/>
      <c r="K806"/>
    </row>
    <row r="807" spans="2:11" x14ac:dyDescent="0.25">
      <c r="B807"/>
      <c r="K807"/>
    </row>
    <row r="808" spans="2:11" x14ac:dyDescent="0.25">
      <c r="B808"/>
      <c r="K808"/>
    </row>
    <row r="809" spans="2:11" x14ac:dyDescent="0.25">
      <c r="B809"/>
      <c r="K809"/>
    </row>
    <row r="810" spans="2:11" x14ac:dyDescent="0.25">
      <c r="B810"/>
      <c r="K810"/>
    </row>
    <row r="811" spans="2:11" x14ac:dyDescent="0.25">
      <c r="B811"/>
      <c r="K811"/>
    </row>
    <row r="812" spans="2:11" x14ac:dyDescent="0.25">
      <c r="B812"/>
      <c r="K812"/>
    </row>
    <row r="813" spans="2:11" x14ac:dyDescent="0.25">
      <c r="B813"/>
      <c r="K813"/>
    </row>
    <row r="814" spans="2:11" x14ac:dyDescent="0.25">
      <c r="B814"/>
      <c r="K814"/>
    </row>
    <row r="815" spans="2:11" x14ac:dyDescent="0.25">
      <c r="B815"/>
      <c r="K815"/>
    </row>
    <row r="816" spans="2:11" x14ac:dyDescent="0.25">
      <c r="B816"/>
      <c r="K816"/>
    </row>
    <row r="817" spans="2:11" x14ac:dyDescent="0.25">
      <c r="B817"/>
      <c r="K817"/>
    </row>
    <row r="818" spans="2:11" x14ac:dyDescent="0.25">
      <c r="B818"/>
      <c r="K818"/>
    </row>
    <row r="819" spans="2:11" x14ac:dyDescent="0.25">
      <c r="B819"/>
      <c r="K819"/>
    </row>
    <row r="820" spans="2:11" x14ac:dyDescent="0.25">
      <c r="B820"/>
      <c r="K820"/>
    </row>
    <row r="821" spans="2:11" x14ac:dyDescent="0.25">
      <c r="B821"/>
      <c r="K821"/>
    </row>
    <row r="822" spans="2:11" x14ac:dyDescent="0.25">
      <c r="B822"/>
      <c r="K822"/>
    </row>
    <row r="823" spans="2:11" x14ac:dyDescent="0.25">
      <c r="B823"/>
      <c r="K823"/>
    </row>
    <row r="824" spans="2:11" x14ac:dyDescent="0.25">
      <c r="B824"/>
      <c r="K824"/>
    </row>
    <row r="825" spans="2:11" x14ac:dyDescent="0.25">
      <c r="B825"/>
      <c r="K825"/>
    </row>
    <row r="826" spans="2:11" x14ac:dyDescent="0.25">
      <c r="B826"/>
      <c r="K826"/>
    </row>
    <row r="827" spans="2:11" x14ac:dyDescent="0.25">
      <c r="B827"/>
      <c r="K827"/>
    </row>
    <row r="828" spans="2:11" x14ac:dyDescent="0.25">
      <c r="B828"/>
      <c r="K828"/>
    </row>
    <row r="829" spans="2:11" x14ac:dyDescent="0.25">
      <c r="B829"/>
      <c r="K829"/>
    </row>
    <row r="830" spans="2:11" x14ac:dyDescent="0.25">
      <c r="B830"/>
      <c r="K830"/>
    </row>
    <row r="831" spans="2:11" x14ac:dyDescent="0.25">
      <c r="B831"/>
      <c r="K831"/>
    </row>
    <row r="832" spans="2:11" x14ac:dyDescent="0.25">
      <c r="B832"/>
      <c r="K832"/>
    </row>
    <row r="833" spans="2:11" x14ac:dyDescent="0.25">
      <c r="B833"/>
      <c r="K833"/>
    </row>
    <row r="834" spans="2:11" x14ac:dyDescent="0.25">
      <c r="B834"/>
      <c r="K834"/>
    </row>
    <row r="835" spans="2:11" x14ac:dyDescent="0.25">
      <c r="B835"/>
      <c r="K835"/>
    </row>
    <row r="836" spans="2:11" x14ac:dyDescent="0.25">
      <c r="B836"/>
      <c r="K836"/>
    </row>
    <row r="837" spans="2:11" x14ac:dyDescent="0.25">
      <c r="B837"/>
      <c r="K837"/>
    </row>
    <row r="838" spans="2:11" x14ac:dyDescent="0.25">
      <c r="B838"/>
      <c r="K838"/>
    </row>
    <row r="839" spans="2:11" x14ac:dyDescent="0.25">
      <c r="B839"/>
      <c r="K839"/>
    </row>
    <row r="840" spans="2:11" x14ac:dyDescent="0.25">
      <c r="B840"/>
      <c r="K840"/>
    </row>
    <row r="841" spans="2:11" x14ac:dyDescent="0.25">
      <c r="B841"/>
      <c r="K841"/>
    </row>
    <row r="842" spans="2:11" x14ac:dyDescent="0.25">
      <c r="B842"/>
      <c r="K842"/>
    </row>
    <row r="843" spans="2:11" x14ac:dyDescent="0.25">
      <c r="B843"/>
      <c r="K843"/>
    </row>
    <row r="844" spans="2:11" x14ac:dyDescent="0.25">
      <c r="B844"/>
      <c r="K844"/>
    </row>
    <row r="845" spans="2:11" x14ac:dyDescent="0.25">
      <c r="B845"/>
      <c r="K845"/>
    </row>
    <row r="846" spans="2:11" x14ac:dyDescent="0.25">
      <c r="B846"/>
      <c r="K846"/>
    </row>
    <row r="847" spans="2:11" x14ac:dyDescent="0.25">
      <c r="B847"/>
      <c r="K847"/>
    </row>
    <row r="848" spans="2:11" x14ac:dyDescent="0.25">
      <c r="B848"/>
      <c r="K848"/>
    </row>
    <row r="849" spans="2:11" x14ac:dyDescent="0.25">
      <c r="B849"/>
      <c r="K849"/>
    </row>
    <row r="850" spans="2:11" x14ac:dyDescent="0.25">
      <c r="B850"/>
      <c r="K850"/>
    </row>
    <row r="851" spans="2:11" x14ac:dyDescent="0.25">
      <c r="B851"/>
      <c r="K851"/>
    </row>
    <row r="852" spans="2:11" x14ac:dyDescent="0.25">
      <c r="B852"/>
      <c r="K852"/>
    </row>
    <row r="853" spans="2:11" x14ac:dyDescent="0.25">
      <c r="B853"/>
      <c r="K853"/>
    </row>
    <row r="854" spans="2:11" x14ac:dyDescent="0.25">
      <c r="B854"/>
      <c r="K854"/>
    </row>
    <row r="855" spans="2:11" x14ac:dyDescent="0.25">
      <c r="B855"/>
      <c r="K855"/>
    </row>
    <row r="856" spans="2:11" x14ac:dyDescent="0.25">
      <c r="B856"/>
      <c r="K856"/>
    </row>
    <row r="857" spans="2:11" x14ac:dyDescent="0.25">
      <c r="B857"/>
      <c r="K857"/>
    </row>
    <row r="858" spans="2:11" x14ac:dyDescent="0.25">
      <c r="B858"/>
      <c r="K858"/>
    </row>
    <row r="859" spans="2:11" x14ac:dyDescent="0.25">
      <c r="B859"/>
      <c r="K859"/>
    </row>
    <row r="860" spans="2:11" x14ac:dyDescent="0.25">
      <c r="B860"/>
      <c r="K860"/>
    </row>
    <row r="861" spans="2:11" x14ac:dyDescent="0.25">
      <c r="B861"/>
      <c r="K861"/>
    </row>
    <row r="862" spans="2:11" x14ac:dyDescent="0.25">
      <c r="B862"/>
      <c r="K862"/>
    </row>
    <row r="863" spans="2:11" x14ac:dyDescent="0.25">
      <c r="B863"/>
      <c r="K863"/>
    </row>
    <row r="864" spans="2:11" x14ac:dyDescent="0.25">
      <c r="B864"/>
      <c r="K864"/>
    </row>
    <row r="865" spans="2:11" x14ac:dyDescent="0.25">
      <c r="B865"/>
      <c r="K865"/>
    </row>
    <row r="866" spans="2:11" x14ac:dyDescent="0.25">
      <c r="B866"/>
      <c r="K866"/>
    </row>
    <row r="867" spans="2:11" x14ac:dyDescent="0.25">
      <c r="B867"/>
      <c r="K867"/>
    </row>
    <row r="868" spans="2:11" x14ac:dyDescent="0.25">
      <c r="B868"/>
      <c r="K868"/>
    </row>
    <row r="869" spans="2:11" x14ac:dyDescent="0.25">
      <c r="B869"/>
      <c r="K869"/>
    </row>
    <row r="870" spans="2:11" x14ac:dyDescent="0.25">
      <c r="B870"/>
      <c r="K870"/>
    </row>
    <row r="871" spans="2:11" x14ac:dyDescent="0.25">
      <c r="B871"/>
      <c r="K871"/>
    </row>
    <row r="872" spans="2:11" x14ac:dyDescent="0.25">
      <c r="B872"/>
      <c r="K872"/>
    </row>
    <row r="873" spans="2:11" x14ac:dyDescent="0.25">
      <c r="B873"/>
      <c r="K873"/>
    </row>
    <row r="874" spans="2:11" x14ac:dyDescent="0.25">
      <c r="B874"/>
      <c r="K874"/>
    </row>
    <row r="875" spans="2:11" x14ac:dyDescent="0.25">
      <c r="B875"/>
      <c r="K875"/>
    </row>
    <row r="876" spans="2:11" x14ac:dyDescent="0.25">
      <c r="B876"/>
      <c r="K876"/>
    </row>
    <row r="877" spans="2:11" x14ac:dyDescent="0.25">
      <c r="B877"/>
      <c r="K877"/>
    </row>
    <row r="878" spans="2:11" x14ac:dyDescent="0.25">
      <c r="B878"/>
      <c r="K878"/>
    </row>
    <row r="879" spans="2:11" x14ac:dyDescent="0.25">
      <c r="B879"/>
      <c r="K879"/>
    </row>
    <row r="880" spans="2:11" x14ac:dyDescent="0.25">
      <c r="B880"/>
      <c r="K880"/>
    </row>
    <row r="881" spans="2:11" x14ac:dyDescent="0.25">
      <c r="B881"/>
      <c r="K881"/>
    </row>
    <row r="882" spans="2:11" x14ac:dyDescent="0.25">
      <c r="B882"/>
      <c r="K882"/>
    </row>
    <row r="883" spans="2:11" x14ac:dyDescent="0.25">
      <c r="B883"/>
      <c r="K883"/>
    </row>
    <row r="884" spans="2:11" x14ac:dyDescent="0.25">
      <c r="B884"/>
      <c r="K884"/>
    </row>
    <row r="885" spans="2:11" x14ac:dyDescent="0.25">
      <c r="B885"/>
      <c r="K885"/>
    </row>
    <row r="886" spans="2:11" x14ac:dyDescent="0.25">
      <c r="B886"/>
      <c r="K886"/>
    </row>
    <row r="887" spans="2:11" x14ac:dyDescent="0.25">
      <c r="B887"/>
      <c r="K887"/>
    </row>
    <row r="888" spans="2:11" x14ac:dyDescent="0.25">
      <c r="B888"/>
      <c r="K888"/>
    </row>
    <row r="889" spans="2:11" x14ac:dyDescent="0.25">
      <c r="B889"/>
      <c r="K889"/>
    </row>
    <row r="890" spans="2:11" x14ac:dyDescent="0.25">
      <c r="B890"/>
      <c r="K890"/>
    </row>
    <row r="891" spans="2:11" x14ac:dyDescent="0.25">
      <c r="B891"/>
      <c r="K891"/>
    </row>
    <row r="892" spans="2:11" x14ac:dyDescent="0.25">
      <c r="B892"/>
      <c r="K892"/>
    </row>
    <row r="893" spans="2:11" x14ac:dyDescent="0.25">
      <c r="B893"/>
      <c r="K893"/>
    </row>
    <row r="894" spans="2:11" x14ac:dyDescent="0.25">
      <c r="B894"/>
      <c r="K894"/>
    </row>
    <row r="895" spans="2:11" x14ac:dyDescent="0.25">
      <c r="B895"/>
      <c r="K895"/>
    </row>
    <row r="896" spans="2:11" x14ac:dyDescent="0.25">
      <c r="B896"/>
      <c r="K896"/>
    </row>
    <row r="897" spans="2:11" x14ac:dyDescent="0.25">
      <c r="B897"/>
      <c r="K897"/>
    </row>
    <row r="898" spans="2:11" x14ac:dyDescent="0.25">
      <c r="B898"/>
      <c r="K898"/>
    </row>
    <row r="899" spans="2:11" x14ac:dyDescent="0.25">
      <c r="B899"/>
      <c r="K899"/>
    </row>
    <row r="900" spans="2:11" x14ac:dyDescent="0.25">
      <c r="B900"/>
      <c r="K900"/>
    </row>
    <row r="901" spans="2:11" x14ac:dyDescent="0.25">
      <c r="B901"/>
      <c r="K901"/>
    </row>
    <row r="902" spans="2:11" x14ac:dyDescent="0.25">
      <c r="B902"/>
      <c r="K902"/>
    </row>
    <row r="903" spans="2:11" x14ac:dyDescent="0.25">
      <c r="B903"/>
      <c r="K903"/>
    </row>
    <row r="904" spans="2:11" x14ac:dyDescent="0.25">
      <c r="B904"/>
      <c r="K904"/>
    </row>
    <row r="905" spans="2:11" x14ac:dyDescent="0.25">
      <c r="B905"/>
      <c r="K905"/>
    </row>
    <row r="906" spans="2:11" x14ac:dyDescent="0.25">
      <c r="B906"/>
      <c r="K906"/>
    </row>
    <row r="907" spans="2:11" x14ac:dyDescent="0.25">
      <c r="B907"/>
      <c r="K907"/>
    </row>
    <row r="908" spans="2:11" x14ac:dyDescent="0.25">
      <c r="B908"/>
      <c r="K908"/>
    </row>
    <row r="909" spans="2:11" x14ac:dyDescent="0.25">
      <c r="B909"/>
      <c r="K909"/>
    </row>
    <row r="910" spans="2:11" x14ac:dyDescent="0.25">
      <c r="B910"/>
      <c r="K910"/>
    </row>
    <row r="911" spans="2:11" x14ac:dyDescent="0.25">
      <c r="B911"/>
      <c r="K911"/>
    </row>
    <row r="912" spans="2:11" x14ac:dyDescent="0.25">
      <c r="B912"/>
      <c r="K912"/>
    </row>
    <row r="913" spans="2:11" x14ac:dyDescent="0.25">
      <c r="B913"/>
      <c r="K913"/>
    </row>
    <row r="914" spans="2:11" x14ac:dyDescent="0.25">
      <c r="B914"/>
      <c r="K914"/>
    </row>
    <row r="915" spans="2:11" x14ac:dyDescent="0.25">
      <c r="B915"/>
      <c r="K915"/>
    </row>
    <row r="916" spans="2:11" x14ac:dyDescent="0.25">
      <c r="B916"/>
      <c r="K916"/>
    </row>
    <row r="917" spans="2:11" x14ac:dyDescent="0.25">
      <c r="B917"/>
      <c r="K917"/>
    </row>
    <row r="918" spans="2:11" x14ac:dyDescent="0.25">
      <c r="B918"/>
      <c r="K918"/>
    </row>
    <row r="919" spans="2:11" x14ac:dyDescent="0.25">
      <c r="B919"/>
      <c r="K919"/>
    </row>
    <row r="920" spans="2:11" x14ac:dyDescent="0.25">
      <c r="B920"/>
      <c r="K920"/>
    </row>
    <row r="921" spans="2:11" x14ac:dyDescent="0.25">
      <c r="B921"/>
      <c r="K921"/>
    </row>
    <row r="922" spans="2:11" x14ac:dyDescent="0.25">
      <c r="B922"/>
      <c r="K922"/>
    </row>
    <row r="923" spans="2:11" x14ac:dyDescent="0.25">
      <c r="B923"/>
      <c r="K923"/>
    </row>
    <row r="924" spans="2:11" x14ac:dyDescent="0.25">
      <c r="B924"/>
      <c r="K924"/>
    </row>
    <row r="925" spans="2:11" x14ac:dyDescent="0.25">
      <c r="B925"/>
      <c r="K925"/>
    </row>
    <row r="926" spans="2:11" x14ac:dyDescent="0.25">
      <c r="B926"/>
      <c r="K926"/>
    </row>
    <row r="927" spans="2:11" x14ac:dyDescent="0.25">
      <c r="B927"/>
      <c r="K927"/>
    </row>
    <row r="928" spans="2:11" x14ac:dyDescent="0.25">
      <c r="B928"/>
      <c r="K928"/>
    </row>
    <row r="929" spans="2:11" x14ac:dyDescent="0.25">
      <c r="B929"/>
      <c r="K929"/>
    </row>
    <row r="930" spans="2:11" x14ac:dyDescent="0.25">
      <c r="B930"/>
      <c r="K930"/>
    </row>
    <row r="931" spans="2:11" x14ac:dyDescent="0.25">
      <c r="B931"/>
      <c r="K931"/>
    </row>
    <row r="932" spans="2:11" x14ac:dyDescent="0.25">
      <c r="B932"/>
      <c r="K932"/>
    </row>
    <row r="933" spans="2:11" x14ac:dyDescent="0.25">
      <c r="B933"/>
      <c r="K933"/>
    </row>
    <row r="934" spans="2:11" x14ac:dyDescent="0.25">
      <c r="B934"/>
      <c r="K934"/>
    </row>
    <row r="935" spans="2:11" x14ac:dyDescent="0.25">
      <c r="B935"/>
      <c r="K935"/>
    </row>
    <row r="936" spans="2:11" x14ac:dyDescent="0.25">
      <c r="B936"/>
      <c r="K936"/>
    </row>
    <row r="937" spans="2:11" x14ac:dyDescent="0.25">
      <c r="B937"/>
      <c r="K937"/>
    </row>
    <row r="938" spans="2:11" x14ac:dyDescent="0.25">
      <c r="B938"/>
      <c r="K938"/>
    </row>
    <row r="939" spans="2:11" x14ac:dyDescent="0.25">
      <c r="B939"/>
      <c r="K939"/>
    </row>
    <row r="940" spans="2:11" x14ac:dyDescent="0.25">
      <c r="B940"/>
      <c r="K940"/>
    </row>
    <row r="941" spans="2:11" x14ac:dyDescent="0.25">
      <c r="B941"/>
      <c r="K941"/>
    </row>
    <row r="942" spans="2:11" x14ac:dyDescent="0.25">
      <c r="B942"/>
      <c r="K942"/>
    </row>
    <row r="943" spans="2:11" x14ac:dyDescent="0.25">
      <c r="B943"/>
      <c r="K943"/>
    </row>
    <row r="944" spans="2:11" x14ac:dyDescent="0.25">
      <c r="B944"/>
      <c r="K944"/>
    </row>
    <row r="945" spans="2:11" x14ac:dyDescent="0.25">
      <c r="B945"/>
      <c r="K945"/>
    </row>
    <row r="946" spans="2:11" x14ac:dyDescent="0.25">
      <c r="B946"/>
      <c r="K946"/>
    </row>
    <row r="947" spans="2:11" x14ac:dyDescent="0.25">
      <c r="B947"/>
      <c r="K947"/>
    </row>
    <row r="948" spans="2:11" x14ac:dyDescent="0.25">
      <c r="B948"/>
      <c r="K948"/>
    </row>
    <row r="949" spans="2:11" x14ac:dyDescent="0.25">
      <c r="B949"/>
      <c r="K949"/>
    </row>
    <row r="950" spans="2:11" x14ac:dyDescent="0.25">
      <c r="B950"/>
      <c r="K950"/>
    </row>
    <row r="951" spans="2:11" x14ac:dyDescent="0.25">
      <c r="B951"/>
      <c r="K951"/>
    </row>
    <row r="952" spans="2:11" x14ac:dyDescent="0.25">
      <c r="B952"/>
      <c r="K952"/>
    </row>
    <row r="953" spans="2:11" x14ac:dyDescent="0.25">
      <c r="B953"/>
      <c r="K953"/>
    </row>
    <row r="954" spans="2:11" x14ac:dyDescent="0.25">
      <c r="B954"/>
      <c r="K954"/>
    </row>
    <row r="955" spans="2:11" x14ac:dyDescent="0.25">
      <c r="B955"/>
      <c r="K955"/>
    </row>
    <row r="956" spans="2:11" x14ac:dyDescent="0.25">
      <c r="B956"/>
      <c r="K956"/>
    </row>
    <row r="957" spans="2:11" x14ac:dyDescent="0.25">
      <c r="B957"/>
      <c r="K957"/>
    </row>
    <row r="958" spans="2:11" x14ac:dyDescent="0.25">
      <c r="B958"/>
      <c r="K958"/>
    </row>
    <row r="959" spans="2:11" x14ac:dyDescent="0.25">
      <c r="B959"/>
      <c r="K959"/>
    </row>
    <row r="960" spans="2:11" x14ac:dyDescent="0.25">
      <c r="B960"/>
      <c r="K960"/>
    </row>
    <row r="961" spans="2:11" x14ac:dyDescent="0.25">
      <c r="B961"/>
      <c r="K961"/>
    </row>
    <row r="962" spans="2:11" x14ac:dyDescent="0.25">
      <c r="B962"/>
      <c r="K962"/>
    </row>
    <row r="963" spans="2:11" x14ac:dyDescent="0.25">
      <c r="B963"/>
      <c r="K963"/>
    </row>
    <row r="964" spans="2:11" x14ac:dyDescent="0.25">
      <c r="B964"/>
      <c r="K964"/>
    </row>
    <row r="965" spans="2:11" x14ac:dyDescent="0.25">
      <c r="B965"/>
      <c r="K965"/>
    </row>
    <row r="966" spans="2:11" x14ac:dyDescent="0.25">
      <c r="B966"/>
      <c r="K966"/>
    </row>
    <row r="967" spans="2:11" x14ac:dyDescent="0.25">
      <c r="B967"/>
      <c r="K967"/>
    </row>
    <row r="968" spans="2:11" x14ac:dyDescent="0.25">
      <c r="B968"/>
      <c r="K968"/>
    </row>
    <row r="969" spans="2:11" x14ac:dyDescent="0.25">
      <c r="B969"/>
      <c r="K969"/>
    </row>
    <row r="970" spans="2:11" x14ac:dyDescent="0.25">
      <c r="B970"/>
      <c r="K970"/>
    </row>
    <row r="971" spans="2:11" x14ac:dyDescent="0.25">
      <c r="B971"/>
      <c r="K971"/>
    </row>
    <row r="972" spans="2:11" x14ac:dyDescent="0.25">
      <c r="B972"/>
      <c r="K972"/>
    </row>
    <row r="973" spans="2:11" x14ac:dyDescent="0.25">
      <c r="B973"/>
      <c r="K973"/>
    </row>
    <row r="974" spans="2:11" x14ac:dyDescent="0.25">
      <c r="B974"/>
      <c r="K974"/>
    </row>
    <row r="975" spans="2:11" x14ac:dyDescent="0.25">
      <c r="B975"/>
      <c r="K975"/>
    </row>
    <row r="976" spans="2:11" x14ac:dyDescent="0.25">
      <c r="B976"/>
      <c r="K976"/>
    </row>
    <row r="977" spans="2:11" x14ac:dyDescent="0.25">
      <c r="B977"/>
      <c r="K977"/>
    </row>
    <row r="978" spans="2:11" x14ac:dyDescent="0.25">
      <c r="B978"/>
      <c r="K978"/>
    </row>
    <row r="979" spans="2:11" x14ac:dyDescent="0.25">
      <c r="B979"/>
      <c r="K979"/>
    </row>
    <row r="980" spans="2:11" x14ac:dyDescent="0.25">
      <c r="B980"/>
      <c r="K980"/>
    </row>
    <row r="981" spans="2:11" x14ac:dyDescent="0.25">
      <c r="B981"/>
      <c r="K981"/>
    </row>
    <row r="982" spans="2:11" x14ac:dyDescent="0.25">
      <c r="B982"/>
      <c r="K982"/>
    </row>
    <row r="983" spans="2:11" x14ac:dyDescent="0.25">
      <c r="B983"/>
      <c r="K983"/>
    </row>
    <row r="984" spans="2:11" x14ac:dyDescent="0.25">
      <c r="B984"/>
      <c r="K984"/>
    </row>
    <row r="985" spans="2:11" x14ac:dyDescent="0.25">
      <c r="B985"/>
      <c r="K985"/>
    </row>
    <row r="986" spans="2:11" x14ac:dyDescent="0.25">
      <c r="B986"/>
      <c r="K986"/>
    </row>
    <row r="987" spans="2:11" x14ac:dyDescent="0.25">
      <c r="B987"/>
      <c r="K987"/>
    </row>
    <row r="988" spans="2:11" x14ac:dyDescent="0.25">
      <c r="B988"/>
      <c r="K988"/>
    </row>
    <row r="989" spans="2:11" x14ac:dyDescent="0.25">
      <c r="B989"/>
      <c r="K989"/>
    </row>
    <row r="990" spans="2:11" x14ac:dyDescent="0.25">
      <c r="B990"/>
      <c r="K990"/>
    </row>
    <row r="991" spans="2:11" x14ac:dyDescent="0.25">
      <c r="B991"/>
      <c r="K991"/>
    </row>
    <row r="992" spans="2:11" x14ac:dyDescent="0.25">
      <c r="B992"/>
      <c r="K992"/>
    </row>
    <row r="993" spans="2:11" x14ac:dyDescent="0.25">
      <c r="B993"/>
      <c r="K993"/>
    </row>
    <row r="994" spans="2:11" x14ac:dyDescent="0.25">
      <c r="B994"/>
      <c r="K994"/>
    </row>
    <row r="995" spans="2:11" x14ac:dyDescent="0.25">
      <c r="B995"/>
      <c r="K995"/>
    </row>
    <row r="996" spans="2:11" x14ac:dyDescent="0.25">
      <c r="B996"/>
      <c r="K996"/>
    </row>
    <row r="997" spans="2:11" x14ac:dyDescent="0.25">
      <c r="B997"/>
      <c r="K997"/>
    </row>
    <row r="998" spans="2:11" x14ac:dyDescent="0.25">
      <c r="B998"/>
      <c r="K998"/>
    </row>
    <row r="999" spans="2:11" x14ac:dyDescent="0.25">
      <c r="B999"/>
      <c r="K999"/>
    </row>
    <row r="1000" spans="2:11" x14ac:dyDescent="0.25">
      <c r="B1000"/>
      <c r="K1000"/>
    </row>
    <row r="1001" spans="2:11" x14ac:dyDescent="0.25">
      <c r="B1001"/>
      <c r="K1001"/>
    </row>
    <row r="1002" spans="2:11" x14ac:dyDescent="0.25">
      <c r="B1002"/>
      <c r="K1002"/>
    </row>
    <row r="1003" spans="2:11" x14ac:dyDescent="0.25">
      <c r="B1003"/>
      <c r="K1003"/>
    </row>
    <row r="1004" spans="2:11" x14ac:dyDescent="0.25">
      <c r="B1004"/>
      <c r="K1004"/>
    </row>
    <row r="1005" spans="2:11" x14ac:dyDescent="0.25">
      <c r="B1005"/>
      <c r="K1005"/>
    </row>
    <row r="1006" spans="2:11" x14ac:dyDescent="0.25">
      <c r="B1006"/>
      <c r="K1006"/>
    </row>
    <row r="1007" spans="2:11" x14ac:dyDescent="0.25">
      <c r="B1007"/>
      <c r="K1007"/>
    </row>
    <row r="1008" spans="2:11" x14ac:dyDescent="0.25">
      <c r="B1008"/>
      <c r="K1008"/>
    </row>
    <row r="1009" spans="2:11" x14ac:dyDescent="0.25">
      <c r="B1009"/>
      <c r="K1009"/>
    </row>
    <row r="1010" spans="2:11" x14ac:dyDescent="0.25">
      <c r="B1010"/>
      <c r="K1010"/>
    </row>
    <row r="1011" spans="2:11" x14ac:dyDescent="0.25">
      <c r="B1011"/>
      <c r="K1011"/>
    </row>
    <row r="1012" spans="2:11" x14ac:dyDescent="0.25">
      <c r="B1012"/>
      <c r="K1012"/>
    </row>
    <row r="1013" spans="2:11" x14ac:dyDescent="0.25">
      <c r="B1013"/>
      <c r="K1013"/>
    </row>
    <row r="1014" spans="2:11" x14ac:dyDescent="0.25">
      <c r="B1014"/>
      <c r="K1014"/>
    </row>
    <row r="1015" spans="2:11" x14ac:dyDescent="0.25">
      <c r="B1015"/>
      <c r="K1015"/>
    </row>
    <row r="1016" spans="2:11" x14ac:dyDescent="0.25">
      <c r="B1016"/>
      <c r="K1016"/>
    </row>
    <row r="1017" spans="2:11" x14ac:dyDescent="0.25">
      <c r="B1017"/>
      <c r="K1017"/>
    </row>
    <row r="1018" spans="2:11" x14ac:dyDescent="0.25">
      <c r="B1018"/>
      <c r="K1018"/>
    </row>
    <row r="1019" spans="2:11" x14ac:dyDescent="0.25">
      <c r="B1019"/>
      <c r="K1019"/>
    </row>
    <row r="1020" spans="2:11" x14ac:dyDescent="0.25">
      <c r="B1020"/>
      <c r="K1020"/>
    </row>
    <row r="1021" spans="2:11" x14ac:dyDescent="0.25">
      <c r="B1021"/>
      <c r="K1021"/>
    </row>
    <row r="1022" spans="2:11" x14ac:dyDescent="0.25">
      <c r="B1022"/>
      <c r="K1022"/>
    </row>
    <row r="1023" spans="2:11" x14ac:dyDescent="0.25">
      <c r="B1023"/>
      <c r="K1023"/>
    </row>
    <row r="1024" spans="2:11" x14ac:dyDescent="0.25">
      <c r="B1024"/>
      <c r="K1024"/>
    </row>
    <row r="1025" spans="2:11" x14ac:dyDescent="0.25">
      <c r="B1025"/>
      <c r="K1025"/>
    </row>
    <row r="1026" spans="2:11" x14ac:dyDescent="0.25">
      <c r="B1026"/>
      <c r="K1026"/>
    </row>
    <row r="1027" spans="2:11" x14ac:dyDescent="0.25">
      <c r="B1027"/>
      <c r="K1027"/>
    </row>
    <row r="1028" spans="2:11" x14ac:dyDescent="0.25">
      <c r="B1028"/>
      <c r="K1028"/>
    </row>
    <row r="1029" spans="2:11" x14ac:dyDescent="0.25">
      <c r="B1029"/>
      <c r="K1029"/>
    </row>
    <row r="1030" spans="2:11" x14ac:dyDescent="0.25">
      <c r="B1030"/>
      <c r="K1030"/>
    </row>
    <row r="1031" spans="2:11" x14ac:dyDescent="0.25">
      <c r="B1031"/>
      <c r="K1031"/>
    </row>
    <row r="1032" spans="2:11" x14ac:dyDescent="0.25">
      <c r="B1032"/>
      <c r="K1032"/>
    </row>
    <row r="1033" spans="2:11" x14ac:dyDescent="0.25">
      <c r="B1033"/>
      <c r="K1033"/>
    </row>
    <row r="1034" spans="2:11" x14ac:dyDescent="0.25">
      <c r="B1034"/>
      <c r="K1034"/>
    </row>
    <row r="1035" spans="2:11" x14ac:dyDescent="0.25">
      <c r="B1035"/>
      <c r="K1035"/>
    </row>
    <row r="1036" spans="2:11" x14ac:dyDescent="0.25">
      <c r="B1036"/>
      <c r="K1036"/>
    </row>
    <row r="1037" spans="2:11" x14ac:dyDescent="0.25">
      <c r="B1037"/>
      <c r="K1037"/>
    </row>
    <row r="1038" spans="2:11" x14ac:dyDescent="0.25">
      <c r="B1038"/>
      <c r="K1038"/>
    </row>
    <row r="1039" spans="2:11" x14ac:dyDescent="0.25">
      <c r="B1039"/>
      <c r="K1039"/>
    </row>
    <row r="1040" spans="2:11" x14ac:dyDescent="0.25">
      <c r="B1040"/>
      <c r="K1040"/>
    </row>
    <row r="1041" spans="2:11" x14ac:dyDescent="0.25">
      <c r="B1041"/>
      <c r="K1041"/>
    </row>
    <row r="1042" spans="2:11" x14ac:dyDescent="0.25">
      <c r="B1042"/>
      <c r="K1042"/>
    </row>
    <row r="1043" spans="2:11" x14ac:dyDescent="0.25">
      <c r="B1043"/>
      <c r="K1043"/>
    </row>
    <row r="1044" spans="2:11" x14ac:dyDescent="0.25">
      <c r="B1044"/>
      <c r="K1044"/>
    </row>
    <row r="1045" spans="2:11" x14ac:dyDescent="0.25">
      <c r="B1045"/>
      <c r="K1045"/>
    </row>
    <row r="1046" spans="2:11" x14ac:dyDescent="0.25">
      <c r="B1046"/>
      <c r="K1046"/>
    </row>
    <row r="1047" spans="2:11" x14ac:dyDescent="0.25">
      <c r="B1047"/>
      <c r="K1047"/>
    </row>
    <row r="1048" spans="2:11" x14ac:dyDescent="0.25">
      <c r="B1048"/>
      <c r="K1048"/>
    </row>
    <row r="1049" spans="2:11" x14ac:dyDescent="0.25">
      <c r="B1049"/>
      <c r="K1049"/>
    </row>
    <row r="1050" spans="2:11" x14ac:dyDescent="0.25">
      <c r="B1050"/>
      <c r="K1050"/>
    </row>
    <row r="1051" spans="2:11" x14ac:dyDescent="0.25">
      <c r="B1051"/>
      <c r="K1051"/>
    </row>
    <row r="1052" spans="2:11" x14ac:dyDescent="0.25">
      <c r="B1052"/>
      <c r="K1052"/>
    </row>
    <row r="1053" spans="2:11" x14ac:dyDescent="0.25">
      <c r="B1053"/>
      <c r="K1053"/>
    </row>
    <row r="1054" spans="2:11" x14ac:dyDescent="0.25">
      <c r="B1054"/>
      <c r="K1054"/>
    </row>
    <row r="1055" spans="2:11" x14ac:dyDescent="0.25">
      <c r="B1055"/>
      <c r="K1055"/>
    </row>
    <row r="1056" spans="2:11" x14ac:dyDescent="0.25">
      <c r="B1056"/>
      <c r="K1056"/>
    </row>
    <row r="1057" spans="2:11" x14ac:dyDescent="0.25">
      <c r="B1057"/>
      <c r="K1057"/>
    </row>
    <row r="1058" spans="2:11" x14ac:dyDescent="0.25">
      <c r="B1058"/>
      <c r="K1058"/>
    </row>
    <row r="1059" spans="2:11" x14ac:dyDescent="0.25">
      <c r="B1059"/>
      <c r="K1059"/>
    </row>
    <row r="1060" spans="2:11" x14ac:dyDescent="0.25">
      <c r="B1060"/>
      <c r="K1060"/>
    </row>
    <row r="1061" spans="2:11" x14ac:dyDescent="0.25">
      <c r="B1061"/>
      <c r="K1061"/>
    </row>
    <row r="1062" spans="2:11" x14ac:dyDescent="0.25">
      <c r="B1062"/>
      <c r="K1062"/>
    </row>
    <row r="1063" spans="2:11" x14ac:dyDescent="0.25">
      <c r="B1063"/>
      <c r="K1063"/>
    </row>
    <row r="1064" spans="2:11" x14ac:dyDescent="0.25">
      <c r="B1064"/>
      <c r="K1064"/>
    </row>
    <row r="1065" spans="2:11" x14ac:dyDescent="0.25">
      <c r="B1065"/>
      <c r="K1065"/>
    </row>
    <row r="1066" spans="2:11" x14ac:dyDescent="0.25">
      <c r="B1066"/>
      <c r="K1066"/>
    </row>
    <row r="1067" spans="2:11" x14ac:dyDescent="0.25">
      <c r="B1067"/>
      <c r="K1067"/>
    </row>
    <row r="1068" spans="2:11" x14ac:dyDescent="0.25">
      <c r="B1068"/>
      <c r="K1068"/>
    </row>
    <row r="1069" spans="2:11" x14ac:dyDescent="0.25">
      <c r="B1069"/>
      <c r="K1069"/>
    </row>
    <row r="1070" spans="2:11" x14ac:dyDescent="0.25">
      <c r="B1070"/>
      <c r="K1070"/>
    </row>
    <row r="1071" spans="2:11" x14ac:dyDescent="0.25">
      <c r="B1071"/>
      <c r="K1071"/>
    </row>
    <row r="1072" spans="2:11" x14ac:dyDescent="0.25">
      <c r="B1072"/>
      <c r="K1072"/>
    </row>
    <row r="1073" spans="2:11" x14ac:dyDescent="0.25">
      <c r="B1073"/>
      <c r="K1073"/>
    </row>
    <row r="1074" spans="2:11" x14ac:dyDescent="0.25">
      <c r="B1074"/>
      <c r="K1074"/>
    </row>
    <row r="1075" spans="2:11" x14ac:dyDescent="0.25">
      <c r="B1075"/>
      <c r="K1075"/>
    </row>
    <row r="1076" spans="2:11" x14ac:dyDescent="0.25">
      <c r="B1076"/>
      <c r="K1076"/>
    </row>
    <row r="1077" spans="2:11" x14ac:dyDescent="0.25">
      <c r="B1077"/>
      <c r="K1077"/>
    </row>
    <row r="1078" spans="2:11" x14ac:dyDescent="0.25">
      <c r="B1078"/>
      <c r="K1078"/>
    </row>
    <row r="1079" spans="2:11" x14ac:dyDescent="0.25">
      <c r="B1079"/>
      <c r="K1079"/>
    </row>
    <row r="1080" spans="2:11" x14ac:dyDescent="0.25">
      <c r="B1080"/>
      <c r="K1080"/>
    </row>
    <row r="1081" spans="2:11" x14ac:dyDescent="0.25">
      <c r="B1081"/>
      <c r="K1081"/>
    </row>
    <row r="1082" spans="2:11" x14ac:dyDescent="0.25">
      <c r="B1082"/>
      <c r="K1082"/>
    </row>
    <row r="1083" spans="2:11" x14ac:dyDescent="0.25">
      <c r="B1083"/>
      <c r="K1083"/>
    </row>
    <row r="1084" spans="2:11" x14ac:dyDescent="0.25">
      <c r="B1084"/>
      <c r="K1084"/>
    </row>
    <row r="1085" spans="2:11" x14ac:dyDescent="0.25">
      <c r="B1085"/>
      <c r="K1085"/>
    </row>
    <row r="1086" spans="2:11" x14ac:dyDescent="0.25">
      <c r="B1086"/>
      <c r="K1086"/>
    </row>
    <row r="1087" spans="2:11" x14ac:dyDescent="0.25">
      <c r="B1087"/>
      <c r="K1087"/>
    </row>
    <row r="1088" spans="2:11" x14ac:dyDescent="0.25">
      <c r="B1088"/>
      <c r="K1088"/>
    </row>
    <row r="1089" spans="2:11" x14ac:dyDescent="0.25">
      <c r="B1089"/>
      <c r="K1089"/>
    </row>
    <row r="1090" spans="2:11" x14ac:dyDescent="0.25">
      <c r="B1090"/>
      <c r="K1090"/>
    </row>
    <row r="1091" spans="2:11" x14ac:dyDescent="0.25">
      <c r="B1091"/>
      <c r="K1091"/>
    </row>
    <row r="1092" spans="2:11" x14ac:dyDescent="0.25">
      <c r="B1092"/>
      <c r="K1092"/>
    </row>
    <row r="1093" spans="2:11" x14ac:dyDescent="0.25">
      <c r="B1093"/>
      <c r="K1093"/>
    </row>
    <row r="1094" spans="2:11" x14ac:dyDescent="0.25">
      <c r="B1094"/>
      <c r="K1094"/>
    </row>
    <row r="1095" spans="2:11" x14ac:dyDescent="0.25">
      <c r="B1095"/>
      <c r="K1095"/>
    </row>
    <row r="1096" spans="2:11" x14ac:dyDescent="0.25">
      <c r="B1096"/>
      <c r="K1096"/>
    </row>
    <row r="1097" spans="2:11" x14ac:dyDescent="0.25">
      <c r="B1097"/>
      <c r="K1097"/>
    </row>
    <row r="1098" spans="2:11" x14ac:dyDescent="0.25">
      <c r="B1098"/>
      <c r="K1098"/>
    </row>
    <row r="1099" spans="2:11" x14ac:dyDescent="0.25">
      <c r="B1099"/>
      <c r="K1099"/>
    </row>
    <row r="1100" spans="2:11" x14ac:dyDescent="0.25">
      <c r="B1100"/>
      <c r="K1100"/>
    </row>
    <row r="1101" spans="2:11" x14ac:dyDescent="0.25">
      <c r="B1101"/>
      <c r="K1101"/>
    </row>
    <row r="1102" spans="2:11" x14ac:dyDescent="0.25">
      <c r="B1102"/>
      <c r="K1102"/>
    </row>
    <row r="1103" spans="2:11" x14ac:dyDescent="0.25">
      <c r="B1103"/>
      <c r="K1103"/>
    </row>
    <row r="1104" spans="2:11" x14ac:dyDescent="0.25">
      <c r="B1104"/>
      <c r="K1104"/>
    </row>
    <row r="1105" spans="2:11" x14ac:dyDescent="0.25">
      <c r="B1105"/>
      <c r="K1105"/>
    </row>
    <row r="1106" spans="2:11" x14ac:dyDescent="0.25">
      <c r="B1106"/>
      <c r="K1106"/>
    </row>
    <row r="1107" spans="2:11" x14ac:dyDescent="0.25">
      <c r="B1107"/>
      <c r="K1107"/>
    </row>
    <row r="1108" spans="2:11" x14ac:dyDescent="0.25">
      <c r="B1108"/>
      <c r="K1108"/>
    </row>
    <row r="1109" spans="2:11" x14ac:dyDescent="0.25">
      <c r="B1109"/>
      <c r="K1109"/>
    </row>
    <row r="1110" spans="2:11" x14ac:dyDescent="0.25">
      <c r="B1110"/>
      <c r="K1110"/>
    </row>
    <row r="1111" spans="2:11" x14ac:dyDescent="0.25">
      <c r="B1111"/>
      <c r="K1111"/>
    </row>
    <row r="1112" spans="2:11" x14ac:dyDescent="0.25">
      <c r="B1112"/>
      <c r="K1112"/>
    </row>
    <row r="1113" spans="2:11" x14ac:dyDescent="0.25">
      <c r="B1113"/>
      <c r="K1113"/>
    </row>
    <row r="1114" spans="2:11" x14ac:dyDescent="0.25">
      <c r="B1114"/>
      <c r="K1114"/>
    </row>
    <row r="1115" spans="2:11" x14ac:dyDescent="0.25">
      <c r="B1115"/>
      <c r="K1115"/>
    </row>
    <row r="1116" spans="2:11" x14ac:dyDescent="0.25">
      <c r="B1116"/>
      <c r="K1116"/>
    </row>
    <row r="1117" spans="2:11" x14ac:dyDescent="0.25">
      <c r="B1117"/>
      <c r="K1117"/>
    </row>
    <row r="1118" spans="2:11" x14ac:dyDescent="0.25">
      <c r="B1118"/>
      <c r="K1118"/>
    </row>
    <row r="1119" spans="2:11" x14ac:dyDescent="0.25">
      <c r="B1119"/>
      <c r="K1119"/>
    </row>
    <row r="1120" spans="2:11" x14ac:dyDescent="0.25">
      <c r="B1120"/>
      <c r="K1120"/>
    </row>
    <row r="1121" spans="2:11" x14ac:dyDescent="0.25">
      <c r="B1121"/>
      <c r="K1121"/>
    </row>
    <row r="1122" spans="2:11" x14ac:dyDescent="0.25">
      <c r="B1122"/>
      <c r="K1122"/>
    </row>
    <row r="1123" spans="2:11" x14ac:dyDescent="0.25">
      <c r="B1123"/>
      <c r="K1123"/>
    </row>
    <row r="1124" spans="2:11" x14ac:dyDescent="0.25">
      <c r="B1124"/>
      <c r="K1124"/>
    </row>
    <row r="1125" spans="2:11" x14ac:dyDescent="0.25">
      <c r="B1125"/>
      <c r="K1125"/>
    </row>
    <row r="1126" spans="2:11" x14ac:dyDescent="0.25">
      <c r="B1126"/>
      <c r="K1126"/>
    </row>
    <row r="1127" spans="2:11" x14ac:dyDescent="0.25">
      <c r="B1127"/>
      <c r="K1127"/>
    </row>
    <row r="1128" spans="2:11" x14ac:dyDescent="0.25">
      <c r="B1128"/>
      <c r="K1128"/>
    </row>
    <row r="1129" spans="2:11" x14ac:dyDescent="0.25">
      <c r="B1129"/>
      <c r="K1129"/>
    </row>
    <row r="1130" spans="2:11" x14ac:dyDescent="0.25">
      <c r="B1130"/>
      <c r="K1130"/>
    </row>
    <row r="1131" spans="2:11" x14ac:dyDescent="0.25">
      <c r="B1131"/>
      <c r="K1131"/>
    </row>
    <row r="1132" spans="2:11" x14ac:dyDescent="0.25">
      <c r="B1132"/>
      <c r="K1132"/>
    </row>
    <row r="1133" spans="2:11" x14ac:dyDescent="0.25">
      <c r="B1133"/>
      <c r="K1133"/>
    </row>
    <row r="1134" spans="2:11" x14ac:dyDescent="0.25">
      <c r="B1134"/>
      <c r="K1134"/>
    </row>
    <row r="1135" spans="2:11" x14ac:dyDescent="0.25">
      <c r="B1135"/>
      <c r="K1135"/>
    </row>
    <row r="1136" spans="2:11" x14ac:dyDescent="0.25">
      <c r="B1136"/>
      <c r="K1136"/>
    </row>
    <row r="1137" spans="2:11" x14ac:dyDescent="0.25">
      <c r="B1137"/>
      <c r="K1137"/>
    </row>
    <row r="1138" spans="2:11" x14ac:dyDescent="0.25">
      <c r="B1138"/>
      <c r="K1138"/>
    </row>
    <row r="1139" spans="2:11" x14ac:dyDescent="0.25">
      <c r="B1139"/>
      <c r="K1139"/>
    </row>
    <row r="1140" spans="2:11" x14ac:dyDescent="0.25">
      <c r="B1140"/>
      <c r="K1140"/>
    </row>
    <row r="1141" spans="2:11" x14ac:dyDescent="0.25">
      <c r="B1141"/>
      <c r="K1141"/>
    </row>
    <row r="1142" spans="2:11" x14ac:dyDescent="0.25">
      <c r="B1142"/>
      <c r="K1142"/>
    </row>
    <row r="1143" spans="2:11" x14ac:dyDescent="0.25">
      <c r="B1143"/>
      <c r="K1143"/>
    </row>
    <row r="1144" spans="2:11" x14ac:dyDescent="0.25">
      <c r="B1144"/>
      <c r="K1144"/>
    </row>
    <row r="1145" spans="2:11" x14ac:dyDescent="0.25">
      <c r="B1145"/>
      <c r="K1145"/>
    </row>
    <row r="1146" spans="2:11" x14ac:dyDescent="0.25">
      <c r="B1146"/>
      <c r="K1146"/>
    </row>
    <row r="1147" spans="2:11" x14ac:dyDescent="0.25">
      <c r="B1147"/>
      <c r="K1147"/>
    </row>
    <row r="1148" spans="2:11" x14ac:dyDescent="0.25">
      <c r="B1148"/>
      <c r="K1148"/>
    </row>
    <row r="1149" spans="2:11" x14ac:dyDescent="0.25">
      <c r="B1149"/>
      <c r="K1149"/>
    </row>
    <row r="1150" spans="2:11" x14ac:dyDescent="0.25">
      <c r="B1150"/>
      <c r="K1150"/>
    </row>
    <row r="1151" spans="2:11" x14ac:dyDescent="0.25">
      <c r="B1151"/>
      <c r="K1151"/>
    </row>
    <row r="1152" spans="2:11" x14ac:dyDescent="0.25">
      <c r="B1152"/>
      <c r="K1152"/>
    </row>
    <row r="1153" spans="2:11" x14ac:dyDescent="0.25">
      <c r="B1153"/>
      <c r="K1153"/>
    </row>
    <row r="1154" spans="2:11" x14ac:dyDescent="0.25">
      <c r="B1154"/>
      <c r="K1154"/>
    </row>
    <row r="1155" spans="2:11" x14ac:dyDescent="0.25">
      <c r="B1155"/>
      <c r="K1155"/>
    </row>
    <row r="1156" spans="2:11" x14ac:dyDescent="0.25">
      <c r="B1156"/>
      <c r="K1156"/>
    </row>
    <row r="1157" spans="2:11" x14ac:dyDescent="0.25">
      <c r="B1157"/>
      <c r="K1157"/>
    </row>
    <row r="1158" spans="2:11" x14ac:dyDescent="0.25">
      <c r="B1158"/>
      <c r="K1158"/>
    </row>
    <row r="1159" spans="2:11" x14ac:dyDescent="0.25">
      <c r="B1159"/>
      <c r="K1159"/>
    </row>
    <row r="1160" spans="2:11" x14ac:dyDescent="0.25">
      <c r="B1160"/>
      <c r="K1160"/>
    </row>
    <row r="1161" spans="2:11" x14ac:dyDescent="0.25">
      <c r="B1161"/>
      <c r="K1161"/>
    </row>
    <row r="1162" spans="2:11" x14ac:dyDescent="0.25">
      <c r="B1162"/>
      <c r="K1162"/>
    </row>
    <row r="1163" spans="2:11" x14ac:dyDescent="0.25">
      <c r="B1163"/>
      <c r="K1163"/>
    </row>
    <row r="1164" spans="2:11" x14ac:dyDescent="0.25">
      <c r="B1164"/>
      <c r="K1164"/>
    </row>
    <row r="1165" spans="2:11" x14ac:dyDescent="0.25">
      <c r="B1165"/>
      <c r="K1165"/>
    </row>
    <row r="1166" spans="2:11" x14ac:dyDescent="0.25">
      <c r="B1166"/>
      <c r="K1166"/>
    </row>
    <row r="1167" spans="2:11" x14ac:dyDescent="0.25">
      <c r="B1167"/>
      <c r="K1167"/>
    </row>
    <row r="1168" spans="2:11" x14ac:dyDescent="0.25">
      <c r="B1168"/>
      <c r="K1168"/>
    </row>
    <row r="1169" spans="2:11" x14ac:dyDescent="0.25">
      <c r="B1169"/>
      <c r="K1169"/>
    </row>
    <row r="1170" spans="2:11" x14ac:dyDescent="0.25">
      <c r="B1170"/>
      <c r="K1170"/>
    </row>
    <row r="1171" spans="2:11" x14ac:dyDescent="0.25">
      <c r="B1171"/>
      <c r="K1171"/>
    </row>
    <row r="1172" spans="2:11" x14ac:dyDescent="0.25">
      <c r="B1172"/>
      <c r="K1172"/>
    </row>
    <row r="1173" spans="2:11" x14ac:dyDescent="0.25">
      <c r="B1173"/>
      <c r="K1173"/>
    </row>
    <row r="1174" spans="2:11" x14ac:dyDescent="0.25">
      <c r="B1174"/>
      <c r="K1174"/>
    </row>
    <row r="1175" spans="2:11" x14ac:dyDescent="0.25">
      <c r="B1175"/>
      <c r="K1175"/>
    </row>
    <row r="1176" spans="2:11" x14ac:dyDescent="0.25">
      <c r="B1176"/>
      <c r="K1176"/>
    </row>
    <row r="1177" spans="2:11" x14ac:dyDescent="0.25">
      <c r="B1177"/>
      <c r="K1177"/>
    </row>
    <row r="1178" spans="2:11" x14ac:dyDescent="0.25">
      <c r="B1178"/>
      <c r="K1178"/>
    </row>
    <row r="1179" spans="2:11" x14ac:dyDescent="0.25">
      <c r="B1179"/>
      <c r="K1179"/>
    </row>
    <row r="1180" spans="2:11" x14ac:dyDescent="0.25">
      <c r="B1180"/>
      <c r="K1180"/>
    </row>
    <row r="1181" spans="2:11" x14ac:dyDescent="0.25">
      <c r="B1181"/>
      <c r="K1181"/>
    </row>
    <row r="1182" spans="2:11" x14ac:dyDescent="0.25">
      <c r="B1182"/>
      <c r="K1182"/>
    </row>
    <row r="1183" spans="2:11" x14ac:dyDescent="0.25">
      <c r="B1183"/>
      <c r="K1183"/>
    </row>
    <row r="1184" spans="2:11" x14ac:dyDescent="0.25">
      <c r="B1184"/>
      <c r="K1184"/>
    </row>
    <row r="1185" spans="2:11" x14ac:dyDescent="0.25">
      <c r="B1185"/>
      <c r="K1185"/>
    </row>
    <row r="1186" spans="2:11" x14ac:dyDescent="0.25">
      <c r="B1186"/>
      <c r="K1186"/>
    </row>
    <row r="1187" spans="2:11" x14ac:dyDescent="0.25">
      <c r="B1187"/>
      <c r="K1187"/>
    </row>
    <row r="1188" spans="2:11" x14ac:dyDescent="0.25">
      <c r="B1188"/>
      <c r="K1188"/>
    </row>
    <row r="1189" spans="2:11" x14ac:dyDescent="0.25">
      <c r="B1189"/>
      <c r="K1189"/>
    </row>
    <row r="1190" spans="2:11" x14ac:dyDescent="0.25">
      <c r="B1190"/>
      <c r="K1190"/>
    </row>
    <row r="1191" spans="2:11" x14ac:dyDescent="0.25">
      <c r="B1191"/>
      <c r="K1191"/>
    </row>
    <row r="1192" spans="2:11" x14ac:dyDescent="0.25">
      <c r="B1192"/>
      <c r="K1192"/>
    </row>
    <row r="1193" spans="2:11" x14ac:dyDescent="0.25">
      <c r="B1193"/>
      <c r="K1193"/>
    </row>
    <row r="1194" spans="2:11" x14ac:dyDescent="0.25">
      <c r="B1194"/>
      <c r="K1194"/>
    </row>
    <row r="1195" spans="2:11" x14ac:dyDescent="0.25">
      <c r="B1195"/>
      <c r="K1195"/>
    </row>
    <row r="1196" spans="2:11" x14ac:dyDescent="0.25">
      <c r="B1196"/>
      <c r="K1196"/>
    </row>
    <row r="1197" spans="2:11" x14ac:dyDescent="0.25">
      <c r="B1197"/>
      <c r="K1197"/>
    </row>
    <row r="1198" spans="2:11" x14ac:dyDescent="0.25">
      <c r="B1198"/>
      <c r="K1198"/>
    </row>
    <row r="1199" spans="2:11" x14ac:dyDescent="0.25">
      <c r="B1199"/>
      <c r="K1199"/>
    </row>
    <row r="1200" spans="2:11" x14ac:dyDescent="0.25">
      <c r="B1200"/>
      <c r="K1200"/>
    </row>
    <row r="1201" spans="2:11" x14ac:dyDescent="0.25">
      <c r="B1201"/>
      <c r="K1201"/>
    </row>
    <row r="1202" spans="2:11" x14ac:dyDescent="0.25">
      <c r="B1202"/>
      <c r="K1202"/>
    </row>
    <row r="1203" spans="2:11" x14ac:dyDescent="0.25">
      <c r="B1203"/>
      <c r="K1203"/>
    </row>
    <row r="1204" spans="2:11" x14ac:dyDescent="0.25">
      <c r="B1204"/>
      <c r="K1204"/>
    </row>
    <row r="1205" spans="2:11" x14ac:dyDescent="0.25">
      <c r="B1205"/>
      <c r="K1205"/>
    </row>
    <row r="1206" spans="2:11" x14ac:dyDescent="0.25">
      <c r="B1206"/>
      <c r="K1206"/>
    </row>
    <row r="1207" spans="2:11" x14ac:dyDescent="0.25">
      <c r="B1207"/>
      <c r="K1207"/>
    </row>
    <row r="1208" spans="2:11" x14ac:dyDescent="0.25">
      <c r="B1208"/>
      <c r="K1208"/>
    </row>
    <row r="1209" spans="2:11" x14ac:dyDescent="0.25">
      <c r="B1209"/>
      <c r="K1209"/>
    </row>
    <row r="1210" spans="2:11" x14ac:dyDescent="0.25">
      <c r="B1210"/>
      <c r="K1210"/>
    </row>
    <row r="1211" spans="2:11" x14ac:dyDescent="0.25">
      <c r="B1211"/>
      <c r="K1211"/>
    </row>
    <row r="1212" spans="2:11" x14ac:dyDescent="0.25">
      <c r="B1212"/>
      <c r="K1212"/>
    </row>
    <row r="1213" spans="2:11" x14ac:dyDescent="0.25">
      <c r="B1213"/>
      <c r="K1213"/>
    </row>
    <row r="1214" spans="2:11" x14ac:dyDescent="0.25">
      <c r="B1214"/>
      <c r="K1214"/>
    </row>
    <row r="1215" spans="2:11" x14ac:dyDescent="0.25">
      <c r="B1215"/>
      <c r="K1215"/>
    </row>
    <row r="1216" spans="2:11" x14ac:dyDescent="0.25">
      <c r="B1216"/>
      <c r="K1216"/>
    </row>
    <row r="1217" spans="2:11" x14ac:dyDescent="0.25">
      <c r="B1217"/>
      <c r="K1217"/>
    </row>
    <row r="1218" spans="2:11" x14ac:dyDescent="0.25">
      <c r="B1218"/>
      <c r="K1218"/>
    </row>
    <row r="1219" spans="2:11" x14ac:dyDescent="0.25">
      <c r="B1219"/>
      <c r="K1219"/>
    </row>
    <row r="1220" spans="2:11" x14ac:dyDescent="0.25">
      <c r="B1220"/>
      <c r="K1220"/>
    </row>
    <row r="1221" spans="2:11" x14ac:dyDescent="0.25">
      <c r="B1221"/>
      <c r="K1221"/>
    </row>
    <row r="1222" spans="2:11" x14ac:dyDescent="0.25">
      <c r="B1222"/>
      <c r="K1222"/>
    </row>
    <row r="1223" spans="2:11" x14ac:dyDescent="0.25">
      <c r="B1223"/>
      <c r="K1223"/>
    </row>
    <row r="1224" spans="2:11" x14ac:dyDescent="0.25">
      <c r="B1224"/>
      <c r="K1224"/>
    </row>
    <row r="1225" spans="2:11" x14ac:dyDescent="0.25">
      <c r="B1225"/>
      <c r="K1225"/>
    </row>
    <row r="1226" spans="2:11" x14ac:dyDescent="0.25">
      <c r="B1226"/>
      <c r="K1226"/>
    </row>
    <row r="1227" spans="2:11" x14ac:dyDescent="0.25">
      <c r="B1227"/>
      <c r="K1227"/>
    </row>
    <row r="1228" spans="2:11" x14ac:dyDescent="0.25">
      <c r="B1228"/>
      <c r="K1228"/>
    </row>
    <row r="1229" spans="2:11" x14ac:dyDescent="0.25">
      <c r="B1229"/>
      <c r="K1229"/>
    </row>
    <row r="1230" spans="2:11" x14ac:dyDescent="0.25">
      <c r="B1230"/>
      <c r="K1230"/>
    </row>
    <row r="1231" spans="2:11" x14ac:dyDescent="0.25">
      <c r="B1231"/>
      <c r="K1231"/>
    </row>
    <row r="1232" spans="2:11" x14ac:dyDescent="0.25">
      <c r="B1232"/>
      <c r="K1232"/>
    </row>
    <row r="1233" spans="2:11" x14ac:dyDescent="0.25">
      <c r="B1233"/>
      <c r="K1233"/>
    </row>
    <row r="1234" spans="2:11" x14ac:dyDescent="0.25">
      <c r="B1234"/>
      <c r="K1234"/>
    </row>
    <row r="1235" spans="2:11" x14ac:dyDescent="0.25">
      <c r="B1235"/>
      <c r="K1235"/>
    </row>
    <row r="1236" spans="2:11" x14ac:dyDescent="0.25">
      <c r="B1236"/>
      <c r="K1236"/>
    </row>
    <row r="1237" spans="2:11" x14ac:dyDescent="0.25">
      <c r="B1237"/>
      <c r="K1237"/>
    </row>
    <row r="1238" spans="2:11" x14ac:dyDescent="0.25">
      <c r="B1238"/>
      <c r="K1238"/>
    </row>
    <row r="1239" spans="2:11" x14ac:dyDescent="0.25">
      <c r="B1239"/>
      <c r="K1239"/>
    </row>
    <row r="1240" spans="2:11" x14ac:dyDescent="0.25">
      <c r="B1240"/>
      <c r="K1240"/>
    </row>
    <row r="1241" spans="2:11" x14ac:dyDescent="0.25">
      <c r="B1241"/>
      <c r="K1241"/>
    </row>
    <row r="1242" spans="2:11" x14ac:dyDescent="0.25">
      <c r="B1242"/>
      <c r="K1242"/>
    </row>
    <row r="1243" spans="2:11" x14ac:dyDescent="0.25">
      <c r="B1243"/>
      <c r="K1243"/>
    </row>
    <row r="1244" spans="2:11" x14ac:dyDescent="0.25">
      <c r="B1244"/>
      <c r="K1244"/>
    </row>
    <row r="1245" spans="2:11" x14ac:dyDescent="0.25">
      <c r="B1245"/>
      <c r="K1245"/>
    </row>
    <row r="1246" spans="2:11" x14ac:dyDescent="0.25">
      <c r="B1246"/>
      <c r="K1246"/>
    </row>
    <row r="1247" spans="2:11" x14ac:dyDescent="0.25">
      <c r="B1247"/>
      <c r="K1247"/>
    </row>
    <row r="1248" spans="2:11" x14ac:dyDescent="0.25">
      <c r="B1248"/>
      <c r="K1248"/>
    </row>
    <row r="1249" spans="2:11" x14ac:dyDescent="0.25">
      <c r="B1249"/>
      <c r="K1249"/>
    </row>
    <row r="1250" spans="2:11" x14ac:dyDescent="0.25">
      <c r="B1250"/>
      <c r="K1250"/>
    </row>
    <row r="1251" spans="2:11" x14ac:dyDescent="0.25">
      <c r="B1251"/>
      <c r="K1251"/>
    </row>
    <row r="1252" spans="2:11" x14ac:dyDescent="0.25">
      <c r="B1252"/>
      <c r="K1252"/>
    </row>
    <row r="1253" spans="2:11" x14ac:dyDescent="0.25">
      <c r="B1253"/>
      <c r="K1253"/>
    </row>
    <row r="1254" spans="2:11" x14ac:dyDescent="0.25">
      <c r="B1254"/>
      <c r="K1254"/>
    </row>
    <row r="1255" spans="2:11" x14ac:dyDescent="0.25">
      <c r="B1255"/>
      <c r="K1255"/>
    </row>
    <row r="1256" spans="2:11" x14ac:dyDescent="0.25">
      <c r="B1256"/>
      <c r="K1256"/>
    </row>
    <row r="1257" spans="2:11" x14ac:dyDescent="0.25">
      <c r="B1257"/>
      <c r="K1257"/>
    </row>
    <row r="1258" spans="2:11" x14ac:dyDescent="0.25">
      <c r="B1258"/>
      <c r="K1258"/>
    </row>
    <row r="1259" spans="2:11" x14ac:dyDescent="0.25">
      <c r="B1259"/>
      <c r="K1259"/>
    </row>
    <row r="1260" spans="2:11" x14ac:dyDescent="0.25">
      <c r="B1260"/>
      <c r="K1260"/>
    </row>
    <row r="1261" spans="2:11" x14ac:dyDescent="0.25">
      <c r="B1261"/>
      <c r="K1261"/>
    </row>
    <row r="1262" spans="2:11" x14ac:dyDescent="0.25">
      <c r="B1262"/>
      <c r="K1262"/>
    </row>
    <row r="1263" spans="2:11" x14ac:dyDescent="0.25">
      <c r="B1263"/>
      <c r="K1263"/>
    </row>
    <row r="1264" spans="2:11" x14ac:dyDescent="0.25">
      <c r="B1264"/>
      <c r="K1264"/>
    </row>
    <row r="1265" spans="2:11" x14ac:dyDescent="0.25">
      <c r="B1265"/>
      <c r="K1265"/>
    </row>
    <row r="1266" spans="2:11" x14ac:dyDescent="0.25">
      <c r="B1266"/>
      <c r="K1266"/>
    </row>
    <row r="1267" spans="2:11" x14ac:dyDescent="0.25">
      <c r="B1267"/>
      <c r="K1267"/>
    </row>
    <row r="1268" spans="2:11" x14ac:dyDescent="0.25">
      <c r="B1268"/>
      <c r="K1268"/>
    </row>
    <row r="1269" spans="2:11" x14ac:dyDescent="0.25">
      <c r="B1269"/>
      <c r="K1269"/>
    </row>
    <row r="1270" spans="2:11" x14ac:dyDescent="0.25">
      <c r="B1270"/>
      <c r="K1270"/>
    </row>
    <row r="1271" spans="2:11" x14ac:dyDescent="0.25">
      <c r="B1271"/>
      <c r="K1271"/>
    </row>
    <row r="1272" spans="2:11" x14ac:dyDescent="0.25">
      <c r="B1272"/>
      <c r="K1272"/>
    </row>
    <row r="1273" spans="2:11" x14ac:dyDescent="0.25">
      <c r="B1273"/>
      <c r="K1273"/>
    </row>
    <row r="1274" spans="2:11" x14ac:dyDescent="0.25">
      <c r="B1274"/>
      <c r="K1274"/>
    </row>
    <row r="1275" spans="2:11" x14ac:dyDescent="0.25">
      <c r="B1275"/>
      <c r="K1275"/>
    </row>
    <row r="1276" spans="2:11" x14ac:dyDescent="0.25">
      <c r="B1276"/>
      <c r="K1276"/>
    </row>
    <row r="1277" spans="2:11" x14ac:dyDescent="0.25">
      <c r="B1277"/>
      <c r="K1277"/>
    </row>
    <row r="1278" spans="2:11" x14ac:dyDescent="0.25">
      <c r="B1278"/>
      <c r="K1278"/>
    </row>
    <row r="1279" spans="2:11" x14ac:dyDescent="0.25">
      <c r="B1279"/>
      <c r="K1279"/>
    </row>
    <row r="1280" spans="2:11" x14ac:dyDescent="0.25">
      <c r="B1280"/>
      <c r="K1280"/>
    </row>
    <row r="1281" spans="2:11" x14ac:dyDescent="0.25">
      <c r="B1281"/>
      <c r="K1281"/>
    </row>
    <row r="1282" spans="2:11" x14ac:dyDescent="0.25">
      <c r="B1282"/>
      <c r="K1282"/>
    </row>
    <row r="1283" spans="2:11" x14ac:dyDescent="0.25">
      <c r="B1283"/>
      <c r="K1283"/>
    </row>
    <row r="1284" spans="2:11" x14ac:dyDescent="0.25">
      <c r="B1284"/>
      <c r="K1284"/>
    </row>
    <row r="1285" spans="2:11" x14ac:dyDescent="0.25">
      <c r="B1285"/>
      <c r="K1285"/>
    </row>
    <row r="1286" spans="2:11" x14ac:dyDescent="0.25">
      <c r="B1286"/>
      <c r="K1286"/>
    </row>
    <row r="1287" spans="2:11" x14ac:dyDescent="0.25">
      <c r="B1287"/>
      <c r="K1287"/>
    </row>
    <row r="1288" spans="2:11" x14ac:dyDescent="0.25">
      <c r="B1288"/>
      <c r="K1288"/>
    </row>
    <row r="1289" spans="2:11" x14ac:dyDescent="0.25">
      <c r="B1289"/>
      <c r="K1289"/>
    </row>
    <row r="1290" spans="2:11" x14ac:dyDescent="0.25">
      <c r="B1290"/>
      <c r="K1290"/>
    </row>
    <row r="1291" spans="2:11" x14ac:dyDescent="0.25">
      <c r="B1291"/>
      <c r="K1291"/>
    </row>
    <row r="1292" spans="2:11" x14ac:dyDescent="0.25">
      <c r="B1292"/>
      <c r="K1292"/>
    </row>
    <row r="1293" spans="2:11" x14ac:dyDescent="0.25">
      <c r="B1293"/>
      <c r="K1293"/>
    </row>
    <row r="1294" spans="2:11" x14ac:dyDescent="0.25">
      <c r="B1294"/>
      <c r="K1294"/>
    </row>
    <row r="1295" spans="2:11" x14ac:dyDescent="0.25">
      <c r="B1295"/>
      <c r="K1295"/>
    </row>
    <row r="1296" spans="2:11" x14ac:dyDescent="0.25">
      <c r="B1296"/>
      <c r="K1296"/>
    </row>
    <row r="1297" spans="2:11" x14ac:dyDescent="0.25">
      <c r="B1297"/>
      <c r="K1297"/>
    </row>
    <row r="1298" spans="2:11" x14ac:dyDescent="0.25">
      <c r="B1298"/>
      <c r="K1298"/>
    </row>
    <row r="1299" spans="2:11" x14ac:dyDescent="0.25">
      <c r="B1299"/>
      <c r="K1299"/>
    </row>
    <row r="1300" spans="2:11" x14ac:dyDescent="0.25">
      <c r="B1300"/>
      <c r="K1300"/>
    </row>
    <row r="1301" spans="2:11" x14ac:dyDescent="0.25">
      <c r="B1301"/>
      <c r="K1301"/>
    </row>
    <row r="1302" spans="2:11" x14ac:dyDescent="0.25">
      <c r="B1302"/>
      <c r="K1302"/>
    </row>
    <row r="1303" spans="2:11" x14ac:dyDescent="0.25">
      <c r="B1303"/>
      <c r="K1303"/>
    </row>
    <row r="1304" spans="2:11" x14ac:dyDescent="0.25">
      <c r="B1304"/>
      <c r="K1304"/>
    </row>
    <row r="1305" spans="2:11" x14ac:dyDescent="0.25">
      <c r="B1305"/>
      <c r="K1305"/>
    </row>
    <row r="1306" spans="2:11" x14ac:dyDescent="0.25">
      <c r="B1306"/>
      <c r="K1306"/>
    </row>
    <row r="1307" spans="2:11" x14ac:dyDescent="0.25">
      <c r="B1307"/>
      <c r="K1307"/>
    </row>
    <row r="1308" spans="2:11" x14ac:dyDescent="0.25">
      <c r="B1308"/>
      <c r="K1308"/>
    </row>
    <row r="1309" spans="2:11" x14ac:dyDescent="0.25">
      <c r="B1309"/>
      <c r="K1309"/>
    </row>
    <row r="1310" spans="2:11" x14ac:dyDescent="0.25">
      <c r="B1310"/>
      <c r="K1310"/>
    </row>
    <row r="1311" spans="2:11" x14ac:dyDescent="0.25">
      <c r="B1311"/>
      <c r="K1311"/>
    </row>
    <row r="1312" spans="2:11" x14ac:dyDescent="0.25">
      <c r="B1312"/>
      <c r="K1312"/>
    </row>
    <row r="1313" spans="2:11" x14ac:dyDescent="0.25">
      <c r="B1313"/>
      <c r="K1313"/>
    </row>
    <row r="1314" spans="2:11" x14ac:dyDescent="0.25">
      <c r="B1314"/>
      <c r="K1314"/>
    </row>
    <row r="1315" spans="2:11" x14ac:dyDescent="0.25">
      <c r="B1315"/>
      <c r="K1315"/>
    </row>
    <row r="1316" spans="2:11" x14ac:dyDescent="0.25">
      <c r="B1316"/>
      <c r="K1316"/>
    </row>
    <row r="1317" spans="2:11" x14ac:dyDescent="0.25">
      <c r="B1317"/>
      <c r="K1317"/>
    </row>
    <row r="1318" spans="2:11" x14ac:dyDescent="0.25">
      <c r="B1318"/>
      <c r="K1318"/>
    </row>
    <row r="1319" spans="2:11" x14ac:dyDescent="0.25">
      <c r="B1319"/>
      <c r="K1319"/>
    </row>
    <row r="1320" spans="2:11" x14ac:dyDescent="0.25">
      <c r="B1320"/>
      <c r="K1320"/>
    </row>
    <row r="1321" spans="2:11" x14ac:dyDescent="0.25">
      <c r="B1321"/>
      <c r="K1321"/>
    </row>
    <row r="1322" spans="2:11" x14ac:dyDescent="0.25">
      <c r="B1322"/>
      <c r="K1322"/>
    </row>
    <row r="1323" spans="2:11" x14ac:dyDescent="0.25">
      <c r="B1323"/>
      <c r="K1323"/>
    </row>
    <row r="1324" spans="2:11" x14ac:dyDescent="0.25">
      <c r="B1324"/>
      <c r="K1324"/>
    </row>
    <row r="1325" spans="2:11" x14ac:dyDescent="0.25">
      <c r="B1325"/>
      <c r="K1325"/>
    </row>
    <row r="1326" spans="2:11" x14ac:dyDescent="0.25">
      <c r="B1326"/>
      <c r="K1326"/>
    </row>
    <row r="1327" spans="2:11" x14ac:dyDescent="0.25">
      <c r="B1327"/>
      <c r="K1327"/>
    </row>
    <row r="1328" spans="2:11" x14ac:dyDescent="0.25">
      <c r="B1328"/>
      <c r="K1328"/>
    </row>
    <row r="1329" spans="2:11" x14ac:dyDescent="0.25">
      <c r="B1329"/>
      <c r="K1329"/>
    </row>
    <row r="1330" spans="2:11" x14ac:dyDescent="0.25">
      <c r="B1330"/>
      <c r="K1330"/>
    </row>
    <row r="1331" spans="2:11" x14ac:dyDescent="0.25">
      <c r="B1331"/>
      <c r="K1331"/>
    </row>
    <row r="1332" spans="2:11" x14ac:dyDescent="0.25">
      <c r="B1332"/>
      <c r="K1332"/>
    </row>
    <row r="1333" spans="2:11" x14ac:dyDescent="0.25">
      <c r="B1333"/>
      <c r="K1333"/>
    </row>
    <row r="1334" spans="2:11" x14ac:dyDescent="0.25">
      <c r="B1334"/>
      <c r="K1334"/>
    </row>
    <row r="1335" spans="2:11" x14ac:dyDescent="0.25">
      <c r="B1335"/>
      <c r="K1335"/>
    </row>
    <row r="1336" spans="2:11" x14ac:dyDescent="0.25">
      <c r="B1336"/>
      <c r="K1336"/>
    </row>
    <row r="1337" spans="2:11" x14ac:dyDescent="0.25">
      <c r="B1337"/>
      <c r="K1337"/>
    </row>
    <row r="1338" spans="2:11" x14ac:dyDescent="0.25">
      <c r="B1338"/>
      <c r="K1338"/>
    </row>
    <row r="1339" spans="2:11" x14ac:dyDescent="0.25">
      <c r="B1339"/>
      <c r="K1339"/>
    </row>
    <row r="1340" spans="2:11" x14ac:dyDescent="0.25">
      <c r="B1340"/>
      <c r="K1340"/>
    </row>
    <row r="1341" spans="2:11" x14ac:dyDescent="0.25">
      <c r="B1341"/>
      <c r="K1341"/>
    </row>
    <row r="1342" spans="2:11" x14ac:dyDescent="0.25">
      <c r="B1342"/>
      <c r="K1342"/>
    </row>
    <row r="1343" spans="2:11" x14ac:dyDescent="0.25">
      <c r="B1343"/>
      <c r="K1343"/>
    </row>
    <row r="1344" spans="2:11" x14ac:dyDescent="0.25">
      <c r="B1344"/>
      <c r="K1344"/>
    </row>
    <row r="1345" spans="2:11" x14ac:dyDescent="0.25">
      <c r="B1345"/>
      <c r="K1345"/>
    </row>
    <row r="1346" spans="2:11" x14ac:dyDescent="0.25">
      <c r="B1346"/>
      <c r="K1346"/>
    </row>
    <row r="1347" spans="2:11" x14ac:dyDescent="0.25">
      <c r="B1347"/>
      <c r="K1347"/>
    </row>
    <row r="1348" spans="2:11" x14ac:dyDescent="0.25">
      <c r="B1348"/>
      <c r="K1348"/>
    </row>
    <row r="1349" spans="2:11" x14ac:dyDescent="0.25">
      <c r="B1349"/>
      <c r="K1349"/>
    </row>
    <row r="1350" spans="2:11" x14ac:dyDescent="0.25">
      <c r="B1350"/>
      <c r="K1350"/>
    </row>
    <row r="1351" spans="2:11" x14ac:dyDescent="0.25">
      <c r="B1351"/>
      <c r="K1351"/>
    </row>
    <row r="1352" spans="2:11" x14ac:dyDescent="0.25">
      <c r="B1352"/>
      <c r="K1352"/>
    </row>
    <row r="1353" spans="2:11" x14ac:dyDescent="0.25">
      <c r="B1353"/>
      <c r="K1353"/>
    </row>
    <row r="1354" spans="2:11" x14ac:dyDescent="0.25">
      <c r="B1354"/>
      <c r="K1354"/>
    </row>
    <row r="1355" spans="2:11" x14ac:dyDescent="0.25">
      <c r="B1355"/>
      <c r="K1355"/>
    </row>
    <row r="1356" spans="2:11" x14ac:dyDescent="0.25">
      <c r="B1356"/>
      <c r="K1356"/>
    </row>
    <row r="1357" spans="2:11" x14ac:dyDescent="0.25">
      <c r="B1357"/>
      <c r="K1357"/>
    </row>
    <row r="1358" spans="2:11" x14ac:dyDescent="0.25">
      <c r="B1358"/>
      <c r="K1358"/>
    </row>
    <row r="1359" spans="2:11" x14ac:dyDescent="0.25">
      <c r="B1359"/>
      <c r="K1359"/>
    </row>
    <row r="1360" spans="2:11" x14ac:dyDescent="0.25">
      <c r="B1360"/>
      <c r="K1360"/>
    </row>
    <row r="1361" spans="2:11" x14ac:dyDescent="0.25">
      <c r="B1361"/>
      <c r="K1361"/>
    </row>
    <row r="1362" spans="2:11" x14ac:dyDescent="0.25">
      <c r="B1362"/>
      <c r="K1362"/>
    </row>
    <row r="1363" spans="2:11" x14ac:dyDescent="0.25">
      <c r="B1363"/>
      <c r="K1363"/>
    </row>
    <row r="1364" spans="2:11" x14ac:dyDescent="0.25">
      <c r="B1364"/>
      <c r="K1364"/>
    </row>
    <row r="1365" spans="2:11" x14ac:dyDescent="0.25">
      <c r="B1365"/>
      <c r="K1365"/>
    </row>
    <row r="1366" spans="2:11" x14ac:dyDescent="0.25">
      <c r="B1366"/>
      <c r="K1366"/>
    </row>
    <row r="1367" spans="2:11" x14ac:dyDescent="0.25">
      <c r="B1367"/>
      <c r="K1367"/>
    </row>
    <row r="1368" spans="2:11" x14ac:dyDescent="0.25">
      <c r="B1368"/>
      <c r="K1368"/>
    </row>
    <row r="1369" spans="2:11" x14ac:dyDescent="0.25">
      <c r="B1369"/>
      <c r="K1369"/>
    </row>
    <row r="1370" spans="2:11" x14ac:dyDescent="0.25">
      <c r="B1370"/>
      <c r="K1370"/>
    </row>
    <row r="1371" spans="2:11" x14ac:dyDescent="0.25">
      <c r="B1371"/>
      <c r="K1371"/>
    </row>
    <row r="1372" spans="2:11" x14ac:dyDescent="0.25">
      <c r="B1372"/>
      <c r="K1372"/>
    </row>
    <row r="1373" spans="2:11" x14ac:dyDescent="0.25">
      <c r="B1373"/>
      <c r="K1373"/>
    </row>
    <row r="1374" spans="2:11" x14ac:dyDescent="0.25">
      <c r="B1374"/>
      <c r="K1374"/>
    </row>
    <row r="1375" spans="2:11" x14ac:dyDescent="0.25">
      <c r="B1375"/>
      <c r="K1375"/>
    </row>
    <row r="1376" spans="2:11" x14ac:dyDescent="0.25">
      <c r="B1376"/>
      <c r="K1376"/>
    </row>
    <row r="1377" spans="2:11" x14ac:dyDescent="0.25">
      <c r="B1377"/>
      <c r="K1377"/>
    </row>
    <row r="1378" spans="2:11" x14ac:dyDescent="0.25">
      <c r="B1378"/>
      <c r="K1378"/>
    </row>
    <row r="1379" spans="2:11" x14ac:dyDescent="0.25">
      <c r="B1379"/>
      <c r="K1379"/>
    </row>
    <row r="1380" spans="2:11" x14ac:dyDescent="0.25">
      <c r="B1380"/>
      <c r="K1380"/>
    </row>
    <row r="1381" spans="2:11" x14ac:dyDescent="0.25">
      <c r="B1381"/>
      <c r="K1381"/>
    </row>
    <row r="1382" spans="2:11" x14ac:dyDescent="0.25">
      <c r="B1382"/>
      <c r="K1382"/>
    </row>
    <row r="1383" spans="2:11" x14ac:dyDescent="0.25">
      <c r="B1383"/>
      <c r="K1383"/>
    </row>
    <row r="1384" spans="2:11" x14ac:dyDescent="0.25">
      <c r="B1384"/>
      <c r="K1384"/>
    </row>
    <row r="1385" spans="2:11" x14ac:dyDescent="0.25">
      <c r="B1385"/>
      <c r="K1385"/>
    </row>
    <row r="1386" spans="2:11" x14ac:dyDescent="0.25">
      <c r="B1386"/>
      <c r="K1386"/>
    </row>
    <row r="1387" spans="2:11" x14ac:dyDescent="0.25">
      <c r="B1387"/>
      <c r="K1387"/>
    </row>
    <row r="1388" spans="2:11" x14ac:dyDescent="0.25">
      <c r="B1388"/>
      <c r="K1388"/>
    </row>
    <row r="1389" spans="2:11" x14ac:dyDescent="0.25">
      <c r="B1389"/>
      <c r="K1389"/>
    </row>
    <row r="1390" spans="2:11" x14ac:dyDescent="0.25">
      <c r="B1390"/>
      <c r="K1390"/>
    </row>
    <row r="1391" spans="2:11" x14ac:dyDescent="0.25">
      <c r="B1391"/>
      <c r="K1391"/>
    </row>
    <row r="1392" spans="2:11" x14ac:dyDescent="0.25">
      <c r="B1392"/>
      <c r="K1392"/>
    </row>
    <row r="1393" spans="2:11" x14ac:dyDescent="0.25">
      <c r="B1393"/>
      <c r="K1393"/>
    </row>
    <row r="1394" spans="2:11" x14ac:dyDescent="0.25">
      <c r="B1394"/>
      <c r="K1394"/>
    </row>
    <row r="1395" spans="2:11" x14ac:dyDescent="0.25">
      <c r="B1395"/>
      <c r="K1395"/>
    </row>
    <row r="1396" spans="2:11" x14ac:dyDescent="0.25">
      <c r="B1396"/>
      <c r="K1396"/>
    </row>
    <row r="1397" spans="2:11" x14ac:dyDescent="0.25">
      <c r="B1397"/>
      <c r="K1397"/>
    </row>
    <row r="1398" spans="2:11" x14ac:dyDescent="0.25">
      <c r="B1398"/>
      <c r="K1398"/>
    </row>
    <row r="1399" spans="2:11" x14ac:dyDescent="0.25">
      <c r="B1399"/>
      <c r="K1399"/>
    </row>
    <row r="1400" spans="2:11" x14ac:dyDescent="0.25">
      <c r="B1400"/>
      <c r="K1400"/>
    </row>
    <row r="1401" spans="2:11" x14ac:dyDescent="0.25">
      <c r="B1401"/>
      <c r="K1401"/>
    </row>
    <row r="1402" spans="2:11" x14ac:dyDescent="0.25">
      <c r="B1402"/>
      <c r="K1402"/>
    </row>
    <row r="1403" spans="2:11" x14ac:dyDescent="0.25">
      <c r="B1403"/>
      <c r="K1403"/>
    </row>
    <row r="1404" spans="2:11" x14ac:dyDescent="0.25">
      <c r="B1404"/>
      <c r="K1404"/>
    </row>
    <row r="1405" spans="2:11" x14ac:dyDescent="0.25">
      <c r="B1405"/>
      <c r="K1405"/>
    </row>
    <row r="1406" spans="2:11" x14ac:dyDescent="0.25">
      <c r="B1406"/>
      <c r="K1406"/>
    </row>
    <row r="1407" spans="2:11" x14ac:dyDescent="0.25">
      <c r="B1407"/>
      <c r="K1407"/>
    </row>
    <row r="1408" spans="2:11" x14ac:dyDescent="0.25">
      <c r="B1408"/>
      <c r="K1408"/>
    </row>
    <row r="1409" spans="2:11" x14ac:dyDescent="0.25">
      <c r="B1409"/>
      <c r="K1409"/>
    </row>
    <row r="1410" spans="2:11" x14ac:dyDescent="0.25">
      <c r="B1410"/>
      <c r="K1410"/>
    </row>
    <row r="1411" spans="2:11" x14ac:dyDescent="0.25">
      <c r="B1411"/>
      <c r="K1411"/>
    </row>
    <row r="1412" spans="2:11" x14ac:dyDescent="0.25">
      <c r="B1412"/>
      <c r="K1412"/>
    </row>
    <row r="1413" spans="2:11" x14ac:dyDescent="0.25">
      <c r="B1413"/>
      <c r="K1413"/>
    </row>
    <row r="1414" spans="2:11" x14ac:dyDescent="0.25">
      <c r="B1414"/>
      <c r="K1414"/>
    </row>
    <row r="1415" spans="2:11" x14ac:dyDescent="0.25">
      <c r="B1415"/>
      <c r="K1415"/>
    </row>
    <row r="1416" spans="2:11" x14ac:dyDescent="0.25">
      <c r="B1416"/>
      <c r="K1416"/>
    </row>
    <row r="1417" spans="2:11" x14ac:dyDescent="0.25">
      <c r="B1417"/>
      <c r="K1417"/>
    </row>
    <row r="1418" spans="2:11" x14ac:dyDescent="0.25">
      <c r="B1418"/>
      <c r="K1418"/>
    </row>
    <row r="1419" spans="2:11" x14ac:dyDescent="0.25">
      <c r="B1419"/>
      <c r="K1419"/>
    </row>
    <row r="1420" spans="2:11" x14ac:dyDescent="0.25">
      <c r="B1420"/>
      <c r="K1420"/>
    </row>
    <row r="1421" spans="2:11" x14ac:dyDescent="0.25">
      <c r="B1421"/>
      <c r="K1421"/>
    </row>
    <row r="1422" spans="2:11" x14ac:dyDescent="0.25">
      <c r="B1422"/>
      <c r="K1422"/>
    </row>
    <row r="1423" spans="2:11" x14ac:dyDescent="0.25">
      <c r="B1423"/>
      <c r="K1423"/>
    </row>
    <row r="1424" spans="2:11" x14ac:dyDescent="0.25">
      <c r="B1424"/>
      <c r="K1424"/>
    </row>
    <row r="1425" spans="2:11" x14ac:dyDescent="0.25">
      <c r="B1425"/>
      <c r="K1425"/>
    </row>
    <row r="1426" spans="2:11" x14ac:dyDescent="0.25">
      <c r="B1426"/>
      <c r="K1426"/>
    </row>
    <row r="1427" spans="2:11" x14ac:dyDescent="0.25">
      <c r="B1427"/>
      <c r="K1427"/>
    </row>
    <row r="1428" spans="2:11" x14ac:dyDescent="0.25">
      <c r="B1428"/>
      <c r="K1428"/>
    </row>
    <row r="1429" spans="2:11" x14ac:dyDescent="0.25">
      <c r="B1429"/>
      <c r="K1429"/>
    </row>
    <row r="1430" spans="2:11" x14ac:dyDescent="0.25">
      <c r="B1430"/>
      <c r="K1430"/>
    </row>
    <row r="1431" spans="2:11" x14ac:dyDescent="0.25">
      <c r="B1431"/>
      <c r="K1431"/>
    </row>
    <row r="1432" spans="2:11" x14ac:dyDescent="0.25">
      <c r="B1432"/>
      <c r="K1432"/>
    </row>
    <row r="1433" spans="2:11" x14ac:dyDescent="0.25">
      <c r="B1433"/>
      <c r="K1433"/>
    </row>
    <row r="1434" spans="2:11" x14ac:dyDescent="0.25">
      <c r="B1434"/>
      <c r="K1434"/>
    </row>
    <row r="1435" spans="2:11" x14ac:dyDescent="0.25">
      <c r="B1435"/>
      <c r="K1435"/>
    </row>
    <row r="1436" spans="2:11" x14ac:dyDescent="0.25">
      <c r="B1436"/>
      <c r="K1436"/>
    </row>
    <row r="1437" spans="2:11" x14ac:dyDescent="0.25">
      <c r="B1437"/>
      <c r="K1437"/>
    </row>
    <row r="1438" spans="2:11" x14ac:dyDescent="0.25">
      <c r="B1438"/>
      <c r="K1438"/>
    </row>
    <row r="1439" spans="2:11" x14ac:dyDescent="0.25">
      <c r="B1439"/>
      <c r="K1439"/>
    </row>
    <row r="1440" spans="2:11" x14ac:dyDescent="0.25">
      <c r="B1440"/>
      <c r="K1440"/>
    </row>
    <row r="1441" spans="2:11" x14ac:dyDescent="0.25">
      <c r="B1441"/>
      <c r="K1441"/>
    </row>
    <row r="1442" spans="2:11" x14ac:dyDescent="0.25">
      <c r="B1442"/>
      <c r="K1442"/>
    </row>
    <row r="1443" spans="2:11" x14ac:dyDescent="0.25">
      <c r="B1443"/>
      <c r="K1443"/>
    </row>
    <row r="1444" spans="2:11" x14ac:dyDescent="0.25">
      <c r="B1444"/>
      <c r="K1444"/>
    </row>
    <row r="1445" spans="2:11" x14ac:dyDescent="0.25">
      <c r="B1445"/>
      <c r="K1445"/>
    </row>
    <row r="1446" spans="2:11" x14ac:dyDescent="0.25">
      <c r="B1446"/>
      <c r="K1446"/>
    </row>
    <row r="1447" spans="2:11" x14ac:dyDescent="0.25">
      <c r="B1447"/>
      <c r="K1447"/>
    </row>
    <row r="1448" spans="2:11" x14ac:dyDescent="0.25">
      <c r="B1448"/>
      <c r="K1448"/>
    </row>
    <row r="1449" spans="2:11" x14ac:dyDescent="0.25">
      <c r="B1449"/>
      <c r="K1449"/>
    </row>
    <row r="1450" spans="2:11" x14ac:dyDescent="0.25">
      <c r="B1450"/>
      <c r="K1450"/>
    </row>
    <row r="1451" spans="2:11" x14ac:dyDescent="0.25">
      <c r="B1451"/>
      <c r="K1451"/>
    </row>
    <row r="1452" spans="2:11" x14ac:dyDescent="0.25">
      <c r="B1452"/>
      <c r="K1452"/>
    </row>
    <row r="1453" spans="2:11" x14ac:dyDescent="0.25">
      <c r="B1453"/>
      <c r="K1453"/>
    </row>
    <row r="1454" spans="2:11" x14ac:dyDescent="0.25">
      <c r="B1454"/>
      <c r="K1454"/>
    </row>
    <row r="1455" spans="2:11" x14ac:dyDescent="0.25">
      <c r="B1455"/>
      <c r="K1455"/>
    </row>
    <row r="1456" spans="2:11" x14ac:dyDescent="0.25">
      <c r="B1456"/>
      <c r="K1456"/>
    </row>
    <row r="1457" spans="2:11" x14ac:dyDescent="0.25">
      <c r="B1457"/>
      <c r="K1457"/>
    </row>
    <row r="1458" spans="2:11" x14ac:dyDescent="0.25">
      <c r="B1458"/>
      <c r="K1458"/>
    </row>
    <row r="1459" spans="2:11" x14ac:dyDescent="0.25">
      <c r="B1459"/>
      <c r="K1459"/>
    </row>
    <row r="1460" spans="2:11" x14ac:dyDescent="0.25">
      <c r="B1460"/>
      <c r="K1460"/>
    </row>
    <row r="1461" spans="2:11" x14ac:dyDescent="0.25">
      <c r="B1461"/>
      <c r="K1461"/>
    </row>
    <row r="1462" spans="2:11" x14ac:dyDescent="0.25">
      <c r="B1462"/>
      <c r="K1462"/>
    </row>
    <row r="1463" spans="2:11" x14ac:dyDescent="0.25">
      <c r="B1463"/>
      <c r="K1463"/>
    </row>
    <row r="1464" spans="2:11" x14ac:dyDescent="0.25">
      <c r="B1464"/>
      <c r="K1464"/>
    </row>
    <row r="1465" spans="2:11" x14ac:dyDescent="0.25">
      <c r="B1465"/>
      <c r="K1465"/>
    </row>
    <row r="1466" spans="2:11" x14ac:dyDescent="0.25">
      <c r="B1466"/>
      <c r="K1466"/>
    </row>
    <row r="1467" spans="2:11" x14ac:dyDescent="0.25">
      <c r="B1467"/>
      <c r="K1467"/>
    </row>
    <row r="1468" spans="2:11" x14ac:dyDescent="0.25">
      <c r="B1468"/>
      <c r="K1468"/>
    </row>
    <row r="1469" spans="2:11" x14ac:dyDescent="0.25">
      <c r="B1469"/>
      <c r="K1469"/>
    </row>
    <row r="1470" spans="2:11" x14ac:dyDescent="0.25">
      <c r="B1470"/>
      <c r="K1470"/>
    </row>
    <row r="1471" spans="2:11" x14ac:dyDescent="0.25">
      <c r="B1471"/>
      <c r="K1471"/>
    </row>
    <row r="1472" spans="2:11" x14ac:dyDescent="0.25">
      <c r="B1472"/>
      <c r="K1472"/>
    </row>
    <row r="1473" spans="2:11" x14ac:dyDescent="0.25">
      <c r="B1473"/>
      <c r="K1473"/>
    </row>
    <row r="1474" spans="2:11" x14ac:dyDescent="0.25">
      <c r="B1474"/>
      <c r="K1474"/>
    </row>
    <row r="1475" spans="2:11" x14ac:dyDescent="0.25">
      <c r="B1475"/>
      <c r="K1475"/>
    </row>
    <row r="1476" spans="2:11" x14ac:dyDescent="0.25">
      <c r="B1476"/>
      <c r="K1476"/>
    </row>
    <row r="1477" spans="2:11" x14ac:dyDescent="0.25">
      <c r="B1477"/>
      <c r="K1477"/>
    </row>
    <row r="1478" spans="2:11" x14ac:dyDescent="0.25">
      <c r="B1478"/>
      <c r="K1478"/>
    </row>
    <row r="1479" spans="2:11" x14ac:dyDescent="0.25">
      <c r="B1479"/>
      <c r="K1479"/>
    </row>
    <row r="1480" spans="2:11" x14ac:dyDescent="0.25">
      <c r="B1480"/>
      <c r="K1480"/>
    </row>
    <row r="1481" spans="2:11" x14ac:dyDescent="0.25">
      <c r="B1481"/>
      <c r="K1481"/>
    </row>
    <row r="1482" spans="2:11" x14ac:dyDescent="0.25">
      <c r="B1482"/>
      <c r="K1482"/>
    </row>
    <row r="1483" spans="2:11" x14ac:dyDescent="0.25">
      <c r="B1483"/>
      <c r="K1483"/>
    </row>
    <row r="1484" spans="2:11" x14ac:dyDescent="0.25">
      <c r="B1484"/>
      <c r="K1484"/>
    </row>
    <row r="1485" spans="2:11" x14ac:dyDescent="0.25">
      <c r="B1485"/>
      <c r="K1485"/>
    </row>
    <row r="1486" spans="2:11" x14ac:dyDescent="0.25">
      <c r="B1486"/>
      <c r="K1486"/>
    </row>
    <row r="1487" spans="2:11" x14ac:dyDescent="0.25">
      <c r="B1487"/>
      <c r="K1487"/>
    </row>
    <row r="1488" spans="2:11" x14ac:dyDescent="0.25">
      <c r="B1488"/>
      <c r="K1488"/>
    </row>
    <row r="1489" spans="2:11" x14ac:dyDescent="0.25">
      <c r="B1489"/>
      <c r="K1489"/>
    </row>
    <row r="1490" spans="2:11" x14ac:dyDescent="0.25">
      <c r="B1490"/>
      <c r="K1490"/>
    </row>
    <row r="1491" spans="2:11" x14ac:dyDescent="0.25">
      <c r="B1491"/>
      <c r="K1491"/>
    </row>
    <row r="1492" spans="2:11" x14ac:dyDescent="0.25">
      <c r="B1492"/>
      <c r="K1492"/>
    </row>
    <row r="1493" spans="2:11" x14ac:dyDescent="0.25">
      <c r="B1493"/>
      <c r="K1493"/>
    </row>
    <row r="1494" spans="2:11" x14ac:dyDescent="0.25">
      <c r="B1494"/>
      <c r="K1494"/>
    </row>
    <row r="1495" spans="2:11" x14ac:dyDescent="0.25">
      <c r="B1495"/>
      <c r="K1495"/>
    </row>
    <row r="1496" spans="2:11" x14ac:dyDescent="0.25">
      <c r="B1496"/>
      <c r="K1496"/>
    </row>
    <row r="1497" spans="2:11" x14ac:dyDescent="0.25">
      <c r="B1497"/>
      <c r="K1497"/>
    </row>
    <row r="1498" spans="2:11" x14ac:dyDescent="0.25">
      <c r="B1498"/>
      <c r="K1498"/>
    </row>
    <row r="1499" spans="2:11" x14ac:dyDescent="0.25">
      <c r="B1499"/>
      <c r="K1499"/>
    </row>
    <row r="1500" spans="2:11" x14ac:dyDescent="0.25">
      <c r="B1500"/>
      <c r="K1500"/>
    </row>
    <row r="1501" spans="2:11" x14ac:dyDescent="0.25">
      <c r="B1501"/>
      <c r="K1501"/>
    </row>
    <row r="1502" spans="2:11" x14ac:dyDescent="0.25">
      <c r="B1502"/>
      <c r="K1502"/>
    </row>
    <row r="1503" spans="2:11" x14ac:dyDescent="0.25">
      <c r="B1503"/>
      <c r="K1503"/>
    </row>
    <row r="1504" spans="2:11" x14ac:dyDescent="0.25">
      <c r="B1504"/>
      <c r="K1504"/>
    </row>
    <row r="1505" spans="2:11" x14ac:dyDescent="0.25">
      <c r="B1505"/>
      <c r="K1505"/>
    </row>
    <row r="1506" spans="2:11" x14ac:dyDescent="0.25">
      <c r="B1506"/>
      <c r="K1506"/>
    </row>
    <row r="1507" spans="2:11" x14ac:dyDescent="0.25">
      <c r="B1507"/>
      <c r="K1507"/>
    </row>
    <row r="1508" spans="2:11" x14ac:dyDescent="0.25">
      <c r="B1508"/>
      <c r="K1508"/>
    </row>
    <row r="1509" spans="2:11" x14ac:dyDescent="0.25">
      <c r="B1509"/>
      <c r="K1509"/>
    </row>
    <row r="1510" spans="2:11" x14ac:dyDescent="0.25">
      <c r="B1510"/>
      <c r="K1510"/>
    </row>
    <row r="1511" spans="2:11" x14ac:dyDescent="0.25">
      <c r="B1511"/>
      <c r="K1511"/>
    </row>
    <row r="1512" spans="2:11" x14ac:dyDescent="0.25">
      <c r="B1512"/>
      <c r="K1512"/>
    </row>
    <row r="1513" spans="2:11" x14ac:dyDescent="0.25">
      <c r="B1513"/>
      <c r="K1513"/>
    </row>
    <row r="1514" spans="2:11" x14ac:dyDescent="0.25">
      <c r="B1514"/>
      <c r="K1514"/>
    </row>
    <row r="1515" spans="2:11" x14ac:dyDescent="0.25">
      <c r="B1515"/>
      <c r="K1515"/>
    </row>
    <row r="1516" spans="2:11" x14ac:dyDescent="0.25">
      <c r="B1516"/>
      <c r="K1516"/>
    </row>
    <row r="1517" spans="2:11" x14ac:dyDescent="0.25">
      <c r="B1517"/>
      <c r="K1517"/>
    </row>
    <row r="1518" spans="2:11" x14ac:dyDescent="0.25">
      <c r="B1518"/>
      <c r="K1518"/>
    </row>
    <row r="1519" spans="2:11" x14ac:dyDescent="0.25">
      <c r="B1519"/>
      <c r="K1519"/>
    </row>
    <row r="1520" spans="2:11" x14ac:dyDescent="0.25">
      <c r="B1520"/>
      <c r="K1520"/>
    </row>
    <row r="1521" spans="2:11" x14ac:dyDescent="0.25">
      <c r="B1521"/>
      <c r="K1521"/>
    </row>
    <row r="1522" spans="2:11" x14ac:dyDescent="0.25">
      <c r="B1522"/>
      <c r="K1522"/>
    </row>
    <row r="1523" spans="2:11" x14ac:dyDescent="0.25">
      <c r="B1523"/>
      <c r="K1523"/>
    </row>
    <row r="1524" spans="2:11" x14ac:dyDescent="0.25">
      <c r="B1524"/>
      <c r="K1524"/>
    </row>
    <row r="1525" spans="2:11" x14ac:dyDescent="0.25">
      <c r="B1525"/>
      <c r="K1525"/>
    </row>
    <row r="1526" spans="2:11" x14ac:dyDescent="0.25">
      <c r="B1526"/>
      <c r="K1526"/>
    </row>
    <row r="1527" spans="2:11" x14ac:dyDescent="0.25">
      <c r="B1527"/>
      <c r="K1527"/>
    </row>
    <row r="1528" spans="2:11" x14ac:dyDescent="0.25">
      <c r="B1528"/>
      <c r="K1528"/>
    </row>
    <row r="1529" spans="2:11" x14ac:dyDescent="0.25">
      <c r="B1529"/>
      <c r="K1529"/>
    </row>
    <row r="1530" spans="2:11" x14ac:dyDescent="0.25">
      <c r="B1530"/>
      <c r="K1530"/>
    </row>
    <row r="1531" spans="2:11" x14ac:dyDescent="0.25">
      <c r="B1531"/>
      <c r="K1531"/>
    </row>
    <row r="1532" spans="2:11" x14ac:dyDescent="0.25">
      <c r="B1532"/>
      <c r="K1532"/>
    </row>
    <row r="1533" spans="2:11" x14ac:dyDescent="0.25">
      <c r="B1533"/>
      <c r="K1533"/>
    </row>
    <row r="1534" spans="2:11" x14ac:dyDescent="0.25">
      <c r="B1534"/>
      <c r="K1534"/>
    </row>
    <row r="1535" spans="2:11" x14ac:dyDescent="0.25">
      <c r="B1535"/>
      <c r="K1535"/>
    </row>
    <row r="1536" spans="2:11" x14ac:dyDescent="0.25">
      <c r="B1536"/>
      <c r="K1536"/>
    </row>
    <row r="1537" spans="2:11" x14ac:dyDescent="0.25">
      <c r="B1537"/>
      <c r="K1537"/>
    </row>
    <row r="1538" spans="2:11" x14ac:dyDescent="0.25">
      <c r="B1538"/>
      <c r="K1538"/>
    </row>
    <row r="1539" spans="2:11" x14ac:dyDescent="0.25">
      <c r="B1539"/>
      <c r="K1539"/>
    </row>
    <row r="1540" spans="2:11" x14ac:dyDescent="0.25">
      <c r="B1540"/>
      <c r="K1540"/>
    </row>
    <row r="1541" spans="2:11" x14ac:dyDescent="0.25">
      <c r="B1541"/>
      <c r="K1541"/>
    </row>
    <row r="1542" spans="2:11" x14ac:dyDescent="0.25">
      <c r="B1542"/>
      <c r="K1542"/>
    </row>
    <row r="1543" spans="2:11" x14ac:dyDescent="0.25">
      <c r="B1543"/>
      <c r="K1543"/>
    </row>
    <row r="1544" spans="2:11" x14ac:dyDescent="0.25">
      <c r="B1544"/>
      <c r="K1544"/>
    </row>
    <row r="1545" spans="2:11" x14ac:dyDescent="0.25">
      <c r="B1545"/>
      <c r="K1545"/>
    </row>
    <row r="1546" spans="2:11" x14ac:dyDescent="0.25">
      <c r="B1546"/>
      <c r="K1546"/>
    </row>
    <row r="1547" spans="2:11" x14ac:dyDescent="0.25">
      <c r="B1547"/>
      <c r="K1547"/>
    </row>
    <row r="1548" spans="2:11" x14ac:dyDescent="0.25">
      <c r="B1548"/>
      <c r="K1548"/>
    </row>
    <row r="1549" spans="2:11" x14ac:dyDescent="0.25">
      <c r="B1549"/>
      <c r="K1549"/>
    </row>
    <row r="1550" spans="2:11" x14ac:dyDescent="0.25">
      <c r="B1550"/>
      <c r="K1550"/>
    </row>
    <row r="1551" spans="2:11" x14ac:dyDescent="0.25">
      <c r="B1551"/>
      <c r="K1551"/>
    </row>
    <row r="1552" spans="2:11" x14ac:dyDescent="0.25">
      <c r="B1552"/>
      <c r="K1552"/>
    </row>
    <row r="1553" spans="2:11" x14ac:dyDescent="0.25">
      <c r="B1553"/>
      <c r="K1553"/>
    </row>
    <row r="1554" spans="2:11" x14ac:dyDescent="0.25">
      <c r="B1554"/>
      <c r="K1554"/>
    </row>
    <row r="1555" spans="2:11" x14ac:dyDescent="0.25">
      <c r="B1555"/>
      <c r="K1555"/>
    </row>
    <row r="1556" spans="2:11" x14ac:dyDescent="0.25">
      <c r="B1556"/>
      <c r="K1556"/>
    </row>
    <row r="1557" spans="2:11" x14ac:dyDescent="0.25">
      <c r="B1557"/>
      <c r="K1557"/>
    </row>
    <row r="1558" spans="2:11" x14ac:dyDescent="0.25">
      <c r="B1558"/>
      <c r="K1558"/>
    </row>
    <row r="1559" spans="2:11" x14ac:dyDescent="0.25">
      <c r="B1559"/>
      <c r="K1559"/>
    </row>
    <row r="1560" spans="2:11" x14ac:dyDescent="0.25">
      <c r="B1560"/>
      <c r="K1560"/>
    </row>
    <row r="1561" spans="2:11" x14ac:dyDescent="0.25">
      <c r="B1561"/>
      <c r="K1561"/>
    </row>
    <row r="1562" spans="2:11" x14ac:dyDescent="0.25">
      <c r="B1562"/>
      <c r="K1562"/>
    </row>
    <row r="1563" spans="2:11" x14ac:dyDescent="0.25">
      <c r="B1563"/>
      <c r="K1563"/>
    </row>
    <row r="1564" spans="2:11" x14ac:dyDescent="0.25">
      <c r="B1564"/>
      <c r="K1564"/>
    </row>
    <row r="1565" spans="2:11" x14ac:dyDescent="0.25">
      <c r="B1565"/>
      <c r="K1565"/>
    </row>
    <row r="1566" spans="2:11" x14ac:dyDescent="0.25">
      <c r="B1566"/>
      <c r="K1566"/>
    </row>
    <row r="1567" spans="2:11" x14ac:dyDescent="0.25">
      <c r="B1567"/>
      <c r="K1567"/>
    </row>
    <row r="1568" spans="2:11" x14ac:dyDescent="0.25">
      <c r="B1568"/>
      <c r="K1568"/>
    </row>
    <row r="1569" spans="2:11" x14ac:dyDescent="0.25">
      <c r="B1569"/>
      <c r="K1569"/>
    </row>
    <row r="1570" spans="2:11" x14ac:dyDescent="0.25">
      <c r="B1570"/>
      <c r="K1570"/>
    </row>
    <row r="1571" spans="2:11" x14ac:dyDescent="0.25">
      <c r="B1571"/>
      <c r="K1571"/>
    </row>
    <row r="1572" spans="2:11" x14ac:dyDescent="0.25">
      <c r="B1572"/>
      <c r="K1572"/>
    </row>
    <row r="1573" spans="2:11" x14ac:dyDescent="0.25">
      <c r="B1573"/>
      <c r="K1573"/>
    </row>
    <row r="1574" spans="2:11" x14ac:dyDescent="0.25">
      <c r="B1574"/>
      <c r="K1574"/>
    </row>
    <row r="1575" spans="2:11" x14ac:dyDescent="0.25">
      <c r="B1575"/>
      <c r="K1575"/>
    </row>
    <row r="1576" spans="2:11" x14ac:dyDescent="0.25">
      <c r="B1576"/>
      <c r="K1576"/>
    </row>
    <row r="1577" spans="2:11" x14ac:dyDescent="0.25">
      <c r="B1577"/>
      <c r="K1577"/>
    </row>
    <row r="1578" spans="2:11" x14ac:dyDescent="0.25">
      <c r="B1578"/>
      <c r="K1578"/>
    </row>
    <row r="1579" spans="2:11" x14ac:dyDescent="0.25">
      <c r="B1579"/>
      <c r="K1579"/>
    </row>
    <row r="1580" spans="2:11" x14ac:dyDescent="0.25">
      <c r="B1580"/>
      <c r="K1580"/>
    </row>
    <row r="1581" spans="2:11" x14ac:dyDescent="0.25">
      <c r="B1581"/>
      <c r="K1581"/>
    </row>
    <row r="1582" spans="2:11" x14ac:dyDescent="0.25">
      <c r="B1582"/>
      <c r="K1582"/>
    </row>
    <row r="1583" spans="2:11" x14ac:dyDescent="0.25">
      <c r="B1583"/>
      <c r="K1583"/>
    </row>
    <row r="1584" spans="2:11" x14ac:dyDescent="0.25">
      <c r="B1584"/>
      <c r="K1584"/>
    </row>
    <row r="1585" spans="2:11" x14ac:dyDescent="0.25">
      <c r="B1585"/>
      <c r="K1585"/>
    </row>
    <row r="1586" spans="2:11" x14ac:dyDescent="0.25">
      <c r="B1586"/>
      <c r="K1586"/>
    </row>
    <row r="1587" spans="2:11" x14ac:dyDescent="0.25">
      <c r="B1587"/>
      <c r="K1587"/>
    </row>
    <row r="1588" spans="2:11" x14ac:dyDescent="0.25">
      <c r="B1588"/>
      <c r="K1588"/>
    </row>
    <row r="1589" spans="2:11" x14ac:dyDescent="0.25">
      <c r="B1589"/>
      <c r="K1589"/>
    </row>
    <row r="1590" spans="2:11" x14ac:dyDescent="0.25">
      <c r="B1590"/>
      <c r="K1590"/>
    </row>
    <row r="1591" spans="2:11" x14ac:dyDescent="0.25">
      <c r="B1591"/>
      <c r="K1591"/>
    </row>
    <row r="1592" spans="2:11" x14ac:dyDescent="0.25">
      <c r="B1592"/>
      <c r="K1592"/>
    </row>
    <row r="1593" spans="2:11" x14ac:dyDescent="0.25">
      <c r="B1593"/>
      <c r="K1593"/>
    </row>
    <row r="1594" spans="2:11" x14ac:dyDescent="0.25">
      <c r="B1594"/>
      <c r="K1594"/>
    </row>
    <row r="1595" spans="2:11" x14ac:dyDescent="0.25">
      <c r="B1595"/>
      <c r="K1595"/>
    </row>
    <row r="1596" spans="2:11" x14ac:dyDescent="0.25">
      <c r="B1596"/>
      <c r="K1596"/>
    </row>
    <row r="1597" spans="2:11" x14ac:dyDescent="0.25">
      <c r="B1597"/>
      <c r="K1597"/>
    </row>
    <row r="1598" spans="2:11" x14ac:dyDescent="0.25">
      <c r="B1598"/>
      <c r="K1598"/>
    </row>
    <row r="1599" spans="2:11" x14ac:dyDescent="0.25">
      <c r="B1599"/>
      <c r="K1599"/>
    </row>
    <row r="1600" spans="2:11" x14ac:dyDescent="0.25">
      <c r="B1600"/>
      <c r="K1600"/>
    </row>
    <row r="1601" spans="2:11" x14ac:dyDescent="0.25">
      <c r="B1601"/>
      <c r="K1601"/>
    </row>
    <row r="1602" spans="2:11" x14ac:dyDescent="0.25">
      <c r="B1602"/>
      <c r="K1602"/>
    </row>
    <row r="1603" spans="2:11" x14ac:dyDescent="0.25">
      <c r="B1603"/>
      <c r="K1603"/>
    </row>
    <row r="1604" spans="2:11" x14ac:dyDescent="0.25">
      <c r="B1604"/>
      <c r="K1604"/>
    </row>
    <row r="1605" spans="2:11" x14ac:dyDescent="0.25">
      <c r="B1605"/>
      <c r="K1605"/>
    </row>
    <row r="1606" spans="2:11" x14ac:dyDescent="0.25">
      <c r="B1606"/>
      <c r="K1606"/>
    </row>
    <row r="1607" spans="2:11" x14ac:dyDescent="0.25">
      <c r="B1607"/>
      <c r="K1607"/>
    </row>
    <row r="1608" spans="2:11" x14ac:dyDescent="0.25">
      <c r="B1608"/>
      <c r="K1608"/>
    </row>
    <row r="1609" spans="2:11" x14ac:dyDescent="0.25">
      <c r="B1609"/>
      <c r="K1609"/>
    </row>
    <row r="1610" spans="2:11" x14ac:dyDescent="0.25">
      <c r="B1610"/>
      <c r="K1610"/>
    </row>
    <row r="1611" spans="2:11" x14ac:dyDescent="0.25">
      <c r="B1611"/>
      <c r="K1611"/>
    </row>
    <row r="1612" spans="2:11" x14ac:dyDescent="0.25">
      <c r="B1612"/>
      <c r="K1612"/>
    </row>
    <row r="1613" spans="2:11" x14ac:dyDescent="0.25">
      <c r="B1613"/>
      <c r="K1613"/>
    </row>
    <row r="1614" spans="2:11" x14ac:dyDescent="0.25">
      <c r="B1614"/>
      <c r="K1614"/>
    </row>
    <row r="1615" spans="2:11" x14ac:dyDescent="0.25">
      <c r="B1615"/>
      <c r="K1615"/>
    </row>
    <row r="1616" spans="2:11" x14ac:dyDescent="0.25">
      <c r="B1616"/>
      <c r="K1616"/>
    </row>
    <row r="1617" spans="2:11" x14ac:dyDescent="0.25">
      <c r="B1617"/>
      <c r="K1617"/>
    </row>
    <row r="1618" spans="2:11" x14ac:dyDescent="0.25">
      <c r="B1618"/>
      <c r="K1618"/>
    </row>
    <row r="1619" spans="2:11" x14ac:dyDescent="0.25">
      <c r="B1619"/>
      <c r="K1619"/>
    </row>
    <row r="1620" spans="2:11" x14ac:dyDescent="0.25">
      <c r="B1620"/>
      <c r="K1620"/>
    </row>
    <row r="1621" spans="2:11" x14ac:dyDescent="0.25">
      <c r="B1621"/>
      <c r="K1621"/>
    </row>
    <row r="1622" spans="2:11" x14ac:dyDescent="0.25">
      <c r="B1622"/>
      <c r="K1622"/>
    </row>
    <row r="1623" spans="2:11" x14ac:dyDescent="0.25">
      <c r="B1623"/>
      <c r="K1623"/>
    </row>
    <row r="1624" spans="2:11" x14ac:dyDescent="0.25">
      <c r="B1624"/>
      <c r="K1624"/>
    </row>
    <row r="1625" spans="2:11" x14ac:dyDescent="0.25">
      <c r="B1625"/>
      <c r="K1625"/>
    </row>
    <row r="1626" spans="2:11" x14ac:dyDescent="0.25">
      <c r="B1626"/>
      <c r="K1626"/>
    </row>
    <row r="1627" spans="2:11" x14ac:dyDescent="0.25">
      <c r="B1627"/>
      <c r="K1627"/>
    </row>
    <row r="1628" spans="2:11" x14ac:dyDescent="0.25">
      <c r="B1628"/>
      <c r="K1628"/>
    </row>
    <row r="1629" spans="2:11" x14ac:dyDescent="0.25">
      <c r="B1629"/>
      <c r="K1629"/>
    </row>
    <row r="1630" spans="2:11" x14ac:dyDescent="0.25">
      <c r="B1630"/>
      <c r="K1630"/>
    </row>
    <row r="1631" spans="2:11" x14ac:dyDescent="0.25">
      <c r="B1631"/>
      <c r="K1631"/>
    </row>
    <row r="1632" spans="2:11" x14ac:dyDescent="0.25">
      <c r="B1632"/>
      <c r="K1632"/>
    </row>
    <row r="1633" spans="2:11" x14ac:dyDescent="0.25">
      <c r="B1633"/>
      <c r="K1633"/>
    </row>
    <row r="1634" spans="2:11" x14ac:dyDescent="0.25">
      <c r="B1634"/>
      <c r="K1634"/>
    </row>
    <row r="1635" spans="2:11" x14ac:dyDescent="0.25">
      <c r="B1635"/>
      <c r="K1635"/>
    </row>
    <row r="1636" spans="2:11" x14ac:dyDescent="0.25">
      <c r="B1636"/>
      <c r="K1636"/>
    </row>
    <row r="1637" spans="2:11" x14ac:dyDescent="0.25">
      <c r="B1637"/>
      <c r="K1637"/>
    </row>
    <row r="1638" spans="2:11" x14ac:dyDescent="0.25">
      <c r="B1638"/>
      <c r="K1638"/>
    </row>
    <row r="1639" spans="2:11" x14ac:dyDescent="0.25">
      <c r="B1639"/>
      <c r="K1639"/>
    </row>
    <row r="1640" spans="2:11" x14ac:dyDescent="0.25">
      <c r="B1640"/>
      <c r="K1640"/>
    </row>
    <row r="1641" spans="2:11" x14ac:dyDescent="0.25">
      <c r="B1641"/>
      <c r="K1641"/>
    </row>
    <row r="1642" spans="2:11" x14ac:dyDescent="0.25">
      <c r="B1642"/>
      <c r="K1642"/>
    </row>
    <row r="1643" spans="2:11" x14ac:dyDescent="0.25">
      <c r="B1643"/>
      <c r="K1643"/>
    </row>
    <row r="1644" spans="2:11" x14ac:dyDescent="0.25">
      <c r="B1644"/>
      <c r="K1644"/>
    </row>
    <row r="1645" spans="2:11" x14ac:dyDescent="0.25">
      <c r="B1645"/>
      <c r="K1645"/>
    </row>
    <row r="1646" spans="2:11" x14ac:dyDescent="0.25">
      <c r="B1646"/>
      <c r="K1646"/>
    </row>
    <row r="1647" spans="2:11" x14ac:dyDescent="0.25">
      <c r="B1647"/>
      <c r="K1647"/>
    </row>
    <row r="1648" spans="2:11" x14ac:dyDescent="0.25">
      <c r="B1648"/>
      <c r="K1648"/>
    </row>
    <row r="1649" spans="2:11" x14ac:dyDescent="0.25">
      <c r="B1649"/>
      <c r="K1649"/>
    </row>
    <row r="1650" spans="2:11" x14ac:dyDescent="0.25">
      <c r="B1650"/>
      <c r="K1650"/>
    </row>
    <row r="1651" spans="2:11" x14ac:dyDescent="0.25">
      <c r="B1651"/>
      <c r="K1651"/>
    </row>
    <row r="1652" spans="2:11" x14ac:dyDescent="0.25">
      <c r="B1652"/>
      <c r="K1652"/>
    </row>
    <row r="1653" spans="2:11" x14ac:dyDescent="0.25">
      <c r="B1653"/>
      <c r="K1653"/>
    </row>
    <row r="1654" spans="2:11" x14ac:dyDescent="0.25">
      <c r="B1654"/>
      <c r="K1654"/>
    </row>
    <row r="1655" spans="2:11" x14ac:dyDescent="0.25">
      <c r="B1655"/>
      <c r="K1655"/>
    </row>
    <row r="1656" spans="2:11" x14ac:dyDescent="0.25">
      <c r="B1656"/>
      <c r="K1656"/>
    </row>
    <row r="1657" spans="2:11" x14ac:dyDescent="0.25">
      <c r="B1657"/>
      <c r="K1657"/>
    </row>
    <row r="1658" spans="2:11" x14ac:dyDescent="0.25">
      <c r="B1658"/>
      <c r="K1658"/>
    </row>
    <row r="1659" spans="2:11" x14ac:dyDescent="0.25">
      <c r="B1659"/>
      <c r="K1659"/>
    </row>
    <row r="1660" spans="2:11" x14ac:dyDescent="0.25">
      <c r="B1660"/>
      <c r="K1660"/>
    </row>
    <row r="1661" spans="2:11" x14ac:dyDescent="0.25">
      <c r="B1661"/>
      <c r="K1661"/>
    </row>
    <row r="1662" spans="2:11" x14ac:dyDescent="0.25">
      <c r="B1662"/>
      <c r="K1662"/>
    </row>
    <row r="1663" spans="2:11" x14ac:dyDescent="0.25">
      <c r="B1663"/>
      <c r="K1663"/>
    </row>
    <row r="1664" spans="2:11" x14ac:dyDescent="0.25">
      <c r="B1664"/>
      <c r="K1664"/>
    </row>
    <row r="1665" spans="2:11" x14ac:dyDescent="0.25">
      <c r="B1665"/>
      <c r="K1665"/>
    </row>
    <row r="1666" spans="2:11" x14ac:dyDescent="0.25">
      <c r="B1666"/>
      <c r="K1666"/>
    </row>
    <row r="1667" spans="2:11" x14ac:dyDescent="0.25">
      <c r="B1667"/>
      <c r="K1667"/>
    </row>
    <row r="1668" spans="2:11" x14ac:dyDescent="0.25">
      <c r="B1668"/>
      <c r="K1668"/>
    </row>
    <row r="1669" spans="2:11" x14ac:dyDescent="0.25">
      <c r="B1669"/>
      <c r="K1669"/>
    </row>
    <row r="1670" spans="2:11" x14ac:dyDescent="0.25">
      <c r="B1670"/>
      <c r="K1670"/>
    </row>
    <row r="1671" spans="2:11" x14ac:dyDescent="0.25">
      <c r="B1671"/>
      <c r="K1671"/>
    </row>
    <row r="1672" spans="2:11" x14ac:dyDescent="0.25">
      <c r="B1672"/>
      <c r="K1672"/>
    </row>
    <row r="1673" spans="2:11" x14ac:dyDescent="0.25">
      <c r="B1673"/>
      <c r="K1673"/>
    </row>
    <row r="1674" spans="2:11" x14ac:dyDescent="0.25">
      <c r="B1674"/>
      <c r="K1674"/>
    </row>
    <row r="1675" spans="2:11" x14ac:dyDescent="0.25">
      <c r="B1675"/>
      <c r="K1675"/>
    </row>
    <row r="1676" spans="2:11" x14ac:dyDescent="0.25">
      <c r="B1676"/>
      <c r="K1676"/>
    </row>
    <row r="1677" spans="2:11" x14ac:dyDescent="0.25">
      <c r="B1677"/>
      <c r="K1677"/>
    </row>
    <row r="1678" spans="2:11" x14ac:dyDescent="0.25">
      <c r="B1678"/>
      <c r="K1678"/>
    </row>
    <row r="1679" spans="2:11" x14ac:dyDescent="0.25">
      <c r="B1679"/>
      <c r="K1679"/>
    </row>
    <row r="1680" spans="2:11" x14ac:dyDescent="0.25">
      <c r="B1680"/>
      <c r="K1680"/>
    </row>
    <row r="1681" spans="2:11" x14ac:dyDescent="0.25">
      <c r="B1681"/>
      <c r="K1681"/>
    </row>
    <row r="1682" spans="2:11" x14ac:dyDescent="0.25">
      <c r="B1682"/>
      <c r="K1682"/>
    </row>
    <row r="1683" spans="2:11" x14ac:dyDescent="0.25">
      <c r="B1683"/>
      <c r="K1683"/>
    </row>
    <row r="1684" spans="2:11" x14ac:dyDescent="0.25">
      <c r="B1684"/>
      <c r="K1684"/>
    </row>
    <row r="1685" spans="2:11" x14ac:dyDescent="0.25">
      <c r="B1685"/>
      <c r="K1685"/>
    </row>
    <row r="1686" spans="2:11" x14ac:dyDescent="0.25">
      <c r="B1686"/>
      <c r="K1686"/>
    </row>
    <row r="1687" spans="2:11" x14ac:dyDescent="0.25">
      <c r="B1687"/>
      <c r="K1687"/>
    </row>
    <row r="1688" spans="2:11" x14ac:dyDescent="0.25">
      <c r="B1688"/>
      <c r="K1688"/>
    </row>
    <row r="1689" spans="2:11" x14ac:dyDescent="0.25">
      <c r="B1689"/>
      <c r="K1689"/>
    </row>
    <row r="1690" spans="2:11" x14ac:dyDescent="0.25">
      <c r="B1690"/>
      <c r="K1690"/>
    </row>
    <row r="1691" spans="2:11" x14ac:dyDescent="0.25">
      <c r="B1691"/>
      <c r="K1691"/>
    </row>
    <row r="1692" spans="2:11" x14ac:dyDescent="0.25">
      <c r="B1692"/>
      <c r="K1692"/>
    </row>
    <row r="1693" spans="2:11" x14ac:dyDescent="0.25">
      <c r="B1693"/>
      <c r="K1693"/>
    </row>
    <row r="1694" spans="2:11" x14ac:dyDescent="0.25">
      <c r="B1694"/>
      <c r="K1694"/>
    </row>
    <row r="1695" spans="2:11" x14ac:dyDescent="0.25">
      <c r="B1695"/>
      <c r="K1695"/>
    </row>
    <row r="1696" spans="2:11" x14ac:dyDescent="0.25">
      <c r="B1696"/>
      <c r="K1696"/>
    </row>
    <row r="1697" spans="2:11" x14ac:dyDescent="0.25">
      <c r="B1697"/>
      <c r="K1697"/>
    </row>
    <row r="1698" spans="2:11" x14ac:dyDescent="0.25">
      <c r="B1698"/>
      <c r="K1698"/>
    </row>
    <row r="1699" spans="2:11" x14ac:dyDescent="0.25">
      <c r="B1699"/>
      <c r="K1699"/>
    </row>
    <row r="1700" spans="2:11" x14ac:dyDescent="0.25">
      <c r="B1700"/>
      <c r="K1700"/>
    </row>
    <row r="1701" spans="2:11" x14ac:dyDescent="0.25">
      <c r="B1701"/>
      <c r="K1701"/>
    </row>
    <row r="1702" spans="2:11" x14ac:dyDescent="0.25">
      <c r="B1702"/>
      <c r="K1702"/>
    </row>
    <row r="1703" spans="2:11" x14ac:dyDescent="0.25">
      <c r="B1703"/>
      <c r="K1703"/>
    </row>
    <row r="1704" spans="2:11" x14ac:dyDescent="0.25">
      <c r="B1704"/>
      <c r="K1704"/>
    </row>
    <row r="1705" spans="2:11" x14ac:dyDescent="0.25">
      <c r="B1705"/>
      <c r="K1705"/>
    </row>
    <row r="1706" spans="2:11" x14ac:dyDescent="0.25">
      <c r="B1706"/>
      <c r="K1706"/>
    </row>
    <row r="1707" spans="2:11" x14ac:dyDescent="0.25">
      <c r="B1707"/>
      <c r="K1707"/>
    </row>
    <row r="1708" spans="2:11" x14ac:dyDescent="0.25">
      <c r="B1708"/>
      <c r="K1708"/>
    </row>
    <row r="1709" spans="2:11" x14ac:dyDescent="0.25">
      <c r="B1709"/>
      <c r="K1709"/>
    </row>
    <row r="1710" spans="2:11" x14ac:dyDescent="0.25">
      <c r="B1710"/>
      <c r="K1710"/>
    </row>
    <row r="1711" spans="2:11" x14ac:dyDescent="0.25">
      <c r="B1711"/>
      <c r="K1711"/>
    </row>
    <row r="1712" spans="2:11" x14ac:dyDescent="0.25">
      <c r="B1712"/>
      <c r="K1712"/>
    </row>
    <row r="1713" spans="2:11" x14ac:dyDescent="0.25">
      <c r="B1713"/>
      <c r="K1713"/>
    </row>
    <row r="1714" spans="2:11" x14ac:dyDescent="0.25">
      <c r="B1714"/>
      <c r="K1714"/>
    </row>
    <row r="1715" spans="2:11" x14ac:dyDescent="0.25">
      <c r="B1715"/>
      <c r="K1715"/>
    </row>
    <row r="1716" spans="2:11" x14ac:dyDescent="0.25">
      <c r="B1716"/>
      <c r="K1716"/>
    </row>
    <row r="1717" spans="2:11" x14ac:dyDescent="0.25">
      <c r="B1717"/>
      <c r="K1717"/>
    </row>
    <row r="1718" spans="2:11" x14ac:dyDescent="0.25">
      <c r="B1718"/>
      <c r="K1718"/>
    </row>
    <row r="1719" spans="2:11" x14ac:dyDescent="0.25">
      <c r="B1719"/>
      <c r="K1719"/>
    </row>
    <row r="1720" spans="2:11" x14ac:dyDescent="0.25">
      <c r="B1720"/>
      <c r="K1720"/>
    </row>
    <row r="1721" spans="2:11" x14ac:dyDescent="0.25">
      <c r="B1721"/>
      <c r="K1721"/>
    </row>
    <row r="1722" spans="2:11" x14ac:dyDescent="0.25">
      <c r="B1722"/>
      <c r="K1722"/>
    </row>
    <row r="1723" spans="2:11" x14ac:dyDescent="0.25">
      <c r="B1723"/>
      <c r="K1723"/>
    </row>
    <row r="1724" spans="2:11" x14ac:dyDescent="0.25">
      <c r="B1724"/>
      <c r="K1724"/>
    </row>
    <row r="1725" spans="2:11" x14ac:dyDescent="0.25">
      <c r="B1725"/>
      <c r="K1725"/>
    </row>
    <row r="1726" spans="2:11" x14ac:dyDescent="0.25">
      <c r="B1726"/>
      <c r="K1726"/>
    </row>
    <row r="1727" spans="2:11" x14ac:dyDescent="0.25">
      <c r="B1727"/>
      <c r="K1727"/>
    </row>
    <row r="1728" spans="2:11" x14ac:dyDescent="0.25">
      <c r="B1728"/>
      <c r="K1728"/>
    </row>
    <row r="1729" spans="2:11" x14ac:dyDescent="0.25">
      <c r="B1729"/>
      <c r="K1729"/>
    </row>
    <row r="1730" spans="2:11" x14ac:dyDescent="0.25">
      <c r="B1730"/>
      <c r="K1730"/>
    </row>
    <row r="1731" spans="2:11" x14ac:dyDescent="0.25">
      <c r="B1731"/>
      <c r="K1731"/>
    </row>
    <row r="1732" spans="2:11" x14ac:dyDescent="0.25">
      <c r="B1732"/>
      <c r="K1732"/>
    </row>
    <row r="1733" spans="2:11" x14ac:dyDescent="0.25">
      <c r="B1733"/>
      <c r="K1733"/>
    </row>
    <row r="1734" spans="2:11" x14ac:dyDescent="0.25">
      <c r="B1734"/>
      <c r="K1734"/>
    </row>
    <row r="1735" spans="2:11" x14ac:dyDescent="0.25">
      <c r="B1735"/>
      <c r="K1735"/>
    </row>
    <row r="1736" spans="2:11" x14ac:dyDescent="0.25">
      <c r="B1736"/>
      <c r="K1736"/>
    </row>
    <row r="1737" spans="2:11" x14ac:dyDescent="0.25">
      <c r="B1737"/>
      <c r="K1737"/>
    </row>
    <row r="1738" spans="2:11" x14ac:dyDescent="0.25">
      <c r="B1738"/>
      <c r="K1738"/>
    </row>
    <row r="1739" spans="2:11" x14ac:dyDescent="0.25">
      <c r="B1739"/>
      <c r="K1739"/>
    </row>
    <row r="1740" spans="2:11" x14ac:dyDescent="0.25">
      <c r="B1740"/>
      <c r="K1740"/>
    </row>
    <row r="1741" spans="2:11" x14ac:dyDescent="0.25">
      <c r="B1741"/>
      <c r="K1741"/>
    </row>
    <row r="1742" spans="2:11" x14ac:dyDescent="0.25">
      <c r="B1742"/>
      <c r="K1742"/>
    </row>
    <row r="1743" spans="2:11" x14ac:dyDescent="0.25">
      <c r="B1743"/>
      <c r="K1743"/>
    </row>
    <row r="1744" spans="2:11" x14ac:dyDescent="0.25">
      <c r="B1744"/>
      <c r="K1744"/>
    </row>
    <row r="1745" spans="2:11" x14ac:dyDescent="0.25">
      <c r="B1745"/>
      <c r="K1745"/>
    </row>
    <row r="1746" spans="2:11" x14ac:dyDescent="0.25">
      <c r="B1746"/>
      <c r="K1746"/>
    </row>
    <row r="1747" spans="2:11" x14ac:dyDescent="0.25">
      <c r="B1747"/>
      <c r="K1747"/>
    </row>
    <row r="1748" spans="2:11" x14ac:dyDescent="0.25">
      <c r="B1748"/>
      <c r="K1748"/>
    </row>
    <row r="1749" spans="2:11" x14ac:dyDescent="0.25">
      <c r="B1749"/>
      <c r="K1749"/>
    </row>
    <row r="1750" spans="2:11" x14ac:dyDescent="0.25">
      <c r="B1750"/>
      <c r="K1750"/>
    </row>
    <row r="1751" spans="2:11" x14ac:dyDescent="0.25">
      <c r="B1751"/>
      <c r="K1751"/>
    </row>
    <row r="1752" spans="2:11" x14ac:dyDescent="0.25">
      <c r="B1752"/>
      <c r="K1752"/>
    </row>
    <row r="1753" spans="2:11" x14ac:dyDescent="0.25">
      <c r="B1753"/>
      <c r="K1753"/>
    </row>
    <row r="1754" spans="2:11" x14ac:dyDescent="0.25">
      <c r="B1754"/>
      <c r="K1754"/>
    </row>
    <row r="1755" spans="2:11" x14ac:dyDescent="0.25">
      <c r="B1755"/>
      <c r="K1755"/>
    </row>
    <row r="1756" spans="2:11" x14ac:dyDescent="0.25">
      <c r="B1756"/>
      <c r="K1756"/>
    </row>
    <row r="1757" spans="2:11" x14ac:dyDescent="0.25">
      <c r="B1757"/>
      <c r="K1757"/>
    </row>
    <row r="1758" spans="2:11" x14ac:dyDescent="0.25">
      <c r="B1758"/>
      <c r="K1758"/>
    </row>
    <row r="1759" spans="2:11" x14ac:dyDescent="0.25">
      <c r="B1759"/>
      <c r="K1759"/>
    </row>
    <row r="1760" spans="2:11" x14ac:dyDescent="0.25">
      <c r="B1760"/>
      <c r="K1760"/>
    </row>
    <row r="1761" spans="2:11" x14ac:dyDescent="0.25">
      <c r="B1761"/>
      <c r="K1761"/>
    </row>
    <row r="1762" spans="2:11" x14ac:dyDescent="0.25">
      <c r="B1762"/>
      <c r="K1762"/>
    </row>
    <row r="1763" spans="2:11" x14ac:dyDescent="0.25">
      <c r="B1763"/>
      <c r="K1763"/>
    </row>
    <row r="1764" spans="2:11" x14ac:dyDescent="0.25">
      <c r="B1764"/>
      <c r="K1764"/>
    </row>
    <row r="1765" spans="2:11" x14ac:dyDescent="0.25">
      <c r="B1765"/>
      <c r="K1765"/>
    </row>
    <row r="1766" spans="2:11" x14ac:dyDescent="0.25">
      <c r="B1766"/>
      <c r="K1766"/>
    </row>
    <row r="1767" spans="2:11" x14ac:dyDescent="0.25">
      <c r="B1767"/>
      <c r="K1767"/>
    </row>
    <row r="1768" spans="2:11" x14ac:dyDescent="0.25">
      <c r="B1768"/>
      <c r="K1768"/>
    </row>
    <row r="1769" spans="2:11" x14ac:dyDescent="0.25">
      <c r="B1769"/>
      <c r="K1769"/>
    </row>
    <row r="1770" spans="2:11" x14ac:dyDescent="0.25">
      <c r="B1770"/>
      <c r="K1770"/>
    </row>
    <row r="1771" spans="2:11" x14ac:dyDescent="0.25">
      <c r="B1771"/>
      <c r="K1771"/>
    </row>
    <row r="1772" spans="2:11" x14ac:dyDescent="0.25">
      <c r="B1772"/>
      <c r="K1772"/>
    </row>
    <row r="1773" spans="2:11" x14ac:dyDescent="0.25">
      <c r="B1773"/>
      <c r="K1773"/>
    </row>
    <row r="1774" spans="2:11" x14ac:dyDescent="0.25">
      <c r="B1774"/>
      <c r="K1774"/>
    </row>
    <row r="1775" spans="2:11" x14ac:dyDescent="0.25">
      <c r="B1775"/>
      <c r="K1775"/>
    </row>
    <row r="1776" spans="2:11" x14ac:dyDescent="0.25">
      <c r="B1776"/>
      <c r="K1776"/>
    </row>
    <row r="1777" spans="2:11" x14ac:dyDescent="0.25">
      <c r="B1777"/>
      <c r="K1777"/>
    </row>
    <row r="1778" spans="2:11" x14ac:dyDescent="0.25">
      <c r="B1778"/>
      <c r="K1778"/>
    </row>
    <row r="1779" spans="2:11" x14ac:dyDescent="0.25">
      <c r="B1779"/>
      <c r="K1779"/>
    </row>
    <row r="1780" spans="2:11" x14ac:dyDescent="0.25">
      <c r="B1780"/>
      <c r="K1780"/>
    </row>
    <row r="1781" spans="2:11" x14ac:dyDescent="0.25">
      <c r="B1781"/>
      <c r="K1781"/>
    </row>
    <row r="1782" spans="2:11" x14ac:dyDescent="0.25">
      <c r="B1782"/>
      <c r="K1782"/>
    </row>
    <row r="1783" spans="2:11" x14ac:dyDescent="0.25">
      <c r="B1783"/>
      <c r="K1783"/>
    </row>
    <row r="1784" spans="2:11" x14ac:dyDescent="0.25">
      <c r="B1784"/>
      <c r="K1784"/>
    </row>
    <row r="1785" spans="2:11" x14ac:dyDescent="0.25">
      <c r="B1785"/>
      <c r="K1785"/>
    </row>
    <row r="1786" spans="2:11" x14ac:dyDescent="0.25">
      <c r="B1786"/>
      <c r="K1786"/>
    </row>
    <row r="1787" spans="2:11" x14ac:dyDescent="0.25">
      <c r="B1787"/>
      <c r="K1787"/>
    </row>
    <row r="1788" spans="2:11" x14ac:dyDescent="0.25">
      <c r="B1788"/>
      <c r="K1788"/>
    </row>
    <row r="1789" spans="2:11" x14ac:dyDescent="0.25">
      <c r="B1789"/>
      <c r="K1789"/>
    </row>
    <row r="1790" spans="2:11" x14ac:dyDescent="0.25">
      <c r="B1790"/>
      <c r="K1790"/>
    </row>
    <row r="1791" spans="2:11" x14ac:dyDescent="0.25">
      <c r="B1791"/>
      <c r="K1791"/>
    </row>
    <row r="1792" spans="2:11" x14ac:dyDescent="0.25">
      <c r="B1792"/>
      <c r="K1792"/>
    </row>
    <row r="1793" spans="2:11" x14ac:dyDescent="0.25">
      <c r="B1793"/>
      <c r="K1793"/>
    </row>
    <row r="1794" spans="2:11" x14ac:dyDescent="0.25">
      <c r="B1794"/>
      <c r="K1794"/>
    </row>
    <row r="1795" spans="2:11" x14ac:dyDescent="0.25">
      <c r="B1795"/>
      <c r="K1795"/>
    </row>
    <row r="1796" spans="2:11" x14ac:dyDescent="0.25">
      <c r="B1796"/>
      <c r="K1796"/>
    </row>
    <row r="1797" spans="2:11" x14ac:dyDescent="0.25">
      <c r="B1797"/>
      <c r="K1797"/>
    </row>
    <row r="1798" spans="2:11" x14ac:dyDescent="0.25">
      <c r="B1798"/>
      <c r="K1798"/>
    </row>
    <row r="1799" spans="2:11" x14ac:dyDescent="0.25">
      <c r="B1799"/>
      <c r="K1799"/>
    </row>
    <row r="1800" spans="2:11" x14ac:dyDescent="0.25">
      <c r="B1800"/>
      <c r="K1800"/>
    </row>
    <row r="1801" spans="2:11" x14ac:dyDescent="0.25">
      <c r="B1801"/>
      <c r="K1801"/>
    </row>
    <row r="1802" spans="2:11" x14ac:dyDescent="0.25">
      <c r="B1802"/>
      <c r="K1802"/>
    </row>
    <row r="1803" spans="2:11" x14ac:dyDescent="0.25">
      <c r="B1803"/>
      <c r="K1803"/>
    </row>
    <row r="1804" spans="2:11" x14ac:dyDescent="0.25">
      <c r="B1804"/>
      <c r="K1804"/>
    </row>
    <row r="1805" spans="2:11" x14ac:dyDescent="0.25">
      <c r="B1805"/>
      <c r="K1805"/>
    </row>
    <row r="1806" spans="2:11" x14ac:dyDescent="0.25">
      <c r="B1806"/>
      <c r="K1806"/>
    </row>
    <row r="1807" spans="2:11" x14ac:dyDescent="0.25">
      <c r="B1807"/>
      <c r="K1807"/>
    </row>
    <row r="1808" spans="2:11" x14ac:dyDescent="0.25">
      <c r="B1808"/>
      <c r="K1808"/>
    </row>
    <row r="1809" spans="2:11" x14ac:dyDescent="0.25">
      <c r="B1809"/>
      <c r="K1809"/>
    </row>
    <row r="1810" spans="2:11" x14ac:dyDescent="0.25">
      <c r="B1810"/>
      <c r="K1810"/>
    </row>
    <row r="1811" spans="2:11" x14ac:dyDescent="0.25">
      <c r="B1811"/>
      <c r="K1811"/>
    </row>
    <row r="1812" spans="2:11" x14ac:dyDescent="0.25">
      <c r="B1812"/>
      <c r="K1812"/>
    </row>
    <row r="1813" spans="2:11" x14ac:dyDescent="0.25">
      <c r="B1813"/>
      <c r="K1813"/>
    </row>
    <row r="1814" spans="2:11" x14ac:dyDescent="0.25">
      <c r="B1814"/>
      <c r="K1814"/>
    </row>
    <row r="1815" spans="2:11" x14ac:dyDescent="0.25">
      <c r="B1815"/>
      <c r="K1815"/>
    </row>
    <row r="1816" spans="2:11" x14ac:dyDescent="0.25">
      <c r="B1816"/>
      <c r="K1816"/>
    </row>
    <row r="1817" spans="2:11" x14ac:dyDescent="0.25">
      <c r="B1817"/>
      <c r="K1817"/>
    </row>
    <row r="1818" spans="2:11" x14ac:dyDescent="0.25">
      <c r="B1818"/>
      <c r="K1818"/>
    </row>
    <row r="1819" spans="2:11" x14ac:dyDescent="0.25">
      <c r="B1819"/>
      <c r="K1819"/>
    </row>
    <row r="1820" spans="2:11" x14ac:dyDescent="0.25">
      <c r="B1820"/>
      <c r="K1820"/>
    </row>
    <row r="1821" spans="2:11" x14ac:dyDescent="0.25">
      <c r="B1821"/>
      <c r="K1821"/>
    </row>
    <row r="1822" spans="2:11" x14ac:dyDescent="0.25">
      <c r="B1822"/>
      <c r="K1822"/>
    </row>
    <row r="1823" spans="2:11" x14ac:dyDescent="0.25">
      <c r="B1823"/>
      <c r="K1823"/>
    </row>
    <row r="1824" spans="2:11" x14ac:dyDescent="0.25">
      <c r="B1824"/>
      <c r="K1824"/>
    </row>
    <row r="1825" spans="2:11" x14ac:dyDescent="0.25">
      <c r="B1825"/>
      <c r="K1825"/>
    </row>
    <row r="1826" spans="2:11" x14ac:dyDescent="0.25">
      <c r="B1826"/>
      <c r="K1826"/>
    </row>
    <row r="1827" spans="2:11" x14ac:dyDescent="0.25">
      <c r="B1827"/>
      <c r="K1827"/>
    </row>
    <row r="1828" spans="2:11" x14ac:dyDescent="0.25">
      <c r="B1828"/>
      <c r="K1828"/>
    </row>
    <row r="1829" spans="2:11" x14ac:dyDescent="0.25">
      <c r="B1829"/>
      <c r="K1829"/>
    </row>
    <row r="1830" spans="2:11" x14ac:dyDescent="0.25">
      <c r="B1830"/>
      <c r="K1830"/>
    </row>
    <row r="1831" spans="2:11" x14ac:dyDescent="0.25">
      <c r="B1831"/>
      <c r="K1831"/>
    </row>
    <row r="1832" spans="2:11" x14ac:dyDescent="0.25">
      <c r="B1832"/>
      <c r="K1832"/>
    </row>
    <row r="1833" spans="2:11" x14ac:dyDescent="0.25">
      <c r="B1833"/>
      <c r="K1833"/>
    </row>
    <row r="1834" spans="2:11" x14ac:dyDescent="0.25">
      <c r="B1834"/>
      <c r="K1834"/>
    </row>
    <row r="1835" spans="2:11" x14ac:dyDescent="0.25">
      <c r="B1835"/>
      <c r="K1835"/>
    </row>
    <row r="1836" spans="2:11" x14ac:dyDescent="0.25">
      <c r="B1836"/>
      <c r="K1836"/>
    </row>
    <row r="1837" spans="2:11" x14ac:dyDescent="0.25">
      <c r="B1837"/>
      <c r="K1837"/>
    </row>
    <row r="1838" spans="2:11" x14ac:dyDescent="0.25">
      <c r="B1838"/>
      <c r="K1838"/>
    </row>
    <row r="1839" spans="2:11" x14ac:dyDescent="0.25">
      <c r="B1839"/>
      <c r="K1839"/>
    </row>
    <row r="1840" spans="2:11" x14ac:dyDescent="0.25">
      <c r="B1840"/>
      <c r="K1840"/>
    </row>
    <row r="1841" spans="2:11" x14ac:dyDescent="0.25">
      <c r="B1841"/>
      <c r="K1841"/>
    </row>
    <row r="1842" spans="2:11" x14ac:dyDescent="0.25">
      <c r="B1842"/>
      <c r="K1842"/>
    </row>
    <row r="1843" spans="2:11" x14ac:dyDescent="0.25">
      <c r="B1843"/>
      <c r="K1843"/>
    </row>
    <row r="1844" spans="2:11" x14ac:dyDescent="0.25">
      <c r="B1844"/>
      <c r="K1844"/>
    </row>
    <row r="1845" spans="2:11" x14ac:dyDescent="0.25">
      <c r="B1845"/>
      <c r="K1845"/>
    </row>
    <row r="1846" spans="2:11" x14ac:dyDescent="0.25">
      <c r="B1846"/>
      <c r="K1846"/>
    </row>
    <row r="1847" spans="2:11" x14ac:dyDescent="0.25">
      <c r="B1847"/>
      <c r="K1847"/>
    </row>
    <row r="1848" spans="2:11" x14ac:dyDescent="0.25">
      <c r="B1848"/>
      <c r="K1848"/>
    </row>
    <row r="1849" spans="2:11" x14ac:dyDescent="0.25">
      <c r="B1849"/>
      <c r="K1849"/>
    </row>
    <row r="1850" spans="2:11" x14ac:dyDescent="0.25">
      <c r="B1850"/>
      <c r="K1850"/>
    </row>
    <row r="1851" spans="2:11" x14ac:dyDescent="0.25">
      <c r="B1851"/>
      <c r="K1851"/>
    </row>
    <row r="1852" spans="2:11" x14ac:dyDescent="0.25">
      <c r="B1852"/>
      <c r="K1852"/>
    </row>
    <row r="1853" spans="2:11" x14ac:dyDescent="0.25">
      <c r="B1853"/>
      <c r="K1853"/>
    </row>
    <row r="1854" spans="2:11" x14ac:dyDescent="0.25">
      <c r="B1854"/>
      <c r="K1854"/>
    </row>
    <row r="1855" spans="2:11" x14ac:dyDescent="0.25">
      <c r="B1855"/>
      <c r="K1855"/>
    </row>
    <row r="1856" spans="2:11" x14ac:dyDescent="0.25">
      <c r="B1856"/>
      <c r="K1856"/>
    </row>
    <row r="1857" spans="2:11" x14ac:dyDescent="0.25">
      <c r="B1857"/>
      <c r="K1857"/>
    </row>
    <row r="1858" spans="2:11" x14ac:dyDescent="0.25">
      <c r="B1858"/>
      <c r="K1858"/>
    </row>
    <row r="1859" spans="2:11" x14ac:dyDescent="0.25">
      <c r="B1859"/>
      <c r="K1859"/>
    </row>
    <row r="1860" spans="2:11" x14ac:dyDescent="0.25">
      <c r="B1860"/>
      <c r="K1860"/>
    </row>
    <row r="1861" spans="2:11" x14ac:dyDescent="0.25">
      <c r="B1861"/>
      <c r="K1861"/>
    </row>
    <row r="1862" spans="2:11" x14ac:dyDescent="0.25">
      <c r="B1862"/>
      <c r="K1862"/>
    </row>
    <row r="1863" spans="2:11" x14ac:dyDescent="0.25">
      <c r="B1863"/>
      <c r="K1863"/>
    </row>
    <row r="1864" spans="2:11" x14ac:dyDescent="0.25">
      <c r="B1864"/>
      <c r="K1864"/>
    </row>
    <row r="1865" spans="2:11" x14ac:dyDescent="0.25">
      <c r="B1865"/>
      <c r="K1865"/>
    </row>
    <row r="1866" spans="2:11" x14ac:dyDescent="0.25">
      <c r="B1866"/>
      <c r="K1866"/>
    </row>
    <row r="1867" spans="2:11" x14ac:dyDescent="0.25">
      <c r="B1867"/>
      <c r="K1867"/>
    </row>
    <row r="1868" spans="2:11" x14ac:dyDescent="0.25">
      <c r="B1868"/>
      <c r="K1868"/>
    </row>
    <row r="1869" spans="2:11" x14ac:dyDescent="0.25">
      <c r="B1869"/>
      <c r="K1869"/>
    </row>
    <row r="1870" spans="2:11" x14ac:dyDescent="0.25">
      <c r="B1870"/>
      <c r="K1870"/>
    </row>
    <row r="1871" spans="2:11" x14ac:dyDescent="0.25">
      <c r="B1871"/>
      <c r="K1871"/>
    </row>
    <row r="1872" spans="2:11" x14ac:dyDescent="0.25">
      <c r="B1872"/>
      <c r="K1872"/>
    </row>
    <row r="1873" spans="2:11" x14ac:dyDescent="0.25">
      <c r="B1873"/>
      <c r="K1873"/>
    </row>
    <row r="1874" spans="2:11" x14ac:dyDescent="0.25">
      <c r="B1874"/>
      <c r="K1874"/>
    </row>
    <row r="1875" spans="2:11" x14ac:dyDescent="0.25">
      <c r="B1875"/>
      <c r="K1875"/>
    </row>
    <row r="1876" spans="2:11" x14ac:dyDescent="0.25">
      <c r="B1876"/>
      <c r="K1876"/>
    </row>
    <row r="1877" spans="2:11" x14ac:dyDescent="0.25">
      <c r="B1877"/>
      <c r="K1877"/>
    </row>
    <row r="1878" spans="2:11" x14ac:dyDescent="0.25">
      <c r="B1878"/>
      <c r="K1878"/>
    </row>
    <row r="1879" spans="2:11" x14ac:dyDescent="0.25">
      <c r="B1879"/>
      <c r="K1879"/>
    </row>
    <row r="1880" spans="2:11" x14ac:dyDescent="0.25">
      <c r="B1880"/>
      <c r="K1880"/>
    </row>
    <row r="1881" spans="2:11" x14ac:dyDescent="0.25">
      <c r="B1881"/>
      <c r="K1881"/>
    </row>
    <row r="1882" spans="2:11" x14ac:dyDescent="0.25">
      <c r="B1882"/>
      <c r="K1882"/>
    </row>
    <row r="1883" spans="2:11" x14ac:dyDescent="0.25">
      <c r="B1883"/>
      <c r="K1883"/>
    </row>
    <row r="1884" spans="2:11" x14ac:dyDescent="0.25">
      <c r="B1884"/>
      <c r="K1884"/>
    </row>
    <row r="1885" spans="2:11" x14ac:dyDescent="0.25">
      <c r="B1885"/>
      <c r="K1885"/>
    </row>
    <row r="1886" spans="2:11" x14ac:dyDescent="0.25">
      <c r="B1886"/>
      <c r="K1886"/>
    </row>
    <row r="1887" spans="2:11" x14ac:dyDescent="0.25">
      <c r="B1887"/>
      <c r="K1887"/>
    </row>
    <row r="1888" spans="2:11" x14ac:dyDescent="0.25">
      <c r="B1888"/>
      <c r="K1888"/>
    </row>
    <row r="1889" spans="2:11" x14ac:dyDescent="0.25">
      <c r="B1889"/>
      <c r="K1889"/>
    </row>
    <row r="1890" spans="2:11" x14ac:dyDescent="0.25">
      <c r="B1890"/>
      <c r="K1890"/>
    </row>
    <row r="1891" spans="2:11" x14ac:dyDescent="0.25">
      <c r="B1891"/>
      <c r="K1891"/>
    </row>
    <row r="1892" spans="2:11" x14ac:dyDescent="0.25">
      <c r="B1892"/>
      <c r="K1892"/>
    </row>
    <row r="1893" spans="2:11" x14ac:dyDescent="0.25">
      <c r="B1893"/>
      <c r="K1893"/>
    </row>
    <row r="1894" spans="2:11" x14ac:dyDescent="0.25">
      <c r="B1894"/>
      <c r="K1894"/>
    </row>
    <row r="1895" spans="2:11" x14ac:dyDescent="0.25">
      <c r="B1895"/>
      <c r="K1895"/>
    </row>
    <row r="1896" spans="2:11" x14ac:dyDescent="0.25">
      <c r="B1896"/>
      <c r="K1896"/>
    </row>
    <row r="1897" spans="2:11" x14ac:dyDescent="0.25">
      <c r="B1897"/>
      <c r="K1897"/>
    </row>
    <row r="1898" spans="2:11" x14ac:dyDescent="0.25">
      <c r="B1898"/>
      <c r="K1898"/>
    </row>
    <row r="1899" spans="2:11" x14ac:dyDescent="0.25">
      <c r="B1899"/>
      <c r="K1899"/>
    </row>
    <row r="1900" spans="2:11" x14ac:dyDescent="0.25">
      <c r="B1900"/>
      <c r="K1900"/>
    </row>
    <row r="1901" spans="2:11" x14ac:dyDescent="0.25">
      <c r="B1901"/>
      <c r="K1901"/>
    </row>
    <row r="1902" spans="2:11" x14ac:dyDescent="0.25">
      <c r="B1902"/>
      <c r="K1902"/>
    </row>
    <row r="1903" spans="2:11" x14ac:dyDescent="0.25">
      <c r="B1903"/>
      <c r="K1903"/>
    </row>
    <row r="1904" spans="2:11" x14ac:dyDescent="0.25">
      <c r="B1904"/>
      <c r="K1904"/>
    </row>
    <row r="1905" spans="2:11" x14ac:dyDescent="0.25">
      <c r="B1905"/>
      <c r="K1905"/>
    </row>
    <row r="1906" spans="2:11" x14ac:dyDescent="0.25">
      <c r="B1906"/>
      <c r="K1906"/>
    </row>
    <row r="1907" spans="2:11" x14ac:dyDescent="0.25">
      <c r="B1907"/>
      <c r="K1907"/>
    </row>
    <row r="1908" spans="2:11" x14ac:dyDescent="0.25">
      <c r="B1908"/>
      <c r="K1908"/>
    </row>
    <row r="1909" spans="2:11" x14ac:dyDescent="0.25">
      <c r="B1909"/>
      <c r="K1909"/>
    </row>
    <row r="1910" spans="2:11" x14ac:dyDescent="0.25">
      <c r="B1910"/>
      <c r="K1910"/>
    </row>
    <row r="1911" spans="2:11" x14ac:dyDescent="0.25">
      <c r="B1911"/>
      <c r="K1911"/>
    </row>
    <row r="1912" spans="2:11" x14ac:dyDescent="0.25">
      <c r="B1912"/>
      <c r="K1912"/>
    </row>
    <row r="1913" spans="2:11" x14ac:dyDescent="0.25">
      <c r="B1913"/>
      <c r="K1913"/>
    </row>
    <row r="1914" spans="2:11" x14ac:dyDescent="0.25">
      <c r="B1914"/>
      <c r="K1914"/>
    </row>
    <row r="1915" spans="2:11" x14ac:dyDescent="0.25">
      <c r="B1915"/>
      <c r="K1915"/>
    </row>
    <row r="1916" spans="2:11" x14ac:dyDescent="0.25">
      <c r="B1916"/>
      <c r="K1916"/>
    </row>
    <row r="1917" spans="2:11" x14ac:dyDescent="0.25">
      <c r="B1917"/>
      <c r="K1917"/>
    </row>
    <row r="1918" spans="2:11" x14ac:dyDescent="0.25">
      <c r="B1918"/>
      <c r="K1918"/>
    </row>
    <row r="1919" spans="2:11" x14ac:dyDescent="0.25">
      <c r="B1919"/>
      <c r="K1919"/>
    </row>
    <row r="1920" spans="2:11" x14ac:dyDescent="0.25">
      <c r="B1920"/>
      <c r="K1920"/>
    </row>
    <row r="1921" spans="2:11" x14ac:dyDescent="0.25">
      <c r="B1921"/>
      <c r="K1921"/>
    </row>
    <row r="1922" spans="2:11" x14ac:dyDescent="0.25">
      <c r="B1922"/>
      <c r="K1922"/>
    </row>
    <row r="1923" spans="2:11" x14ac:dyDescent="0.25">
      <c r="B1923"/>
      <c r="K1923"/>
    </row>
    <row r="1924" spans="2:11" x14ac:dyDescent="0.25">
      <c r="B1924"/>
      <c r="K1924"/>
    </row>
    <row r="1925" spans="2:11" x14ac:dyDescent="0.25">
      <c r="B1925"/>
      <c r="K1925"/>
    </row>
    <row r="1926" spans="2:11" x14ac:dyDescent="0.25">
      <c r="B1926"/>
      <c r="K1926"/>
    </row>
    <row r="1927" spans="2:11" x14ac:dyDescent="0.25">
      <c r="B1927"/>
      <c r="K1927"/>
    </row>
    <row r="1928" spans="2:11" x14ac:dyDescent="0.25">
      <c r="B1928"/>
      <c r="K1928"/>
    </row>
    <row r="1929" spans="2:11" x14ac:dyDescent="0.25">
      <c r="B1929"/>
      <c r="K1929"/>
    </row>
    <row r="1930" spans="2:11" x14ac:dyDescent="0.25">
      <c r="B1930"/>
      <c r="K1930"/>
    </row>
    <row r="1931" spans="2:11" x14ac:dyDescent="0.25">
      <c r="B1931"/>
      <c r="K1931"/>
    </row>
    <row r="1932" spans="2:11" x14ac:dyDescent="0.25">
      <c r="B1932"/>
      <c r="K1932"/>
    </row>
    <row r="1933" spans="2:11" x14ac:dyDescent="0.25">
      <c r="B1933"/>
      <c r="K1933"/>
    </row>
    <row r="1934" spans="2:11" x14ac:dyDescent="0.25">
      <c r="B1934"/>
      <c r="K1934"/>
    </row>
    <row r="1935" spans="2:11" x14ac:dyDescent="0.25">
      <c r="B1935"/>
      <c r="K1935"/>
    </row>
    <row r="1936" spans="2:11" x14ac:dyDescent="0.25">
      <c r="B1936"/>
      <c r="K1936"/>
    </row>
    <row r="1937" spans="2:11" x14ac:dyDescent="0.25">
      <c r="B1937"/>
      <c r="K1937"/>
    </row>
    <row r="1938" spans="2:11" x14ac:dyDescent="0.25">
      <c r="B1938"/>
      <c r="K1938"/>
    </row>
    <row r="1939" spans="2:11" x14ac:dyDescent="0.25">
      <c r="B1939"/>
      <c r="K1939"/>
    </row>
    <row r="1940" spans="2:11" x14ac:dyDescent="0.25">
      <c r="B1940"/>
      <c r="K1940"/>
    </row>
    <row r="1941" spans="2:11" x14ac:dyDescent="0.25">
      <c r="B1941"/>
      <c r="K1941"/>
    </row>
    <row r="1942" spans="2:11" x14ac:dyDescent="0.25">
      <c r="B1942"/>
      <c r="K1942"/>
    </row>
    <row r="1943" spans="2:11" x14ac:dyDescent="0.25">
      <c r="B1943"/>
      <c r="K1943"/>
    </row>
    <row r="1944" spans="2:11" x14ac:dyDescent="0.25">
      <c r="B1944"/>
      <c r="K1944"/>
    </row>
    <row r="1945" spans="2:11" x14ac:dyDescent="0.25">
      <c r="B1945"/>
      <c r="K1945"/>
    </row>
    <row r="1946" spans="2:11" x14ac:dyDescent="0.25">
      <c r="B1946"/>
      <c r="K1946"/>
    </row>
    <row r="1947" spans="2:11" x14ac:dyDescent="0.25">
      <c r="B1947"/>
      <c r="K1947"/>
    </row>
    <row r="1948" spans="2:11" x14ac:dyDescent="0.25">
      <c r="B1948"/>
      <c r="K1948"/>
    </row>
    <row r="1949" spans="2:11" x14ac:dyDescent="0.25">
      <c r="B1949"/>
      <c r="K1949"/>
    </row>
    <row r="1950" spans="2:11" x14ac:dyDescent="0.25">
      <c r="B1950"/>
      <c r="K1950"/>
    </row>
    <row r="1951" spans="2:11" x14ac:dyDescent="0.25">
      <c r="B1951"/>
      <c r="K1951"/>
    </row>
    <row r="1952" spans="2:11" x14ac:dyDescent="0.25">
      <c r="B1952"/>
      <c r="K1952"/>
    </row>
    <row r="1953" spans="2:11" x14ac:dyDescent="0.25">
      <c r="B1953"/>
      <c r="K1953"/>
    </row>
    <row r="1954" spans="2:11" x14ac:dyDescent="0.25">
      <c r="B1954"/>
      <c r="K1954"/>
    </row>
    <row r="1955" spans="2:11" x14ac:dyDescent="0.25">
      <c r="B1955"/>
      <c r="K1955"/>
    </row>
    <row r="1956" spans="2:11" x14ac:dyDescent="0.25">
      <c r="B1956"/>
      <c r="K1956"/>
    </row>
    <row r="1957" spans="2:11" x14ac:dyDescent="0.25">
      <c r="B1957"/>
      <c r="K1957"/>
    </row>
    <row r="1958" spans="2:11" x14ac:dyDescent="0.25">
      <c r="B1958"/>
      <c r="K1958"/>
    </row>
    <row r="1959" spans="2:11" x14ac:dyDescent="0.25">
      <c r="B1959"/>
      <c r="K1959"/>
    </row>
    <row r="1960" spans="2:11" x14ac:dyDescent="0.25">
      <c r="B1960"/>
      <c r="K1960"/>
    </row>
    <row r="1961" spans="2:11" x14ac:dyDescent="0.25">
      <c r="B1961"/>
      <c r="K1961"/>
    </row>
    <row r="1962" spans="2:11" x14ac:dyDescent="0.25">
      <c r="B1962"/>
      <c r="K1962"/>
    </row>
    <row r="1963" spans="2:11" x14ac:dyDescent="0.25">
      <c r="B1963"/>
      <c r="K1963"/>
    </row>
    <row r="1964" spans="2:11" x14ac:dyDescent="0.25">
      <c r="B1964"/>
      <c r="K1964"/>
    </row>
    <row r="1965" spans="2:11" x14ac:dyDescent="0.25">
      <c r="B1965"/>
      <c r="K1965"/>
    </row>
    <row r="1966" spans="2:11" x14ac:dyDescent="0.25">
      <c r="B1966"/>
      <c r="K1966"/>
    </row>
    <row r="1967" spans="2:11" x14ac:dyDescent="0.25">
      <c r="B1967"/>
      <c r="K1967"/>
    </row>
    <row r="1968" spans="2:11" x14ac:dyDescent="0.25">
      <c r="B1968"/>
      <c r="K1968"/>
    </row>
    <row r="1969" spans="2:11" x14ac:dyDescent="0.25">
      <c r="B1969"/>
      <c r="K1969"/>
    </row>
    <row r="1970" spans="2:11" x14ac:dyDescent="0.25">
      <c r="B1970"/>
      <c r="K1970"/>
    </row>
    <row r="1971" spans="2:11" x14ac:dyDescent="0.25">
      <c r="B1971"/>
      <c r="K1971"/>
    </row>
    <row r="1972" spans="2:11" x14ac:dyDescent="0.25">
      <c r="B1972"/>
      <c r="K1972"/>
    </row>
    <row r="1973" spans="2:11" x14ac:dyDescent="0.25">
      <c r="B1973"/>
      <c r="K1973"/>
    </row>
    <row r="1974" spans="2:11" x14ac:dyDescent="0.25">
      <c r="B1974"/>
      <c r="K1974"/>
    </row>
    <row r="1975" spans="2:11" x14ac:dyDescent="0.25">
      <c r="B1975"/>
      <c r="K1975"/>
    </row>
    <row r="1976" spans="2:11" x14ac:dyDescent="0.25">
      <c r="B1976"/>
      <c r="K1976"/>
    </row>
    <row r="1977" spans="2:11" x14ac:dyDescent="0.25">
      <c r="B1977"/>
      <c r="K1977"/>
    </row>
    <row r="1978" spans="2:11" x14ac:dyDescent="0.25">
      <c r="B1978"/>
      <c r="K1978"/>
    </row>
    <row r="1979" spans="2:11" x14ac:dyDescent="0.25">
      <c r="B1979"/>
      <c r="K1979"/>
    </row>
    <row r="1980" spans="2:11" x14ac:dyDescent="0.25">
      <c r="B1980"/>
      <c r="K1980"/>
    </row>
    <row r="1981" spans="2:11" x14ac:dyDescent="0.25">
      <c r="B1981"/>
      <c r="K1981"/>
    </row>
    <row r="1982" spans="2:11" x14ac:dyDescent="0.25">
      <c r="B1982"/>
      <c r="K1982"/>
    </row>
    <row r="1983" spans="2:11" x14ac:dyDescent="0.25">
      <c r="B1983"/>
      <c r="K1983"/>
    </row>
    <row r="1984" spans="2:11" x14ac:dyDescent="0.25">
      <c r="B1984"/>
      <c r="K1984"/>
    </row>
    <row r="1985" spans="2:11" x14ac:dyDescent="0.25">
      <c r="B1985"/>
      <c r="K1985"/>
    </row>
    <row r="1986" spans="2:11" x14ac:dyDescent="0.25">
      <c r="B1986"/>
      <c r="K1986"/>
    </row>
    <row r="1987" spans="2:11" x14ac:dyDescent="0.25">
      <c r="B1987"/>
      <c r="K1987"/>
    </row>
    <row r="1988" spans="2:11" x14ac:dyDescent="0.25">
      <c r="B1988"/>
      <c r="K1988"/>
    </row>
    <row r="1989" spans="2:11" x14ac:dyDescent="0.25">
      <c r="B1989"/>
      <c r="K1989"/>
    </row>
    <row r="1990" spans="2:11" x14ac:dyDescent="0.25">
      <c r="B1990"/>
      <c r="K1990"/>
    </row>
    <row r="1991" spans="2:11" x14ac:dyDescent="0.25">
      <c r="B1991"/>
      <c r="K1991"/>
    </row>
    <row r="1992" spans="2:11" x14ac:dyDescent="0.25">
      <c r="B1992"/>
      <c r="K1992"/>
    </row>
    <row r="1993" spans="2:11" x14ac:dyDescent="0.25">
      <c r="B1993"/>
      <c r="K1993"/>
    </row>
    <row r="1994" spans="2:11" x14ac:dyDescent="0.25">
      <c r="B1994"/>
      <c r="K1994"/>
    </row>
    <row r="1995" spans="2:11" x14ac:dyDescent="0.25">
      <c r="B1995"/>
      <c r="K1995"/>
    </row>
    <row r="1996" spans="2:11" x14ac:dyDescent="0.25">
      <c r="B1996"/>
      <c r="K1996"/>
    </row>
    <row r="1997" spans="2:11" x14ac:dyDescent="0.25">
      <c r="B1997"/>
      <c r="K1997"/>
    </row>
    <row r="1998" spans="2:11" x14ac:dyDescent="0.25">
      <c r="B1998"/>
      <c r="K1998"/>
    </row>
    <row r="1999" spans="2:11" x14ac:dyDescent="0.25">
      <c r="B1999"/>
      <c r="K1999"/>
    </row>
    <row r="2000" spans="2:11" x14ac:dyDescent="0.25">
      <c r="B2000"/>
      <c r="K2000"/>
    </row>
    <row r="2001" spans="2:11" x14ac:dyDescent="0.25">
      <c r="B2001"/>
      <c r="K2001"/>
    </row>
    <row r="2002" spans="2:11" x14ac:dyDescent="0.25">
      <c r="B2002"/>
      <c r="K2002"/>
    </row>
    <row r="2003" spans="2:11" x14ac:dyDescent="0.25">
      <c r="B2003"/>
      <c r="K2003"/>
    </row>
    <row r="2004" spans="2:11" x14ac:dyDescent="0.25">
      <c r="B2004"/>
      <c r="K2004"/>
    </row>
    <row r="2005" spans="2:11" x14ac:dyDescent="0.25">
      <c r="B2005"/>
      <c r="K2005"/>
    </row>
    <row r="2006" spans="2:11" x14ac:dyDescent="0.25">
      <c r="B2006"/>
      <c r="K2006"/>
    </row>
    <row r="2007" spans="2:11" x14ac:dyDescent="0.25">
      <c r="B2007"/>
      <c r="K2007"/>
    </row>
    <row r="2008" spans="2:11" x14ac:dyDescent="0.25">
      <c r="B2008"/>
      <c r="K2008"/>
    </row>
    <row r="2009" spans="2:11" x14ac:dyDescent="0.25">
      <c r="B2009"/>
      <c r="K2009"/>
    </row>
    <row r="2010" spans="2:11" x14ac:dyDescent="0.25">
      <c r="B2010"/>
      <c r="K2010"/>
    </row>
    <row r="2011" spans="2:11" x14ac:dyDescent="0.25">
      <c r="B2011"/>
      <c r="K2011"/>
    </row>
    <row r="2012" spans="2:11" x14ac:dyDescent="0.25">
      <c r="B2012"/>
      <c r="K2012"/>
    </row>
    <row r="2013" spans="2:11" x14ac:dyDescent="0.25">
      <c r="B2013"/>
      <c r="K2013"/>
    </row>
    <row r="2014" spans="2:11" x14ac:dyDescent="0.25">
      <c r="B2014"/>
      <c r="K2014"/>
    </row>
    <row r="2015" spans="2:11" x14ac:dyDescent="0.25">
      <c r="B2015"/>
      <c r="K2015"/>
    </row>
    <row r="2016" spans="2:11" x14ac:dyDescent="0.25">
      <c r="B2016"/>
      <c r="K2016"/>
    </row>
    <row r="2017" spans="2:11" x14ac:dyDescent="0.25">
      <c r="B2017"/>
      <c r="K2017"/>
    </row>
    <row r="2018" spans="2:11" x14ac:dyDescent="0.25">
      <c r="B2018"/>
      <c r="K2018"/>
    </row>
    <row r="2019" spans="2:11" x14ac:dyDescent="0.25">
      <c r="B2019"/>
      <c r="K2019"/>
    </row>
    <row r="2020" spans="2:11" x14ac:dyDescent="0.25">
      <c r="B2020"/>
      <c r="K2020"/>
    </row>
    <row r="2021" spans="2:11" x14ac:dyDescent="0.25">
      <c r="B2021"/>
      <c r="K2021"/>
    </row>
    <row r="2022" spans="2:11" x14ac:dyDescent="0.25">
      <c r="B2022"/>
      <c r="K2022"/>
    </row>
    <row r="2023" spans="2:11" x14ac:dyDescent="0.25">
      <c r="B2023"/>
      <c r="K2023"/>
    </row>
    <row r="2024" spans="2:11" x14ac:dyDescent="0.25">
      <c r="B2024"/>
      <c r="K2024"/>
    </row>
    <row r="2025" spans="2:11" x14ac:dyDescent="0.25">
      <c r="B2025"/>
      <c r="K2025"/>
    </row>
    <row r="2026" spans="2:11" x14ac:dyDescent="0.25">
      <c r="B2026"/>
      <c r="K2026"/>
    </row>
    <row r="2027" spans="2:11" x14ac:dyDescent="0.25">
      <c r="B2027"/>
      <c r="K2027"/>
    </row>
    <row r="2028" spans="2:11" x14ac:dyDescent="0.25">
      <c r="B2028"/>
      <c r="K2028"/>
    </row>
    <row r="2029" spans="2:11" x14ac:dyDescent="0.25">
      <c r="B2029"/>
      <c r="K2029"/>
    </row>
    <row r="2030" spans="2:11" x14ac:dyDescent="0.25">
      <c r="B2030"/>
      <c r="K2030"/>
    </row>
    <row r="2031" spans="2:11" x14ac:dyDescent="0.25">
      <c r="B2031"/>
      <c r="K2031"/>
    </row>
    <row r="2032" spans="2:11" x14ac:dyDescent="0.25">
      <c r="B2032"/>
      <c r="K2032"/>
    </row>
    <row r="2033" spans="2:11" x14ac:dyDescent="0.25">
      <c r="B2033"/>
      <c r="K2033"/>
    </row>
    <row r="2034" spans="2:11" x14ac:dyDescent="0.25">
      <c r="B2034"/>
      <c r="K2034"/>
    </row>
    <row r="2035" spans="2:11" x14ac:dyDescent="0.25">
      <c r="B2035"/>
      <c r="K2035"/>
    </row>
    <row r="2036" spans="2:11" x14ac:dyDescent="0.25">
      <c r="B2036"/>
      <c r="K2036"/>
    </row>
    <row r="2037" spans="2:11" x14ac:dyDescent="0.25">
      <c r="B2037"/>
      <c r="K2037"/>
    </row>
    <row r="2038" spans="2:11" x14ac:dyDescent="0.25">
      <c r="B2038"/>
      <c r="K2038"/>
    </row>
    <row r="2039" spans="2:11" x14ac:dyDescent="0.25">
      <c r="B2039"/>
      <c r="K2039"/>
    </row>
    <row r="2040" spans="2:11" x14ac:dyDescent="0.25">
      <c r="B2040"/>
      <c r="K2040"/>
    </row>
    <row r="2041" spans="2:11" x14ac:dyDescent="0.25">
      <c r="B2041"/>
      <c r="K2041"/>
    </row>
    <row r="2042" spans="2:11" x14ac:dyDescent="0.25">
      <c r="B2042"/>
      <c r="K2042"/>
    </row>
    <row r="2043" spans="2:11" x14ac:dyDescent="0.25">
      <c r="B2043"/>
      <c r="K2043"/>
    </row>
    <row r="2044" spans="2:11" x14ac:dyDescent="0.25">
      <c r="B2044"/>
      <c r="K2044"/>
    </row>
    <row r="2045" spans="2:11" x14ac:dyDescent="0.25">
      <c r="B2045"/>
      <c r="K2045"/>
    </row>
    <row r="2046" spans="2:11" x14ac:dyDescent="0.25">
      <c r="B2046"/>
      <c r="K2046"/>
    </row>
    <row r="2047" spans="2:11" x14ac:dyDescent="0.25">
      <c r="B2047"/>
      <c r="K2047"/>
    </row>
    <row r="2048" spans="2:11" x14ac:dyDescent="0.25">
      <c r="B2048"/>
      <c r="K2048"/>
    </row>
    <row r="2049" spans="2:11" x14ac:dyDescent="0.25">
      <c r="B2049"/>
      <c r="K2049"/>
    </row>
    <row r="2050" spans="2:11" x14ac:dyDescent="0.25">
      <c r="B2050"/>
      <c r="K2050"/>
    </row>
    <row r="2051" spans="2:11" x14ac:dyDescent="0.25">
      <c r="B2051"/>
      <c r="K2051"/>
    </row>
    <row r="2052" spans="2:11" x14ac:dyDescent="0.25">
      <c r="B2052"/>
      <c r="K2052"/>
    </row>
    <row r="2053" spans="2:11" x14ac:dyDescent="0.25">
      <c r="B2053"/>
      <c r="K2053"/>
    </row>
    <row r="2054" spans="2:11" x14ac:dyDescent="0.25">
      <c r="B2054"/>
      <c r="K2054"/>
    </row>
    <row r="2055" spans="2:11" x14ac:dyDescent="0.25">
      <c r="B2055"/>
      <c r="K2055"/>
    </row>
    <row r="2056" spans="2:11" x14ac:dyDescent="0.25">
      <c r="B2056"/>
      <c r="K2056"/>
    </row>
    <row r="2057" spans="2:11" x14ac:dyDescent="0.25">
      <c r="B2057"/>
      <c r="K2057"/>
    </row>
    <row r="2058" spans="2:11" x14ac:dyDescent="0.25">
      <c r="B2058"/>
      <c r="K2058"/>
    </row>
    <row r="2059" spans="2:11" x14ac:dyDescent="0.25">
      <c r="B2059"/>
      <c r="K2059"/>
    </row>
    <row r="2060" spans="2:11" x14ac:dyDescent="0.25">
      <c r="B2060"/>
      <c r="K2060"/>
    </row>
    <row r="2061" spans="2:11" x14ac:dyDescent="0.25">
      <c r="B2061"/>
      <c r="K2061"/>
    </row>
    <row r="2062" spans="2:11" x14ac:dyDescent="0.25">
      <c r="B2062"/>
      <c r="K2062"/>
    </row>
    <row r="2063" spans="2:11" x14ac:dyDescent="0.25">
      <c r="B2063"/>
      <c r="K2063"/>
    </row>
    <row r="2064" spans="2:11" x14ac:dyDescent="0.25">
      <c r="B2064"/>
      <c r="K2064"/>
    </row>
    <row r="2065" spans="2:11" x14ac:dyDescent="0.25">
      <c r="B2065"/>
      <c r="K2065"/>
    </row>
    <row r="2066" spans="2:11" x14ac:dyDescent="0.25">
      <c r="B2066"/>
      <c r="K2066"/>
    </row>
    <row r="2067" spans="2:11" x14ac:dyDescent="0.25">
      <c r="B2067"/>
      <c r="K2067"/>
    </row>
    <row r="2068" spans="2:11" x14ac:dyDescent="0.25">
      <c r="B2068"/>
      <c r="K2068"/>
    </row>
    <row r="2069" spans="2:11" x14ac:dyDescent="0.25">
      <c r="B2069"/>
      <c r="K2069"/>
    </row>
    <row r="2070" spans="2:11" x14ac:dyDescent="0.25">
      <c r="B2070"/>
      <c r="K2070"/>
    </row>
    <row r="2071" spans="2:11" x14ac:dyDescent="0.25">
      <c r="B2071"/>
      <c r="K2071"/>
    </row>
    <row r="2072" spans="2:11" x14ac:dyDescent="0.25">
      <c r="B2072"/>
      <c r="K2072"/>
    </row>
    <row r="2073" spans="2:11" x14ac:dyDescent="0.25">
      <c r="B2073"/>
      <c r="K2073"/>
    </row>
    <row r="2074" spans="2:11" x14ac:dyDescent="0.25">
      <c r="B2074"/>
      <c r="K2074"/>
    </row>
    <row r="2075" spans="2:11" x14ac:dyDescent="0.25">
      <c r="B2075"/>
      <c r="K2075"/>
    </row>
    <row r="2076" spans="2:11" x14ac:dyDescent="0.25">
      <c r="B2076"/>
      <c r="K2076"/>
    </row>
    <row r="2077" spans="2:11" x14ac:dyDescent="0.25">
      <c r="B2077"/>
      <c r="K2077"/>
    </row>
    <row r="2078" spans="2:11" x14ac:dyDescent="0.25">
      <c r="B2078"/>
      <c r="K2078"/>
    </row>
    <row r="2079" spans="2:11" x14ac:dyDescent="0.25">
      <c r="B2079"/>
      <c r="K2079"/>
    </row>
    <row r="2080" spans="2:11" x14ac:dyDescent="0.25">
      <c r="B2080"/>
      <c r="K2080"/>
    </row>
    <row r="2081" spans="2:11" x14ac:dyDescent="0.25">
      <c r="B2081"/>
      <c r="K2081"/>
    </row>
    <row r="2082" spans="2:11" x14ac:dyDescent="0.25">
      <c r="B2082"/>
      <c r="K2082"/>
    </row>
    <row r="2083" spans="2:11" x14ac:dyDescent="0.25">
      <c r="B2083"/>
      <c r="K2083"/>
    </row>
    <row r="2084" spans="2:11" x14ac:dyDescent="0.25">
      <c r="B2084"/>
      <c r="K2084"/>
    </row>
    <row r="2085" spans="2:11" x14ac:dyDescent="0.25">
      <c r="B2085"/>
      <c r="K2085"/>
    </row>
    <row r="2086" spans="2:11" x14ac:dyDescent="0.25">
      <c r="B2086"/>
      <c r="K2086"/>
    </row>
    <row r="2087" spans="2:11" x14ac:dyDescent="0.25">
      <c r="B2087"/>
      <c r="K2087"/>
    </row>
    <row r="2088" spans="2:11" x14ac:dyDescent="0.25">
      <c r="B2088"/>
      <c r="K2088"/>
    </row>
    <row r="2089" spans="2:11" x14ac:dyDescent="0.25">
      <c r="B2089"/>
      <c r="K2089"/>
    </row>
    <row r="2090" spans="2:11" x14ac:dyDescent="0.25">
      <c r="B2090"/>
      <c r="K2090"/>
    </row>
    <row r="2091" spans="2:11" x14ac:dyDescent="0.25">
      <c r="B2091"/>
      <c r="K2091"/>
    </row>
    <row r="2092" spans="2:11" x14ac:dyDescent="0.25">
      <c r="B2092"/>
      <c r="K2092"/>
    </row>
    <row r="2093" spans="2:11" x14ac:dyDescent="0.25">
      <c r="B2093"/>
      <c r="K2093"/>
    </row>
    <row r="2094" spans="2:11" x14ac:dyDescent="0.25">
      <c r="B2094"/>
      <c r="K2094"/>
    </row>
    <row r="2095" spans="2:11" x14ac:dyDescent="0.25">
      <c r="B2095"/>
      <c r="K2095"/>
    </row>
    <row r="2096" spans="2:11" x14ac:dyDescent="0.25">
      <c r="B2096"/>
      <c r="K2096"/>
    </row>
    <row r="2097" spans="2:11" x14ac:dyDescent="0.25">
      <c r="B2097"/>
      <c r="K2097"/>
    </row>
    <row r="2098" spans="2:11" x14ac:dyDescent="0.25">
      <c r="B2098"/>
      <c r="K2098"/>
    </row>
    <row r="2099" spans="2:11" x14ac:dyDescent="0.25">
      <c r="B2099"/>
      <c r="K2099"/>
    </row>
    <row r="2100" spans="2:11" x14ac:dyDescent="0.25">
      <c r="B2100"/>
      <c r="K2100"/>
    </row>
    <row r="2101" spans="2:11" x14ac:dyDescent="0.25">
      <c r="B2101"/>
      <c r="K2101"/>
    </row>
    <row r="2102" spans="2:11" x14ac:dyDescent="0.25">
      <c r="B2102"/>
      <c r="K2102"/>
    </row>
    <row r="2103" spans="2:11" x14ac:dyDescent="0.25">
      <c r="B2103"/>
      <c r="K2103"/>
    </row>
    <row r="2104" spans="2:11" x14ac:dyDescent="0.25">
      <c r="B2104"/>
      <c r="K2104"/>
    </row>
    <row r="2105" spans="2:11" x14ac:dyDescent="0.25">
      <c r="B2105"/>
      <c r="K2105"/>
    </row>
    <row r="2106" spans="2:11" x14ac:dyDescent="0.25">
      <c r="B2106"/>
      <c r="K2106"/>
    </row>
    <row r="2107" spans="2:11" x14ac:dyDescent="0.25">
      <c r="B2107"/>
      <c r="K2107"/>
    </row>
    <row r="2108" spans="2:11" x14ac:dyDescent="0.25">
      <c r="B2108"/>
      <c r="K2108"/>
    </row>
    <row r="2109" spans="2:11" x14ac:dyDescent="0.25">
      <c r="B2109"/>
      <c r="K2109"/>
    </row>
    <row r="2110" spans="2:11" x14ac:dyDescent="0.25">
      <c r="B2110"/>
      <c r="K2110"/>
    </row>
    <row r="2111" spans="2:11" x14ac:dyDescent="0.25">
      <c r="B2111"/>
      <c r="K2111"/>
    </row>
    <row r="2112" spans="2:11" x14ac:dyDescent="0.25">
      <c r="B2112"/>
      <c r="K2112"/>
    </row>
    <row r="2113" spans="2:11" x14ac:dyDescent="0.25">
      <c r="B2113"/>
      <c r="K2113"/>
    </row>
    <row r="2114" spans="2:11" x14ac:dyDescent="0.25">
      <c r="B2114"/>
      <c r="K2114"/>
    </row>
    <row r="2115" spans="2:11" x14ac:dyDescent="0.25">
      <c r="B2115"/>
      <c r="K2115"/>
    </row>
    <row r="2116" spans="2:11" x14ac:dyDescent="0.25">
      <c r="B2116"/>
      <c r="K2116"/>
    </row>
    <row r="2117" spans="2:11" x14ac:dyDescent="0.25">
      <c r="B2117"/>
      <c r="K2117"/>
    </row>
    <row r="2118" spans="2:11" x14ac:dyDescent="0.25">
      <c r="B2118"/>
      <c r="K2118"/>
    </row>
    <row r="2119" spans="2:11" x14ac:dyDescent="0.25">
      <c r="B2119"/>
      <c r="K2119"/>
    </row>
    <row r="2120" spans="2:11" x14ac:dyDescent="0.25">
      <c r="B2120"/>
      <c r="K2120"/>
    </row>
    <row r="2121" spans="2:11" x14ac:dyDescent="0.25">
      <c r="B2121"/>
      <c r="K2121"/>
    </row>
    <row r="2122" spans="2:11" x14ac:dyDescent="0.25">
      <c r="B2122"/>
      <c r="K2122"/>
    </row>
    <row r="2123" spans="2:11" x14ac:dyDescent="0.25">
      <c r="B2123"/>
      <c r="K2123"/>
    </row>
    <row r="2124" spans="2:11" x14ac:dyDescent="0.25">
      <c r="B2124"/>
      <c r="K2124"/>
    </row>
    <row r="2125" spans="2:11" x14ac:dyDescent="0.25">
      <c r="B2125"/>
      <c r="K2125"/>
    </row>
    <row r="2126" spans="2:11" x14ac:dyDescent="0.25">
      <c r="B2126"/>
      <c r="K2126"/>
    </row>
    <row r="2127" spans="2:11" x14ac:dyDescent="0.25">
      <c r="B2127"/>
      <c r="K2127"/>
    </row>
    <row r="2128" spans="2:11" x14ac:dyDescent="0.25">
      <c r="B2128"/>
      <c r="K2128"/>
    </row>
    <row r="2129" spans="2:11" x14ac:dyDescent="0.25">
      <c r="B2129"/>
      <c r="K2129"/>
    </row>
    <row r="2130" spans="2:11" x14ac:dyDescent="0.25">
      <c r="B2130"/>
      <c r="K2130"/>
    </row>
    <row r="2131" spans="2:11" x14ac:dyDescent="0.25">
      <c r="B2131"/>
      <c r="K2131"/>
    </row>
    <row r="2132" spans="2:11" x14ac:dyDescent="0.25">
      <c r="B2132"/>
      <c r="K2132"/>
    </row>
    <row r="2133" spans="2:11" x14ac:dyDescent="0.25">
      <c r="B2133"/>
      <c r="K2133"/>
    </row>
    <row r="2134" spans="2:11" x14ac:dyDescent="0.25">
      <c r="B2134"/>
      <c r="K2134"/>
    </row>
    <row r="2135" spans="2:11" x14ac:dyDescent="0.25">
      <c r="B2135"/>
      <c r="K2135"/>
    </row>
    <row r="2136" spans="2:11" x14ac:dyDescent="0.25">
      <c r="B2136"/>
      <c r="K2136"/>
    </row>
    <row r="2137" spans="2:11" x14ac:dyDescent="0.25">
      <c r="B2137"/>
      <c r="K2137"/>
    </row>
    <row r="2138" spans="2:11" x14ac:dyDescent="0.25">
      <c r="B2138"/>
      <c r="K2138"/>
    </row>
    <row r="2139" spans="2:11" x14ac:dyDescent="0.25">
      <c r="B2139"/>
      <c r="K2139"/>
    </row>
    <row r="2140" spans="2:11" x14ac:dyDescent="0.25">
      <c r="B2140"/>
      <c r="K2140"/>
    </row>
    <row r="2141" spans="2:11" x14ac:dyDescent="0.25">
      <c r="B2141"/>
      <c r="K2141"/>
    </row>
    <row r="2142" spans="2:11" x14ac:dyDescent="0.25">
      <c r="B2142"/>
      <c r="K2142"/>
    </row>
    <row r="2143" spans="2:11" x14ac:dyDescent="0.25">
      <c r="B2143"/>
      <c r="K2143"/>
    </row>
    <row r="2144" spans="2:11" x14ac:dyDescent="0.25">
      <c r="B2144"/>
      <c r="K2144"/>
    </row>
    <row r="2145" spans="2:11" x14ac:dyDescent="0.25">
      <c r="B2145"/>
      <c r="K2145"/>
    </row>
    <row r="2146" spans="2:11" x14ac:dyDescent="0.25">
      <c r="B2146"/>
      <c r="K2146"/>
    </row>
    <row r="2147" spans="2:11" x14ac:dyDescent="0.25">
      <c r="B2147"/>
      <c r="K2147"/>
    </row>
    <row r="2148" spans="2:11" x14ac:dyDescent="0.25">
      <c r="B2148"/>
      <c r="K2148"/>
    </row>
    <row r="2149" spans="2:11" x14ac:dyDescent="0.25">
      <c r="B2149"/>
      <c r="K2149"/>
    </row>
    <row r="2150" spans="2:11" x14ac:dyDescent="0.25">
      <c r="B2150"/>
      <c r="K2150"/>
    </row>
    <row r="2151" spans="2:11" x14ac:dyDescent="0.25">
      <c r="B2151"/>
      <c r="K2151"/>
    </row>
    <row r="2152" spans="2:11" x14ac:dyDescent="0.25">
      <c r="B2152"/>
      <c r="K2152"/>
    </row>
    <row r="2153" spans="2:11" x14ac:dyDescent="0.25">
      <c r="B2153"/>
      <c r="K2153"/>
    </row>
    <row r="2154" spans="2:11" x14ac:dyDescent="0.25">
      <c r="B2154"/>
      <c r="K2154"/>
    </row>
    <row r="2155" spans="2:11" x14ac:dyDescent="0.25">
      <c r="B2155"/>
      <c r="K2155"/>
    </row>
    <row r="2156" spans="2:11" x14ac:dyDescent="0.25">
      <c r="B2156"/>
      <c r="K2156"/>
    </row>
    <row r="2157" spans="2:11" x14ac:dyDescent="0.25">
      <c r="B2157"/>
      <c r="K2157"/>
    </row>
    <row r="2158" spans="2:11" x14ac:dyDescent="0.25">
      <c r="B2158"/>
      <c r="K2158"/>
    </row>
    <row r="2159" spans="2:11" x14ac:dyDescent="0.25">
      <c r="B2159"/>
      <c r="K2159"/>
    </row>
    <row r="2160" spans="2:11" x14ac:dyDescent="0.25">
      <c r="B2160"/>
      <c r="K2160"/>
    </row>
    <row r="2161" spans="2:11" x14ac:dyDescent="0.25">
      <c r="B2161"/>
      <c r="K2161"/>
    </row>
    <row r="2162" spans="2:11" x14ac:dyDescent="0.25">
      <c r="B2162"/>
      <c r="K2162"/>
    </row>
    <row r="2163" spans="2:11" x14ac:dyDescent="0.25">
      <c r="B2163"/>
      <c r="K2163"/>
    </row>
    <row r="2164" spans="2:11" x14ac:dyDescent="0.25">
      <c r="B2164"/>
      <c r="K2164"/>
    </row>
    <row r="2165" spans="2:11" x14ac:dyDescent="0.25">
      <c r="B2165"/>
      <c r="K2165"/>
    </row>
    <row r="2166" spans="2:11" x14ac:dyDescent="0.25">
      <c r="B2166"/>
      <c r="K2166"/>
    </row>
    <row r="2167" spans="2:11" x14ac:dyDescent="0.25">
      <c r="B2167"/>
      <c r="K2167"/>
    </row>
    <row r="2168" spans="2:11" x14ac:dyDescent="0.25">
      <c r="B2168"/>
      <c r="K2168"/>
    </row>
    <row r="2169" spans="2:11" x14ac:dyDescent="0.25">
      <c r="B2169"/>
      <c r="K2169"/>
    </row>
    <row r="2170" spans="2:11" x14ac:dyDescent="0.25">
      <c r="B2170"/>
      <c r="K2170"/>
    </row>
    <row r="2171" spans="2:11" x14ac:dyDescent="0.25">
      <c r="B2171"/>
      <c r="K2171"/>
    </row>
    <row r="2172" spans="2:11" x14ac:dyDescent="0.25">
      <c r="B2172"/>
      <c r="K2172"/>
    </row>
    <row r="2173" spans="2:11" x14ac:dyDescent="0.25">
      <c r="B2173"/>
      <c r="K2173"/>
    </row>
    <row r="2174" spans="2:11" x14ac:dyDescent="0.25">
      <c r="B2174"/>
      <c r="K2174"/>
    </row>
    <row r="2175" spans="2:11" x14ac:dyDescent="0.25">
      <c r="B2175"/>
      <c r="K2175"/>
    </row>
    <row r="2176" spans="2:11" x14ac:dyDescent="0.25">
      <c r="B2176"/>
      <c r="K2176"/>
    </row>
    <row r="2177" spans="2:11" x14ac:dyDescent="0.25">
      <c r="B2177"/>
      <c r="K2177"/>
    </row>
    <row r="2178" spans="2:11" x14ac:dyDescent="0.25">
      <c r="B2178"/>
      <c r="K2178"/>
    </row>
    <row r="2179" spans="2:11" x14ac:dyDescent="0.25">
      <c r="B2179"/>
      <c r="K2179"/>
    </row>
    <row r="2180" spans="2:11" x14ac:dyDescent="0.25">
      <c r="B2180"/>
      <c r="K2180"/>
    </row>
    <row r="2181" spans="2:11" x14ac:dyDescent="0.25">
      <c r="B2181"/>
      <c r="K2181"/>
    </row>
    <row r="2182" spans="2:11" x14ac:dyDescent="0.25">
      <c r="B2182"/>
      <c r="K2182"/>
    </row>
    <row r="2183" spans="2:11" x14ac:dyDescent="0.25">
      <c r="B2183"/>
      <c r="K2183"/>
    </row>
    <row r="2184" spans="2:11" x14ac:dyDescent="0.25">
      <c r="B2184"/>
      <c r="K2184"/>
    </row>
    <row r="2185" spans="2:11" x14ac:dyDescent="0.25">
      <c r="B2185"/>
      <c r="K2185"/>
    </row>
    <row r="2186" spans="2:11" x14ac:dyDescent="0.25">
      <c r="B2186"/>
      <c r="K2186"/>
    </row>
    <row r="2187" spans="2:11" x14ac:dyDescent="0.25">
      <c r="B2187"/>
      <c r="K2187"/>
    </row>
    <row r="2188" spans="2:11" x14ac:dyDescent="0.25">
      <c r="B2188"/>
      <c r="K2188"/>
    </row>
    <row r="2189" spans="2:11" x14ac:dyDescent="0.25">
      <c r="B2189"/>
      <c r="K2189"/>
    </row>
    <row r="2190" spans="2:11" x14ac:dyDescent="0.25">
      <c r="B2190"/>
      <c r="K2190"/>
    </row>
    <row r="2191" spans="2:11" x14ac:dyDescent="0.25">
      <c r="B2191"/>
      <c r="K2191"/>
    </row>
    <row r="2192" spans="2:11" x14ac:dyDescent="0.25">
      <c r="B2192"/>
      <c r="K2192"/>
    </row>
    <row r="2193" spans="2:11" x14ac:dyDescent="0.25">
      <c r="B2193"/>
      <c r="K2193"/>
    </row>
    <row r="2194" spans="2:11" x14ac:dyDescent="0.25">
      <c r="B2194"/>
      <c r="K2194"/>
    </row>
    <row r="2195" spans="2:11" x14ac:dyDescent="0.25">
      <c r="B2195"/>
      <c r="K2195"/>
    </row>
    <row r="2196" spans="2:11" x14ac:dyDescent="0.25">
      <c r="B2196"/>
      <c r="K2196"/>
    </row>
    <row r="2197" spans="2:11" x14ac:dyDescent="0.25">
      <c r="B2197"/>
      <c r="K2197"/>
    </row>
    <row r="2198" spans="2:11" x14ac:dyDescent="0.25">
      <c r="B2198"/>
      <c r="K2198"/>
    </row>
    <row r="2199" spans="2:11" x14ac:dyDescent="0.25">
      <c r="B2199"/>
      <c r="K2199"/>
    </row>
    <row r="2200" spans="2:11" x14ac:dyDescent="0.25">
      <c r="B2200"/>
      <c r="K2200"/>
    </row>
    <row r="2201" spans="2:11" x14ac:dyDescent="0.25">
      <c r="B2201"/>
      <c r="K2201"/>
    </row>
    <row r="2202" spans="2:11" x14ac:dyDescent="0.25">
      <c r="B2202"/>
      <c r="K2202"/>
    </row>
    <row r="2203" spans="2:11" x14ac:dyDescent="0.25">
      <c r="B2203"/>
      <c r="K2203"/>
    </row>
    <row r="2204" spans="2:11" x14ac:dyDescent="0.25">
      <c r="B2204"/>
      <c r="K2204"/>
    </row>
    <row r="2205" spans="2:11" x14ac:dyDescent="0.25">
      <c r="B2205"/>
      <c r="K2205"/>
    </row>
    <row r="2206" spans="2:11" x14ac:dyDescent="0.25">
      <c r="B2206"/>
      <c r="K2206"/>
    </row>
    <row r="2207" spans="2:11" x14ac:dyDescent="0.25">
      <c r="B2207"/>
      <c r="K2207"/>
    </row>
    <row r="2208" spans="2:11" x14ac:dyDescent="0.25">
      <c r="B2208"/>
      <c r="K2208"/>
    </row>
    <row r="2209" spans="2:11" x14ac:dyDescent="0.25">
      <c r="B2209"/>
      <c r="K2209"/>
    </row>
    <row r="2210" spans="2:11" x14ac:dyDescent="0.25">
      <c r="B2210"/>
      <c r="K2210"/>
    </row>
    <row r="2211" spans="2:11" x14ac:dyDescent="0.25">
      <c r="B2211"/>
      <c r="K2211"/>
    </row>
    <row r="2212" spans="2:11" x14ac:dyDescent="0.25">
      <c r="B2212"/>
      <c r="K2212"/>
    </row>
    <row r="2213" spans="2:11" x14ac:dyDescent="0.25">
      <c r="B2213"/>
      <c r="K2213"/>
    </row>
    <row r="2214" spans="2:11" x14ac:dyDescent="0.25">
      <c r="B2214"/>
      <c r="K2214"/>
    </row>
    <row r="2215" spans="2:11" x14ac:dyDescent="0.25">
      <c r="B2215"/>
      <c r="K2215"/>
    </row>
    <row r="2216" spans="2:11" x14ac:dyDescent="0.25">
      <c r="B2216"/>
      <c r="K2216"/>
    </row>
    <row r="2217" spans="2:11" x14ac:dyDescent="0.25">
      <c r="B2217"/>
      <c r="K2217"/>
    </row>
    <row r="2218" spans="2:11" x14ac:dyDescent="0.25">
      <c r="B2218"/>
      <c r="K2218"/>
    </row>
    <row r="2219" spans="2:11" x14ac:dyDescent="0.25">
      <c r="B2219"/>
      <c r="K2219"/>
    </row>
    <row r="2220" spans="2:11" x14ac:dyDescent="0.25">
      <c r="B2220"/>
      <c r="K2220"/>
    </row>
    <row r="2221" spans="2:11" x14ac:dyDescent="0.25">
      <c r="B2221"/>
      <c r="K2221"/>
    </row>
    <row r="2222" spans="2:11" x14ac:dyDescent="0.25">
      <c r="B2222"/>
      <c r="K2222"/>
    </row>
    <row r="2223" spans="2:11" x14ac:dyDescent="0.25">
      <c r="B2223"/>
      <c r="K2223"/>
    </row>
    <row r="2224" spans="2:11" x14ac:dyDescent="0.25">
      <c r="B2224"/>
      <c r="K2224"/>
    </row>
    <row r="2225" spans="2:11" x14ac:dyDescent="0.25">
      <c r="B2225"/>
      <c r="K2225"/>
    </row>
    <row r="2226" spans="2:11" x14ac:dyDescent="0.25">
      <c r="B2226"/>
      <c r="K2226"/>
    </row>
    <row r="2227" spans="2:11" x14ac:dyDescent="0.25">
      <c r="B2227"/>
      <c r="K2227"/>
    </row>
    <row r="2228" spans="2:11" x14ac:dyDescent="0.25">
      <c r="B2228"/>
      <c r="K2228"/>
    </row>
    <row r="2229" spans="2:11" x14ac:dyDescent="0.25">
      <c r="B2229"/>
      <c r="K2229"/>
    </row>
    <row r="2230" spans="2:11" x14ac:dyDescent="0.25">
      <c r="B2230"/>
      <c r="K2230"/>
    </row>
    <row r="2231" spans="2:11" x14ac:dyDescent="0.25">
      <c r="B2231"/>
      <c r="K2231"/>
    </row>
    <row r="2232" spans="2:11" x14ac:dyDescent="0.25">
      <c r="B2232"/>
      <c r="K2232"/>
    </row>
    <row r="2233" spans="2:11" x14ac:dyDescent="0.25">
      <c r="B2233"/>
      <c r="K2233"/>
    </row>
    <row r="2234" spans="2:11" x14ac:dyDescent="0.25">
      <c r="B2234"/>
      <c r="K2234"/>
    </row>
    <row r="2235" spans="2:11" x14ac:dyDescent="0.25">
      <c r="B2235"/>
      <c r="K2235"/>
    </row>
    <row r="2236" spans="2:11" x14ac:dyDescent="0.25">
      <c r="B2236"/>
      <c r="K2236"/>
    </row>
    <row r="2237" spans="2:11" x14ac:dyDescent="0.25">
      <c r="B2237"/>
      <c r="K2237"/>
    </row>
    <row r="2238" spans="2:11" x14ac:dyDescent="0.25">
      <c r="B2238"/>
      <c r="K2238"/>
    </row>
    <row r="2239" spans="2:11" x14ac:dyDescent="0.25">
      <c r="B2239"/>
      <c r="K2239"/>
    </row>
    <row r="2240" spans="2:11" x14ac:dyDescent="0.25">
      <c r="B2240"/>
      <c r="K2240"/>
    </row>
    <row r="2241" spans="2:11" x14ac:dyDescent="0.25">
      <c r="B2241"/>
      <c r="K2241"/>
    </row>
    <row r="2242" spans="2:11" x14ac:dyDescent="0.25">
      <c r="B2242"/>
      <c r="K2242"/>
    </row>
    <row r="2243" spans="2:11" x14ac:dyDescent="0.25">
      <c r="B2243"/>
      <c r="K2243"/>
    </row>
    <row r="2244" spans="2:11" x14ac:dyDescent="0.25">
      <c r="B2244"/>
      <c r="K2244"/>
    </row>
    <row r="2245" spans="2:11" x14ac:dyDescent="0.25">
      <c r="B2245"/>
      <c r="K2245"/>
    </row>
    <row r="2246" spans="2:11" x14ac:dyDescent="0.25">
      <c r="B2246"/>
      <c r="K2246"/>
    </row>
    <row r="2247" spans="2:11" x14ac:dyDescent="0.25">
      <c r="B2247"/>
      <c r="K2247"/>
    </row>
    <row r="2248" spans="2:11" x14ac:dyDescent="0.25">
      <c r="B2248"/>
      <c r="K2248"/>
    </row>
    <row r="2249" spans="2:11" x14ac:dyDescent="0.25">
      <c r="B2249"/>
      <c r="K2249"/>
    </row>
    <row r="2250" spans="2:11" x14ac:dyDescent="0.25">
      <c r="B2250"/>
      <c r="K2250"/>
    </row>
    <row r="2251" spans="2:11" x14ac:dyDescent="0.25">
      <c r="B2251"/>
      <c r="K2251"/>
    </row>
    <row r="2252" spans="2:11" x14ac:dyDescent="0.25">
      <c r="B2252"/>
      <c r="K2252"/>
    </row>
    <row r="2253" spans="2:11" x14ac:dyDescent="0.25">
      <c r="B2253"/>
      <c r="K2253"/>
    </row>
    <row r="2254" spans="2:11" x14ac:dyDescent="0.25">
      <c r="B2254"/>
      <c r="K2254"/>
    </row>
    <row r="2255" spans="2:11" x14ac:dyDescent="0.25">
      <c r="B2255"/>
      <c r="K2255"/>
    </row>
    <row r="2256" spans="2:11" x14ac:dyDescent="0.25">
      <c r="B2256"/>
      <c r="K2256"/>
    </row>
    <row r="2257" spans="2:11" x14ac:dyDescent="0.25">
      <c r="B2257"/>
      <c r="K2257"/>
    </row>
    <row r="2258" spans="2:11" x14ac:dyDescent="0.25">
      <c r="B2258"/>
      <c r="K2258"/>
    </row>
    <row r="2259" spans="2:11" x14ac:dyDescent="0.25">
      <c r="B2259"/>
      <c r="K2259"/>
    </row>
    <row r="2260" spans="2:11" x14ac:dyDescent="0.25">
      <c r="B2260"/>
      <c r="K2260"/>
    </row>
    <row r="2261" spans="2:11" x14ac:dyDescent="0.25">
      <c r="B2261"/>
      <c r="K2261"/>
    </row>
    <row r="2262" spans="2:11" x14ac:dyDescent="0.25">
      <c r="B2262"/>
      <c r="K2262"/>
    </row>
    <row r="2263" spans="2:11" x14ac:dyDescent="0.25">
      <c r="B2263"/>
      <c r="K2263"/>
    </row>
    <row r="2264" spans="2:11" x14ac:dyDescent="0.25">
      <c r="B2264"/>
      <c r="K2264"/>
    </row>
    <row r="2265" spans="2:11" x14ac:dyDescent="0.25">
      <c r="B2265"/>
      <c r="K2265"/>
    </row>
    <row r="2266" spans="2:11" x14ac:dyDescent="0.25">
      <c r="B2266"/>
      <c r="K2266"/>
    </row>
    <row r="2267" spans="2:11" x14ac:dyDescent="0.25">
      <c r="B2267"/>
      <c r="K2267"/>
    </row>
    <row r="2268" spans="2:11" x14ac:dyDescent="0.25">
      <c r="B2268"/>
      <c r="K2268"/>
    </row>
    <row r="2269" spans="2:11" x14ac:dyDescent="0.25">
      <c r="B2269"/>
      <c r="K2269"/>
    </row>
    <row r="2270" spans="2:11" x14ac:dyDescent="0.25">
      <c r="B2270"/>
      <c r="K2270"/>
    </row>
    <row r="2271" spans="2:11" x14ac:dyDescent="0.25">
      <c r="B2271"/>
      <c r="K2271"/>
    </row>
    <row r="2272" spans="2:11" x14ac:dyDescent="0.25">
      <c r="B2272"/>
      <c r="K2272"/>
    </row>
    <row r="2273" spans="2:11" x14ac:dyDescent="0.25">
      <c r="B2273"/>
      <c r="K2273"/>
    </row>
    <row r="2274" spans="2:11" x14ac:dyDescent="0.25">
      <c r="B2274"/>
      <c r="K2274"/>
    </row>
    <row r="2275" spans="2:11" x14ac:dyDescent="0.25">
      <c r="B2275"/>
      <c r="K2275"/>
    </row>
    <row r="2276" spans="2:11" x14ac:dyDescent="0.25">
      <c r="B2276"/>
      <c r="K2276"/>
    </row>
    <row r="2277" spans="2:11" x14ac:dyDescent="0.25">
      <c r="B2277"/>
      <c r="K2277"/>
    </row>
    <row r="2278" spans="2:11" x14ac:dyDescent="0.25">
      <c r="B2278"/>
      <c r="K2278"/>
    </row>
    <row r="2279" spans="2:11" x14ac:dyDescent="0.25">
      <c r="B2279"/>
      <c r="K2279"/>
    </row>
    <row r="2280" spans="2:11" x14ac:dyDescent="0.25">
      <c r="B2280"/>
      <c r="K2280"/>
    </row>
    <row r="2281" spans="2:11" x14ac:dyDescent="0.25">
      <c r="B2281"/>
      <c r="K2281"/>
    </row>
    <row r="2282" spans="2:11" x14ac:dyDescent="0.25">
      <c r="B2282"/>
      <c r="K2282"/>
    </row>
    <row r="2283" spans="2:11" x14ac:dyDescent="0.25">
      <c r="B2283"/>
      <c r="K2283"/>
    </row>
    <row r="2284" spans="2:11" x14ac:dyDescent="0.25">
      <c r="B2284"/>
      <c r="K2284"/>
    </row>
    <row r="2285" spans="2:11" x14ac:dyDescent="0.25">
      <c r="B2285"/>
      <c r="K2285"/>
    </row>
    <row r="2286" spans="2:11" x14ac:dyDescent="0.25">
      <c r="B2286"/>
      <c r="K2286"/>
    </row>
    <row r="2287" spans="2:11" x14ac:dyDescent="0.25">
      <c r="B2287"/>
      <c r="K2287"/>
    </row>
    <row r="2288" spans="2:11" x14ac:dyDescent="0.25">
      <c r="B2288"/>
      <c r="K2288"/>
    </row>
    <row r="2289" spans="2:11" x14ac:dyDescent="0.25">
      <c r="B2289"/>
      <c r="K2289"/>
    </row>
    <row r="2290" spans="2:11" x14ac:dyDescent="0.25">
      <c r="B2290"/>
      <c r="K2290"/>
    </row>
    <row r="2291" spans="2:11" x14ac:dyDescent="0.25">
      <c r="B2291"/>
      <c r="K2291"/>
    </row>
    <row r="2292" spans="2:11" x14ac:dyDescent="0.25">
      <c r="B2292"/>
      <c r="K2292"/>
    </row>
    <row r="2293" spans="2:11" x14ac:dyDescent="0.25">
      <c r="B2293"/>
      <c r="K2293"/>
    </row>
    <row r="2294" spans="2:11" x14ac:dyDescent="0.25">
      <c r="B2294"/>
      <c r="K2294"/>
    </row>
    <row r="2295" spans="2:11" x14ac:dyDescent="0.25">
      <c r="B2295"/>
      <c r="K2295"/>
    </row>
    <row r="2296" spans="2:11" x14ac:dyDescent="0.25">
      <c r="B2296"/>
      <c r="K2296"/>
    </row>
    <row r="2297" spans="2:11" x14ac:dyDescent="0.25">
      <c r="B2297"/>
      <c r="K2297"/>
    </row>
    <row r="2298" spans="2:11" x14ac:dyDescent="0.25">
      <c r="B2298"/>
      <c r="K2298"/>
    </row>
    <row r="2299" spans="2:11" x14ac:dyDescent="0.25">
      <c r="B2299"/>
      <c r="K2299"/>
    </row>
    <row r="2300" spans="2:11" x14ac:dyDescent="0.25">
      <c r="B2300"/>
      <c r="K2300"/>
    </row>
    <row r="2301" spans="2:11" x14ac:dyDescent="0.25">
      <c r="B2301"/>
      <c r="K2301"/>
    </row>
    <row r="2302" spans="2:11" x14ac:dyDescent="0.25">
      <c r="B2302"/>
      <c r="K2302"/>
    </row>
    <row r="2303" spans="2:11" x14ac:dyDescent="0.25">
      <c r="B2303"/>
      <c r="K2303"/>
    </row>
    <row r="2304" spans="2:11" x14ac:dyDescent="0.25">
      <c r="B2304"/>
      <c r="K2304"/>
    </row>
    <row r="2305" spans="2:11" x14ac:dyDescent="0.25">
      <c r="B2305"/>
      <c r="K2305"/>
    </row>
    <row r="2306" spans="2:11" x14ac:dyDescent="0.25">
      <c r="B2306"/>
      <c r="K2306"/>
    </row>
    <row r="2307" spans="2:11" x14ac:dyDescent="0.25">
      <c r="B2307"/>
      <c r="K2307"/>
    </row>
    <row r="2308" spans="2:11" x14ac:dyDescent="0.25">
      <c r="B2308"/>
      <c r="K2308"/>
    </row>
    <row r="2309" spans="2:11" x14ac:dyDescent="0.25">
      <c r="B2309"/>
      <c r="K2309"/>
    </row>
    <row r="2310" spans="2:11" x14ac:dyDescent="0.25">
      <c r="B2310"/>
      <c r="K2310"/>
    </row>
    <row r="2311" spans="2:11" x14ac:dyDescent="0.25">
      <c r="B2311"/>
      <c r="K2311"/>
    </row>
    <row r="2312" spans="2:11" x14ac:dyDescent="0.25">
      <c r="B2312"/>
      <c r="K2312"/>
    </row>
    <row r="2313" spans="2:11" x14ac:dyDescent="0.25">
      <c r="B2313"/>
      <c r="K2313"/>
    </row>
    <row r="2314" spans="2:11" x14ac:dyDescent="0.25">
      <c r="B2314"/>
      <c r="K2314"/>
    </row>
    <row r="2315" spans="2:11" x14ac:dyDescent="0.25">
      <c r="B2315"/>
      <c r="K2315"/>
    </row>
    <row r="2316" spans="2:11" x14ac:dyDescent="0.25">
      <c r="B2316"/>
      <c r="K2316"/>
    </row>
    <row r="2317" spans="2:11" x14ac:dyDescent="0.25">
      <c r="B2317"/>
      <c r="K2317"/>
    </row>
    <row r="2318" spans="2:11" x14ac:dyDescent="0.25">
      <c r="B2318"/>
      <c r="K2318"/>
    </row>
    <row r="2319" spans="2:11" x14ac:dyDescent="0.25">
      <c r="B2319"/>
      <c r="K2319"/>
    </row>
    <row r="2320" spans="2:11" x14ac:dyDescent="0.25">
      <c r="B2320"/>
      <c r="K2320"/>
    </row>
    <row r="2321" spans="2:11" x14ac:dyDescent="0.25">
      <c r="B2321"/>
      <c r="K2321"/>
    </row>
    <row r="2322" spans="2:11" x14ac:dyDescent="0.25">
      <c r="B2322"/>
      <c r="K2322"/>
    </row>
    <row r="2323" spans="2:11" x14ac:dyDescent="0.25">
      <c r="B2323"/>
      <c r="K2323"/>
    </row>
    <row r="2324" spans="2:11" x14ac:dyDescent="0.25">
      <c r="B2324"/>
      <c r="K2324"/>
    </row>
    <row r="2325" spans="2:11" x14ac:dyDescent="0.25">
      <c r="B2325"/>
      <c r="K2325"/>
    </row>
    <row r="2326" spans="2:11" x14ac:dyDescent="0.25">
      <c r="B2326"/>
      <c r="K2326"/>
    </row>
    <row r="2327" spans="2:11" x14ac:dyDescent="0.25">
      <c r="B2327"/>
      <c r="K2327"/>
    </row>
    <row r="2328" spans="2:11" x14ac:dyDescent="0.25">
      <c r="B2328"/>
      <c r="K2328"/>
    </row>
    <row r="2329" spans="2:11" x14ac:dyDescent="0.25">
      <c r="B2329"/>
      <c r="K2329"/>
    </row>
    <row r="2330" spans="2:11" x14ac:dyDescent="0.25">
      <c r="B2330"/>
      <c r="K2330"/>
    </row>
    <row r="2331" spans="2:11" x14ac:dyDescent="0.25">
      <c r="B2331"/>
      <c r="K2331"/>
    </row>
    <row r="2332" spans="2:11" x14ac:dyDescent="0.25">
      <c r="B2332"/>
      <c r="K2332"/>
    </row>
    <row r="2333" spans="2:11" x14ac:dyDescent="0.25">
      <c r="B2333"/>
      <c r="K2333"/>
    </row>
    <row r="2334" spans="2:11" x14ac:dyDescent="0.25">
      <c r="B2334"/>
      <c r="K2334"/>
    </row>
    <row r="2335" spans="2:11" x14ac:dyDescent="0.25">
      <c r="B2335"/>
      <c r="K2335"/>
    </row>
    <row r="2336" spans="2:11" x14ac:dyDescent="0.25">
      <c r="B2336"/>
      <c r="K2336"/>
    </row>
    <row r="2337" spans="2:11" x14ac:dyDescent="0.25">
      <c r="B2337"/>
      <c r="K2337"/>
    </row>
    <row r="2338" spans="2:11" x14ac:dyDescent="0.25">
      <c r="B2338"/>
      <c r="K2338"/>
    </row>
    <row r="2339" spans="2:11" x14ac:dyDescent="0.25">
      <c r="B2339"/>
      <c r="K2339"/>
    </row>
    <row r="2340" spans="2:11" x14ac:dyDescent="0.25">
      <c r="B2340"/>
      <c r="K2340"/>
    </row>
    <row r="2341" spans="2:11" x14ac:dyDescent="0.25">
      <c r="B2341"/>
      <c r="K2341"/>
    </row>
    <row r="2342" spans="2:11" x14ac:dyDescent="0.25">
      <c r="B2342"/>
      <c r="K2342"/>
    </row>
    <row r="2343" spans="2:11" x14ac:dyDescent="0.25">
      <c r="B2343"/>
      <c r="K2343"/>
    </row>
    <row r="2344" spans="2:11" x14ac:dyDescent="0.25">
      <c r="B2344"/>
      <c r="K2344"/>
    </row>
    <row r="2345" spans="2:11" x14ac:dyDescent="0.25">
      <c r="B2345"/>
      <c r="K2345"/>
    </row>
    <row r="2346" spans="2:11" x14ac:dyDescent="0.25">
      <c r="B2346"/>
      <c r="K2346"/>
    </row>
    <row r="2347" spans="2:11" x14ac:dyDescent="0.25">
      <c r="B2347"/>
      <c r="K2347"/>
    </row>
    <row r="2348" spans="2:11" x14ac:dyDescent="0.25">
      <c r="B2348"/>
      <c r="K2348"/>
    </row>
    <row r="2349" spans="2:11" x14ac:dyDescent="0.25">
      <c r="B2349"/>
      <c r="K2349"/>
    </row>
    <row r="2350" spans="2:11" x14ac:dyDescent="0.25">
      <c r="B2350"/>
      <c r="K2350"/>
    </row>
    <row r="2351" spans="2:11" x14ac:dyDescent="0.25">
      <c r="B2351"/>
      <c r="K2351"/>
    </row>
    <row r="2352" spans="2:11" x14ac:dyDescent="0.25">
      <c r="B2352"/>
      <c r="K2352"/>
    </row>
    <row r="2353" spans="2:11" x14ac:dyDescent="0.25">
      <c r="B2353"/>
      <c r="K2353"/>
    </row>
    <row r="2354" spans="2:11" x14ac:dyDescent="0.25">
      <c r="B2354"/>
      <c r="K2354"/>
    </row>
    <row r="2355" spans="2:11" x14ac:dyDescent="0.25">
      <c r="B2355"/>
      <c r="K2355"/>
    </row>
    <row r="2356" spans="2:11" x14ac:dyDescent="0.25">
      <c r="B2356"/>
      <c r="K2356"/>
    </row>
    <row r="2357" spans="2:11" x14ac:dyDescent="0.25">
      <c r="B2357"/>
      <c r="K2357"/>
    </row>
    <row r="2358" spans="2:11" x14ac:dyDescent="0.25">
      <c r="B2358"/>
      <c r="K2358"/>
    </row>
    <row r="2359" spans="2:11" x14ac:dyDescent="0.25">
      <c r="B2359"/>
      <c r="K2359"/>
    </row>
    <row r="2360" spans="2:11" x14ac:dyDescent="0.25">
      <c r="B2360"/>
      <c r="K2360"/>
    </row>
    <row r="2361" spans="2:11" x14ac:dyDescent="0.25">
      <c r="B2361"/>
      <c r="K2361"/>
    </row>
    <row r="2362" spans="2:11" x14ac:dyDescent="0.25">
      <c r="B2362"/>
      <c r="K2362"/>
    </row>
    <row r="2363" spans="2:11" x14ac:dyDescent="0.25">
      <c r="B2363"/>
      <c r="K2363"/>
    </row>
    <row r="2364" spans="2:11" x14ac:dyDescent="0.25">
      <c r="B2364"/>
      <c r="K2364"/>
    </row>
    <row r="2365" spans="2:11" x14ac:dyDescent="0.25">
      <c r="B2365"/>
      <c r="K2365"/>
    </row>
    <row r="2366" spans="2:11" x14ac:dyDescent="0.25">
      <c r="B2366"/>
      <c r="K2366"/>
    </row>
    <row r="2367" spans="2:11" x14ac:dyDescent="0.25">
      <c r="B2367"/>
      <c r="K2367"/>
    </row>
    <row r="2368" spans="2:11" x14ac:dyDescent="0.25">
      <c r="B2368"/>
      <c r="K2368"/>
    </row>
    <row r="2369" spans="2:11" x14ac:dyDescent="0.25">
      <c r="B2369"/>
      <c r="K2369"/>
    </row>
    <row r="2370" spans="2:11" x14ac:dyDescent="0.25">
      <c r="B2370"/>
      <c r="K2370"/>
    </row>
    <row r="2371" spans="2:11" x14ac:dyDescent="0.25">
      <c r="B2371"/>
      <c r="K2371"/>
    </row>
    <row r="2372" spans="2:11" x14ac:dyDescent="0.25">
      <c r="B2372"/>
      <c r="K2372"/>
    </row>
    <row r="2373" spans="2:11" x14ac:dyDescent="0.25">
      <c r="B2373"/>
      <c r="K2373"/>
    </row>
    <row r="2374" spans="2:11" x14ac:dyDescent="0.25">
      <c r="B2374"/>
      <c r="K2374"/>
    </row>
    <row r="2375" spans="2:11" x14ac:dyDescent="0.25">
      <c r="B2375"/>
      <c r="K2375"/>
    </row>
    <row r="2376" spans="2:11" x14ac:dyDescent="0.25">
      <c r="B2376"/>
      <c r="K2376"/>
    </row>
    <row r="2377" spans="2:11" x14ac:dyDescent="0.25">
      <c r="B2377"/>
      <c r="K2377"/>
    </row>
    <row r="2378" spans="2:11" x14ac:dyDescent="0.25">
      <c r="B2378"/>
      <c r="K2378"/>
    </row>
    <row r="2379" spans="2:11" x14ac:dyDescent="0.25">
      <c r="B2379"/>
      <c r="K2379"/>
    </row>
    <row r="2380" spans="2:11" x14ac:dyDescent="0.25">
      <c r="B2380"/>
      <c r="K2380"/>
    </row>
    <row r="2381" spans="2:11" x14ac:dyDescent="0.25">
      <c r="B2381"/>
      <c r="K2381"/>
    </row>
    <row r="2382" spans="2:11" x14ac:dyDescent="0.25">
      <c r="B2382"/>
      <c r="K2382"/>
    </row>
    <row r="2383" spans="2:11" x14ac:dyDescent="0.25">
      <c r="B2383"/>
      <c r="K2383"/>
    </row>
    <row r="2384" spans="2:11" x14ac:dyDescent="0.25">
      <c r="B2384"/>
      <c r="K2384"/>
    </row>
    <row r="2385" spans="2:11" x14ac:dyDescent="0.25">
      <c r="B2385"/>
      <c r="K2385"/>
    </row>
    <row r="2386" spans="2:11" x14ac:dyDescent="0.25">
      <c r="B2386"/>
      <c r="K2386"/>
    </row>
    <row r="2387" spans="2:11" x14ac:dyDescent="0.25">
      <c r="B2387"/>
      <c r="K2387"/>
    </row>
    <row r="2388" spans="2:11" x14ac:dyDescent="0.25">
      <c r="B2388"/>
      <c r="K2388"/>
    </row>
    <row r="2389" spans="2:11" x14ac:dyDescent="0.25">
      <c r="B2389"/>
      <c r="K2389"/>
    </row>
    <row r="2390" spans="2:11" x14ac:dyDescent="0.25">
      <c r="B2390"/>
      <c r="K2390"/>
    </row>
    <row r="2391" spans="2:11" x14ac:dyDescent="0.25">
      <c r="B2391"/>
      <c r="K2391"/>
    </row>
    <row r="2392" spans="2:11" x14ac:dyDescent="0.25">
      <c r="B2392"/>
      <c r="K2392"/>
    </row>
    <row r="2393" spans="2:11" x14ac:dyDescent="0.25">
      <c r="B2393"/>
      <c r="K2393"/>
    </row>
    <row r="2394" spans="2:11" x14ac:dyDescent="0.25">
      <c r="B2394"/>
      <c r="K2394"/>
    </row>
    <row r="2395" spans="2:11" x14ac:dyDescent="0.25">
      <c r="B2395"/>
      <c r="K2395"/>
    </row>
    <row r="2396" spans="2:11" x14ac:dyDescent="0.25">
      <c r="B2396"/>
      <c r="K2396"/>
    </row>
    <row r="2397" spans="2:11" x14ac:dyDescent="0.25">
      <c r="B2397"/>
      <c r="K2397"/>
    </row>
    <row r="2398" spans="2:11" x14ac:dyDescent="0.25">
      <c r="B2398"/>
      <c r="K2398"/>
    </row>
    <row r="2399" spans="2:11" x14ac:dyDescent="0.25">
      <c r="B2399"/>
      <c r="K2399"/>
    </row>
    <row r="2400" spans="2:11" x14ac:dyDescent="0.25">
      <c r="B2400"/>
      <c r="K2400"/>
    </row>
    <row r="2401" spans="2:11" x14ac:dyDescent="0.25">
      <c r="B2401"/>
      <c r="K2401"/>
    </row>
    <row r="2402" spans="2:11" x14ac:dyDescent="0.25">
      <c r="B2402"/>
      <c r="K2402"/>
    </row>
    <row r="2403" spans="2:11" x14ac:dyDescent="0.25">
      <c r="B2403"/>
      <c r="K2403"/>
    </row>
    <row r="2404" spans="2:11" x14ac:dyDescent="0.25">
      <c r="B2404"/>
      <c r="K2404"/>
    </row>
    <row r="2405" spans="2:11" x14ac:dyDescent="0.25">
      <c r="B2405"/>
      <c r="K2405"/>
    </row>
    <row r="2406" spans="2:11" x14ac:dyDescent="0.25">
      <c r="B2406"/>
      <c r="K2406"/>
    </row>
    <row r="2407" spans="2:11" x14ac:dyDescent="0.25">
      <c r="B2407"/>
      <c r="K2407"/>
    </row>
    <row r="2408" spans="2:11" x14ac:dyDescent="0.25">
      <c r="B2408"/>
      <c r="K2408"/>
    </row>
    <row r="2409" spans="2:11" x14ac:dyDescent="0.25">
      <c r="B2409"/>
      <c r="K2409"/>
    </row>
    <row r="2410" spans="2:11" x14ac:dyDescent="0.25">
      <c r="B2410"/>
      <c r="K2410"/>
    </row>
    <row r="2411" spans="2:11" x14ac:dyDescent="0.25">
      <c r="B2411"/>
      <c r="K2411"/>
    </row>
    <row r="2412" spans="2:11" x14ac:dyDescent="0.25">
      <c r="B2412"/>
      <c r="K2412"/>
    </row>
    <row r="2413" spans="2:11" x14ac:dyDescent="0.25">
      <c r="B2413"/>
      <c r="K2413"/>
    </row>
    <row r="2414" spans="2:11" x14ac:dyDescent="0.25">
      <c r="B2414"/>
      <c r="K2414"/>
    </row>
    <row r="2415" spans="2:11" x14ac:dyDescent="0.25">
      <c r="B2415"/>
      <c r="K2415"/>
    </row>
    <row r="2416" spans="2:11" x14ac:dyDescent="0.25">
      <c r="B2416"/>
      <c r="K2416"/>
    </row>
    <row r="2417" spans="2:11" x14ac:dyDescent="0.25">
      <c r="B2417"/>
      <c r="K2417"/>
    </row>
    <row r="2418" spans="2:11" x14ac:dyDescent="0.25">
      <c r="B2418"/>
      <c r="K2418"/>
    </row>
    <row r="2419" spans="2:11" x14ac:dyDescent="0.25">
      <c r="B2419"/>
      <c r="K2419"/>
    </row>
    <row r="2420" spans="2:11" x14ac:dyDescent="0.25">
      <c r="B2420"/>
      <c r="K2420"/>
    </row>
    <row r="2421" spans="2:11" x14ac:dyDescent="0.25">
      <c r="B2421"/>
      <c r="K2421"/>
    </row>
    <row r="2422" spans="2:11" x14ac:dyDescent="0.25">
      <c r="B2422"/>
      <c r="K2422"/>
    </row>
    <row r="2423" spans="2:11" x14ac:dyDescent="0.25">
      <c r="B2423"/>
      <c r="K2423"/>
    </row>
    <row r="2424" spans="2:11" x14ac:dyDescent="0.25">
      <c r="B2424"/>
      <c r="K2424"/>
    </row>
    <row r="2425" spans="2:11" x14ac:dyDescent="0.25">
      <c r="B2425"/>
      <c r="K2425"/>
    </row>
    <row r="2426" spans="2:11" x14ac:dyDescent="0.25">
      <c r="B2426"/>
      <c r="K2426"/>
    </row>
    <row r="2427" spans="2:11" x14ac:dyDescent="0.25">
      <c r="B2427"/>
      <c r="K2427"/>
    </row>
    <row r="2428" spans="2:11" x14ac:dyDescent="0.25">
      <c r="B2428"/>
      <c r="K2428"/>
    </row>
    <row r="2429" spans="2:11" x14ac:dyDescent="0.25">
      <c r="B2429"/>
      <c r="K2429"/>
    </row>
    <row r="2430" spans="2:11" x14ac:dyDescent="0.25">
      <c r="B2430"/>
      <c r="K2430"/>
    </row>
    <row r="2431" spans="2:11" x14ac:dyDescent="0.25">
      <c r="B2431"/>
      <c r="K2431"/>
    </row>
    <row r="2432" spans="2:11" x14ac:dyDescent="0.25">
      <c r="B2432"/>
      <c r="K2432"/>
    </row>
    <row r="2433" spans="2:11" x14ac:dyDescent="0.25">
      <c r="B2433"/>
      <c r="K2433"/>
    </row>
    <row r="2434" spans="2:11" x14ac:dyDescent="0.25">
      <c r="B2434"/>
      <c r="K2434"/>
    </row>
    <row r="2435" spans="2:11" x14ac:dyDescent="0.25">
      <c r="B2435"/>
      <c r="K2435"/>
    </row>
    <row r="2436" spans="2:11" x14ac:dyDescent="0.25">
      <c r="B2436"/>
      <c r="K2436"/>
    </row>
    <row r="2437" spans="2:11" x14ac:dyDescent="0.25">
      <c r="B2437"/>
      <c r="K2437"/>
    </row>
    <row r="2438" spans="2:11" x14ac:dyDescent="0.25">
      <c r="B2438"/>
      <c r="K2438"/>
    </row>
    <row r="2439" spans="2:11" x14ac:dyDescent="0.25">
      <c r="B2439"/>
      <c r="K2439"/>
    </row>
    <row r="2440" spans="2:11" x14ac:dyDescent="0.25">
      <c r="B2440"/>
      <c r="K2440"/>
    </row>
    <row r="2441" spans="2:11" x14ac:dyDescent="0.25">
      <c r="B2441"/>
      <c r="K2441"/>
    </row>
    <row r="2442" spans="2:11" x14ac:dyDescent="0.25">
      <c r="B2442"/>
      <c r="K2442"/>
    </row>
    <row r="2443" spans="2:11" x14ac:dyDescent="0.25">
      <c r="B2443"/>
      <c r="K2443"/>
    </row>
    <row r="2444" spans="2:11" x14ac:dyDescent="0.25">
      <c r="B2444"/>
      <c r="K2444"/>
    </row>
    <row r="2445" spans="2:11" x14ac:dyDescent="0.25">
      <c r="B2445"/>
      <c r="K2445"/>
    </row>
    <row r="2446" spans="2:11" x14ac:dyDescent="0.25">
      <c r="B2446"/>
      <c r="K2446"/>
    </row>
    <row r="2447" spans="2:11" x14ac:dyDescent="0.25">
      <c r="B2447"/>
      <c r="K2447"/>
    </row>
    <row r="2448" spans="2:11" x14ac:dyDescent="0.25">
      <c r="B2448"/>
      <c r="K2448"/>
    </row>
    <row r="2449" spans="2:11" x14ac:dyDescent="0.25">
      <c r="B2449"/>
      <c r="K2449"/>
    </row>
    <row r="2450" spans="2:11" x14ac:dyDescent="0.25">
      <c r="B2450"/>
      <c r="K2450"/>
    </row>
    <row r="2451" spans="2:11" x14ac:dyDescent="0.25">
      <c r="B2451"/>
      <c r="K2451"/>
    </row>
    <row r="2452" spans="2:11" x14ac:dyDescent="0.25">
      <c r="B2452"/>
      <c r="K2452"/>
    </row>
    <row r="2453" spans="2:11" x14ac:dyDescent="0.25">
      <c r="B2453"/>
      <c r="K2453"/>
    </row>
    <row r="2454" spans="2:11" x14ac:dyDescent="0.25">
      <c r="B2454"/>
      <c r="K2454"/>
    </row>
    <row r="2455" spans="2:11" x14ac:dyDescent="0.25">
      <c r="B2455"/>
      <c r="K2455"/>
    </row>
    <row r="2456" spans="2:11" x14ac:dyDescent="0.25">
      <c r="B2456"/>
      <c r="K2456"/>
    </row>
    <row r="2457" spans="2:11" x14ac:dyDescent="0.25">
      <c r="B2457"/>
      <c r="K2457"/>
    </row>
    <row r="2458" spans="2:11" x14ac:dyDescent="0.25">
      <c r="B2458"/>
      <c r="K2458"/>
    </row>
    <row r="2459" spans="2:11" x14ac:dyDescent="0.25">
      <c r="B2459"/>
      <c r="K2459"/>
    </row>
    <row r="2460" spans="2:11" x14ac:dyDescent="0.25">
      <c r="B2460"/>
      <c r="K2460"/>
    </row>
    <row r="2461" spans="2:11" x14ac:dyDescent="0.25">
      <c r="B2461"/>
      <c r="K2461"/>
    </row>
    <row r="2462" spans="2:11" x14ac:dyDescent="0.25">
      <c r="B2462"/>
      <c r="K2462"/>
    </row>
    <row r="2463" spans="2:11" x14ac:dyDescent="0.25">
      <c r="B2463"/>
      <c r="K2463"/>
    </row>
    <row r="2464" spans="2:11" x14ac:dyDescent="0.25">
      <c r="B2464"/>
      <c r="K2464"/>
    </row>
    <row r="2465" spans="2:11" x14ac:dyDescent="0.25">
      <c r="B2465"/>
      <c r="K2465"/>
    </row>
    <row r="2466" spans="2:11" x14ac:dyDescent="0.25">
      <c r="B2466"/>
      <c r="K2466"/>
    </row>
    <row r="2467" spans="2:11" x14ac:dyDescent="0.25">
      <c r="B2467"/>
      <c r="K2467"/>
    </row>
    <row r="2468" spans="2:11" x14ac:dyDescent="0.25">
      <c r="B2468"/>
      <c r="K2468"/>
    </row>
    <row r="2469" spans="2:11" x14ac:dyDescent="0.25">
      <c r="B2469"/>
      <c r="K2469"/>
    </row>
    <row r="2470" spans="2:11" x14ac:dyDescent="0.25">
      <c r="B2470"/>
      <c r="K2470"/>
    </row>
    <row r="2471" spans="2:11" x14ac:dyDescent="0.25">
      <c r="B2471"/>
      <c r="K2471"/>
    </row>
    <row r="2472" spans="2:11" x14ac:dyDescent="0.25">
      <c r="B2472"/>
      <c r="K2472"/>
    </row>
    <row r="2473" spans="2:11" x14ac:dyDescent="0.25">
      <c r="B2473"/>
      <c r="K2473"/>
    </row>
    <row r="2474" spans="2:11" x14ac:dyDescent="0.25">
      <c r="B2474"/>
      <c r="K2474"/>
    </row>
    <row r="2475" spans="2:11" x14ac:dyDescent="0.25">
      <c r="B2475"/>
      <c r="K2475"/>
    </row>
    <row r="2476" spans="2:11" x14ac:dyDescent="0.25">
      <c r="B2476"/>
      <c r="K2476"/>
    </row>
    <row r="2477" spans="2:11" x14ac:dyDescent="0.25">
      <c r="B2477"/>
      <c r="K2477"/>
    </row>
    <row r="2478" spans="2:11" x14ac:dyDescent="0.25">
      <c r="B2478"/>
      <c r="K2478"/>
    </row>
    <row r="2479" spans="2:11" x14ac:dyDescent="0.25">
      <c r="B2479"/>
      <c r="K2479"/>
    </row>
    <row r="2480" spans="2:11" x14ac:dyDescent="0.25">
      <c r="B2480"/>
      <c r="K2480"/>
    </row>
    <row r="2481" spans="2:11" x14ac:dyDescent="0.25">
      <c r="B2481"/>
      <c r="K2481"/>
    </row>
    <row r="2482" spans="2:11" x14ac:dyDescent="0.25">
      <c r="B2482"/>
      <c r="K2482"/>
    </row>
    <row r="2483" spans="2:11" x14ac:dyDescent="0.25">
      <c r="B2483"/>
      <c r="K2483"/>
    </row>
    <row r="2484" spans="2:11" x14ac:dyDescent="0.25">
      <c r="B2484"/>
      <c r="K2484"/>
    </row>
    <row r="2485" spans="2:11" x14ac:dyDescent="0.25">
      <c r="B2485"/>
      <c r="K2485"/>
    </row>
    <row r="2486" spans="2:11" x14ac:dyDescent="0.25">
      <c r="B2486"/>
      <c r="K2486"/>
    </row>
    <row r="2487" spans="2:11" x14ac:dyDescent="0.25">
      <c r="B2487"/>
      <c r="K2487"/>
    </row>
    <row r="2488" spans="2:11" x14ac:dyDescent="0.25">
      <c r="B2488"/>
      <c r="K2488"/>
    </row>
    <row r="2489" spans="2:11" x14ac:dyDescent="0.25">
      <c r="B2489"/>
      <c r="K2489"/>
    </row>
    <row r="2490" spans="2:11" x14ac:dyDescent="0.25">
      <c r="B2490"/>
      <c r="K2490"/>
    </row>
    <row r="2491" spans="2:11" x14ac:dyDescent="0.25">
      <c r="B2491"/>
      <c r="K2491"/>
    </row>
    <row r="2492" spans="2:11" x14ac:dyDescent="0.25">
      <c r="B2492"/>
      <c r="K2492"/>
    </row>
    <row r="2493" spans="2:11" x14ac:dyDescent="0.25">
      <c r="B2493"/>
      <c r="K2493"/>
    </row>
    <row r="2494" spans="2:11" x14ac:dyDescent="0.25">
      <c r="B2494"/>
      <c r="K2494"/>
    </row>
    <row r="2495" spans="2:11" x14ac:dyDescent="0.25">
      <c r="B2495"/>
      <c r="K2495"/>
    </row>
    <row r="2496" spans="2:11" x14ac:dyDescent="0.25">
      <c r="B2496"/>
      <c r="K2496"/>
    </row>
    <row r="2497" spans="2:11" x14ac:dyDescent="0.25">
      <c r="B2497"/>
      <c r="K2497"/>
    </row>
    <row r="2498" spans="2:11" x14ac:dyDescent="0.25">
      <c r="B2498"/>
      <c r="K2498"/>
    </row>
    <row r="2499" spans="2:11" x14ac:dyDescent="0.25">
      <c r="B2499"/>
      <c r="K2499"/>
    </row>
    <row r="2500" spans="2:11" x14ac:dyDescent="0.25">
      <c r="B2500"/>
      <c r="K2500"/>
    </row>
    <row r="2501" spans="2:11" x14ac:dyDescent="0.25">
      <c r="B2501"/>
      <c r="K2501"/>
    </row>
    <row r="2502" spans="2:11" x14ac:dyDescent="0.25">
      <c r="B2502"/>
      <c r="K2502"/>
    </row>
    <row r="2503" spans="2:11" x14ac:dyDescent="0.25">
      <c r="B2503"/>
      <c r="K2503"/>
    </row>
    <row r="2504" spans="2:11" x14ac:dyDescent="0.25">
      <c r="B2504"/>
      <c r="K2504"/>
    </row>
    <row r="2505" spans="2:11" x14ac:dyDescent="0.25">
      <c r="B2505"/>
      <c r="K2505"/>
    </row>
    <row r="2506" spans="2:11" x14ac:dyDescent="0.25">
      <c r="B2506"/>
      <c r="K2506"/>
    </row>
    <row r="2507" spans="2:11" x14ac:dyDescent="0.25">
      <c r="B2507"/>
      <c r="K2507"/>
    </row>
    <row r="2508" spans="2:11" x14ac:dyDescent="0.25">
      <c r="B2508"/>
      <c r="K2508"/>
    </row>
    <row r="2509" spans="2:11" x14ac:dyDescent="0.25">
      <c r="B2509"/>
      <c r="K2509"/>
    </row>
    <row r="2510" spans="2:11" x14ac:dyDescent="0.25">
      <c r="B2510"/>
      <c r="K2510"/>
    </row>
    <row r="2511" spans="2:11" x14ac:dyDescent="0.25">
      <c r="B2511"/>
      <c r="K2511"/>
    </row>
    <row r="2512" spans="2:11" x14ac:dyDescent="0.25">
      <c r="B2512"/>
      <c r="K2512"/>
    </row>
    <row r="2513" spans="2:11" x14ac:dyDescent="0.25">
      <c r="B2513"/>
      <c r="K2513"/>
    </row>
    <row r="2514" spans="2:11" x14ac:dyDescent="0.25">
      <c r="B2514"/>
      <c r="K2514"/>
    </row>
    <row r="2515" spans="2:11" x14ac:dyDescent="0.25">
      <c r="B2515"/>
      <c r="K2515"/>
    </row>
    <row r="2516" spans="2:11" x14ac:dyDescent="0.25">
      <c r="B2516"/>
      <c r="K2516"/>
    </row>
    <row r="2517" spans="2:11" x14ac:dyDescent="0.25">
      <c r="B2517"/>
      <c r="K2517"/>
    </row>
    <row r="2518" spans="2:11" x14ac:dyDescent="0.25">
      <c r="B2518"/>
      <c r="K2518"/>
    </row>
    <row r="2519" spans="2:11" x14ac:dyDescent="0.25">
      <c r="B2519"/>
      <c r="K2519"/>
    </row>
    <row r="2520" spans="2:11" x14ac:dyDescent="0.25">
      <c r="B2520"/>
      <c r="K2520"/>
    </row>
    <row r="2521" spans="2:11" x14ac:dyDescent="0.25">
      <c r="B2521"/>
      <c r="K2521"/>
    </row>
    <row r="2522" spans="2:11" x14ac:dyDescent="0.25">
      <c r="B2522"/>
      <c r="K2522"/>
    </row>
    <row r="2523" spans="2:11" x14ac:dyDescent="0.25">
      <c r="B2523"/>
      <c r="K2523"/>
    </row>
    <row r="2524" spans="2:11" x14ac:dyDescent="0.25">
      <c r="B2524"/>
      <c r="K2524"/>
    </row>
    <row r="2525" spans="2:11" x14ac:dyDescent="0.25">
      <c r="B2525"/>
      <c r="K2525"/>
    </row>
    <row r="2526" spans="2:11" x14ac:dyDescent="0.25">
      <c r="B2526"/>
      <c r="K2526"/>
    </row>
    <row r="2527" spans="2:11" x14ac:dyDescent="0.25">
      <c r="B2527"/>
      <c r="K2527"/>
    </row>
    <row r="2528" spans="2:11" x14ac:dyDescent="0.25">
      <c r="B2528"/>
      <c r="K2528"/>
    </row>
    <row r="2529" spans="2:11" x14ac:dyDescent="0.25">
      <c r="B2529"/>
      <c r="K2529"/>
    </row>
    <row r="2530" spans="2:11" x14ac:dyDescent="0.25">
      <c r="B2530"/>
      <c r="K2530"/>
    </row>
    <row r="2531" spans="2:11" x14ac:dyDescent="0.25">
      <c r="B2531"/>
      <c r="K2531"/>
    </row>
    <row r="2532" spans="2:11" x14ac:dyDescent="0.25">
      <c r="B2532"/>
      <c r="K2532"/>
    </row>
    <row r="2533" spans="2:11" x14ac:dyDescent="0.25">
      <c r="B2533"/>
      <c r="K2533"/>
    </row>
    <row r="2534" spans="2:11" x14ac:dyDescent="0.25">
      <c r="B2534"/>
      <c r="K2534"/>
    </row>
    <row r="2535" spans="2:11" x14ac:dyDescent="0.25">
      <c r="B2535"/>
      <c r="K2535"/>
    </row>
    <row r="2536" spans="2:11" x14ac:dyDescent="0.25">
      <c r="B2536"/>
      <c r="K2536"/>
    </row>
    <row r="2537" spans="2:11" x14ac:dyDescent="0.25">
      <c r="B2537"/>
      <c r="K2537"/>
    </row>
    <row r="2538" spans="2:11" x14ac:dyDescent="0.25">
      <c r="B2538"/>
      <c r="K2538"/>
    </row>
    <row r="2539" spans="2:11" x14ac:dyDescent="0.25">
      <c r="B2539"/>
      <c r="K2539"/>
    </row>
    <row r="2540" spans="2:11" x14ac:dyDescent="0.25">
      <c r="B2540"/>
      <c r="K2540"/>
    </row>
    <row r="2541" spans="2:11" x14ac:dyDescent="0.25">
      <c r="B2541"/>
      <c r="K2541"/>
    </row>
    <row r="2542" spans="2:11" x14ac:dyDescent="0.25">
      <c r="B2542"/>
      <c r="K2542"/>
    </row>
    <row r="2543" spans="2:11" x14ac:dyDescent="0.25">
      <c r="B2543"/>
      <c r="K2543"/>
    </row>
    <row r="2544" spans="2:11" x14ac:dyDescent="0.25">
      <c r="B2544"/>
      <c r="K2544"/>
    </row>
    <row r="2545" spans="2:11" x14ac:dyDescent="0.25">
      <c r="B2545"/>
      <c r="K2545"/>
    </row>
    <row r="2546" spans="2:11" x14ac:dyDescent="0.25">
      <c r="B2546"/>
      <c r="K2546"/>
    </row>
    <row r="2547" spans="2:11" x14ac:dyDescent="0.25">
      <c r="B2547"/>
      <c r="K2547"/>
    </row>
    <row r="2548" spans="2:11" x14ac:dyDescent="0.25">
      <c r="B2548"/>
      <c r="K2548"/>
    </row>
    <row r="2549" spans="2:11" x14ac:dyDescent="0.25">
      <c r="B2549"/>
      <c r="K2549"/>
    </row>
    <row r="2550" spans="2:11" x14ac:dyDescent="0.25">
      <c r="B2550"/>
      <c r="K2550"/>
    </row>
    <row r="2551" spans="2:11" x14ac:dyDescent="0.25">
      <c r="B2551"/>
      <c r="K2551"/>
    </row>
    <row r="2552" spans="2:11" x14ac:dyDescent="0.25">
      <c r="B2552"/>
      <c r="K2552"/>
    </row>
    <row r="2553" spans="2:11" x14ac:dyDescent="0.25">
      <c r="B2553"/>
      <c r="K2553"/>
    </row>
    <row r="2554" spans="2:11" x14ac:dyDescent="0.25">
      <c r="B2554"/>
      <c r="K2554"/>
    </row>
    <row r="2555" spans="2:11" x14ac:dyDescent="0.25">
      <c r="B2555"/>
      <c r="K2555"/>
    </row>
    <row r="2556" spans="2:11" x14ac:dyDescent="0.25">
      <c r="B2556"/>
      <c r="K2556"/>
    </row>
    <row r="2557" spans="2:11" x14ac:dyDescent="0.25">
      <c r="B2557"/>
      <c r="K2557"/>
    </row>
    <row r="2558" spans="2:11" x14ac:dyDescent="0.25">
      <c r="B2558"/>
      <c r="K2558"/>
    </row>
    <row r="2559" spans="2:11" x14ac:dyDescent="0.25">
      <c r="B2559"/>
      <c r="K2559"/>
    </row>
    <row r="2560" spans="2:11" x14ac:dyDescent="0.25">
      <c r="B2560"/>
      <c r="K2560"/>
    </row>
    <row r="2561" spans="2:11" x14ac:dyDescent="0.25">
      <c r="B2561"/>
      <c r="K2561"/>
    </row>
    <row r="2562" spans="2:11" x14ac:dyDescent="0.25">
      <c r="B2562"/>
      <c r="K2562"/>
    </row>
    <row r="2563" spans="2:11" x14ac:dyDescent="0.25">
      <c r="B2563"/>
      <c r="K2563"/>
    </row>
    <row r="2564" spans="2:11" x14ac:dyDescent="0.25">
      <c r="B2564"/>
      <c r="K2564"/>
    </row>
    <row r="2565" spans="2:11" x14ac:dyDescent="0.25">
      <c r="B2565"/>
      <c r="K2565"/>
    </row>
    <row r="2566" spans="2:11" x14ac:dyDescent="0.25">
      <c r="B2566"/>
      <c r="K2566"/>
    </row>
    <row r="2567" spans="2:11" x14ac:dyDescent="0.25">
      <c r="B2567"/>
      <c r="K2567"/>
    </row>
    <row r="2568" spans="2:11" x14ac:dyDescent="0.25">
      <c r="B2568"/>
      <c r="K2568"/>
    </row>
    <row r="2569" spans="2:11" x14ac:dyDescent="0.25">
      <c r="B2569"/>
      <c r="K2569"/>
    </row>
    <row r="2570" spans="2:11" x14ac:dyDescent="0.25">
      <c r="B2570"/>
      <c r="K2570"/>
    </row>
    <row r="2571" spans="2:11" x14ac:dyDescent="0.25">
      <c r="B2571"/>
      <c r="K2571"/>
    </row>
    <row r="2572" spans="2:11" x14ac:dyDescent="0.25">
      <c r="B2572"/>
      <c r="K2572"/>
    </row>
    <row r="2573" spans="2:11" x14ac:dyDescent="0.25">
      <c r="B2573"/>
      <c r="K2573"/>
    </row>
    <row r="2574" spans="2:11" x14ac:dyDescent="0.25">
      <c r="B2574"/>
      <c r="K2574"/>
    </row>
    <row r="2575" spans="2:11" x14ac:dyDescent="0.25">
      <c r="B2575"/>
      <c r="K2575"/>
    </row>
    <row r="2576" spans="2:11" x14ac:dyDescent="0.25">
      <c r="B2576"/>
      <c r="K2576"/>
    </row>
    <row r="2577" spans="2:11" x14ac:dyDescent="0.25">
      <c r="B2577"/>
      <c r="K2577"/>
    </row>
    <row r="2578" spans="2:11" x14ac:dyDescent="0.25">
      <c r="B2578"/>
      <c r="K2578"/>
    </row>
    <row r="2579" spans="2:11" x14ac:dyDescent="0.25">
      <c r="B2579"/>
      <c r="K2579"/>
    </row>
    <row r="2580" spans="2:11" x14ac:dyDescent="0.25">
      <c r="B2580"/>
      <c r="K2580"/>
    </row>
    <row r="2581" spans="2:11" x14ac:dyDescent="0.25">
      <c r="B2581"/>
      <c r="K2581"/>
    </row>
    <row r="2582" spans="2:11" x14ac:dyDescent="0.25">
      <c r="B2582"/>
      <c r="K2582"/>
    </row>
    <row r="2583" spans="2:11" x14ac:dyDescent="0.25">
      <c r="B2583"/>
      <c r="K2583"/>
    </row>
    <row r="2584" spans="2:11" x14ac:dyDescent="0.25">
      <c r="B2584"/>
      <c r="K2584"/>
    </row>
    <row r="2585" spans="2:11" x14ac:dyDescent="0.25">
      <c r="B2585"/>
      <c r="K2585"/>
    </row>
    <row r="2586" spans="2:11" x14ac:dyDescent="0.25">
      <c r="B2586"/>
      <c r="K2586"/>
    </row>
    <row r="2587" spans="2:11" x14ac:dyDescent="0.25">
      <c r="B2587"/>
      <c r="K2587"/>
    </row>
    <row r="2588" spans="2:11" x14ac:dyDescent="0.25">
      <c r="B2588"/>
      <c r="K2588"/>
    </row>
    <row r="2589" spans="2:11" x14ac:dyDescent="0.25">
      <c r="B2589"/>
      <c r="K2589"/>
    </row>
    <row r="2590" spans="2:11" x14ac:dyDescent="0.25">
      <c r="B2590"/>
      <c r="K2590"/>
    </row>
    <row r="2591" spans="2:11" x14ac:dyDescent="0.25">
      <c r="B2591"/>
      <c r="K2591"/>
    </row>
    <row r="2592" spans="2:11" x14ac:dyDescent="0.25">
      <c r="B2592"/>
      <c r="K2592"/>
    </row>
    <row r="2593" spans="2:11" x14ac:dyDescent="0.25">
      <c r="B2593"/>
      <c r="K2593"/>
    </row>
    <row r="2594" spans="2:11" x14ac:dyDescent="0.25">
      <c r="B2594"/>
      <c r="K2594"/>
    </row>
    <row r="2595" spans="2:11" x14ac:dyDescent="0.25">
      <c r="B2595"/>
      <c r="K2595"/>
    </row>
    <row r="2596" spans="2:11" x14ac:dyDescent="0.25">
      <c r="B2596"/>
      <c r="K2596"/>
    </row>
    <row r="2597" spans="2:11" x14ac:dyDescent="0.25">
      <c r="B2597"/>
      <c r="K2597"/>
    </row>
    <row r="2598" spans="2:11" x14ac:dyDescent="0.25">
      <c r="B2598"/>
      <c r="K2598"/>
    </row>
    <row r="2599" spans="2:11" x14ac:dyDescent="0.25">
      <c r="B2599"/>
      <c r="K2599"/>
    </row>
    <row r="2600" spans="2:11" x14ac:dyDescent="0.25">
      <c r="B2600"/>
      <c r="K2600"/>
    </row>
    <row r="2601" spans="2:11" x14ac:dyDescent="0.25">
      <c r="B2601"/>
      <c r="K2601"/>
    </row>
    <row r="2602" spans="2:11" x14ac:dyDescent="0.25">
      <c r="B2602"/>
      <c r="K2602"/>
    </row>
    <row r="2603" spans="2:11" x14ac:dyDescent="0.25">
      <c r="B2603"/>
      <c r="K2603"/>
    </row>
    <row r="2604" spans="2:11" x14ac:dyDescent="0.25">
      <c r="B2604"/>
      <c r="K2604"/>
    </row>
    <row r="2605" spans="2:11" x14ac:dyDescent="0.25">
      <c r="B2605"/>
      <c r="K2605"/>
    </row>
    <row r="2606" spans="2:11" x14ac:dyDescent="0.25">
      <c r="B2606"/>
      <c r="K2606"/>
    </row>
    <row r="2607" spans="2:11" x14ac:dyDescent="0.25">
      <c r="B2607"/>
      <c r="K2607"/>
    </row>
    <row r="2608" spans="2:11" x14ac:dyDescent="0.25">
      <c r="B2608"/>
      <c r="K2608"/>
    </row>
    <row r="2609" spans="2:11" x14ac:dyDescent="0.25">
      <c r="B2609"/>
      <c r="K2609"/>
    </row>
    <row r="2610" spans="2:11" x14ac:dyDescent="0.25">
      <c r="B2610"/>
      <c r="K2610"/>
    </row>
    <row r="2611" spans="2:11" x14ac:dyDescent="0.25">
      <c r="B2611"/>
      <c r="K2611"/>
    </row>
    <row r="2612" spans="2:11" x14ac:dyDescent="0.25">
      <c r="B2612"/>
      <c r="K2612"/>
    </row>
    <row r="2613" spans="2:11" x14ac:dyDescent="0.25">
      <c r="B2613"/>
      <c r="K2613"/>
    </row>
    <row r="2614" spans="2:11" x14ac:dyDescent="0.25">
      <c r="B2614"/>
      <c r="K2614"/>
    </row>
    <row r="2615" spans="2:11" x14ac:dyDescent="0.25">
      <c r="B2615"/>
      <c r="K2615"/>
    </row>
    <row r="2616" spans="2:11" x14ac:dyDescent="0.25">
      <c r="B2616"/>
      <c r="K2616"/>
    </row>
    <row r="2617" spans="2:11" x14ac:dyDescent="0.25">
      <c r="B2617"/>
      <c r="K2617"/>
    </row>
    <row r="2618" spans="2:11" x14ac:dyDescent="0.25">
      <c r="B2618"/>
      <c r="K2618"/>
    </row>
    <row r="2619" spans="2:11" x14ac:dyDescent="0.25">
      <c r="B2619"/>
      <c r="K2619"/>
    </row>
    <row r="2620" spans="2:11" x14ac:dyDescent="0.25">
      <c r="B2620"/>
      <c r="K2620"/>
    </row>
    <row r="2621" spans="2:11" x14ac:dyDescent="0.25">
      <c r="B2621"/>
      <c r="K2621"/>
    </row>
    <row r="2622" spans="2:11" x14ac:dyDescent="0.25">
      <c r="B2622"/>
      <c r="K2622"/>
    </row>
    <row r="2623" spans="2:11" x14ac:dyDescent="0.25">
      <c r="B2623"/>
      <c r="K2623"/>
    </row>
    <row r="2624" spans="2:11" x14ac:dyDescent="0.25">
      <c r="B2624"/>
      <c r="K2624"/>
    </row>
    <row r="2625" spans="2:11" x14ac:dyDescent="0.25">
      <c r="B2625"/>
      <c r="K2625"/>
    </row>
    <row r="2626" spans="2:11" x14ac:dyDescent="0.25">
      <c r="B2626"/>
      <c r="K2626"/>
    </row>
    <row r="2627" spans="2:11" x14ac:dyDescent="0.25">
      <c r="B2627"/>
      <c r="K2627"/>
    </row>
    <row r="2628" spans="2:11" x14ac:dyDescent="0.25">
      <c r="B2628"/>
      <c r="K2628"/>
    </row>
    <row r="2629" spans="2:11" x14ac:dyDescent="0.25">
      <c r="B2629"/>
      <c r="K2629"/>
    </row>
    <row r="2630" spans="2:11" x14ac:dyDescent="0.25">
      <c r="B2630"/>
      <c r="K2630"/>
    </row>
    <row r="2631" spans="2:11" x14ac:dyDescent="0.25">
      <c r="B2631"/>
      <c r="K2631"/>
    </row>
    <row r="2632" spans="2:11" x14ac:dyDescent="0.25">
      <c r="B2632"/>
      <c r="K2632"/>
    </row>
    <row r="2633" spans="2:11" x14ac:dyDescent="0.25">
      <c r="B2633"/>
      <c r="K2633"/>
    </row>
    <row r="2634" spans="2:11" x14ac:dyDescent="0.25">
      <c r="B2634"/>
      <c r="K2634"/>
    </row>
    <row r="2635" spans="2:11" x14ac:dyDescent="0.25">
      <c r="B2635"/>
      <c r="K2635"/>
    </row>
    <row r="2636" spans="2:11" x14ac:dyDescent="0.25">
      <c r="B2636"/>
      <c r="K2636"/>
    </row>
    <row r="2637" spans="2:11" x14ac:dyDescent="0.25">
      <c r="B2637"/>
      <c r="K2637"/>
    </row>
    <row r="2638" spans="2:11" x14ac:dyDescent="0.25">
      <c r="B2638"/>
      <c r="K2638"/>
    </row>
    <row r="2639" spans="2:11" x14ac:dyDescent="0.25">
      <c r="B2639"/>
      <c r="K2639"/>
    </row>
    <row r="2640" spans="2:11" x14ac:dyDescent="0.25">
      <c r="B2640"/>
      <c r="K2640"/>
    </row>
    <row r="2641" spans="2:11" x14ac:dyDescent="0.25">
      <c r="B2641"/>
      <c r="K2641"/>
    </row>
    <row r="2642" spans="2:11" x14ac:dyDescent="0.25">
      <c r="B2642"/>
      <c r="K2642"/>
    </row>
    <row r="2643" spans="2:11" x14ac:dyDescent="0.25">
      <c r="B2643"/>
      <c r="K2643"/>
    </row>
    <row r="2644" spans="2:11" x14ac:dyDescent="0.25">
      <c r="B2644"/>
      <c r="K2644"/>
    </row>
    <row r="2645" spans="2:11" x14ac:dyDescent="0.25">
      <c r="B2645"/>
      <c r="K2645"/>
    </row>
    <row r="2646" spans="2:11" x14ac:dyDescent="0.25">
      <c r="B2646"/>
      <c r="K2646"/>
    </row>
    <row r="2647" spans="2:11" x14ac:dyDescent="0.25">
      <c r="B2647"/>
      <c r="K2647"/>
    </row>
    <row r="2648" spans="2:11" x14ac:dyDescent="0.25">
      <c r="B2648"/>
      <c r="K2648"/>
    </row>
    <row r="2649" spans="2:11" x14ac:dyDescent="0.25">
      <c r="B2649"/>
      <c r="K2649"/>
    </row>
    <row r="2650" spans="2:11" x14ac:dyDescent="0.25">
      <c r="B2650"/>
      <c r="K2650"/>
    </row>
    <row r="2651" spans="2:11" x14ac:dyDescent="0.25">
      <c r="B2651"/>
      <c r="K2651"/>
    </row>
    <row r="2652" spans="2:11" x14ac:dyDescent="0.25">
      <c r="B2652"/>
      <c r="K2652"/>
    </row>
    <row r="2653" spans="2:11" x14ac:dyDescent="0.25">
      <c r="B2653"/>
      <c r="K2653"/>
    </row>
    <row r="2654" spans="2:11" x14ac:dyDescent="0.25">
      <c r="B2654"/>
      <c r="K2654"/>
    </row>
    <row r="2655" spans="2:11" x14ac:dyDescent="0.25">
      <c r="B2655"/>
      <c r="K2655"/>
    </row>
    <row r="2656" spans="2:11" x14ac:dyDescent="0.25">
      <c r="B2656"/>
      <c r="K2656"/>
    </row>
    <row r="2657" spans="2:11" x14ac:dyDescent="0.25">
      <c r="B2657"/>
      <c r="K2657"/>
    </row>
    <row r="2658" spans="2:11" x14ac:dyDescent="0.25">
      <c r="B2658"/>
      <c r="K2658"/>
    </row>
    <row r="2659" spans="2:11" x14ac:dyDescent="0.25">
      <c r="B2659"/>
      <c r="K2659"/>
    </row>
    <row r="2660" spans="2:11" x14ac:dyDescent="0.25">
      <c r="B2660"/>
      <c r="K2660"/>
    </row>
    <row r="2661" spans="2:11" x14ac:dyDescent="0.25">
      <c r="B2661"/>
      <c r="K2661"/>
    </row>
    <row r="2662" spans="2:11" x14ac:dyDescent="0.25">
      <c r="B2662"/>
      <c r="K2662"/>
    </row>
    <row r="2663" spans="2:11" x14ac:dyDescent="0.25">
      <c r="B2663"/>
      <c r="K2663"/>
    </row>
    <row r="2664" spans="2:11" x14ac:dyDescent="0.25">
      <c r="B2664"/>
      <c r="K2664"/>
    </row>
    <row r="2665" spans="2:11" x14ac:dyDescent="0.25">
      <c r="B2665"/>
      <c r="K2665"/>
    </row>
    <row r="2666" spans="2:11" x14ac:dyDescent="0.25">
      <c r="B2666"/>
      <c r="K2666"/>
    </row>
    <row r="2667" spans="2:11" x14ac:dyDescent="0.25">
      <c r="B2667"/>
      <c r="K2667"/>
    </row>
    <row r="2668" spans="2:11" x14ac:dyDescent="0.25">
      <c r="B2668"/>
      <c r="K2668"/>
    </row>
    <row r="2669" spans="2:11" x14ac:dyDescent="0.25">
      <c r="B2669"/>
      <c r="K2669"/>
    </row>
    <row r="2670" spans="2:11" x14ac:dyDescent="0.25">
      <c r="B2670"/>
      <c r="K2670"/>
    </row>
    <row r="2671" spans="2:11" x14ac:dyDescent="0.25">
      <c r="B2671"/>
      <c r="K2671"/>
    </row>
    <row r="2672" spans="2:11" x14ac:dyDescent="0.25">
      <c r="B2672"/>
      <c r="K2672"/>
    </row>
    <row r="2673" spans="2:11" x14ac:dyDescent="0.25">
      <c r="B2673"/>
      <c r="K2673"/>
    </row>
    <row r="2674" spans="2:11" x14ac:dyDescent="0.25">
      <c r="B2674"/>
      <c r="K2674"/>
    </row>
    <row r="2675" spans="2:11" x14ac:dyDescent="0.25">
      <c r="B2675"/>
      <c r="K2675"/>
    </row>
    <row r="2676" spans="2:11" x14ac:dyDescent="0.25">
      <c r="B2676"/>
      <c r="K2676"/>
    </row>
    <row r="2677" spans="2:11" x14ac:dyDescent="0.25">
      <c r="B2677"/>
      <c r="K2677"/>
    </row>
    <row r="2678" spans="2:11" x14ac:dyDescent="0.25">
      <c r="B2678"/>
      <c r="K2678"/>
    </row>
    <row r="2679" spans="2:11" x14ac:dyDescent="0.25">
      <c r="B2679"/>
      <c r="K2679"/>
    </row>
    <row r="2680" spans="2:11" x14ac:dyDescent="0.25">
      <c r="B2680"/>
      <c r="K2680"/>
    </row>
    <row r="2681" spans="2:11" x14ac:dyDescent="0.25">
      <c r="B2681"/>
      <c r="K2681"/>
    </row>
    <row r="2682" spans="2:11" x14ac:dyDescent="0.25">
      <c r="B2682"/>
      <c r="K2682"/>
    </row>
    <row r="2683" spans="2:11" x14ac:dyDescent="0.25">
      <c r="B2683"/>
      <c r="K2683"/>
    </row>
    <row r="2684" spans="2:11" x14ac:dyDescent="0.25">
      <c r="B2684"/>
      <c r="K2684"/>
    </row>
    <row r="2685" spans="2:11" x14ac:dyDescent="0.25">
      <c r="B2685"/>
      <c r="K2685"/>
    </row>
    <row r="2686" spans="2:11" x14ac:dyDescent="0.25">
      <c r="B2686"/>
      <c r="K2686"/>
    </row>
    <row r="2687" spans="2:11" x14ac:dyDescent="0.25">
      <c r="B2687"/>
      <c r="K2687"/>
    </row>
    <row r="2688" spans="2:11" x14ac:dyDescent="0.25">
      <c r="B2688"/>
      <c r="K2688"/>
    </row>
    <row r="2689" spans="2:11" x14ac:dyDescent="0.25">
      <c r="B2689"/>
      <c r="K2689"/>
    </row>
    <row r="2690" spans="2:11" x14ac:dyDescent="0.25">
      <c r="B2690"/>
      <c r="K2690"/>
    </row>
    <row r="2691" spans="2:11" x14ac:dyDescent="0.25">
      <c r="B2691"/>
      <c r="K2691"/>
    </row>
    <row r="2692" spans="2:11" x14ac:dyDescent="0.25">
      <c r="B2692"/>
      <c r="K2692"/>
    </row>
    <row r="2693" spans="2:11" x14ac:dyDescent="0.25">
      <c r="B2693"/>
      <c r="K2693"/>
    </row>
    <row r="2694" spans="2:11" x14ac:dyDescent="0.25">
      <c r="B2694"/>
      <c r="K2694"/>
    </row>
    <row r="2695" spans="2:11" x14ac:dyDescent="0.25">
      <c r="B2695"/>
      <c r="K2695"/>
    </row>
    <row r="2696" spans="2:11" x14ac:dyDescent="0.25">
      <c r="B2696"/>
      <c r="K2696"/>
    </row>
    <row r="2697" spans="2:11" x14ac:dyDescent="0.25">
      <c r="B2697"/>
      <c r="K2697"/>
    </row>
    <row r="2698" spans="2:11" x14ac:dyDescent="0.25">
      <c r="B2698"/>
      <c r="K2698"/>
    </row>
    <row r="2699" spans="2:11" x14ac:dyDescent="0.25">
      <c r="B2699"/>
      <c r="K2699"/>
    </row>
    <row r="2700" spans="2:11" x14ac:dyDescent="0.25">
      <c r="B2700"/>
      <c r="K2700"/>
    </row>
    <row r="2701" spans="2:11" x14ac:dyDescent="0.25">
      <c r="B2701"/>
      <c r="K2701"/>
    </row>
    <row r="2702" spans="2:11" x14ac:dyDescent="0.25">
      <c r="B2702"/>
      <c r="K2702"/>
    </row>
    <row r="2703" spans="2:11" x14ac:dyDescent="0.25">
      <c r="B2703"/>
      <c r="K2703"/>
    </row>
    <row r="2704" spans="2:11" x14ac:dyDescent="0.25">
      <c r="B2704"/>
      <c r="K2704"/>
    </row>
    <row r="2705" spans="2:11" x14ac:dyDescent="0.25">
      <c r="B2705"/>
      <c r="K2705"/>
    </row>
    <row r="2706" spans="2:11" x14ac:dyDescent="0.25">
      <c r="B2706"/>
      <c r="K2706"/>
    </row>
    <row r="2707" spans="2:11" x14ac:dyDescent="0.25">
      <c r="B2707"/>
      <c r="K2707"/>
    </row>
    <row r="2708" spans="2:11" x14ac:dyDescent="0.25">
      <c r="B2708"/>
      <c r="K2708"/>
    </row>
    <row r="2709" spans="2:11" x14ac:dyDescent="0.25">
      <c r="B2709"/>
      <c r="K2709"/>
    </row>
    <row r="2710" spans="2:11" x14ac:dyDescent="0.25">
      <c r="B2710"/>
      <c r="K2710"/>
    </row>
    <row r="2711" spans="2:11" x14ac:dyDescent="0.25">
      <c r="B2711"/>
      <c r="K2711"/>
    </row>
    <row r="2712" spans="2:11" x14ac:dyDescent="0.25">
      <c r="B2712"/>
      <c r="K2712"/>
    </row>
    <row r="2713" spans="2:11" x14ac:dyDescent="0.25">
      <c r="B2713"/>
      <c r="K2713"/>
    </row>
    <row r="2714" spans="2:11" x14ac:dyDescent="0.25">
      <c r="B2714"/>
      <c r="K2714"/>
    </row>
    <row r="2715" spans="2:11" x14ac:dyDescent="0.25">
      <c r="B2715"/>
      <c r="K2715"/>
    </row>
    <row r="2716" spans="2:11" x14ac:dyDescent="0.25">
      <c r="B2716"/>
      <c r="K2716"/>
    </row>
    <row r="2717" spans="2:11" x14ac:dyDescent="0.25">
      <c r="B2717"/>
      <c r="K2717"/>
    </row>
    <row r="2718" spans="2:11" x14ac:dyDescent="0.25">
      <c r="B2718"/>
      <c r="K2718"/>
    </row>
    <row r="2719" spans="2:11" x14ac:dyDescent="0.25">
      <c r="B2719"/>
      <c r="K2719"/>
    </row>
    <row r="2720" spans="2:11" x14ac:dyDescent="0.25">
      <c r="B2720"/>
      <c r="K2720"/>
    </row>
    <row r="2721" spans="2:11" x14ac:dyDescent="0.25">
      <c r="B2721"/>
      <c r="K2721"/>
    </row>
    <row r="2722" spans="2:11" x14ac:dyDescent="0.25">
      <c r="B2722"/>
      <c r="K2722"/>
    </row>
    <row r="2723" spans="2:11" x14ac:dyDescent="0.25">
      <c r="B2723"/>
      <c r="K2723"/>
    </row>
    <row r="2724" spans="2:11" x14ac:dyDescent="0.25">
      <c r="B2724"/>
      <c r="K2724"/>
    </row>
    <row r="2725" spans="2:11" x14ac:dyDescent="0.25">
      <c r="B2725"/>
      <c r="K2725"/>
    </row>
    <row r="2726" spans="2:11" x14ac:dyDescent="0.25">
      <c r="B2726"/>
      <c r="K2726"/>
    </row>
    <row r="2727" spans="2:11" x14ac:dyDescent="0.25">
      <c r="B2727"/>
      <c r="K2727"/>
    </row>
    <row r="2728" spans="2:11" x14ac:dyDescent="0.25">
      <c r="B2728"/>
      <c r="K2728"/>
    </row>
    <row r="2729" spans="2:11" x14ac:dyDescent="0.25">
      <c r="B2729"/>
      <c r="K2729"/>
    </row>
    <row r="2730" spans="2:11" x14ac:dyDescent="0.25">
      <c r="B2730"/>
      <c r="K2730"/>
    </row>
    <row r="2731" spans="2:11" x14ac:dyDescent="0.25">
      <c r="B2731"/>
      <c r="K2731"/>
    </row>
    <row r="2732" spans="2:11" x14ac:dyDescent="0.25">
      <c r="B2732"/>
      <c r="K2732"/>
    </row>
    <row r="2733" spans="2:11" x14ac:dyDescent="0.25">
      <c r="B2733"/>
      <c r="K2733"/>
    </row>
    <row r="2734" spans="2:11" x14ac:dyDescent="0.25">
      <c r="B2734"/>
      <c r="K2734"/>
    </row>
    <row r="2735" spans="2:11" x14ac:dyDescent="0.25">
      <c r="B2735"/>
      <c r="K2735"/>
    </row>
    <row r="2736" spans="2:11" x14ac:dyDescent="0.25">
      <c r="B2736"/>
      <c r="K2736"/>
    </row>
    <row r="2737" spans="2:11" x14ac:dyDescent="0.25">
      <c r="B2737"/>
      <c r="K2737"/>
    </row>
    <row r="2738" spans="2:11" x14ac:dyDescent="0.25">
      <c r="B2738"/>
      <c r="K2738"/>
    </row>
    <row r="2739" spans="2:11" x14ac:dyDescent="0.25">
      <c r="B2739"/>
      <c r="K2739"/>
    </row>
    <row r="2740" spans="2:11" x14ac:dyDescent="0.25">
      <c r="B2740"/>
      <c r="K2740"/>
    </row>
    <row r="2741" spans="2:11" x14ac:dyDescent="0.25">
      <c r="B2741"/>
      <c r="K2741"/>
    </row>
    <row r="2742" spans="2:11" x14ac:dyDescent="0.25">
      <c r="B2742"/>
      <c r="K2742"/>
    </row>
    <row r="2743" spans="2:11" x14ac:dyDescent="0.25">
      <c r="B2743"/>
      <c r="K2743"/>
    </row>
    <row r="2744" spans="2:11" x14ac:dyDescent="0.25">
      <c r="B2744"/>
      <c r="K2744"/>
    </row>
    <row r="2745" spans="2:11" x14ac:dyDescent="0.25">
      <c r="B2745"/>
      <c r="K2745"/>
    </row>
    <row r="2746" spans="2:11" x14ac:dyDescent="0.25">
      <c r="B2746"/>
      <c r="K2746"/>
    </row>
    <row r="2747" spans="2:11" x14ac:dyDescent="0.25">
      <c r="B2747"/>
      <c r="K2747"/>
    </row>
    <row r="2748" spans="2:11" x14ac:dyDescent="0.25">
      <c r="B2748"/>
      <c r="K2748"/>
    </row>
    <row r="2749" spans="2:11" x14ac:dyDescent="0.25">
      <c r="B2749"/>
      <c r="K2749"/>
    </row>
    <row r="2750" spans="2:11" x14ac:dyDescent="0.25">
      <c r="B2750"/>
      <c r="K2750"/>
    </row>
    <row r="2751" spans="2:11" x14ac:dyDescent="0.25">
      <c r="B2751"/>
      <c r="K2751"/>
    </row>
    <row r="2752" spans="2:11" x14ac:dyDescent="0.25">
      <c r="B2752"/>
      <c r="K2752"/>
    </row>
    <row r="2753" spans="2:11" x14ac:dyDescent="0.25">
      <c r="B2753"/>
      <c r="K2753"/>
    </row>
    <row r="2754" spans="2:11" x14ac:dyDescent="0.25">
      <c r="B2754"/>
      <c r="K2754"/>
    </row>
    <row r="2755" spans="2:11" x14ac:dyDescent="0.25">
      <c r="B2755"/>
      <c r="K2755"/>
    </row>
    <row r="2756" spans="2:11" x14ac:dyDescent="0.25">
      <c r="B2756"/>
      <c r="K2756"/>
    </row>
    <row r="2757" spans="2:11" x14ac:dyDescent="0.25">
      <c r="B2757"/>
      <c r="K2757"/>
    </row>
    <row r="2758" spans="2:11" x14ac:dyDescent="0.25">
      <c r="B2758"/>
      <c r="K2758"/>
    </row>
    <row r="2759" spans="2:11" x14ac:dyDescent="0.25">
      <c r="B2759"/>
      <c r="K2759"/>
    </row>
    <row r="2760" spans="2:11" x14ac:dyDescent="0.25">
      <c r="B2760"/>
      <c r="K2760"/>
    </row>
    <row r="2761" spans="2:11" x14ac:dyDescent="0.25">
      <c r="B2761"/>
      <c r="K2761"/>
    </row>
    <row r="2762" spans="2:11" x14ac:dyDescent="0.25">
      <c r="B2762"/>
      <c r="K2762"/>
    </row>
    <row r="2763" spans="2:11" x14ac:dyDescent="0.25">
      <c r="B2763"/>
      <c r="K2763"/>
    </row>
    <row r="2764" spans="2:11" x14ac:dyDescent="0.25">
      <c r="B2764"/>
      <c r="K2764"/>
    </row>
    <row r="2765" spans="2:11" x14ac:dyDescent="0.25">
      <c r="B2765"/>
      <c r="K2765"/>
    </row>
    <row r="2766" spans="2:11" x14ac:dyDescent="0.25">
      <c r="B2766"/>
      <c r="K2766"/>
    </row>
    <row r="2767" spans="2:11" x14ac:dyDescent="0.25">
      <c r="B2767"/>
      <c r="K2767"/>
    </row>
    <row r="2768" spans="2:11" x14ac:dyDescent="0.25">
      <c r="B2768"/>
      <c r="K2768"/>
    </row>
    <row r="2769" spans="2:11" x14ac:dyDescent="0.25">
      <c r="B2769"/>
      <c r="K2769"/>
    </row>
    <row r="2770" spans="2:11" x14ac:dyDescent="0.25">
      <c r="B2770"/>
      <c r="K2770"/>
    </row>
    <row r="2771" spans="2:11" x14ac:dyDescent="0.25">
      <c r="B2771"/>
      <c r="K2771"/>
    </row>
    <row r="2772" spans="2:11" x14ac:dyDescent="0.25">
      <c r="B2772"/>
      <c r="K2772"/>
    </row>
    <row r="2773" spans="2:11" x14ac:dyDescent="0.25">
      <c r="B2773"/>
      <c r="K2773"/>
    </row>
    <row r="2774" spans="2:11" x14ac:dyDescent="0.25">
      <c r="B2774"/>
      <c r="K2774"/>
    </row>
    <row r="2775" spans="2:11" x14ac:dyDescent="0.25">
      <c r="B2775"/>
      <c r="K2775"/>
    </row>
    <row r="2776" spans="2:11" x14ac:dyDescent="0.25">
      <c r="B2776"/>
      <c r="K2776"/>
    </row>
    <row r="2777" spans="2:11" x14ac:dyDescent="0.25">
      <c r="B2777"/>
      <c r="K2777"/>
    </row>
    <row r="2778" spans="2:11" x14ac:dyDescent="0.25">
      <c r="B2778"/>
      <c r="K2778"/>
    </row>
    <row r="2779" spans="2:11" x14ac:dyDescent="0.25">
      <c r="B2779"/>
      <c r="K2779"/>
    </row>
    <row r="2780" spans="2:11" x14ac:dyDescent="0.25">
      <c r="B2780"/>
      <c r="K2780"/>
    </row>
    <row r="2781" spans="2:11" x14ac:dyDescent="0.25">
      <c r="B2781"/>
      <c r="K2781"/>
    </row>
    <row r="2782" spans="2:11" x14ac:dyDescent="0.25">
      <c r="B2782"/>
      <c r="K2782"/>
    </row>
    <row r="2783" spans="2:11" x14ac:dyDescent="0.25">
      <c r="B2783"/>
      <c r="K2783"/>
    </row>
    <row r="2784" spans="2:11" x14ac:dyDescent="0.25">
      <c r="B2784"/>
      <c r="K2784"/>
    </row>
    <row r="2785" spans="2:11" x14ac:dyDescent="0.25">
      <c r="B2785"/>
      <c r="K2785"/>
    </row>
    <row r="2786" spans="2:11" x14ac:dyDescent="0.25">
      <c r="B2786"/>
      <c r="K2786"/>
    </row>
    <row r="2787" spans="2:11" x14ac:dyDescent="0.25">
      <c r="B2787"/>
      <c r="K2787"/>
    </row>
    <row r="2788" spans="2:11" x14ac:dyDescent="0.25">
      <c r="B2788"/>
      <c r="K2788"/>
    </row>
    <row r="2789" spans="2:11" x14ac:dyDescent="0.25">
      <c r="B2789"/>
      <c r="K2789"/>
    </row>
    <row r="2790" spans="2:11" x14ac:dyDescent="0.25">
      <c r="B2790"/>
      <c r="K2790"/>
    </row>
    <row r="2791" spans="2:11" x14ac:dyDescent="0.25">
      <c r="B2791"/>
      <c r="K2791"/>
    </row>
    <row r="2792" spans="2:11" x14ac:dyDescent="0.25">
      <c r="B2792"/>
      <c r="K2792"/>
    </row>
    <row r="2793" spans="2:11" x14ac:dyDescent="0.25">
      <c r="B2793"/>
      <c r="K2793"/>
    </row>
    <row r="2794" spans="2:11" x14ac:dyDescent="0.25">
      <c r="B2794"/>
      <c r="K2794"/>
    </row>
    <row r="2795" spans="2:11" x14ac:dyDescent="0.25">
      <c r="B2795"/>
      <c r="K2795"/>
    </row>
    <row r="2796" spans="2:11" x14ac:dyDescent="0.25">
      <c r="B2796"/>
      <c r="K2796"/>
    </row>
    <row r="2797" spans="2:11" x14ac:dyDescent="0.25">
      <c r="B2797"/>
      <c r="K2797"/>
    </row>
    <row r="2798" spans="2:11" x14ac:dyDescent="0.25">
      <c r="B2798"/>
      <c r="K2798"/>
    </row>
    <row r="2799" spans="2:11" x14ac:dyDescent="0.25">
      <c r="B2799"/>
      <c r="K2799"/>
    </row>
    <row r="2800" spans="2:11" x14ac:dyDescent="0.25">
      <c r="B2800"/>
      <c r="K2800"/>
    </row>
    <row r="2801" spans="2:11" x14ac:dyDescent="0.25">
      <c r="B2801"/>
      <c r="K2801"/>
    </row>
    <row r="2802" spans="2:11" x14ac:dyDescent="0.25">
      <c r="B2802"/>
      <c r="K2802"/>
    </row>
    <row r="2803" spans="2:11" x14ac:dyDescent="0.25">
      <c r="B2803"/>
      <c r="K2803"/>
    </row>
    <row r="2804" spans="2:11" x14ac:dyDescent="0.25">
      <c r="B2804"/>
      <c r="K2804"/>
    </row>
    <row r="2805" spans="2:11" x14ac:dyDescent="0.25">
      <c r="B2805"/>
      <c r="K2805"/>
    </row>
    <row r="2806" spans="2:11" x14ac:dyDescent="0.25">
      <c r="B2806"/>
      <c r="K2806"/>
    </row>
    <row r="2807" spans="2:11" x14ac:dyDescent="0.25">
      <c r="B2807"/>
      <c r="K2807"/>
    </row>
    <row r="2808" spans="2:11" x14ac:dyDescent="0.25">
      <c r="B2808"/>
      <c r="K2808"/>
    </row>
    <row r="2809" spans="2:11" x14ac:dyDescent="0.25">
      <c r="B2809"/>
      <c r="K2809"/>
    </row>
    <row r="2810" spans="2:11" x14ac:dyDescent="0.25">
      <c r="B2810"/>
      <c r="K2810"/>
    </row>
    <row r="2811" spans="2:11" x14ac:dyDescent="0.25">
      <c r="B2811"/>
      <c r="K2811"/>
    </row>
    <row r="2812" spans="2:11" x14ac:dyDescent="0.25">
      <c r="B2812"/>
      <c r="K2812"/>
    </row>
    <row r="2813" spans="2:11" x14ac:dyDescent="0.25">
      <c r="B2813"/>
      <c r="K2813"/>
    </row>
    <row r="2814" spans="2:11" x14ac:dyDescent="0.25">
      <c r="B2814"/>
      <c r="K2814"/>
    </row>
    <row r="2815" spans="2:11" x14ac:dyDescent="0.25">
      <c r="B2815"/>
      <c r="K2815"/>
    </row>
    <row r="2816" spans="2:11" x14ac:dyDescent="0.25">
      <c r="B2816"/>
      <c r="K2816"/>
    </row>
    <row r="2817" spans="2:11" x14ac:dyDescent="0.25">
      <c r="B2817"/>
      <c r="K2817"/>
    </row>
    <row r="2818" spans="2:11" x14ac:dyDescent="0.25">
      <c r="B2818"/>
      <c r="K2818"/>
    </row>
    <row r="2819" spans="2:11" x14ac:dyDescent="0.25">
      <c r="B2819"/>
      <c r="K2819"/>
    </row>
    <row r="2820" spans="2:11" x14ac:dyDescent="0.25">
      <c r="B2820"/>
      <c r="K2820"/>
    </row>
    <row r="2821" spans="2:11" x14ac:dyDescent="0.25">
      <c r="B2821"/>
      <c r="K2821"/>
    </row>
    <row r="2822" spans="2:11" x14ac:dyDescent="0.25">
      <c r="B2822"/>
      <c r="K2822"/>
    </row>
    <row r="2823" spans="2:11" x14ac:dyDescent="0.25">
      <c r="B2823"/>
      <c r="K2823"/>
    </row>
    <row r="2824" spans="2:11" x14ac:dyDescent="0.25">
      <c r="B2824"/>
      <c r="K2824"/>
    </row>
    <row r="2825" spans="2:11" x14ac:dyDescent="0.25">
      <c r="B2825"/>
      <c r="K2825"/>
    </row>
    <row r="2826" spans="2:11" x14ac:dyDescent="0.25">
      <c r="B2826"/>
      <c r="K2826"/>
    </row>
    <row r="2827" spans="2:11" x14ac:dyDescent="0.25">
      <c r="B2827"/>
      <c r="K2827"/>
    </row>
    <row r="2828" spans="2:11" x14ac:dyDescent="0.25">
      <c r="B2828"/>
      <c r="K2828"/>
    </row>
    <row r="2829" spans="2:11" x14ac:dyDescent="0.25">
      <c r="B2829"/>
      <c r="K2829"/>
    </row>
    <row r="2830" spans="2:11" x14ac:dyDescent="0.25">
      <c r="B2830"/>
      <c r="K2830"/>
    </row>
    <row r="2831" spans="2:11" x14ac:dyDescent="0.25">
      <c r="B2831"/>
      <c r="K2831"/>
    </row>
    <row r="2832" spans="2:11" x14ac:dyDescent="0.25">
      <c r="B2832"/>
      <c r="K2832"/>
    </row>
    <row r="2833" spans="2:11" x14ac:dyDescent="0.25">
      <c r="B2833"/>
      <c r="K2833"/>
    </row>
    <row r="2834" spans="2:11" x14ac:dyDescent="0.25">
      <c r="B2834"/>
      <c r="K2834"/>
    </row>
    <row r="2835" spans="2:11" x14ac:dyDescent="0.25">
      <c r="B2835"/>
      <c r="K2835"/>
    </row>
    <row r="2836" spans="2:11" x14ac:dyDescent="0.25">
      <c r="B2836"/>
      <c r="K2836"/>
    </row>
    <row r="2837" spans="2:11" x14ac:dyDescent="0.25">
      <c r="B2837"/>
      <c r="K2837"/>
    </row>
    <row r="2838" spans="2:11" x14ac:dyDescent="0.25">
      <c r="B2838"/>
      <c r="K2838"/>
    </row>
    <row r="2839" spans="2:11" x14ac:dyDescent="0.25">
      <c r="B2839"/>
      <c r="K2839"/>
    </row>
    <row r="2840" spans="2:11" x14ac:dyDescent="0.25">
      <c r="B2840"/>
      <c r="K2840"/>
    </row>
    <row r="2841" spans="2:11" x14ac:dyDescent="0.25">
      <c r="B2841"/>
      <c r="K2841"/>
    </row>
    <row r="2842" spans="2:11" x14ac:dyDescent="0.25">
      <c r="B2842"/>
      <c r="K2842"/>
    </row>
    <row r="2843" spans="2:11" x14ac:dyDescent="0.25">
      <c r="B2843"/>
      <c r="K2843"/>
    </row>
    <row r="2844" spans="2:11" x14ac:dyDescent="0.25">
      <c r="B2844"/>
      <c r="K2844"/>
    </row>
    <row r="2845" spans="2:11" x14ac:dyDescent="0.25">
      <c r="B2845"/>
      <c r="K2845"/>
    </row>
    <row r="2846" spans="2:11" x14ac:dyDescent="0.25">
      <c r="B2846"/>
      <c r="K2846"/>
    </row>
    <row r="2847" spans="2:11" x14ac:dyDescent="0.25">
      <c r="B2847"/>
      <c r="K2847"/>
    </row>
    <row r="2848" spans="2:11" x14ac:dyDescent="0.25">
      <c r="B2848"/>
      <c r="K2848"/>
    </row>
    <row r="2849" spans="2:11" x14ac:dyDescent="0.25">
      <c r="B2849"/>
      <c r="K2849"/>
    </row>
    <row r="2850" spans="2:11" x14ac:dyDescent="0.25">
      <c r="B2850"/>
      <c r="K2850"/>
    </row>
    <row r="2851" spans="2:11" x14ac:dyDescent="0.25">
      <c r="B2851"/>
      <c r="K2851"/>
    </row>
    <row r="2852" spans="2:11" x14ac:dyDescent="0.25">
      <c r="B2852"/>
      <c r="K2852"/>
    </row>
    <row r="2853" spans="2:11" x14ac:dyDescent="0.25">
      <c r="B2853"/>
      <c r="K2853"/>
    </row>
    <row r="2854" spans="2:11" x14ac:dyDescent="0.25">
      <c r="B2854"/>
      <c r="K2854"/>
    </row>
    <row r="2855" spans="2:11" x14ac:dyDescent="0.25">
      <c r="B2855"/>
      <c r="K2855"/>
    </row>
    <row r="2856" spans="2:11" x14ac:dyDescent="0.25">
      <c r="B2856"/>
      <c r="K2856"/>
    </row>
    <row r="2857" spans="2:11" x14ac:dyDescent="0.25">
      <c r="B2857"/>
      <c r="K2857"/>
    </row>
    <row r="2858" spans="2:11" x14ac:dyDescent="0.25">
      <c r="B2858"/>
      <c r="K2858"/>
    </row>
    <row r="2859" spans="2:11" x14ac:dyDescent="0.25">
      <c r="B2859"/>
      <c r="K2859"/>
    </row>
    <row r="2860" spans="2:11" x14ac:dyDescent="0.25">
      <c r="B2860"/>
      <c r="K2860"/>
    </row>
    <row r="2861" spans="2:11" x14ac:dyDescent="0.25">
      <c r="B2861"/>
      <c r="K2861"/>
    </row>
    <row r="2862" spans="2:11" x14ac:dyDescent="0.25">
      <c r="B2862"/>
      <c r="K2862"/>
    </row>
    <row r="2863" spans="2:11" x14ac:dyDescent="0.25">
      <c r="B2863"/>
      <c r="K2863"/>
    </row>
    <row r="2864" spans="2:11" x14ac:dyDescent="0.25">
      <c r="B2864"/>
      <c r="K2864"/>
    </row>
    <row r="2865" spans="2:11" x14ac:dyDescent="0.25">
      <c r="B2865"/>
      <c r="K2865"/>
    </row>
    <row r="2866" spans="2:11" x14ac:dyDescent="0.25">
      <c r="B2866"/>
      <c r="K2866"/>
    </row>
    <row r="2867" spans="2:11" x14ac:dyDescent="0.25">
      <c r="B2867"/>
      <c r="K2867"/>
    </row>
    <row r="2868" spans="2:11" x14ac:dyDescent="0.25">
      <c r="B2868"/>
      <c r="K2868"/>
    </row>
    <row r="2869" spans="2:11" x14ac:dyDescent="0.25">
      <c r="B2869"/>
      <c r="K2869"/>
    </row>
    <row r="2870" spans="2:11" x14ac:dyDescent="0.25">
      <c r="B2870"/>
      <c r="K2870"/>
    </row>
    <row r="2871" spans="2:11" x14ac:dyDescent="0.25">
      <c r="B2871"/>
      <c r="K2871"/>
    </row>
    <row r="2872" spans="2:11" x14ac:dyDescent="0.25">
      <c r="B2872"/>
      <c r="K2872"/>
    </row>
    <row r="2873" spans="2:11" x14ac:dyDescent="0.25">
      <c r="B2873"/>
      <c r="K2873"/>
    </row>
    <row r="2874" spans="2:11" x14ac:dyDescent="0.25">
      <c r="B2874"/>
      <c r="K2874"/>
    </row>
    <row r="2875" spans="2:11" x14ac:dyDescent="0.25">
      <c r="B2875"/>
      <c r="K2875"/>
    </row>
    <row r="2876" spans="2:11" x14ac:dyDescent="0.25">
      <c r="B2876"/>
      <c r="K2876"/>
    </row>
    <row r="2877" spans="2:11" x14ac:dyDescent="0.25">
      <c r="B2877"/>
      <c r="K2877"/>
    </row>
    <row r="2878" spans="2:11" x14ac:dyDescent="0.25">
      <c r="B2878"/>
      <c r="K2878"/>
    </row>
    <row r="2879" spans="2:11" x14ac:dyDescent="0.25">
      <c r="B2879"/>
      <c r="K2879"/>
    </row>
    <row r="2880" spans="2:11" x14ac:dyDescent="0.25">
      <c r="B2880"/>
      <c r="K2880"/>
    </row>
    <row r="2881" spans="2:11" x14ac:dyDescent="0.25">
      <c r="B2881"/>
      <c r="K2881"/>
    </row>
    <row r="2882" spans="2:11" x14ac:dyDescent="0.25">
      <c r="B2882"/>
      <c r="K2882"/>
    </row>
    <row r="2883" spans="2:11" x14ac:dyDescent="0.25">
      <c r="B2883"/>
      <c r="K2883"/>
    </row>
    <row r="2884" spans="2:11" x14ac:dyDescent="0.25">
      <c r="B2884"/>
      <c r="K2884"/>
    </row>
    <row r="2885" spans="2:11" x14ac:dyDescent="0.25">
      <c r="B2885"/>
      <c r="K2885"/>
    </row>
    <row r="2886" spans="2:11" x14ac:dyDescent="0.25">
      <c r="B2886"/>
      <c r="K2886"/>
    </row>
    <row r="2887" spans="2:11" x14ac:dyDescent="0.25">
      <c r="B2887"/>
      <c r="K2887"/>
    </row>
    <row r="2888" spans="2:11" x14ac:dyDescent="0.25">
      <c r="B2888"/>
      <c r="K2888"/>
    </row>
    <row r="2889" spans="2:11" x14ac:dyDescent="0.25">
      <c r="B2889"/>
      <c r="K2889"/>
    </row>
    <row r="2890" spans="2:11" x14ac:dyDescent="0.25">
      <c r="B2890"/>
      <c r="K2890"/>
    </row>
    <row r="2891" spans="2:11" x14ac:dyDescent="0.25">
      <c r="B2891"/>
      <c r="K2891"/>
    </row>
    <row r="2892" spans="2:11" x14ac:dyDescent="0.25">
      <c r="B2892"/>
      <c r="K2892"/>
    </row>
    <row r="2893" spans="2:11" x14ac:dyDescent="0.25">
      <c r="B2893"/>
      <c r="K2893"/>
    </row>
    <row r="2894" spans="2:11" x14ac:dyDescent="0.25">
      <c r="B2894"/>
      <c r="K2894"/>
    </row>
    <row r="2895" spans="2:11" x14ac:dyDescent="0.25">
      <c r="B2895"/>
      <c r="K2895"/>
    </row>
    <row r="2896" spans="2:11" x14ac:dyDescent="0.25">
      <c r="B2896"/>
      <c r="K2896"/>
    </row>
    <row r="2897" spans="2:11" x14ac:dyDescent="0.25">
      <c r="B2897"/>
      <c r="K2897"/>
    </row>
    <row r="2898" spans="2:11" x14ac:dyDescent="0.25">
      <c r="B2898"/>
      <c r="K2898"/>
    </row>
    <row r="2899" spans="2:11" x14ac:dyDescent="0.25">
      <c r="B2899"/>
      <c r="K2899"/>
    </row>
    <row r="2900" spans="2:11" x14ac:dyDescent="0.25">
      <c r="B2900"/>
      <c r="K2900"/>
    </row>
    <row r="2901" spans="2:11" x14ac:dyDescent="0.25">
      <c r="B2901"/>
      <c r="K2901"/>
    </row>
    <row r="2902" spans="2:11" x14ac:dyDescent="0.25">
      <c r="B2902"/>
      <c r="K2902"/>
    </row>
    <row r="2903" spans="2:11" x14ac:dyDescent="0.25">
      <c r="B2903"/>
      <c r="K2903"/>
    </row>
    <row r="2904" spans="2:11" x14ac:dyDescent="0.25">
      <c r="B2904"/>
      <c r="K2904"/>
    </row>
    <row r="2905" spans="2:11" x14ac:dyDescent="0.25">
      <c r="B2905"/>
      <c r="K2905"/>
    </row>
    <row r="2906" spans="2:11" x14ac:dyDescent="0.25">
      <c r="B2906"/>
      <c r="K2906"/>
    </row>
    <row r="2907" spans="2:11" x14ac:dyDescent="0.25">
      <c r="B2907"/>
      <c r="K2907"/>
    </row>
    <row r="2908" spans="2:11" x14ac:dyDescent="0.25">
      <c r="B2908"/>
      <c r="K2908"/>
    </row>
    <row r="2909" spans="2:11" x14ac:dyDescent="0.25">
      <c r="B2909"/>
      <c r="K2909"/>
    </row>
    <row r="2910" spans="2:11" x14ac:dyDescent="0.25">
      <c r="B2910"/>
      <c r="K2910"/>
    </row>
    <row r="2911" spans="2:11" x14ac:dyDescent="0.25">
      <c r="B2911"/>
      <c r="K2911"/>
    </row>
    <row r="2912" spans="2:11" x14ac:dyDescent="0.25">
      <c r="B2912"/>
      <c r="K2912"/>
    </row>
    <row r="2913" spans="2:11" x14ac:dyDescent="0.25">
      <c r="B2913"/>
      <c r="K2913"/>
    </row>
    <row r="2914" spans="2:11" x14ac:dyDescent="0.25">
      <c r="B2914"/>
      <c r="K2914"/>
    </row>
    <row r="2915" spans="2:11" x14ac:dyDescent="0.25">
      <c r="B2915"/>
      <c r="K2915"/>
    </row>
    <row r="2916" spans="2:11" x14ac:dyDescent="0.25">
      <c r="B2916"/>
      <c r="K2916"/>
    </row>
    <row r="2917" spans="2:11" x14ac:dyDescent="0.25">
      <c r="B2917"/>
      <c r="K2917"/>
    </row>
    <row r="2918" spans="2:11" x14ac:dyDescent="0.25">
      <c r="B2918"/>
      <c r="K2918"/>
    </row>
    <row r="2919" spans="2:11" x14ac:dyDescent="0.25">
      <c r="B2919"/>
      <c r="K2919"/>
    </row>
    <row r="2920" spans="2:11" x14ac:dyDescent="0.25">
      <c r="B2920"/>
      <c r="K2920"/>
    </row>
    <row r="2921" spans="2:11" x14ac:dyDescent="0.25">
      <c r="B2921"/>
      <c r="K2921"/>
    </row>
    <row r="2922" spans="2:11" x14ac:dyDescent="0.25">
      <c r="B2922"/>
      <c r="K2922"/>
    </row>
    <row r="2923" spans="2:11" x14ac:dyDescent="0.25">
      <c r="B2923"/>
      <c r="K2923"/>
    </row>
    <row r="2924" spans="2:11" x14ac:dyDescent="0.25">
      <c r="B2924"/>
      <c r="K2924"/>
    </row>
    <row r="2925" spans="2:11" x14ac:dyDescent="0.25">
      <c r="B2925"/>
      <c r="K2925"/>
    </row>
    <row r="2926" spans="2:11" x14ac:dyDescent="0.25">
      <c r="B2926"/>
      <c r="K2926"/>
    </row>
    <row r="2927" spans="2:11" x14ac:dyDescent="0.25">
      <c r="B2927"/>
      <c r="K2927"/>
    </row>
    <row r="2928" spans="2:11" x14ac:dyDescent="0.25">
      <c r="B2928"/>
      <c r="K2928"/>
    </row>
    <row r="2929" spans="2:11" x14ac:dyDescent="0.25">
      <c r="B2929"/>
      <c r="K2929"/>
    </row>
    <row r="2930" spans="2:11" x14ac:dyDescent="0.25">
      <c r="B2930"/>
      <c r="K2930"/>
    </row>
    <row r="2931" spans="2:11" x14ac:dyDescent="0.25">
      <c r="B2931"/>
      <c r="K2931"/>
    </row>
    <row r="2932" spans="2:11" x14ac:dyDescent="0.25">
      <c r="B2932"/>
      <c r="K2932"/>
    </row>
    <row r="2933" spans="2:11" x14ac:dyDescent="0.25">
      <c r="B2933"/>
      <c r="K2933"/>
    </row>
    <row r="2934" spans="2:11" x14ac:dyDescent="0.25">
      <c r="B2934"/>
      <c r="K2934"/>
    </row>
    <row r="2935" spans="2:11" x14ac:dyDescent="0.25">
      <c r="B2935"/>
      <c r="K2935"/>
    </row>
    <row r="2936" spans="2:11" x14ac:dyDescent="0.25">
      <c r="B2936"/>
      <c r="K2936"/>
    </row>
    <row r="2937" spans="2:11" x14ac:dyDescent="0.25">
      <c r="B2937"/>
      <c r="K2937"/>
    </row>
    <row r="2938" spans="2:11" x14ac:dyDescent="0.25">
      <c r="B2938"/>
      <c r="K2938"/>
    </row>
    <row r="2939" spans="2:11" x14ac:dyDescent="0.25">
      <c r="B2939"/>
      <c r="K2939"/>
    </row>
    <row r="2940" spans="2:11" x14ac:dyDescent="0.25">
      <c r="B2940"/>
      <c r="K2940"/>
    </row>
    <row r="2941" spans="2:11" x14ac:dyDescent="0.25">
      <c r="B2941"/>
      <c r="K2941"/>
    </row>
    <row r="2942" spans="2:11" x14ac:dyDescent="0.25">
      <c r="B2942"/>
      <c r="K2942"/>
    </row>
    <row r="2943" spans="2:11" x14ac:dyDescent="0.25">
      <c r="B2943"/>
      <c r="K2943"/>
    </row>
    <row r="2944" spans="2:11" x14ac:dyDescent="0.25">
      <c r="B2944"/>
      <c r="K2944"/>
    </row>
    <row r="2945" spans="2:11" x14ac:dyDescent="0.25">
      <c r="B2945"/>
      <c r="K2945"/>
    </row>
    <row r="2946" spans="2:11" x14ac:dyDescent="0.25">
      <c r="B2946"/>
      <c r="K2946"/>
    </row>
    <row r="2947" spans="2:11" x14ac:dyDescent="0.25">
      <c r="B2947"/>
      <c r="K2947"/>
    </row>
    <row r="2948" spans="2:11" x14ac:dyDescent="0.25">
      <c r="B2948"/>
      <c r="K2948"/>
    </row>
    <row r="2949" spans="2:11" x14ac:dyDescent="0.25">
      <c r="B2949"/>
      <c r="K2949"/>
    </row>
    <row r="2950" spans="2:11" x14ac:dyDescent="0.25">
      <c r="B2950"/>
      <c r="K2950"/>
    </row>
    <row r="2951" spans="2:11" x14ac:dyDescent="0.25">
      <c r="B2951"/>
      <c r="K2951"/>
    </row>
    <row r="2952" spans="2:11" x14ac:dyDescent="0.25">
      <c r="B2952"/>
      <c r="K2952"/>
    </row>
    <row r="2953" spans="2:11" x14ac:dyDescent="0.25">
      <c r="B2953"/>
      <c r="K2953"/>
    </row>
    <row r="2954" spans="2:11" x14ac:dyDescent="0.25">
      <c r="B2954"/>
      <c r="K2954"/>
    </row>
    <row r="2955" spans="2:11" x14ac:dyDescent="0.25">
      <c r="B2955"/>
      <c r="K2955"/>
    </row>
    <row r="2956" spans="2:11" x14ac:dyDescent="0.25">
      <c r="B2956"/>
      <c r="K2956"/>
    </row>
    <row r="2957" spans="2:11" x14ac:dyDescent="0.25">
      <c r="B2957"/>
      <c r="K2957"/>
    </row>
    <row r="2958" spans="2:11" x14ac:dyDescent="0.25">
      <c r="B2958"/>
      <c r="K2958"/>
    </row>
    <row r="2959" spans="2:11" x14ac:dyDescent="0.25">
      <c r="B2959"/>
      <c r="K2959"/>
    </row>
    <row r="2960" spans="2:11" x14ac:dyDescent="0.25">
      <c r="B2960"/>
      <c r="K2960"/>
    </row>
    <row r="2961" spans="2:11" x14ac:dyDescent="0.25">
      <c r="B2961"/>
      <c r="K2961"/>
    </row>
    <row r="2962" spans="2:11" x14ac:dyDescent="0.25">
      <c r="B2962"/>
      <c r="K2962"/>
    </row>
    <row r="2963" spans="2:11" x14ac:dyDescent="0.25">
      <c r="B2963"/>
      <c r="K2963"/>
    </row>
    <row r="2964" spans="2:11" x14ac:dyDescent="0.25">
      <c r="B2964"/>
      <c r="K2964"/>
    </row>
    <row r="2965" spans="2:11" x14ac:dyDescent="0.25">
      <c r="B2965"/>
      <c r="K2965"/>
    </row>
    <row r="2966" spans="2:11" x14ac:dyDescent="0.25">
      <c r="B2966"/>
      <c r="K2966"/>
    </row>
    <row r="2967" spans="2:11" x14ac:dyDescent="0.25">
      <c r="B2967"/>
      <c r="K2967"/>
    </row>
    <row r="2968" spans="2:11" x14ac:dyDescent="0.25">
      <c r="B2968"/>
      <c r="K2968"/>
    </row>
    <row r="2969" spans="2:11" x14ac:dyDescent="0.25">
      <c r="B2969"/>
      <c r="K2969"/>
    </row>
    <row r="2970" spans="2:11" x14ac:dyDescent="0.25">
      <c r="B2970"/>
      <c r="K2970"/>
    </row>
    <row r="2971" spans="2:11" x14ac:dyDescent="0.25">
      <c r="B2971"/>
      <c r="K2971"/>
    </row>
    <row r="2972" spans="2:11" x14ac:dyDescent="0.25">
      <c r="B2972"/>
      <c r="K2972"/>
    </row>
    <row r="2973" spans="2:11" x14ac:dyDescent="0.25">
      <c r="B2973"/>
      <c r="K2973"/>
    </row>
    <row r="2974" spans="2:11" x14ac:dyDescent="0.25">
      <c r="B2974"/>
      <c r="K2974"/>
    </row>
    <row r="2975" spans="2:11" x14ac:dyDescent="0.25">
      <c r="B2975"/>
      <c r="K2975"/>
    </row>
    <row r="2976" spans="2:11" x14ac:dyDescent="0.25">
      <c r="B2976"/>
      <c r="K2976"/>
    </row>
    <row r="2977" spans="2:11" x14ac:dyDescent="0.25">
      <c r="B2977"/>
      <c r="K2977"/>
    </row>
    <row r="2978" spans="2:11" x14ac:dyDescent="0.25">
      <c r="B2978"/>
      <c r="K2978"/>
    </row>
    <row r="2979" spans="2:11" x14ac:dyDescent="0.25">
      <c r="B2979"/>
      <c r="K2979"/>
    </row>
    <row r="2980" spans="2:11" x14ac:dyDescent="0.25">
      <c r="B2980"/>
      <c r="K2980"/>
    </row>
    <row r="2981" spans="2:11" x14ac:dyDescent="0.25">
      <c r="B2981"/>
      <c r="K2981"/>
    </row>
    <row r="2982" spans="2:11" x14ac:dyDescent="0.25">
      <c r="B2982"/>
      <c r="K2982"/>
    </row>
    <row r="2983" spans="2:11" x14ac:dyDescent="0.25">
      <c r="B2983"/>
      <c r="K2983"/>
    </row>
    <row r="2984" spans="2:11" x14ac:dyDescent="0.25">
      <c r="B2984"/>
      <c r="K2984"/>
    </row>
    <row r="2985" spans="2:11" x14ac:dyDescent="0.25">
      <c r="B2985"/>
      <c r="K2985"/>
    </row>
    <row r="2986" spans="2:11" x14ac:dyDescent="0.25">
      <c r="B2986"/>
      <c r="K2986"/>
    </row>
    <row r="2987" spans="2:11" x14ac:dyDescent="0.25">
      <c r="B2987"/>
      <c r="K2987"/>
    </row>
    <row r="2988" spans="2:11" x14ac:dyDescent="0.25">
      <c r="B2988"/>
      <c r="K2988"/>
    </row>
    <row r="2989" spans="2:11" x14ac:dyDescent="0.25">
      <c r="B2989"/>
      <c r="K2989"/>
    </row>
    <row r="2990" spans="2:11" x14ac:dyDescent="0.25">
      <c r="B2990"/>
      <c r="K2990"/>
    </row>
    <row r="2991" spans="2:11" x14ac:dyDescent="0.25">
      <c r="B2991"/>
      <c r="K2991"/>
    </row>
    <row r="2992" spans="2:11" x14ac:dyDescent="0.25">
      <c r="B2992"/>
      <c r="K2992"/>
    </row>
    <row r="2993" spans="2:11" x14ac:dyDescent="0.25">
      <c r="B2993"/>
      <c r="K2993"/>
    </row>
    <row r="2994" spans="2:11" x14ac:dyDescent="0.25">
      <c r="B2994"/>
      <c r="K2994"/>
    </row>
    <row r="2995" spans="2:11" x14ac:dyDescent="0.25">
      <c r="B2995"/>
      <c r="K2995"/>
    </row>
    <row r="2996" spans="2:11" x14ac:dyDescent="0.25">
      <c r="B2996"/>
      <c r="K2996"/>
    </row>
    <row r="2997" spans="2:11" x14ac:dyDescent="0.25">
      <c r="B2997"/>
      <c r="K2997"/>
    </row>
    <row r="2998" spans="2:11" x14ac:dyDescent="0.25">
      <c r="B2998"/>
      <c r="K2998"/>
    </row>
    <row r="2999" spans="2:11" x14ac:dyDescent="0.25">
      <c r="B2999"/>
      <c r="K2999"/>
    </row>
    <row r="3000" spans="2:11" x14ac:dyDescent="0.25">
      <c r="B3000"/>
      <c r="K3000"/>
    </row>
    <row r="3001" spans="2:11" x14ac:dyDescent="0.25">
      <c r="B3001"/>
      <c r="K3001"/>
    </row>
    <row r="3002" spans="2:11" x14ac:dyDescent="0.25">
      <c r="B3002"/>
      <c r="K3002"/>
    </row>
    <row r="3003" spans="2:11" x14ac:dyDescent="0.25">
      <c r="B3003"/>
      <c r="K3003"/>
    </row>
    <row r="3004" spans="2:11" x14ac:dyDescent="0.25">
      <c r="B3004"/>
      <c r="K3004"/>
    </row>
    <row r="3005" spans="2:11" x14ac:dyDescent="0.25">
      <c r="B3005"/>
      <c r="K3005"/>
    </row>
    <row r="3006" spans="2:11" x14ac:dyDescent="0.25">
      <c r="B3006"/>
      <c r="K3006"/>
    </row>
    <row r="3007" spans="2:11" x14ac:dyDescent="0.25">
      <c r="B3007"/>
      <c r="K3007"/>
    </row>
    <row r="3008" spans="2:11" x14ac:dyDescent="0.25">
      <c r="B3008"/>
      <c r="K3008"/>
    </row>
    <row r="3009" spans="2:11" x14ac:dyDescent="0.25">
      <c r="B3009"/>
      <c r="K3009"/>
    </row>
    <row r="3010" spans="2:11" x14ac:dyDescent="0.25">
      <c r="B3010"/>
      <c r="K3010"/>
    </row>
    <row r="3011" spans="2:11" x14ac:dyDescent="0.25">
      <c r="B3011"/>
      <c r="K3011"/>
    </row>
    <row r="3012" spans="2:11" x14ac:dyDescent="0.25">
      <c r="B3012"/>
      <c r="K3012"/>
    </row>
    <row r="3013" spans="2:11" x14ac:dyDescent="0.25">
      <c r="B3013"/>
      <c r="K3013"/>
    </row>
    <row r="3014" spans="2:11" x14ac:dyDescent="0.25">
      <c r="B3014"/>
      <c r="K3014"/>
    </row>
    <row r="3015" spans="2:11" x14ac:dyDescent="0.25">
      <c r="B3015"/>
      <c r="K3015"/>
    </row>
    <row r="3016" spans="2:11" x14ac:dyDescent="0.25">
      <c r="B3016"/>
      <c r="K3016"/>
    </row>
    <row r="3017" spans="2:11" x14ac:dyDescent="0.25">
      <c r="B3017"/>
      <c r="K3017"/>
    </row>
    <row r="3018" spans="2:11" x14ac:dyDescent="0.25">
      <c r="B3018"/>
      <c r="K3018"/>
    </row>
    <row r="3019" spans="2:11" x14ac:dyDescent="0.25">
      <c r="B3019"/>
      <c r="K3019"/>
    </row>
    <row r="3020" spans="2:11" x14ac:dyDescent="0.25">
      <c r="B3020"/>
      <c r="K3020"/>
    </row>
    <row r="3021" spans="2:11" x14ac:dyDescent="0.25">
      <c r="B3021"/>
      <c r="K3021"/>
    </row>
    <row r="3022" spans="2:11" x14ac:dyDescent="0.25">
      <c r="B3022"/>
      <c r="K3022"/>
    </row>
    <row r="3023" spans="2:11" x14ac:dyDescent="0.25">
      <c r="B3023"/>
      <c r="K3023"/>
    </row>
    <row r="3024" spans="2:11" x14ac:dyDescent="0.25">
      <c r="B3024"/>
      <c r="K3024"/>
    </row>
    <row r="3025" spans="2:11" x14ac:dyDescent="0.25">
      <c r="B3025"/>
      <c r="K3025"/>
    </row>
    <row r="3026" spans="2:11" x14ac:dyDescent="0.25">
      <c r="B3026"/>
      <c r="K3026"/>
    </row>
    <row r="3027" spans="2:11" x14ac:dyDescent="0.25">
      <c r="B3027"/>
      <c r="K3027"/>
    </row>
    <row r="3028" spans="2:11" x14ac:dyDescent="0.25">
      <c r="B3028"/>
      <c r="K3028"/>
    </row>
    <row r="3029" spans="2:11" x14ac:dyDescent="0.25">
      <c r="B3029"/>
      <c r="K3029"/>
    </row>
    <row r="3030" spans="2:11" x14ac:dyDescent="0.25">
      <c r="B3030"/>
      <c r="K3030"/>
    </row>
    <row r="3031" spans="2:11" x14ac:dyDescent="0.25">
      <c r="B3031"/>
      <c r="K3031"/>
    </row>
    <row r="3032" spans="2:11" x14ac:dyDescent="0.25">
      <c r="B3032"/>
      <c r="K3032"/>
    </row>
    <row r="3033" spans="2:11" x14ac:dyDescent="0.25">
      <c r="B3033"/>
      <c r="K3033"/>
    </row>
    <row r="3034" spans="2:11" x14ac:dyDescent="0.25">
      <c r="B3034"/>
      <c r="K3034"/>
    </row>
    <row r="3035" spans="2:11" x14ac:dyDescent="0.25">
      <c r="B3035"/>
      <c r="K3035"/>
    </row>
    <row r="3036" spans="2:11" x14ac:dyDescent="0.25">
      <c r="B3036"/>
      <c r="K3036"/>
    </row>
    <row r="3037" spans="2:11" x14ac:dyDescent="0.25">
      <c r="B3037"/>
      <c r="K3037"/>
    </row>
    <row r="3038" spans="2:11" x14ac:dyDescent="0.25">
      <c r="B3038"/>
      <c r="K3038"/>
    </row>
    <row r="3039" spans="2:11" x14ac:dyDescent="0.25">
      <c r="B3039"/>
      <c r="K3039"/>
    </row>
    <row r="3040" spans="2:11" x14ac:dyDescent="0.25">
      <c r="B3040"/>
      <c r="K3040"/>
    </row>
    <row r="3041" spans="2:11" x14ac:dyDescent="0.25">
      <c r="B3041"/>
      <c r="K3041"/>
    </row>
    <row r="3042" spans="2:11" x14ac:dyDescent="0.25">
      <c r="B3042"/>
      <c r="K3042"/>
    </row>
    <row r="3043" spans="2:11" x14ac:dyDescent="0.25">
      <c r="B3043"/>
      <c r="K3043"/>
    </row>
    <row r="3044" spans="2:11" x14ac:dyDescent="0.25">
      <c r="B3044"/>
      <c r="K3044"/>
    </row>
    <row r="3045" spans="2:11" x14ac:dyDescent="0.25">
      <c r="B3045"/>
      <c r="K3045"/>
    </row>
    <row r="3046" spans="2:11" x14ac:dyDescent="0.25">
      <c r="B3046"/>
      <c r="K3046"/>
    </row>
    <row r="3047" spans="2:11" x14ac:dyDescent="0.25">
      <c r="B3047"/>
      <c r="K3047"/>
    </row>
    <row r="3048" spans="2:11" x14ac:dyDescent="0.25">
      <c r="B3048"/>
      <c r="K3048"/>
    </row>
    <row r="3049" spans="2:11" x14ac:dyDescent="0.25">
      <c r="B3049"/>
      <c r="K3049"/>
    </row>
    <row r="3050" spans="2:11" x14ac:dyDescent="0.25">
      <c r="B3050"/>
      <c r="K3050"/>
    </row>
    <row r="3051" spans="2:11" x14ac:dyDescent="0.25">
      <c r="B3051"/>
      <c r="K3051"/>
    </row>
    <row r="3052" spans="2:11" x14ac:dyDescent="0.25">
      <c r="B3052"/>
      <c r="K3052"/>
    </row>
    <row r="3053" spans="2:11" x14ac:dyDescent="0.25">
      <c r="B3053"/>
      <c r="K3053"/>
    </row>
    <row r="3054" spans="2:11" x14ac:dyDescent="0.25">
      <c r="B3054"/>
      <c r="K3054"/>
    </row>
    <row r="3055" spans="2:11" x14ac:dyDescent="0.25">
      <c r="B3055"/>
      <c r="K3055"/>
    </row>
    <row r="3056" spans="2:11" x14ac:dyDescent="0.25">
      <c r="B3056"/>
      <c r="K3056"/>
    </row>
    <row r="3057" spans="2:11" x14ac:dyDescent="0.25">
      <c r="B3057"/>
      <c r="K3057"/>
    </row>
    <row r="3058" spans="2:11" x14ac:dyDescent="0.25">
      <c r="B3058"/>
      <c r="K3058"/>
    </row>
    <row r="3059" spans="2:11" x14ac:dyDescent="0.25">
      <c r="B3059"/>
      <c r="K3059"/>
    </row>
    <row r="3060" spans="2:11" x14ac:dyDescent="0.25">
      <c r="B3060"/>
      <c r="K3060"/>
    </row>
    <row r="3061" spans="2:11" x14ac:dyDescent="0.25">
      <c r="B3061"/>
      <c r="K3061"/>
    </row>
    <row r="3062" spans="2:11" x14ac:dyDescent="0.25">
      <c r="B3062"/>
      <c r="K3062"/>
    </row>
    <row r="3063" spans="2:11" x14ac:dyDescent="0.25">
      <c r="B3063"/>
      <c r="K3063"/>
    </row>
    <row r="3064" spans="2:11" x14ac:dyDescent="0.25">
      <c r="B3064"/>
      <c r="K3064"/>
    </row>
    <row r="3065" spans="2:11" x14ac:dyDescent="0.25">
      <c r="B3065"/>
      <c r="K3065"/>
    </row>
    <row r="3066" spans="2:11" x14ac:dyDescent="0.25">
      <c r="B3066"/>
      <c r="K3066"/>
    </row>
    <row r="3067" spans="2:11" x14ac:dyDescent="0.25">
      <c r="B3067"/>
      <c r="K3067"/>
    </row>
    <row r="3068" spans="2:11" x14ac:dyDescent="0.25">
      <c r="B3068"/>
      <c r="K3068"/>
    </row>
    <row r="3069" spans="2:11" x14ac:dyDescent="0.25">
      <c r="B3069"/>
      <c r="K3069"/>
    </row>
    <row r="3070" spans="2:11" x14ac:dyDescent="0.25">
      <c r="B3070"/>
      <c r="K3070"/>
    </row>
    <row r="3071" spans="2:11" x14ac:dyDescent="0.25">
      <c r="B3071"/>
      <c r="K3071"/>
    </row>
    <row r="3072" spans="2:11" x14ac:dyDescent="0.25">
      <c r="B3072"/>
      <c r="K3072"/>
    </row>
    <row r="3073" spans="2:11" x14ac:dyDescent="0.25">
      <c r="B3073"/>
      <c r="K3073"/>
    </row>
    <row r="3074" spans="2:11" x14ac:dyDescent="0.25">
      <c r="B3074"/>
      <c r="K3074"/>
    </row>
    <row r="3075" spans="2:11" x14ac:dyDescent="0.25">
      <c r="B3075"/>
      <c r="K3075"/>
    </row>
    <row r="3076" spans="2:11" x14ac:dyDescent="0.25">
      <c r="B3076"/>
      <c r="K3076"/>
    </row>
    <row r="3077" spans="2:11" x14ac:dyDescent="0.25">
      <c r="B3077"/>
      <c r="K3077"/>
    </row>
    <row r="3078" spans="2:11" x14ac:dyDescent="0.25">
      <c r="B3078"/>
      <c r="K3078"/>
    </row>
    <row r="3079" spans="2:11" x14ac:dyDescent="0.25">
      <c r="B3079"/>
      <c r="K3079"/>
    </row>
    <row r="3080" spans="2:11" x14ac:dyDescent="0.25">
      <c r="B3080"/>
      <c r="K3080"/>
    </row>
    <row r="3081" spans="2:11" x14ac:dyDescent="0.25">
      <c r="B3081"/>
      <c r="K3081"/>
    </row>
    <row r="3082" spans="2:11" x14ac:dyDescent="0.25">
      <c r="B3082"/>
      <c r="K3082"/>
    </row>
    <row r="3083" spans="2:11" x14ac:dyDescent="0.25">
      <c r="B3083"/>
      <c r="K3083"/>
    </row>
    <row r="3084" spans="2:11" x14ac:dyDescent="0.25">
      <c r="B3084"/>
      <c r="K3084"/>
    </row>
    <row r="3085" spans="2:11" x14ac:dyDescent="0.25">
      <c r="B3085"/>
      <c r="K3085"/>
    </row>
    <row r="3086" spans="2:11" x14ac:dyDescent="0.25">
      <c r="B3086"/>
      <c r="K3086"/>
    </row>
    <row r="3087" spans="2:11" x14ac:dyDescent="0.25">
      <c r="B3087"/>
      <c r="K3087"/>
    </row>
    <row r="3088" spans="2:11" x14ac:dyDescent="0.25">
      <c r="B3088"/>
      <c r="K3088"/>
    </row>
    <row r="3089" spans="2:11" x14ac:dyDescent="0.25">
      <c r="B3089"/>
      <c r="K3089"/>
    </row>
    <row r="3090" spans="2:11" x14ac:dyDescent="0.25">
      <c r="B3090"/>
      <c r="K3090"/>
    </row>
    <row r="3091" spans="2:11" x14ac:dyDescent="0.25">
      <c r="B3091"/>
      <c r="K3091"/>
    </row>
    <row r="3092" spans="2:11" x14ac:dyDescent="0.25">
      <c r="B3092"/>
      <c r="K3092"/>
    </row>
    <row r="3093" spans="2:11" x14ac:dyDescent="0.25">
      <c r="B3093"/>
      <c r="K3093"/>
    </row>
    <row r="3094" spans="2:11" x14ac:dyDescent="0.25">
      <c r="B3094"/>
      <c r="K3094"/>
    </row>
    <row r="3095" spans="2:11" x14ac:dyDescent="0.25">
      <c r="B3095"/>
      <c r="K3095"/>
    </row>
    <row r="3096" spans="2:11" x14ac:dyDescent="0.25">
      <c r="B3096"/>
      <c r="K3096"/>
    </row>
    <row r="3097" spans="2:11" x14ac:dyDescent="0.25">
      <c r="B3097"/>
      <c r="K3097"/>
    </row>
    <row r="3098" spans="2:11" x14ac:dyDescent="0.25">
      <c r="B3098"/>
      <c r="K3098"/>
    </row>
    <row r="3099" spans="2:11" x14ac:dyDescent="0.25">
      <c r="B3099"/>
      <c r="K3099"/>
    </row>
    <row r="3100" spans="2:11" x14ac:dyDescent="0.25">
      <c r="B3100"/>
      <c r="K3100"/>
    </row>
    <row r="3101" spans="2:11" x14ac:dyDescent="0.25">
      <c r="B3101"/>
      <c r="K3101"/>
    </row>
    <row r="3102" spans="2:11" x14ac:dyDescent="0.25">
      <c r="B3102"/>
      <c r="K3102"/>
    </row>
    <row r="3103" spans="2:11" x14ac:dyDescent="0.25">
      <c r="B3103"/>
      <c r="K3103"/>
    </row>
    <row r="3104" spans="2:11" x14ac:dyDescent="0.25">
      <c r="B3104"/>
      <c r="K3104"/>
    </row>
    <row r="3105" spans="2:11" x14ac:dyDescent="0.25">
      <c r="B3105"/>
      <c r="K3105"/>
    </row>
    <row r="3106" spans="2:11" x14ac:dyDescent="0.25">
      <c r="B3106"/>
      <c r="K3106"/>
    </row>
    <row r="3107" spans="2:11" x14ac:dyDescent="0.25">
      <c r="B3107"/>
      <c r="K3107"/>
    </row>
    <row r="3108" spans="2:11" x14ac:dyDescent="0.25">
      <c r="B3108"/>
      <c r="K3108"/>
    </row>
    <row r="3109" spans="2:11" x14ac:dyDescent="0.25">
      <c r="B3109"/>
      <c r="K3109"/>
    </row>
    <row r="3110" spans="2:11" x14ac:dyDescent="0.25">
      <c r="B3110"/>
      <c r="K3110"/>
    </row>
    <row r="3111" spans="2:11" x14ac:dyDescent="0.25">
      <c r="B3111"/>
      <c r="K3111"/>
    </row>
    <row r="3112" spans="2:11" x14ac:dyDescent="0.25">
      <c r="B3112"/>
      <c r="K3112"/>
    </row>
    <row r="3113" spans="2:11" x14ac:dyDescent="0.25">
      <c r="B3113"/>
      <c r="K3113"/>
    </row>
    <row r="3114" spans="2:11" x14ac:dyDescent="0.25">
      <c r="B3114"/>
      <c r="K3114"/>
    </row>
    <row r="3115" spans="2:11" x14ac:dyDescent="0.25">
      <c r="B3115"/>
      <c r="K3115"/>
    </row>
    <row r="3116" spans="2:11" x14ac:dyDescent="0.25">
      <c r="B3116"/>
      <c r="K3116"/>
    </row>
    <row r="3117" spans="2:11" x14ac:dyDescent="0.25">
      <c r="B3117"/>
      <c r="K3117"/>
    </row>
    <row r="3118" spans="2:11" x14ac:dyDescent="0.25">
      <c r="B3118"/>
      <c r="K3118"/>
    </row>
    <row r="3119" spans="2:11" x14ac:dyDescent="0.25">
      <c r="B3119"/>
      <c r="K3119"/>
    </row>
    <row r="3120" spans="2:11" x14ac:dyDescent="0.25">
      <c r="B3120"/>
      <c r="K3120"/>
    </row>
    <row r="3121" spans="2:11" x14ac:dyDescent="0.25">
      <c r="B3121"/>
      <c r="K3121"/>
    </row>
    <row r="3122" spans="2:11" x14ac:dyDescent="0.25">
      <c r="B3122"/>
      <c r="K3122"/>
    </row>
    <row r="3123" spans="2:11" x14ac:dyDescent="0.25">
      <c r="B3123"/>
      <c r="K3123"/>
    </row>
    <row r="3124" spans="2:11" x14ac:dyDescent="0.25">
      <c r="B3124"/>
      <c r="K3124"/>
    </row>
    <row r="3125" spans="2:11" x14ac:dyDescent="0.25">
      <c r="B3125"/>
      <c r="K3125"/>
    </row>
    <row r="3126" spans="2:11" x14ac:dyDescent="0.25">
      <c r="B3126"/>
      <c r="K3126"/>
    </row>
    <row r="3127" spans="2:11" x14ac:dyDescent="0.25">
      <c r="B3127"/>
      <c r="K3127"/>
    </row>
    <row r="3128" spans="2:11" x14ac:dyDescent="0.25">
      <c r="B3128"/>
      <c r="K3128"/>
    </row>
    <row r="3129" spans="2:11" x14ac:dyDescent="0.25">
      <c r="B3129"/>
      <c r="K3129"/>
    </row>
    <row r="3130" spans="2:11" x14ac:dyDescent="0.25">
      <c r="B3130"/>
      <c r="K3130"/>
    </row>
    <row r="3131" spans="2:11" x14ac:dyDescent="0.25">
      <c r="B3131"/>
      <c r="K3131"/>
    </row>
    <row r="3132" spans="2:11" x14ac:dyDescent="0.25">
      <c r="B3132"/>
      <c r="K3132"/>
    </row>
    <row r="3133" spans="2:11" x14ac:dyDescent="0.25">
      <c r="B3133"/>
      <c r="K3133"/>
    </row>
    <row r="3134" spans="2:11" x14ac:dyDescent="0.25">
      <c r="B3134"/>
      <c r="K3134"/>
    </row>
    <row r="3135" spans="2:11" x14ac:dyDescent="0.25">
      <c r="B3135"/>
      <c r="K3135"/>
    </row>
    <row r="3136" spans="2:11" x14ac:dyDescent="0.25">
      <c r="B3136"/>
      <c r="K3136"/>
    </row>
    <row r="3137" spans="2:11" x14ac:dyDescent="0.25">
      <c r="B3137"/>
      <c r="K3137"/>
    </row>
    <row r="3138" spans="2:11" x14ac:dyDescent="0.25">
      <c r="B3138"/>
      <c r="K3138"/>
    </row>
    <row r="3139" spans="2:11" x14ac:dyDescent="0.25">
      <c r="B3139"/>
      <c r="K3139"/>
    </row>
    <row r="3140" spans="2:11" x14ac:dyDescent="0.25">
      <c r="B3140"/>
      <c r="K3140"/>
    </row>
    <row r="3141" spans="2:11" x14ac:dyDescent="0.25">
      <c r="B3141"/>
      <c r="K3141"/>
    </row>
    <row r="3142" spans="2:11" x14ac:dyDescent="0.25">
      <c r="B3142"/>
      <c r="K3142"/>
    </row>
    <row r="3143" spans="2:11" x14ac:dyDescent="0.25">
      <c r="B3143"/>
      <c r="K3143"/>
    </row>
    <row r="3144" spans="2:11" x14ac:dyDescent="0.25">
      <c r="B3144"/>
      <c r="K3144"/>
    </row>
    <row r="3145" spans="2:11" x14ac:dyDescent="0.25">
      <c r="B3145"/>
      <c r="K3145"/>
    </row>
    <row r="3146" spans="2:11" x14ac:dyDescent="0.25">
      <c r="B3146"/>
      <c r="K3146"/>
    </row>
    <row r="3147" spans="2:11" x14ac:dyDescent="0.25">
      <c r="B3147"/>
      <c r="K3147"/>
    </row>
    <row r="3148" spans="2:11" x14ac:dyDescent="0.25">
      <c r="B3148"/>
      <c r="K3148"/>
    </row>
    <row r="3149" spans="2:11" x14ac:dyDescent="0.25">
      <c r="B3149"/>
      <c r="K3149"/>
    </row>
    <row r="3150" spans="2:11" x14ac:dyDescent="0.25">
      <c r="B3150"/>
      <c r="K3150"/>
    </row>
    <row r="3151" spans="2:11" x14ac:dyDescent="0.25">
      <c r="B3151"/>
      <c r="K3151"/>
    </row>
    <row r="3152" spans="2:11" x14ac:dyDescent="0.25">
      <c r="B3152"/>
      <c r="K3152"/>
    </row>
    <row r="3153" spans="2:11" x14ac:dyDescent="0.25">
      <c r="B3153"/>
      <c r="K3153"/>
    </row>
    <row r="3154" spans="2:11" x14ac:dyDescent="0.25">
      <c r="B3154"/>
      <c r="K3154"/>
    </row>
    <row r="3155" spans="2:11" x14ac:dyDescent="0.25">
      <c r="B3155"/>
      <c r="K3155"/>
    </row>
    <row r="3156" spans="2:11" x14ac:dyDescent="0.25">
      <c r="B3156"/>
      <c r="K3156"/>
    </row>
    <row r="3157" spans="2:11" x14ac:dyDescent="0.25">
      <c r="B3157"/>
      <c r="K3157"/>
    </row>
    <row r="3158" spans="2:11" x14ac:dyDescent="0.25">
      <c r="B3158"/>
      <c r="K3158"/>
    </row>
    <row r="3159" spans="2:11" x14ac:dyDescent="0.25">
      <c r="B3159"/>
      <c r="K3159"/>
    </row>
    <row r="3160" spans="2:11" x14ac:dyDescent="0.25">
      <c r="B3160"/>
      <c r="K3160"/>
    </row>
    <row r="3161" spans="2:11" x14ac:dyDescent="0.25">
      <c r="B3161"/>
      <c r="K3161"/>
    </row>
    <row r="3162" spans="2:11" x14ac:dyDescent="0.25">
      <c r="B3162"/>
      <c r="K3162"/>
    </row>
    <row r="3163" spans="2:11" x14ac:dyDescent="0.25">
      <c r="B3163"/>
      <c r="K3163"/>
    </row>
    <row r="3164" spans="2:11" x14ac:dyDescent="0.25">
      <c r="B3164"/>
      <c r="K3164"/>
    </row>
    <row r="3165" spans="2:11" x14ac:dyDescent="0.25">
      <c r="B3165"/>
      <c r="K3165"/>
    </row>
    <row r="3166" spans="2:11" x14ac:dyDescent="0.25">
      <c r="B3166"/>
      <c r="K3166"/>
    </row>
    <row r="3167" spans="2:11" x14ac:dyDescent="0.25">
      <c r="B3167"/>
      <c r="K3167"/>
    </row>
    <row r="3168" spans="2:11" x14ac:dyDescent="0.25">
      <c r="B3168"/>
      <c r="K3168"/>
    </row>
    <row r="3169" spans="2:11" x14ac:dyDescent="0.25">
      <c r="B3169"/>
      <c r="K3169"/>
    </row>
    <row r="3170" spans="2:11" x14ac:dyDescent="0.25">
      <c r="B3170"/>
      <c r="K3170"/>
    </row>
    <row r="3171" spans="2:11" x14ac:dyDescent="0.25">
      <c r="B3171"/>
      <c r="K3171"/>
    </row>
    <row r="3172" spans="2:11" x14ac:dyDescent="0.25">
      <c r="B3172"/>
      <c r="K3172"/>
    </row>
    <row r="3173" spans="2:11" x14ac:dyDescent="0.25">
      <c r="B3173"/>
      <c r="K3173"/>
    </row>
    <row r="3174" spans="2:11" x14ac:dyDescent="0.25">
      <c r="B3174"/>
      <c r="K3174"/>
    </row>
    <row r="3175" spans="2:11" x14ac:dyDescent="0.25">
      <c r="B3175"/>
      <c r="K3175"/>
    </row>
    <row r="3176" spans="2:11" x14ac:dyDescent="0.25">
      <c r="B3176"/>
      <c r="K3176"/>
    </row>
    <row r="3177" spans="2:11" x14ac:dyDescent="0.25">
      <c r="B3177"/>
      <c r="K3177"/>
    </row>
    <row r="3178" spans="2:11" x14ac:dyDescent="0.25">
      <c r="B3178"/>
      <c r="K3178"/>
    </row>
    <row r="3179" spans="2:11" x14ac:dyDescent="0.25">
      <c r="B3179"/>
      <c r="K3179"/>
    </row>
    <row r="3180" spans="2:11" x14ac:dyDescent="0.25">
      <c r="B3180"/>
      <c r="K3180"/>
    </row>
    <row r="3181" spans="2:11" x14ac:dyDescent="0.25">
      <c r="B3181"/>
      <c r="K3181"/>
    </row>
    <row r="3182" spans="2:11" x14ac:dyDescent="0.25">
      <c r="B3182"/>
      <c r="K3182"/>
    </row>
    <row r="3183" spans="2:11" x14ac:dyDescent="0.25">
      <c r="B3183"/>
      <c r="K3183"/>
    </row>
    <row r="3184" spans="2:11" x14ac:dyDescent="0.25">
      <c r="B3184"/>
      <c r="K3184"/>
    </row>
    <row r="3185" spans="2:11" x14ac:dyDescent="0.25">
      <c r="B3185"/>
      <c r="K3185"/>
    </row>
    <row r="3186" spans="2:11" x14ac:dyDescent="0.25">
      <c r="B3186"/>
      <c r="K3186"/>
    </row>
    <row r="3187" spans="2:11" x14ac:dyDescent="0.25">
      <c r="B3187"/>
      <c r="K3187"/>
    </row>
    <row r="3188" spans="2:11" x14ac:dyDescent="0.25">
      <c r="B3188"/>
      <c r="K3188"/>
    </row>
    <row r="3189" spans="2:11" x14ac:dyDescent="0.25">
      <c r="B3189"/>
      <c r="K3189"/>
    </row>
    <row r="3190" spans="2:11" x14ac:dyDescent="0.25">
      <c r="B3190"/>
      <c r="K3190"/>
    </row>
    <row r="3191" spans="2:11" x14ac:dyDescent="0.25">
      <c r="B3191"/>
      <c r="K3191"/>
    </row>
    <row r="3192" spans="2:11" x14ac:dyDescent="0.25">
      <c r="B3192"/>
      <c r="K3192"/>
    </row>
    <row r="3193" spans="2:11" x14ac:dyDescent="0.25">
      <c r="B3193"/>
      <c r="K3193"/>
    </row>
    <row r="3194" spans="2:11" x14ac:dyDescent="0.25">
      <c r="B3194"/>
      <c r="K3194"/>
    </row>
    <row r="3195" spans="2:11" x14ac:dyDescent="0.25">
      <c r="B3195"/>
      <c r="K3195"/>
    </row>
    <row r="3196" spans="2:11" x14ac:dyDescent="0.25">
      <c r="B3196"/>
      <c r="K3196"/>
    </row>
    <row r="3197" spans="2:11" x14ac:dyDescent="0.25">
      <c r="B3197"/>
      <c r="K3197"/>
    </row>
    <row r="3198" spans="2:11" x14ac:dyDescent="0.25">
      <c r="B3198"/>
      <c r="K3198"/>
    </row>
    <row r="3199" spans="2:11" x14ac:dyDescent="0.25">
      <c r="B3199"/>
      <c r="K3199"/>
    </row>
    <row r="3200" spans="2:11" x14ac:dyDescent="0.25">
      <c r="B3200"/>
      <c r="K3200"/>
    </row>
    <row r="3201" spans="2:11" x14ac:dyDescent="0.25">
      <c r="B3201"/>
      <c r="K3201"/>
    </row>
    <row r="3202" spans="2:11" x14ac:dyDescent="0.25">
      <c r="B3202"/>
      <c r="K3202"/>
    </row>
    <row r="3203" spans="2:11" x14ac:dyDescent="0.25">
      <c r="B3203"/>
      <c r="K3203"/>
    </row>
    <row r="3204" spans="2:11" x14ac:dyDescent="0.25">
      <c r="B3204"/>
      <c r="K3204"/>
    </row>
    <row r="3205" spans="2:11" x14ac:dyDescent="0.25">
      <c r="B3205"/>
      <c r="K3205"/>
    </row>
    <row r="3206" spans="2:11" x14ac:dyDescent="0.25">
      <c r="B3206"/>
      <c r="K3206"/>
    </row>
    <row r="3207" spans="2:11" x14ac:dyDescent="0.25">
      <c r="B3207"/>
      <c r="K3207"/>
    </row>
    <row r="3208" spans="2:11" x14ac:dyDescent="0.25">
      <c r="B3208"/>
      <c r="K3208"/>
    </row>
    <row r="3209" spans="2:11" x14ac:dyDescent="0.25">
      <c r="B3209"/>
      <c r="K3209"/>
    </row>
    <row r="3210" spans="2:11" x14ac:dyDescent="0.25">
      <c r="B3210"/>
      <c r="K3210"/>
    </row>
    <row r="3211" spans="2:11" x14ac:dyDescent="0.25">
      <c r="B3211"/>
      <c r="K3211"/>
    </row>
    <row r="3212" spans="2:11" x14ac:dyDescent="0.25">
      <c r="B3212"/>
      <c r="K3212"/>
    </row>
    <row r="3213" spans="2:11" x14ac:dyDescent="0.25">
      <c r="B3213"/>
      <c r="K3213"/>
    </row>
    <row r="3214" spans="2:11" x14ac:dyDescent="0.25">
      <c r="B3214"/>
      <c r="K3214"/>
    </row>
    <row r="3215" spans="2:11" x14ac:dyDescent="0.25">
      <c r="B3215"/>
      <c r="K3215"/>
    </row>
    <row r="3216" spans="2:11" x14ac:dyDescent="0.25">
      <c r="B3216"/>
      <c r="K3216"/>
    </row>
    <row r="3217" spans="2:11" x14ac:dyDescent="0.25">
      <c r="B3217"/>
      <c r="K3217"/>
    </row>
    <row r="3218" spans="2:11" x14ac:dyDescent="0.25">
      <c r="B3218"/>
      <c r="K3218"/>
    </row>
    <row r="3219" spans="2:11" x14ac:dyDescent="0.25">
      <c r="B3219"/>
      <c r="K3219"/>
    </row>
    <row r="3220" spans="2:11" x14ac:dyDescent="0.25">
      <c r="B3220"/>
      <c r="K3220"/>
    </row>
    <row r="3221" spans="2:11" x14ac:dyDescent="0.25">
      <c r="B3221"/>
      <c r="K3221"/>
    </row>
    <row r="3222" spans="2:11" x14ac:dyDescent="0.25">
      <c r="B3222"/>
      <c r="K3222"/>
    </row>
    <row r="3223" spans="2:11" x14ac:dyDescent="0.25">
      <c r="B3223"/>
      <c r="K3223"/>
    </row>
    <row r="3224" spans="2:11" x14ac:dyDescent="0.25">
      <c r="B3224"/>
      <c r="K3224"/>
    </row>
    <row r="3225" spans="2:11" x14ac:dyDescent="0.25">
      <c r="B3225"/>
      <c r="K3225"/>
    </row>
    <row r="3226" spans="2:11" x14ac:dyDescent="0.25">
      <c r="B3226"/>
      <c r="K3226"/>
    </row>
    <row r="3227" spans="2:11" x14ac:dyDescent="0.25">
      <c r="B3227"/>
      <c r="K3227"/>
    </row>
    <row r="3228" spans="2:11" x14ac:dyDescent="0.25">
      <c r="B3228"/>
      <c r="K3228"/>
    </row>
    <row r="3229" spans="2:11" x14ac:dyDescent="0.25">
      <c r="B3229"/>
      <c r="K3229"/>
    </row>
    <row r="3230" spans="2:11" x14ac:dyDescent="0.25">
      <c r="B3230"/>
      <c r="K3230"/>
    </row>
    <row r="3231" spans="2:11" x14ac:dyDescent="0.25">
      <c r="B3231"/>
      <c r="K3231"/>
    </row>
    <row r="3232" spans="2:11" x14ac:dyDescent="0.25">
      <c r="B3232"/>
      <c r="K3232"/>
    </row>
    <row r="3233" spans="2:11" x14ac:dyDescent="0.25">
      <c r="B3233"/>
      <c r="K3233"/>
    </row>
    <row r="3234" spans="2:11" x14ac:dyDescent="0.25">
      <c r="B3234"/>
      <c r="K3234"/>
    </row>
    <row r="3235" spans="2:11" x14ac:dyDescent="0.25">
      <c r="B3235"/>
      <c r="K3235"/>
    </row>
    <row r="3236" spans="2:11" x14ac:dyDescent="0.25">
      <c r="B3236"/>
      <c r="K3236"/>
    </row>
    <row r="3237" spans="2:11" x14ac:dyDescent="0.25">
      <c r="B3237"/>
      <c r="K3237"/>
    </row>
    <row r="3238" spans="2:11" x14ac:dyDescent="0.25">
      <c r="B3238"/>
      <c r="K3238"/>
    </row>
    <row r="3239" spans="2:11" x14ac:dyDescent="0.25">
      <c r="B3239"/>
      <c r="K3239"/>
    </row>
    <row r="3240" spans="2:11" x14ac:dyDescent="0.25">
      <c r="B3240"/>
      <c r="K3240"/>
    </row>
    <row r="3241" spans="2:11" x14ac:dyDescent="0.25">
      <c r="B3241"/>
      <c r="K3241"/>
    </row>
    <row r="3242" spans="2:11" x14ac:dyDescent="0.25">
      <c r="B3242"/>
      <c r="K3242"/>
    </row>
    <row r="3243" spans="2:11" x14ac:dyDescent="0.25">
      <c r="B3243"/>
      <c r="K3243"/>
    </row>
    <row r="3244" spans="2:11" x14ac:dyDescent="0.25">
      <c r="B3244"/>
      <c r="K3244"/>
    </row>
    <row r="3245" spans="2:11" x14ac:dyDescent="0.25">
      <c r="B3245"/>
      <c r="K3245"/>
    </row>
    <row r="3246" spans="2:11" x14ac:dyDescent="0.25">
      <c r="B3246"/>
      <c r="K3246"/>
    </row>
    <row r="3247" spans="2:11" x14ac:dyDescent="0.25">
      <c r="B3247"/>
      <c r="K3247"/>
    </row>
    <row r="3248" spans="2:11" x14ac:dyDescent="0.25">
      <c r="B3248"/>
      <c r="K3248"/>
    </row>
    <row r="3249" spans="2:11" x14ac:dyDescent="0.25">
      <c r="B3249"/>
      <c r="K3249"/>
    </row>
    <row r="3250" spans="2:11" x14ac:dyDescent="0.25">
      <c r="B3250"/>
      <c r="K3250"/>
    </row>
    <row r="3251" spans="2:11" x14ac:dyDescent="0.25">
      <c r="B3251"/>
      <c r="K3251"/>
    </row>
    <row r="3252" spans="2:11" x14ac:dyDescent="0.25">
      <c r="B3252"/>
      <c r="K3252"/>
    </row>
    <row r="3253" spans="2:11" x14ac:dyDescent="0.25">
      <c r="B3253"/>
      <c r="K3253"/>
    </row>
    <row r="3254" spans="2:11" x14ac:dyDescent="0.25">
      <c r="B3254"/>
      <c r="K3254"/>
    </row>
    <row r="3255" spans="2:11" x14ac:dyDescent="0.25">
      <c r="B3255"/>
      <c r="K3255"/>
    </row>
    <row r="3256" spans="2:11" x14ac:dyDescent="0.25">
      <c r="B3256"/>
      <c r="K3256"/>
    </row>
    <row r="3257" spans="2:11" x14ac:dyDescent="0.25">
      <c r="B3257"/>
      <c r="K3257"/>
    </row>
    <row r="3258" spans="2:11" x14ac:dyDescent="0.25">
      <c r="B3258"/>
      <c r="K3258"/>
    </row>
    <row r="3259" spans="2:11" x14ac:dyDescent="0.25">
      <c r="B3259"/>
      <c r="K3259"/>
    </row>
    <row r="3260" spans="2:11" x14ac:dyDescent="0.25">
      <c r="B3260"/>
      <c r="K3260"/>
    </row>
    <row r="3261" spans="2:11" x14ac:dyDescent="0.25">
      <c r="B3261"/>
      <c r="K3261"/>
    </row>
    <row r="3262" spans="2:11" x14ac:dyDescent="0.25">
      <c r="B3262"/>
      <c r="K3262"/>
    </row>
    <row r="3263" spans="2:11" x14ac:dyDescent="0.25">
      <c r="B3263"/>
      <c r="K3263"/>
    </row>
    <row r="3264" spans="2:11" x14ac:dyDescent="0.25">
      <c r="B3264"/>
      <c r="K3264"/>
    </row>
    <row r="3265" spans="2:11" x14ac:dyDescent="0.25">
      <c r="B3265"/>
      <c r="K3265"/>
    </row>
    <row r="3266" spans="2:11" x14ac:dyDescent="0.25">
      <c r="B3266"/>
      <c r="K3266"/>
    </row>
    <row r="3267" spans="2:11" x14ac:dyDescent="0.25">
      <c r="B3267"/>
      <c r="K3267"/>
    </row>
    <row r="3268" spans="2:11" x14ac:dyDescent="0.25">
      <c r="B3268"/>
      <c r="K3268"/>
    </row>
    <row r="3269" spans="2:11" x14ac:dyDescent="0.25">
      <c r="B3269"/>
      <c r="K3269"/>
    </row>
    <row r="3270" spans="2:11" x14ac:dyDescent="0.25">
      <c r="B3270"/>
      <c r="K3270"/>
    </row>
    <row r="3271" spans="2:11" x14ac:dyDescent="0.25">
      <c r="B3271"/>
      <c r="K3271"/>
    </row>
    <row r="3272" spans="2:11" x14ac:dyDescent="0.25">
      <c r="B3272"/>
      <c r="K3272"/>
    </row>
    <row r="3273" spans="2:11" x14ac:dyDescent="0.25">
      <c r="B3273"/>
      <c r="K3273"/>
    </row>
    <row r="3274" spans="2:11" x14ac:dyDescent="0.25">
      <c r="B3274"/>
      <c r="K3274"/>
    </row>
    <row r="3275" spans="2:11" x14ac:dyDescent="0.25">
      <c r="B3275"/>
      <c r="K3275"/>
    </row>
    <row r="3276" spans="2:11" x14ac:dyDescent="0.25">
      <c r="B3276"/>
      <c r="K3276"/>
    </row>
    <row r="3277" spans="2:11" x14ac:dyDescent="0.25">
      <c r="B3277"/>
      <c r="K3277"/>
    </row>
    <row r="3278" spans="2:11" x14ac:dyDescent="0.25">
      <c r="B3278"/>
      <c r="K3278"/>
    </row>
    <row r="3279" spans="2:11" x14ac:dyDescent="0.25">
      <c r="B3279"/>
      <c r="K3279"/>
    </row>
    <row r="3280" spans="2:11" x14ac:dyDescent="0.25">
      <c r="B3280"/>
      <c r="K3280"/>
    </row>
    <row r="3281" spans="2:11" x14ac:dyDescent="0.25">
      <c r="B3281"/>
      <c r="K3281"/>
    </row>
    <row r="3282" spans="2:11" x14ac:dyDescent="0.25">
      <c r="B3282"/>
      <c r="K3282"/>
    </row>
    <row r="3283" spans="2:11" x14ac:dyDescent="0.25">
      <c r="B3283"/>
      <c r="K3283"/>
    </row>
    <row r="3284" spans="2:11" x14ac:dyDescent="0.25">
      <c r="B3284"/>
      <c r="K3284"/>
    </row>
    <row r="3285" spans="2:11" x14ac:dyDescent="0.25">
      <c r="B3285"/>
      <c r="K3285"/>
    </row>
    <row r="3286" spans="2:11" x14ac:dyDescent="0.25">
      <c r="B3286"/>
      <c r="K3286"/>
    </row>
    <row r="3287" spans="2:11" x14ac:dyDescent="0.25">
      <c r="B3287"/>
      <c r="K3287"/>
    </row>
    <row r="3288" spans="2:11" x14ac:dyDescent="0.25">
      <c r="B3288"/>
      <c r="K3288"/>
    </row>
    <row r="3289" spans="2:11" x14ac:dyDescent="0.25">
      <c r="B3289"/>
      <c r="K3289"/>
    </row>
    <row r="3290" spans="2:11" x14ac:dyDescent="0.25">
      <c r="B3290"/>
      <c r="K3290"/>
    </row>
    <row r="3291" spans="2:11" x14ac:dyDescent="0.25">
      <c r="B3291"/>
      <c r="K3291"/>
    </row>
    <row r="3292" spans="2:11" x14ac:dyDescent="0.25">
      <c r="B3292"/>
      <c r="K3292"/>
    </row>
    <row r="3293" spans="2:11" x14ac:dyDescent="0.25">
      <c r="B3293"/>
      <c r="K3293"/>
    </row>
    <row r="3294" spans="2:11" x14ac:dyDescent="0.25">
      <c r="B3294"/>
      <c r="K3294"/>
    </row>
    <row r="3295" spans="2:11" x14ac:dyDescent="0.25">
      <c r="B3295"/>
      <c r="K3295"/>
    </row>
    <row r="3296" spans="2:11" x14ac:dyDescent="0.25">
      <c r="B3296"/>
      <c r="K3296"/>
    </row>
    <row r="3297" spans="2:11" x14ac:dyDescent="0.25">
      <c r="B3297"/>
      <c r="K3297"/>
    </row>
    <row r="3298" spans="2:11" x14ac:dyDescent="0.25">
      <c r="B3298"/>
      <c r="K3298"/>
    </row>
    <row r="3299" spans="2:11" x14ac:dyDescent="0.25">
      <c r="B3299"/>
      <c r="K3299"/>
    </row>
    <row r="3300" spans="2:11" x14ac:dyDescent="0.25">
      <c r="B3300"/>
      <c r="K3300"/>
    </row>
    <row r="3301" spans="2:11" x14ac:dyDescent="0.25">
      <c r="B3301"/>
      <c r="K3301"/>
    </row>
    <row r="3302" spans="2:11" x14ac:dyDescent="0.25">
      <c r="B3302"/>
      <c r="K3302"/>
    </row>
    <row r="3303" spans="2:11" x14ac:dyDescent="0.25">
      <c r="B3303"/>
      <c r="K3303"/>
    </row>
    <row r="3304" spans="2:11" x14ac:dyDescent="0.25">
      <c r="B3304"/>
      <c r="K3304"/>
    </row>
    <row r="3305" spans="2:11" x14ac:dyDescent="0.25">
      <c r="B3305"/>
      <c r="K3305"/>
    </row>
    <row r="3306" spans="2:11" x14ac:dyDescent="0.25">
      <c r="B3306"/>
      <c r="K3306"/>
    </row>
    <row r="3307" spans="2:11" x14ac:dyDescent="0.25">
      <c r="B3307"/>
      <c r="K3307"/>
    </row>
    <row r="3308" spans="2:11" x14ac:dyDescent="0.25">
      <c r="B3308"/>
      <c r="K3308"/>
    </row>
    <row r="3309" spans="2:11" x14ac:dyDescent="0.25">
      <c r="B3309"/>
      <c r="K3309"/>
    </row>
    <row r="3310" spans="2:11" x14ac:dyDescent="0.25">
      <c r="B3310"/>
      <c r="K3310"/>
    </row>
    <row r="3311" spans="2:11" x14ac:dyDescent="0.25">
      <c r="B3311"/>
      <c r="K3311"/>
    </row>
    <row r="3312" spans="2:11" x14ac:dyDescent="0.25">
      <c r="B3312"/>
      <c r="K3312"/>
    </row>
    <row r="3313" spans="2:11" x14ac:dyDescent="0.25">
      <c r="B3313"/>
      <c r="K3313"/>
    </row>
    <row r="3314" spans="2:11" x14ac:dyDescent="0.25">
      <c r="B3314"/>
      <c r="K3314"/>
    </row>
    <row r="3315" spans="2:11" x14ac:dyDescent="0.25">
      <c r="B3315"/>
      <c r="K3315"/>
    </row>
    <row r="3316" spans="2:11" x14ac:dyDescent="0.25">
      <c r="B3316"/>
      <c r="K3316"/>
    </row>
    <row r="3317" spans="2:11" x14ac:dyDescent="0.25">
      <c r="B3317"/>
      <c r="K3317"/>
    </row>
    <row r="3318" spans="2:11" x14ac:dyDescent="0.25">
      <c r="B3318"/>
      <c r="K3318"/>
    </row>
    <row r="3319" spans="2:11" x14ac:dyDescent="0.25">
      <c r="B3319"/>
      <c r="K3319"/>
    </row>
    <row r="3320" spans="2:11" x14ac:dyDescent="0.25">
      <c r="B3320"/>
      <c r="K3320"/>
    </row>
    <row r="3321" spans="2:11" x14ac:dyDescent="0.25">
      <c r="B3321"/>
      <c r="K3321"/>
    </row>
    <row r="3322" spans="2:11" x14ac:dyDescent="0.25">
      <c r="B3322"/>
      <c r="K3322"/>
    </row>
    <row r="3323" spans="2:11" x14ac:dyDescent="0.25">
      <c r="B3323"/>
      <c r="K3323"/>
    </row>
    <row r="3324" spans="2:11" x14ac:dyDescent="0.25">
      <c r="B3324"/>
      <c r="K3324"/>
    </row>
    <row r="3325" spans="2:11" x14ac:dyDescent="0.25">
      <c r="B3325"/>
      <c r="K3325"/>
    </row>
    <row r="3326" spans="2:11" x14ac:dyDescent="0.25">
      <c r="B3326"/>
      <c r="K3326"/>
    </row>
    <row r="3327" spans="2:11" x14ac:dyDescent="0.25">
      <c r="B3327"/>
      <c r="K3327"/>
    </row>
    <row r="3328" spans="2:11" x14ac:dyDescent="0.25">
      <c r="B3328"/>
      <c r="K3328"/>
    </row>
    <row r="3329" spans="2:11" x14ac:dyDescent="0.25">
      <c r="B3329"/>
      <c r="K3329"/>
    </row>
    <row r="3330" spans="2:11" x14ac:dyDescent="0.25">
      <c r="B3330"/>
      <c r="K3330"/>
    </row>
    <row r="3331" spans="2:11" x14ac:dyDescent="0.25">
      <c r="B3331"/>
      <c r="K3331"/>
    </row>
    <row r="3332" spans="2:11" x14ac:dyDescent="0.25">
      <c r="B3332"/>
      <c r="K3332"/>
    </row>
    <row r="3333" spans="2:11" x14ac:dyDescent="0.25">
      <c r="B3333"/>
      <c r="K3333"/>
    </row>
    <row r="3334" spans="2:11" x14ac:dyDescent="0.25">
      <c r="B3334"/>
      <c r="K3334"/>
    </row>
    <row r="3335" spans="2:11" x14ac:dyDescent="0.25">
      <c r="B3335"/>
      <c r="K3335"/>
    </row>
    <row r="3336" spans="2:11" x14ac:dyDescent="0.25">
      <c r="B3336"/>
      <c r="K3336"/>
    </row>
    <row r="3337" spans="2:11" x14ac:dyDescent="0.25">
      <c r="B3337"/>
      <c r="K3337"/>
    </row>
    <row r="3338" spans="2:11" x14ac:dyDescent="0.25">
      <c r="B3338"/>
      <c r="K3338"/>
    </row>
    <row r="3339" spans="2:11" x14ac:dyDescent="0.25">
      <c r="B3339"/>
      <c r="K3339"/>
    </row>
    <row r="3340" spans="2:11" x14ac:dyDescent="0.25">
      <c r="B3340"/>
      <c r="K3340"/>
    </row>
    <row r="3341" spans="2:11" x14ac:dyDescent="0.25">
      <c r="B3341"/>
      <c r="K3341"/>
    </row>
    <row r="3342" spans="2:11" x14ac:dyDescent="0.25">
      <c r="B3342"/>
      <c r="K3342"/>
    </row>
    <row r="3343" spans="2:11" x14ac:dyDescent="0.25">
      <c r="B3343"/>
      <c r="K3343"/>
    </row>
    <row r="3344" spans="2:11" x14ac:dyDescent="0.25">
      <c r="B3344"/>
      <c r="K3344"/>
    </row>
    <row r="3345" spans="2:11" x14ac:dyDescent="0.25">
      <c r="B3345"/>
      <c r="K3345"/>
    </row>
    <row r="3346" spans="2:11" x14ac:dyDescent="0.25">
      <c r="B3346"/>
      <c r="K3346"/>
    </row>
    <row r="3347" spans="2:11" x14ac:dyDescent="0.25">
      <c r="B3347"/>
      <c r="K3347"/>
    </row>
    <row r="3348" spans="2:11" x14ac:dyDescent="0.25">
      <c r="B3348"/>
      <c r="K3348"/>
    </row>
    <row r="3349" spans="2:11" x14ac:dyDescent="0.25">
      <c r="B3349"/>
      <c r="K3349"/>
    </row>
    <row r="3350" spans="2:11" x14ac:dyDescent="0.25">
      <c r="B3350"/>
      <c r="K3350"/>
    </row>
    <row r="3351" spans="2:11" x14ac:dyDescent="0.25">
      <c r="B3351"/>
      <c r="K3351"/>
    </row>
    <row r="3352" spans="2:11" x14ac:dyDescent="0.25">
      <c r="B3352"/>
      <c r="K3352"/>
    </row>
    <row r="3353" spans="2:11" x14ac:dyDescent="0.25">
      <c r="B3353"/>
      <c r="K3353"/>
    </row>
    <row r="3354" spans="2:11" x14ac:dyDescent="0.25">
      <c r="B3354"/>
      <c r="K3354"/>
    </row>
    <row r="3355" spans="2:11" x14ac:dyDescent="0.25">
      <c r="B3355"/>
      <c r="K3355"/>
    </row>
    <row r="3356" spans="2:11" x14ac:dyDescent="0.25">
      <c r="B3356"/>
      <c r="K3356"/>
    </row>
    <row r="3357" spans="2:11" x14ac:dyDescent="0.25">
      <c r="B3357"/>
      <c r="K3357"/>
    </row>
    <row r="3358" spans="2:11" x14ac:dyDescent="0.25">
      <c r="B3358"/>
      <c r="K3358"/>
    </row>
    <row r="3359" spans="2:11" x14ac:dyDescent="0.25">
      <c r="B3359"/>
      <c r="K3359"/>
    </row>
    <row r="3360" spans="2:11" x14ac:dyDescent="0.25">
      <c r="B3360"/>
      <c r="K3360"/>
    </row>
    <row r="3361" spans="2:11" x14ac:dyDescent="0.25">
      <c r="B3361"/>
      <c r="K3361"/>
    </row>
    <row r="3362" spans="2:11" x14ac:dyDescent="0.25">
      <c r="B3362"/>
      <c r="K3362"/>
    </row>
    <row r="3363" spans="2:11" x14ac:dyDescent="0.25">
      <c r="B3363"/>
      <c r="K3363"/>
    </row>
    <row r="3364" spans="2:11" x14ac:dyDescent="0.25">
      <c r="B3364"/>
      <c r="K3364"/>
    </row>
    <row r="3365" spans="2:11" x14ac:dyDescent="0.25">
      <c r="B3365"/>
      <c r="K3365"/>
    </row>
    <row r="3366" spans="2:11" x14ac:dyDescent="0.25">
      <c r="B3366"/>
      <c r="K3366"/>
    </row>
    <row r="3367" spans="2:11" x14ac:dyDescent="0.25">
      <c r="B3367"/>
      <c r="K3367"/>
    </row>
    <row r="3368" spans="2:11" x14ac:dyDescent="0.25">
      <c r="B3368"/>
      <c r="K3368"/>
    </row>
    <row r="3369" spans="2:11" x14ac:dyDescent="0.25">
      <c r="B3369"/>
      <c r="K3369"/>
    </row>
    <row r="3370" spans="2:11" x14ac:dyDescent="0.25">
      <c r="B3370"/>
      <c r="K3370"/>
    </row>
    <row r="3371" spans="2:11" x14ac:dyDescent="0.25">
      <c r="B3371"/>
      <c r="K3371"/>
    </row>
    <row r="3372" spans="2:11" x14ac:dyDescent="0.25">
      <c r="B3372"/>
      <c r="K3372"/>
    </row>
    <row r="3373" spans="2:11" x14ac:dyDescent="0.25">
      <c r="B3373"/>
      <c r="K3373"/>
    </row>
    <row r="3374" spans="2:11" x14ac:dyDescent="0.25">
      <c r="B3374"/>
      <c r="K3374"/>
    </row>
    <row r="3375" spans="2:11" x14ac:dyDescent="0.25">
      <c r="B3375"/>
      <c r="K3375"/>
    </row>
    <row r="3376" spans="2:11" x14ac:dyDescent="0.25">
      <c r="B3376"/>
      <c r="K3376"/>
    </row>
    <row r="3377" spans="2:11" x14ac:dyDescent="0.25">
      <c r="B3377"/>
      <c r="K3377"/>
    </row>
    <row r="3378" spans="2:11" x14ac:dyDescent="0.25">
      <c r="B3378"/>
      <c r="K3378"/>
    </row>
    <row r="3379" spans="2:11" x14ac:dyDescent="0.25">
      <c r="B3379"/>
      <c r="K3379"/>
    </row>
    <row r="3380" spans="2:11" x14ac:dyDescent="0.25">
      <c r="B3380"/>
      <c r="K3380"/>
    </row>
    <row r="3381" spans="2:11" x14ac:dyDescent="0.25">
      <c r="B3381"/>
      <c r="K3381"/>
    </row>
    <row r="3382" spans="2:11" x14ac:dyDescent="0.25">
      <c r="B3382"/>
      <c r="K3382"/>
    </row>
    <row r="3383" spans="2:11" x14ac:dyDescent="0.25">
      <c r="B3383"/>
      <c r="K3383"/>
    </row>
    <row r="3384" spans="2:11" x14ac:dyDescent="0.25">
      <c r="B3384"/>
      <c r="K3384"/>
    </row>
    <row r="3385" spans="2:11" x14ac:dyDescent="0.25">
      <c r="B3385"/>
      <c r="K3385"/>
    </row>
    <row r="3386" spans="2:11" x14ac:dyDescent="0.25">
      <c r="B3386"/>
      <c r="K3386"/>
    </row>
    <row r="3387" spans="2:11" x14ac:dyDescent="0.25">
      <c r="B3387"/>
      <c r="K3387"/>
    </row>
    <row r="3388" spans="2:11" x14ac:dyDescent="0.25">
      <c r="B3388"/>
      <c r="K3388"/>
    </row>
    <row r="3389" spans="2:11" x14ac:dyDescent="0.25">
      <c r="B3389"/>
      <c r="K3389"/>
    </row>
    <row r="3390" spans="2:11" x14ac:dyDescent="0.25">
      <c r="B3390"/>
      <c r="K3390"/>
    </row>
    <row r="3391" spans="2:11" x14ac:dyDescent="0.25">
      <c r="B3391"/>
      <c r="K3391"/>
    </row>
    <row r="3392" spans="2:11" x14ac:dyDescent="0.25">
      <c r="B3392"/>
      <c r="K3392"/>
    </row>
    <row r="3393" spans="2:11" x14ac:dyDescent="0.25">
      <c r="B3393"/>
      <c r="K3393"/>
    </row>
    <row r="3394" spans="2:11" x14ac:dyDescent="0.25">
      <c r="B3394"/>
      <c r="K3394"/>
    </row>
    <row r="3395" spans="2:11" x14ac:dyDescent="0.25">
      <c r="B3395"/>
      <c r="K3395"/>
    </row>
    <row r="3396" spans="2:11" x14ac:dyDescent="0.25">
      <c r="B3396"/>
      <c r="K3396"/>
    </row>
    <row r="3397" spans="2:11" x14ac:dyDescent="0.25">
      <c r="B3397"/>
      <c r="K3397"/>
    </row>
    <row r="3398" spans="2:11" x14ac:dyDescent="0.25">
      <c r="B3398"/>
      <c r="K3398"/>
    </row>
    <row r="3399" spans="2:11" x14ac:dyDescent="0.25">
      <c r="B3399"/>
      <c r="K3399"/>
    </row>
    <row r="3400" spans="2:11" x14ac:dyDescent="0.25">
      <c r="B3400"/>
      <c r="K3400"/>
    </row>
    <row r="3401" spans="2:11" x14ac:dyDescent="0.25">
      <c r="B3401"/>
      <c r="K3401"/>
    </row>
    <row r="3402" spans="2:11" x14ac:dyDescent="0.25">
      <c r="B3402"/>
      <c r="K3402"/>
    </row>
    <row r="3403" spans="2:11" x14ac:dyDescent="0.25">
      <c r="B3403"/>
      <c r="K3403"/>
    </row>
    <row r="3404" spans="2:11" x14ac:dyDescent="0.25">
      <c r="B3404"/>
      <c r="K3404"/>
    </row>
    <row r="3405" spans="2:11" x14ac:dyDescent="0.25">
      <c r="B3405"/>
      <c r="K3405"/>
    </row>
    <row r="3406" spans="2:11" x14ac:dyDescent="0.25">
      <c r="B3406"/>
      <c r="K3406"/>
    </row>
    <row r="3407" spans="2:11" x14ac:dyDescent="0.25">
      <c r="B3407"/>
      <c r="K3407"/>
    </row>
    <row r="3408" spans="2:11" x14ac:dyDescent="0.25">
      <c r="B3408"/>
      <c r="K3408"/>
    </row>
    <row r="3409" spans="2:11" x14ac:dyDescent="0.25">
      <c r="B3409"/>
      <c r="K3409"/>
    </row>
    <row r="3410" spans="2:11" x14ac:dyDescent="0.25">
      <c r="B3410"/>
      <c r="K3410"/>
    </row>
    <row r="3411" spans="2:11" x14ac:dyDescent="0.25">
      <c r="B3411"/>
      <c r="K3411"/>
    </row>
    <row r="3412" spans="2:11" x14ac:dyDescent="0.25">
      <c r="B3412"/>
      <c r="K3412"/>
    </row>
    <row r="3413" spans="2:11" x14ac:dyDescent="0.25">
      <c r="B3413"/>
      <c r="K3413"/>
    </row>
    <row r="3414" spans="2:11" x14ac:dyDescent="0.25">
      <c r="B3414"/>
      <c r="K3414"/>
    </row>
    <row r="3415" spans="2:11" x14ac:dyDescent="0.25">
      <c r="B3415"/>
      <c r="K3415"/>
    </row>
    <row r="3416" spans="2:11" x14ac:dyDescent="0.25">
      <c r="B3416"/>
      <c r="K3416"/>
    </row>
    <row r="3417" spans="2:11" x14ac:dyDescent="0.25">
      <c r="B3417"/>
      <c r="K3417"/>
    </row>
    <row r="3418" spans="2:11" x14ac:dyDescent="0.25">
      <c r="B3418"/>
      <c r="K3418"/>
    </row>
    <row r="3419" spans="2:11" x14ac:dyDescent="0.25">
      <c r="B3419"/>
      <c r="K3419"/>
    </row>
    <row r="3420" spans="2:11" x14ac:dyDescent="0.25">
      <c r="B3420"/>
      <c r="K3420"/>
    </row>
    <row r="3421" spans="2:11" x14ac:dyDescent="0.25">
      <c r="B3421"/>
      <c r="K3421"/>
    </row>
    <row r="3422" spans="2:11" x14ac:dyDescent="0.25">
      <c r="B3422"/>
      <c r="K3422"/>
    </row>
    <row r="3423" spans="2:11" x14ac:dyDescent="0.25">
      <c r="B3423"/>
      <c r="K3423"/>
    </row>
    <row r="3424" spans="2:11" x14ac:dyDescent="0.25">
      <c r="B3424"/>
      <c r="K3424"/>
    </row>
    <row r="3425" spans="2:11" x14ac:dyDescent="0.25">
      <c r="B3425"/>
      <c r="K3425"/>
    </row>
    <row r="3426" spans="2:11" x14ac:dyDescent="0.25">
      <c r="B3426"/>
      <c r="K3426"/>
    </row>
    <row r="3427" spans="2:11" x14ac:dyDescent="0.25">
      <c r="B3427"/>
      <c r="K3427"/>
    </row>
    <row r="3428" spans="2:11" x14ac:dyDescent="0.25">
      <c r="B3428"/>
      <c r="K3428"/>
    </row>
    <row r="3429" spans="2:11" x14ac:dyDescent="0.25">
      <c r="B3429"/>
      <c r="K3429"/>
    </row>
    <row r="3430" spans="2:11" x14ac:dyDescent="0.25">
      <c r="B3430"/>
      <c r="K3430"/>
    </row>
    <row r="3431" spans="2:11" x14ac:dyDescent="0.25">
      <c r="B3431"/>
      <c r="K3431"/>
    </row>
    <row r="3432" spans="2:11" x14ac:dyDescent="0.25">
      <c r="B3432"/>
      <c r="K3432"/>
    </row>
    <row r="3433" spans="2:11" x14ac:dyDescent="0.25">
      <c r="B3433"/>
      <c r="K3433"/>
    </row>
    <row r="3434" spans="2:11" x14ac:dyDescent="0.25">
      <c r="B3434"/>
      <c r="K3434"/>
    </row>
    <row r="3435" spans="2:11" x14ac:dyDescent="0.25">
      <c r="B3435"/>
      <c r="K3435"/>
    </row>
    <row r="3436" spans="2:11" x14ac:dyDescent="0.25">
      <c r="B3436"/>
      <c r="K3436"/>
    </row>
    <row r="3437" spans="2:11" x14ac:dyDescent="0.25">
      <c r="B3437"/>
      <c r="K3437"/>
    </row>
    <row r="3438" spans="2:11" x14ac:dyDescent="0.25">
      <c r="B3438"/>
      <c r="K3438"/>
    </row>
    <row r="3439" spans="2:11" x14ac:dyDescent="0.25">
      <c r="B3439"/>
      <c r="K3439"/>
    </row>
    <row r="3440" spans="2:11" x14ac:dyDescent="0.25">
      <c r="B3440"/>
      <c r="K3440"/>
    </row>
    <row r="3441" spans="2:11" x14ac:dyDescent="0.25">
      <c r="B3441"/>
      <c r="K3441"/>
    </row>
    <row r="3442" spans="2:11" x14ac:dyDescent="0.25">
      <c r="B3442"/>
      <c r="K3442"/>
    </row>
    <row r="3443" spans="2:11" x14ac:dyDescent="0.25">
      <c r="B3443"/>
      <c r="K3443"/>
    </row>
    <row r="3444" spans="2:11" x14ac:dyDescent="0.25">
      <c r="B3444"/>
      <c r="K3444"/>
    </row>
    <row r="3445" spans="2:11" x14ac:dyDescent="0.25">
      <c r="B3445"/>
      <c r="K3445"/>
    </row>
    <row r="3446" spans="2:11" x14ac:dyDescent="0.25">
      <c r="B3446"/>
      <c r="K3446"/>
    </row>
    <row r="3447" spans="2:11" x14ac:dyDescent="0.25">
      <c r="B3447"/>
      <c r="K3447"/>
    </row>
    <row r="3448" spans="2:11" x14ac:dyDescent="0.25">
      <c r="B3448"/>
      <c r="K3448"/>
    </row>
    <row r="3449" spans="2:11" x14ac:dyDescent="0.25">
      <c r="B3449"/>
      <c r="K3449"/>
    </row>
    <row r="3450" spans="2:11" x14ac:dyDescent="0.25">
      <c r="B3450"/>
      <c r="K3450"/>
    </row>
    <row r="3451" spans="2:11" x14ac:dyDescent="0.25">
      <c r="B3451"/>
      <c r="K3451"/>
    </row>
    <row r="3452" spans="2:11" x14ac:dyDescent="0.25">
      <c r="B3452"/>
      <c r="K3452"/>
    </row>
    <row r="3453" spans="2:11" x14ac:dyDescent="0.25">
      <c r="B3453"/>
      <c r="K3453"/>
    </row>
    <row r="3454" spans="2:11" x14ac:dyDescent="0.25">
      <c r="B3454"/>
      <c r="K3454"/>
    </row>
    <row r="3455" spans="2:11" x14ac:dyDescent="0.25">
      <c r="B3455"/>
      <c r="K3455"/>
    </row>
    <row r="3456" spans="2:11" x14ac:dyDescent="0.25">
      <c r="B3456"/>
      <c r="K3456"/>
    </row>
    <row r="3457" spans="2:11" x14ac:dyDescent="0.25">
      <c r="B3457"/>
      <c r="K3457"/>
    </row>
    <row r="3458" spans="2:11" x14ac:dyDescent="0.25">
      <c r="B3458"/>
      <c r="K3458"/>
    </row>
    <row r="3459" spans="2:11" x14ac:dyDescent="0.25">
      <c r="B3459"/>
      <c r="K3459"/>
    </row>
    <row r="3460" spans="2:11" x14ac:dyDescent="0.25">
      <c r="B3460"/>
      <c r="K3460"/>
    </row>
    <row r="3461" spans="2:11" x14ac:dyDescent="0.25">
      <c r="B3461"/>
      <c r="K3461"/>
    </row>
    <row r="3462" spans="2:11" x14ac:dyDescent="0.25">
      <c r="B3462"/>
      <c r="K3462"/>
    </row>
    <row r="3463" spans="2:11" x14ac:dyDescent="0.25">
      <c r="B3463"/>
      <c r="K3463"/>
    </row>
    <row r="3464" spans="2:11" x14ac:dyDescent="0.25">
      <c r="B3464"/>
      <c r="K3464"/>
    </row>
    <row r="3465" spans="2:11" x14ac:dyDescent="0.25">
      <c r="B3465"/>
      <c r="K3465"/>
    </row>
    <row r="3466" spans="2:11" x14ac:dyDescent="0.25">
      <c r="B3466"/>
      <c r="K3466"/>
    </row>
    <row r="3467" spans="2:11" x14ac:dyDescent="0.25">
      <c r="B3467"/>
      <c r="K3467"/>
    </row>
    <row r="3468" spans="2:11" x14ac:dyDescent="0.25">
      <c r="B3468"/>
      <c r="K3468"/>
    </row>
    <row r="3469" spans="2:11" x14ac:dyDescent="0.25">
      <c r="B3469"/>
      <c r="K3469"/>
    </row>
    <row r="3470" spans="2:11" x14ac:dyDescent="0.25">
      <c r="B3470"/>
      <c r="K3470"/>
    </row>
    <row r="3471" spans="2:11" x14ac:dyDescent="0.25">
      <c r="B3471"/>
      <c r="K3471"/>
    </row>
    <row r="3472" spans="2:11" x14ac:dyDescent="0.25">
      <c r="B3472"/>
      <c r="K3472"/>
    </row>
    <row r="3473" spans="2:11" x14ac:dyDescent="0.25">
      <c r="B3473"/>
      <c r="K3473"/>
    </row>
    <row r="3474" spans="2:11" x14ac:dyDescent="0.25">
      <c r="B3474"/>
      <c r="K3474"/>
    </row>
    <row r="3475" spans="2:11" x14ac:dyDescent="0.25">
      <c r="B3475"/>
      <c r="K3475"/>
    </row>
    <row r="3476" spans="2:11" x14ac:dyDescent="0.25">
      <c r="B3476"/>
      <c r="K3476"/>
    </row>
    <row r="3477" spans="2:11" x14ac:dyDescent="0.25">
      <c r="B3477"/>
      <c r="K3477"/>
    </row>
    <row r="3478" spans="2:11" x14ac:dyDescent="0.25">
      <c r="B3478"/>
      <c r="K3478"/>
    </row>
    <row r="3479" spans="2:11" x14ac:dyDescent="0.25">
      <c r="B3479"/>
      <c r="K3479"/>
    </row>
    <row r="3480" spans="2:11" x14ac:dyDescent="0.25">
      <c r="B3480"/>
      <c r="K3480"/>
    </row>
    <row r="3481" spans="2:11" x14ac:dyDescent="0.25">
      <c r="B3481"/>
      <c r="K3481"/>
    </row>
    <row r="3482" spans="2:11" x14ac:dyDescent="0.25">
      <c r="B3482"/>
      <c r="K3482"/>
    </row>
    <row r="3483" spans="2:11" x14ac:dyDescent="0.25">
      <c r="B3483"/>
      <c r="K3483"/>
    </row>
    <row r="3484" spans="2:11" x14ac:dyDescent="0.25">
      <c r="B3484"/>
      <c r="K3484"/>
    </row>
    <row r="3485" spans="2:11" x14ac:dyDescent="0.25">
      <c r="B3485"/>
      <c r="K3485"/>
    </row>
    <row r="3486" spans="2:11" x14ac:dyDescent="0.25">
      <c r="B3486"/>
      <c r="K3486"/>
    </row>
    <row r="3487" spans="2:11" x14ac:dyDescent="0.25">
      <c r="B3487"/>
      <c r="K3487"/>
    </row>
    <row r="3488" spans="2:11" x14ac:dyDescent="0.25">
      <c r="B3488"/>
      <c r="K3488"/>
    </row>
    <row r="3489" spans="2:11" x14ac:dyDescent="0.25">
      <c r="B3489"/>
      <c r="K3489"/>
    </row>
    <row r="3490" spans="2:11" x14ac:dyDescent="0.25">
      <c r="B3490"/>
      <c r="K3490"/>
    </row>
    <row r="3491" spans="2:11" x14ac:dyDescent="0.25">
      <c r="B3491"/>
      <c r="K3491"/>
    </row>
    <row r="3492" spans="2:11" x14ac:dyDescent="0.25">
      <c r="B3492"/>
      <c r="K3492"/>
    </row>
    <row r="3493" spans="2:11" x14ac:dyDescent="0.25">
      <c r="B3493"/>
      <c r="K3493"/>
    </row>
    <row r="3494" spans="2:11" x14ac:dyDescent="0.25">
      <c r="B3494"/>
      <c r="K3494"/>
    </row>
    <row r="3495" spans="2:11" x14ac:dyDescent="0.25">
      <c r="B3495"/>
      <c r="K3495"/>
    </row>
    <row r="3496" spans="2:11" x14ac:dyDescent="0.25">
      <c r="B3496"/>
      <c r="K3496"/>
    </row>
    <row r="3497" spans="2:11" x14ac:dyDescent="0.25">
      <c r="B3497"/>
      <c r="K3497"/>
    </row>
    <row r="3498" spans="2:11" x14ac:dyDescent="0.25">
      <c r="B3498"/>
      <c r="K3498"/>
    </row>
    <row r="3499" spans="2:11" x14ac:dyDescent="0.25">
      <c r="B3499"/>
      <c r="K3499"/>
    </row>
    <row r="3500" spans="2:11" x14ac:dyDescent="0.25">
      <c r="B3500"/>
      <c r="K3500"/>
    </row>
    <row r="3501" spans="2:11" x14ac:dyDescent="0.25">
      <c r="B3501"/>
      <c r="K3501"/>
    </row>
    <row r="3502" spans="2:11" x14ac:dyDescent="0.25">
      <c r="B3502"/>
      <c r="K3502"/>
    </row>
    <row r="3503" spans="2:11" x14ac:dyDescent="0.25">
      <c r="B3503"/>
      <c r="K3503"/>
    </row>
    <row r="3504" spans="2:11" x14ac:dyDescent="0.25">
      <c r="B3504"/>
      <c r="K3504"/>
    </row>
    <row r="3505" spans="2:11" x14ac:dyDescent="0.25">
      <c r="B3505"/>
      <c r="K3505"/>
    </row>
    <row r="3506" spans="2:11" x14ac:dyDescent="0.25">
      <c r="B3506"/>
      <c r="K3506"/>
    </row>
    <row r="3507" spans="2:11" x14ac:dyDescent="0.25">
      <c r="B3507"/>
      <c r="K3507"/>
    </row>
    <row r="3508" spans="2:11" x14ac:dyDescent="0.25">
      <c r="B3508"/>
      <c r="K3508"/>
    </row>
    <row r="3509" spans="2:11" x14ac:dyDescent="0.25">
      <c r="B3509"/>
      <c r="K3509"/>
    </row>
    <row r="3510" spans="2:11" x14ac:dyDescent="0.25">
      <c r="B3510"/>
      <c r="K3510"/>
    </row>
    <row r="3511" spans="2:11" x14ac:dyDescent="0.25">
      <c r="B3511"/>
      <c r="K3511"/>
    </row>
    <row r="3512" spans="2:11" x14ac:dyDescent="0.25">
      <c r="B3512"/>
      <c r="K3512"/>
    </row>
    <row r="3513" spans="2:11" x14ac:dyDescent="0.25">
      <c r="B3513"/>
      <c r="K3513"/>
    </row>
    <row r="3514" spans="2:11" x14ac:dyDescent="0.25">
      <c r="B3514"/>
      <c r="K3514"/>
    </row>
    <row r="3515" spans="2:11" x14ac:dyDescent="0.25">
      <c r="B3515"/>
      <c r="K3515"/>
    </row>
    <row r="3516" spans="2:11" x14ac:dyDescent="0.25">
      <c r="B3516"/>
      <c r="K3516"/>
    </row>
    <row r="3517" spans="2:11" x14ac:dyDescent="0.25">
      <c r="B3517"/>
      <c r="K3517"/>
    </row>
    <row r="3518" spans="2:11" x14ac:dyDescent="0.25">
      <c r="B3518"/>
      <c r="K3518"/>
    </row>
    <row r="3519" spans="2:11" x14ac:dyDescent="0.25">
      <c r="B3519"/>
      <c r="K3519"/>
    </row>
    <row r="3520" spans="2:11" x14ac:dyDescent="0.25">
      <c r="B3520"/>
      <c r="K3520"/>
    </row>
    <row r="3521" spans="2:11" x14ac:dyDescent="0.25">
      <c r="B3521"/>
      <c r="K3521"/>
    </row>
    <row r="3522" spans="2:11" x14ac:dyDescent="0.25">
      <c r="B3522"/>
      <c r="K3522"/>
    </row>
    <row r="3523" spans="2:11" x14ac:dyDescent="0.25">
      <c r="B3523"/>
      <c r="K3523"/>
    </row>
    <row r="3524" spans="2:11" x14ac:dyDescent="0.25">
      <c r="B3524"/>
      <c r="K3524"/>
    </row>
    <row r="3525" spans="2:11" x14ac:dyDescent="0.25">
      <c r="B3525"/>
      <c r="K3525"/>
    </row>
    <row r="3526" spans="2:11" x14ac:dyDescent="0.25">
      <c r="B3526"/>
      <c r="K3526"/>
    </row>
    <row r="3527" spans="2:11" x14ac:dyDescent="0.25">
      <c r="B3527"/>
      <c r="K3527"/>
    </row>
    <row r="3528" spans="2:11" x14ac:dyDescent="0.25">
      <c r="B3528"/>
      <c r="K3528"/>
    </row>
    <row r="3529" spans="2:11" x14ac:dyDescent="0.25">
      <c r="B3529"/>
      <c r="K3529"/>
    </row>
    <row r="3530" spans="2:11" x14ac:dyDescent="0.25">
      <c r="B3530"/>
      <c r="K3530"/>
    </row>
    <row r="3531" spans="2:11" x14ac:dyDescent="0.25">
      <c r="B3531"/>
      <c r="K3531"/>
    </row>
    <row r="3532" spans="2:11" x14ac:dyDescent="0.25">
      <c r="B3532"/>
      <c r="K3532"/>
    </row>
    <row r="3533" spans="2:11" x14ac:dyDescent="0.25">
      <c r="B3533"/>
      <c r="K3533"/>
    </row>
    <row r="3534" spans="2:11" x14ac:dyDescent="0.25">
      <c r="B3534"/>
      <c r="K3534"/>
    </row>
    <row r="3535" spans="2:11" x14ac:dyDescent="0.25">
      <c r="B3535"/>
      <c r="K3535"/>
    </row>
    <row r="3536" spans="2:11" x14ac:dyDescent="0.25">
      <c r="B3536"/>
      <c r="K3536"/>
    </row>
    <row r="3537" spans="2:11" x14ac:dyDescent="0.25">
      <c r="B3537"/>
      <c r="K3537"/>
    </row>
    <row r="3538" spans="2:11" x14ac:dyDescent="0.25">
      <c r="B3538"/>
      <c r="K3538"/>
    </row>
    <row r="3539" spans="2:11" x14ac:dyDescent="0.25">
      <c r="B3539"/>
      <c r="K3539"/>
    </row>
    <row r="3540" spans="2:11" x14ac:dyDescent="0.25">
      <c r="B3540"/>
      <c r="K3540"/>
    </row>
    <row r="3541" spans="2:11" x14ac:dyDescent="0.25">
      <c r="B3541"/>
      <c r="K3541"/>
    </row>
    <row r="3542" spans="2:11" x14ac:dyDescent="0.25">
      <c r="B3542"/>
      <c r="K3542"/>
    </row>
    <row r="3543" spans="2:11" x14ac:dyDescent="0.25">
      <c r="B3543"/>
      <c r="K3543"/>
    </row>
    <row r="3544" spans="2:11" x14ac:dyDescent="0.25">
      <c r="B3544"/>
      <c r="K3544"/>
    </row>
    <row r="3545" spans="2:11" x14ac:dyDescent="0.25">
      <c r="B3545"/>
      <c r="K3545"/>
    </row>
    <row r="3546" spans="2:11" x14ac:dyDescent="0.25">
      <c r="B3546"/>
      <c r="K3546"/>
    </row>
    <row r="3547" spans="2:11" x14ac:dyDescent="0.25">
      <c r="B3547"/>
      <c r="K3547"/>
    </row>
    <row r="3548" spans="2:11" x14ac:dyDescent="0.25">
      <c r="B3548"/>
      <c r="K3548"/>
    </row>
    <row r="3549" spans="2:11" x14ac:dyDescent="0.25">
      <c r="B3549"/>
      <c r="K3549"/>
    </row>
    <row r="3550" spans="2:11" x14ac:dyDescent="0.25">
      <c r="B3550"/>
      <c r="K3550"/>
    </row>
    <row r="3551" spans="2:11" x14ac:dyDescent="0.25">
      <c r="B3551"/>
      <c r="K3551"/>
    </row>
    <row r="3552" spans="2:11" x14ac:dyDescent="0.25">
      <c r="B3552"/>
      <c r="K3552"/>
    </row>
    <row r="3553" spans="2:11" x14ac:dyDescent="0.25">
      <c r="B3553"/>
      <c r="K3553"/>
    </row>
    <row r="3554" spans="2:11" x14ac:dyDescent="0.25">
      <c r="B3554"/>
      <c r="K3554"/>
    </row>
    <row r="3555" spans="2:11" x14ac:dyDescent="0.25">
      <c r="B3555"/>
      <c r="K3555"/>
    </row>
    <row r="3556" spans="2:11" x14ac:dyDescent="0.25">
      <c r="B3556"/>
      <c r="K3556"/>
    </row>
    <row r="3557" spans="2:11" x14ac:dyDescent="0.25">
      <c r="B3557"/>
      <c r="K3557"/>
    </row>
    <row r="3558" spans="2:11" x14ac:dyDescent="0.25">
      <c r="B3558"/>
      <c r="K3558"/>
    </row>
    <row r="3559" spans="2:11" x14ac:dyDescent="0.25">
      <c r="B3559"/>
      <c r="K3559"/>
    </row>
    <row r="3560" spans="2:11" x14ac:dyDescent="0.25">
      <c r="B3560"/>
      <c r="K3560"/>
    </row>
    <row r="3561" spans="2:11" x14ac:dyDescent="0.25">
      <c r="B3561"/>
      <c r="K3561"/>
    </row>
    <row r="3562" spans="2:11" x14ac:dyDescent="0.25">
      <c r="B3562"/>
      <c r="K3562"/>
    </row>
    <row r="3563" spans="2:11" x14ac:dyDescent="0.25">
      <c r="B3563"/>
      <c r="K3563"/>
    </row>
    <row r="3564" spans="2:11" x14ac:dyDescent="0.25">
      <c r="B3564"/>
      <c r="K3564"/>
    </row>
    <row r="3565" spans="2:11" x14ac:dyDescent="0.25">
      <c r="B3565"/>
      <c r="K3565"/>
    </row>
    <row r="3566" spans="2:11" x14ac:dyDescent="0.25">
      <c r="B3566"/>
      <c r="K3566"/>
    </row>
    <row r="3567" spans="2:11" x14ac:dyDescent="0.25">
      <c r="B3567"/>
      <c r="K3567"/>
    </row>
    <row r="3568" spans="2:11" x14ac:dyDescent="0.25">
      <c r="B3568"/>
      <c r="K3568"/>
    </row>
    <row r="3569" spans="2:11" x14ac:dyDescent="0.25">
      <c r="B3569"/>
      <c r="K3569"/>
    </row>
    <row r="3570" spans="2:11" x14ac:dyDescent="0.25">
      <c r="B3570"/>
      <c r="K3570"/>
    </row>
    <row r="3571" spans="2:11" x14ac:dyDescent="0.25">
      <c r="B3571"/>
      <c r="K3571"/>
    </row>
    <row r="3572" spans="2:11" x14ac:dyDescent="0.25">
      <c r="B3572"/>
      <c r="K3572"/>
    </row>
    <row r="3573" spans="2:11" x14ac:dyDescent="0.25">
      <c r="B3573"/>
      <c r="K3573"/>
    </row>
    <row r="3574" spans="2:11" x14ac:dyDescent="0.25">
      <c r="B3574"/>
      <c r="K3574"/>
    </row>
    <row r="3575" spans="2:11" x14ac:dyDescent="0.25">
      <c r="B3575"/>
      <c r="K3575"/>
    </row>
    <row r="3576" spans="2:11" x14ac:dyDescent="0.25">
      <c r="B3576"/>
      <c r="K3576"/>
    </row>
    <row r="3577" spans="2:11" x14ac:dyDescent="0.25">
      <c r="B3577"/>
      <c r="K3577"/>
    </row>
    <row r="3578" spans="2:11" x14ac:dyDescent="0.25">
      <c r="B3578"/>
      <c r="K3578"/>
    </row>
    <row r="3579" spans="2:11" x14ac:dyDescent="0.25">
      <c r="B3579"/>
      <c r="K3579"/>
    </row>
    <row r="3580" spans="2:11" x14ac:dyDescent="0.25">
      <c r="B3580"/>
      <c r="K3580"/>
    </row>
    <row r="3581" spans="2:11" x14ac:dyDescent="0.25">
      <c r="B3581"/>
      <c r="K3581"/>
    </row>
    <row r="3582" spans="2:11" x14ac:dyDescent="0.25">
      <c r="B3582"/>
      <c r="K3582"/>
    </row>
    <row r="3583" spans="2:11" x14ac:dyDescent="0.25">
      <c r="B3583"/>
      <c r="K3583"/>
    </row>
    <row r="3584" spans="2:11" x14ac:dyDescent="0.25">
      <c r="B3584"/>
      <c r="K3584"/>
    </row>
    <row r="3585" spans="2:11" x14ac:dyDescent="0.25">
      <c r="B3585"/>
      <c r="K3585"/>
    </row>
    <row r="3586" spans="2:11" x14ac:dyDescent="0.25">
      <c r="B3586"/>
      <c r="K3586"/>
    </row>
    <row r="3587" spans="2:11" x14ac:dyDescent="0.25">
      <c r="B3587"/>
      <c r="K3587"/>
    </row>
    <row r="3588" spans="2:11" x14ac:dyDescent="0.25">
      <c r="B3588"/>
      <c r="K3588"/>
    </row>
    <row r="3589" spans="2:11" x14ac:dyDescent="0.25">
      <c r="B3589"/>
      <c r="K3589"/>
    </row>
    <row r="3590" spans="2:11" x14ac:dyDescent="0.25">
      <c r="B3590"/>
      <c r="K3590"/>
    </row>
    <row r="3591" spans="2:11" x14ac:dyDescent="0.25">
      <c r="B3591"/>
      <c r="K3591"/>
    </row>
    <row r="3592" spans="2:11" x14ac:dyDescent="0.25">
      <c r="B3592"/>
      <c r="K3592"/>
    </row>
    <row r="3593" spans="2:11" x14ac:dyDescent="0.25">
      <c r="B3593"/>
      <c r="K3593"/>
    </row>
    <row r="3594" spans="2:11" x14ac:dyDescent="0.25">
      <c r="B3594"/>
      <c r="K3594"/>
    </row>
    <row r="3595" spans="2:11" x14ac:dyDescent="0.25">
      <c r="B3595"/>
      <c r="K3595"/>
    </row>
    <row r="3596" spans="2:11" x14ac:dyDescent="0.25">
      <c r="B3596"/>
      <c r="K3596"/>
    </row>
    <row r="3597" spans="2:11" x14ac:dyDescent="0.25">
      <c r="B3597"/>
      <c r="K3597"/>
    </row>
    <row r="3598" spans="2:11" x14ac:dyDescent="0.25">
      <c r="B3598"/>
      <c r="K3598"/>
    </row>
    <row r="3599" spans="2:11" x14ac:dyDescent="0.25">
      <c r="B3599"/>
      <c r="K3599"/>
    </row>
    <row r="3600" spans="2:11" x14ac:dyDescent="0.25">
      <c r="B3600"/>
      <c r="K3600"/>
    </row>
    <row r="3601" spans="2:11" x14ac:dyDescent="0.25">
      <c r="B3601"/>
      <c r="K3601"/>
    </row>
    <row r="3602" spans="2:11" x14ac:dyDescent="0.25">
      <c r="B3602"/>
      <c r="K3602"/>
    </row>
    <row r="3603" spans="2:11" x14ac:dyDescent="0.25">
      <c r="B3603"/>
      <c r="K3603"/>
    </row>
    <row r="3604" spans="2:11" x14ac:dyDescent="0.25">
      <c r="B3604"/>
      <c r="K3604"/>
    </row>
    <row r="3605" spans="2:11" x14ac:dyDescent="0.25">
      <c r="B3605"/>
      <c r="K3605"/>
    </row>
    <row r="3606" spans="2:11" x14ac:dyDescent="0.25">
      <c r="B3606"/>
      <c r="K3606"/>
    </row>
    <row r="3607" spans="2:11" x14ac:dyDescent="0.25">
      <c r="B3607"/>
      <c r="K3607"/>
    </row>
    <row r="3608" spans="2:11" x14ac:dyDescent="0.25">
      <c r="B3608"/>
      <c r="K3608"/>
    </row>
    <row r="3609" spans="2:11" x14ac:dyDescent="0.25">
      <c r="B3609"/>
      <c r="K3609"/>
    </row>
    <row r="3610" spans="2:11" x14ac:dyDescent="0.25">
      <c r="B3610"/>
      <c r="K3610"/>
    </row>
    <row r="3611" spans="2:11" x14ac:dyDescent="0.25">
      <c r="B3611"/>
      <c r="K3611"/>
    </row>
    <row r="3612" spans="2:11" x14ac:dyDescent="0.25">
      <c r="B3612"/>
      <c r="K3612"/>
    </row>
    <row r="3613" spans="2:11" x14ac:dyDescent="0.25">
      <c r="B3613"/>
      <c r="K3613"/>
    </row>
    <row r="3614" spans="2:11" x14ac:dyDescent="0.25">
      <c r="B3614"/>
      <c r="K3614"/>
    </row>
    <row r="3615" spans="2:11" x14ac:dyDescent="0.25">
      <c r="B3615"/>
      <c r="K3615"/>
    </row>
    <row r="3616" spans="2:11" x14ac:dyDescent="0.25">
      <c r="B3616"/>
      <c r="K3616"/>
    </row>
    <row r="3617" spans="2:11" x14ac:dyDescent="0.25">
      <c r="B3617"/>
      <c r="K3617"/>
    </row>
    <row r="3618" spans="2:11" x14ac:dyDescent="0.25">
      <c r="B3618"/>
      <c r="K3618"/>
    </row>
    <row r="3619" spans="2:11" x14ac:dyDescent="0.25">
      <c r="B3619"/>
      <c r="K3619"/>
    </row>
    <row r="3620" spans="2:11" x14ac:dyDescent="0.25">
      <c r="B3620"/>
      <c r="K3620"/>
    </row>
    <row r="3621" spans="2:11" x14ac:dyDescent="0.25">
      <c r="B3621"/>
      <c r="K3621"/>
    </row>
    <row r="3622" spans="2:11" x14ac:dyDescent="0.25">
      <c r="B3622"/>
      <c r="K3622"/>
    </row>
    <row r="3623" spans="2:11" x14ac:dyDescent="0.25">
      <c r="B3623"/>
      <c r="K3623"/>
    </row>
    <row r="3624" spans="2:11" x14ac:dyDescent="0.25">
      <c r="B3624"/>
      <c r="K3624"/>
    </row>
    <row r="3625" spans="2:11" x14ac:dyDescent="0.25">
      <c r="B3625"/>
      <c r="K3625"/>
    </row>
    <row r="3626" spans="2:11" x14ac:dyDescent="0.25">
      <c r="B3626"/>
      <c r="K3626"/>
    </row>
    <row r="3627" spans="2:11" x14ac:dyDescent="0.25">
      <c r="B3627"/>
      <c r="K3627"/>
    </row>
    <row r="3628" spans="2:11" x14ac:dyDescent="0.25">
      <c r="B3628"/>
      <c r="K3628"/>
    </row>
    <row r="3629" spans="2:11" x14ac:dyDescent="0.25">
      <c r="B3629"/>
      <c r="K3629"/>
    </row>
    <row r="3630" spans="2:11" x14ac:dyDescent="0.25">
      <c r="B3630"/>
      <c r="K3630"/>
    </row>
    <row r="3631" spans="2:11" x14ac:dyDescent="0.25">
      <c r="B3631"/>
      <c r="K3631"/>
    </row>
    <row r="3632" spans="2:11" x14ac:dyDescent="0.25">
      <c r="B3632"/>
      <c r="K3632"/>
    </row>
    <row r="3633" spans="2:11" x14ac:dyDescent="0.25">
      <c r="B3633"/>
      <c r="K3633"/>
    </row>
    <row r="3634" spans="2:11" x14ac:dyDescent="0.25">
      <c r="B3634"/>
      <c r="K3634"/>
    </row>
    <row r="3635" spans="2:11" x14ac:dyDescent="0.25">
      <c r="B3635"/>
      <c r="K3635"/>
    </row>
    <row r="3636" spans="2:11" x14ac:dyDescent="0.25">
      <c r="B3636"/>
      <c r="K3636"/>
    </row>
    <row r="3637" spans="2:11" x14ac:dyDescent="0.25">
      <c r="B3637"/>
      <c r="K3637"/>
    </row>
    <row r="3638" spans="2:11" x14ac:dyDescent="0.25">
      <c r="B3638"/>
      <c r="K3638"/>
    </row>
    <row r="3639" spans="2:11" x14ac:dyDescent="0.25">
      <c r="B3639"/>
      <c r="K3639"/>
    </row>
    <row r="3640" spans="2:11" x14ac:dyDescent="0.25">
      <c r="B3640"/>
      <c r="K3640"/>
    </row>
    <row r="3641" spans="2:11" x14ac:dyDescent="0.25">
      <c r="B3641"/>
      <c r="K3641"/>
    </row>
    <row r="3642" spans="2:11" x14ac:dyDescent="0.25">
      <c r="B3642"/>
      <c r="K3642"/>
    </row>
    <row r="3643" spans="2:11" x14ac:dyDescent="0.25">
      <c r="B3643"/>
      <c r="K3643"/>
    </row>
    <row r="3644" spans="2:11" x14ac:dyDescent="0.25">
      <c r="B3644"/>
      <c r="K3644"/>
    </row>
    <row r="3645" spans="2:11" x14ac:dyDescent="0.25">
      <c r="B3645"/>
      <c r="K3645"/>
    </row>
    <row r="3646" spans="2:11" x14ac:dyDescent="0.25">
      <c r="B3646"/>
      <c r="K3646"/>
    </row>
    <row r="3647" spans="2:11" x14ac:dyDescent="0.25">
      <c r="B3647"/>
      <c r="K3647"/>
    </row>
    <row r="3648" spans="2:11" x14ac:dyDescent="0.25">
      <c r="B3648"/>
      <c r="K3648"/>
    </row>
    <row r="3649" spans="2:11" x14ac:dyDescent="0.25">
      <c r="B3649"/>
      <c r="K3649"/>
    </row>
    <row r="3650" spans="2:11" x14ac:dyDescent="0.25">
      <c r="B3650"/>
      <c r="K3650"/>
    </row>
    <row r="3651" spans="2:11" x14ac:dyDescent="0.25">
      <c r="B3651"/>
      <c r="K3651"/>
    </row>
    <row r="3652" spans="2:11" x14ac:dyDescent="0.25">
      <c r="B3652"/>
      <c r="K3652"/>
    </row>
    <row r="3653" spans="2:11" x14ac:dyDescent="0.25">
      <c r="B3653"/>
      <c r="K3653"/>
    </row>
    <row r="3654" spans="2:11" x14ac:dyDescent="0.25">
      <c r="B3654"/>
      <c r="K3654"/>
    </row>
    <row r="3655" spans="2:11" x14ac:dyDescent="0.25">
      <c r="B3655"/>
      <c r="K3655"/>
    </row>
    <row r="3656" spans="2:11" x14ac:dyDescent="0.25">
      <c r="B3656"/>
      <c r="K3656"/>
    </row>
    <row r="3657" spans="2:11" x14ac:dyDescent="0.25">
      <c r="B3657"/>
      <c r="K3657"/>
    </row>
    <row r="3658" spans="2:11" x14ac:dyDescent="0.25">
      <c r="B3658"/>
      <c r="K3658"/>
    </row>
    <row r="3659" spans="2:11" x14ac:dyDescent="0.25">
      <c r="B3659"/>
      <c r="K3659"/>
    </row>
    <row r="3660" spans="2:11" x14ac:dyDescent="0.25">
      <c r="B3660"/>
      <c r="K3660"/>
    </row>
    <row r="3661" spans="2:11" x14ac:dyDescent="0.25">
      <c r="B3661"/>
      <c r="K3661"/>
    </row>
    <row r="3662" spans="2:11" x14ac:dyDescent="0.25">
      <c r="B3662"/>
      <c r="K3662"/>
    </row>
    <row r="3663" spans="2:11" x14ac:dyDescent="0.25">
      <c r="B3663"/>
      <c r="K3663"/>
    </row>
    <row r="3664" spans="2:11" x14ac:dyDescent="0.25">
      <c r="B3664"/>
      <c r="K3664"/>
    </row>
    <row r="3665" spans="2:11" x14ac:dyDescent="0.25">
      <c r="B3665"/>
      <c r="K3665"/>
    </row>
    <row r="3666" spans="2:11" x14ac:dyDescent="0.25">
      <c r="B3666"/>
      <c r="K3666"/>
    </row>
    <row r="3667" spans="2:11" x14ac:dyDescent="0.25">
      <c r="B3667"/>
      <c r="K3667"/>
    </row>
    <row r="3668" spans="2:11" x14ac:dyDescent="0.25">
      <c r="B3668"/>
      <c r="K3668"/>
    </row>
    <row r="3669" spans="2:11" x14ac:dyDescent="0.25">
      <c r="B3669"/>
      <c r="K3669"/>
    </row>
    <row r="3670" spans="2:11" x14ac:dyDescent="0.25">
      <c r="B3670"/>
      <c r="K3670"/>
    </row>
    <row r="3671" spans="2:11" x14ac:dyDescent="0.25">
      <c r="B3671"/>
      <c r="K3671"/>
    </row>
    <row r="3672" spans="2:11" x14ac:dyDescent="0.25">
      <c r="B3672"/>
      <c r="K3672"/>
    </row>
    <row r="3673" spans="2:11" x14ac:dyDescent="0.25">
      <c r="B3673"/>
      <c r="K3673"/>
    </row>
    <row r="3674" spans="2:11" x14ac:dyDescent="0.25">
      <c r="B3674"/>
      <c r="K3674"/>
    </row>
    <row r="3675" spans="2:11" x14ac:dyDescent="0.25">
      <c r="B3675"/>
      <c r="K3675"/>
    </row>
    <row r="3676" spans="2:11" x14ac:dyDescent="0.25">
      <c r="B3676"/>
      <c r="K3676"/>
    </row>
    <row r="3677" spans="2:11" x14ac:dyDescent="0.25">
      <c r="B3677"/>
      <c r="K3677"/>
    </row>
    <row r="3678" spans="2:11" x14ac:dyDescent="0.25">
      <c r="B3678"/>
      <c r="K3678"/>
    </row>
    <row r="3679" spans="2:11" x14ac:dyDescent="0.25">
      <c r="B3679"/>
      <c r="K3679"/>
    </row>
    <row r="3680" spans="2:11" x14ac:dyDescent="0.25">
      <c r="B3680"/>
      <c r="K3680"/>
    </row>
    <row r="3681" spans="2:11" x14ac:dyDescent="0.25">
      <c r="B3681"/>
      <c r="K3681"/>
    </row>
    <row r="3682" spans="2:11" x14ac:dyDescent="0.25">
      <c r="B3682"/>
      <c r="K3682"/>
    </row>
    <row r="3683" spans="2:11" x14ac:dyDescent="0.25">
      <c r="B3683"/>
      <c r="K3683"/>
    </row>
    <row r="3684" spans="2:11" x14ac:dyDescent="0.25">
      <c r="B3684"/>
      <c r="K3684"/>
    </row>
    <row r="3685" spans="2:11" x14ac:dyDescent="0.25">
      <c r="B3685"/>
      <c r="K3685"/>
    </row>
    <row r="3686" spans="2:11" x14ac:dyDescent="0.25">
      <c r="B3686"/>
      <c r="K3686"/>
    </row>
    <row r="3687" spans="2:11" x14ac:dyDescent="0.25">
      <c r="B3687"/>
      <c r="K3687"/>
    </row>
    <row r="3688" spans="2:11" x14ac:dyDescent="0.25">
      <c r="B3688"/>
      <c r="K3688"/>
    </row>
    <row r="3689" spans="2:11" x14ac:dyDescent="0.25">
      <c r="B3689"/>
      <c r="K3689"/>
    </row>
    <row r="3690" spans="2:11" x14ac:dyDescent="0.25">
      <c r="B3690"/>
      <c r="K3690"/>
    </row>
    <row r="3691" spans="2:11" x14ac:dyDescent="0.25">
      <c r="B3691"/>
      <c r="K3691"/>
    </row>
    <row r="3692" spans="2:11" x14ac:dyDescent="0.25">
      <c r="B3692"/>
      <c r="K3692"/>
    </row>
    <row r="3693" spans="2:11" x14ac:dyDescent="0.25">
      <c r="B3693"/>
      <c r="K3693"/>
    </row>
    <row r="3694" spans="2:11" x14ac:dyDescent="0.25">
      <c r="B3694"/>
      <c r="K3694"/>
    </row>
    <row r="3695" spans="2:11" x14ac:dyDescent="0.25">
      <c r="B3695"/>
      <c r="K3695"/>
    </row>
    <row r="3696" spans="2:11" x14ac:dyDescent="0.25">
      <c r="B3696"/>
      <c r="K3696"/>
    </row>
    <row r="3697" spans="2:11" x14ac:dyDescent="0.25">
      <c r="B3697"/>
      <c r="K3697"/>
    </row>
    <row r="3698" spans="2:11" x14ac:dyDescent="0.25">
      <c r="B3698"/>
      <c r="K3698"/>
    </row>
    <row r="3699" spans="2:11" x14ac:dyDescent="0.25">
      <c r="B3699"/>
      <c r="K3699"/>
    </row>
    <row r="3700" spans="2:11" x14ac:dyDescent="0.25">
      <c r="B3700"/>
      <c r="K3700"/>
    </row>
    <row r="3701" spans="2:11" x14ac:dyDescent="0.25">
      <c r="B3701"/>
      <c r="K3701"/>
    </row>
    <row r="3702" spans="2:11" x14ac:dyDescent="0.25">
      <c r="B3702"/>
      <c r="K3702"/>
    </row>
    <row r="3703" spans="2:11" x14ac:dyDescent="0.25">
      <c r="B3703"/>
      <c r="K3703"/>
    </row>
    <row r="3704" spans="2:11" x14ac:dyDescent="0.25">
      <c r="B3704"/>
      <c r="K3704"/>
    </row>
    <row r="3705" spans="2:11" x14ac:dyDescent="0.25">
      <c r="B3705"/>
      <c r="K3705"/>
    </row>
    <row r="3706" spans="2:11" x14ac:dyDescent="0.25">
      <c r="B3706"/>
      <c r="K3706"/>
    </row>
    <row r="3707" spans="2:11" x14ac:dyDescent="0.25">
      <c r="B3707"/>
      <c r="K3707"/>
    </row>
    <row r="3708" spans="2:11" x14ac:dyDescent="0.25">
      <c r="B3708"/>
      <c r="K3708"/>
    </row>
    <row r="3709" spans="2:11" x14ac:dyDescent="0.25">
      <c r="B3709"/>
      <c r="K3709"/>
    </row>
    <row r="3710" spans="2:11" x14ac:dyDescent="0.25">
      <c r="B3710"/>
      <c r="K3710"/>
    </row>
    <row r="3711" spans="2:11" x14ac:dyDescent="0.25">
      <c r="B3711"/>
      <c r="K3711"/>
    </row>
    <row r="3712" spans="2:11" x14ac:dyDescent="0.25">
      <c r="B3712"/>
      <c r="K3712"/>
    </row>
    <row r="3713" spans="2:11" x14ac:dyDescent="0.25">
      <c r="B3713"/>
      <c r="K3713"/>
    </row>
    <row r="3714" spans="2:11" x14ac:dyDescent="0.25">
      <c r="B3714"/>
      <c r="K3714"/>
    </row>
    <row r="3715" spans="2:11" x14ac:dyDescent="0.25">
      <c r="B3715"/>
      <c r="K3715"/>
    </row>
    <row r="3716" spans="2:11" x14ac:dyDescent="0.25">
      <c r="B3716"/>
      <c r="K3716"/>
    </row>
    <row r="3717" spans="2:11" x14ac:dyDescent="0.25">
      <c r="B3717"/>
      <c r="K3717"/>
    </row>
    <row r="3718" spans="2:11" x14ac:dyDescent="0.25">
      <c r="B3718"/>
      <c r="K3718"/>
    </row>
    <row r="3719" spans="2:11" x14ac:dyDescent="0.25">
      <c r="B3719"/>
      <c r="K3719"/>
    </row>
    <row r="3720" spans="2:11" x14ac:dyDescent="0.25">
      <c r="B3720"/>
      <c r="K3720"/>
    </row>
    <row r="3721" spans="2:11" x14ac:dyDescent="0.25">
      <c r="B3721"/>
      <c r="K3721"/>
    </row>
    <row r="3722" spans="2:11" x14ac:dyDescent="0.25">
      <c r="B3722"/>
      <c r="K3722"/>
    </row>
    <row r="3723" spans="2:11" x14ac:dyDescent="0.25">
      <c r="B3723"/>
      <c r="K3723"/>
    </row>
    <row r="3724" spans="2:11" x14ac:dyDescent="0.25">
      <c r="B3724"/>
      <c r="K3724"/>
    </row>
    <row r="3725" spans="2:11" x14ac:dyDescent="0.25">
      <c r="B3725"/>
      <c r="K3725"/>
    </row>
    <row r="3726" spans="2:11" x14ac:dyDescent="0.25">
      <c r="B3726"/>
      <c r="K3726"/>
    </row>
    <row r="3727" spans="2:11" x14ac:dyDescent="0.25">
      <c r="B3727"/>
      <c r="K3727"/>
    </row>
    <row r="3728" spans="2:11" x14ac:dyDescent="0.25">
      <c r="B3728"/>
      <c r="K3728"/>
    </row>
    <row r="3729" spans="2:11" x14ac:dyDescent="0.25">
      <c r="B3729"/>
      <c r="K3729"/>
    </row>
    <row r="3730" spans="2:11" x14ac:dyDescent="0.25">
      <c r="B3730"/>
      <c r="K3730"/>
    </row>
    <row r="3731" spans="2:11" x14ac:dyDescent="0.25">
      <c r="B3731"/>
      <c r="K3731"/>
    </row>
    <row r="3732" spans="2:11" x14ac:dyDescent="0.25">
      <c r="B3732"/>
      <c r="K3732"/>
    </row>
    <row r="3733" spans="2:11" x14ac:dyDescent="0.25">
      <c r="B3733"/>
      <c r="K3733"/>
    </row>
    <row r="3734" spans="2:11" x14ac:dyDescent="0.25">
      <c r="B3734"/>
      <c r="K3734"/>
    </row>
    <row r="3735" spans="2:11" x14ac:dyDescent="0.25">
      <c r="B3735"/>
      <c r="K3735"/>
    </row>
    <row r="3736" spans="2:11" x14ac:dyDescent="0.25">
      <c r="B3736"/>
      <c r="K3736"/>
    </row>
    <row r="3737" spans="2:11" x14ac:dyDescent="0.25">
      <c r="B3737"/>
      <c r="K3737"/>
    </row>
    <row r="3738" spans="2:11" x14ac:dyDescent="0.25">
      <c r="B3738"/>
      <c r="K3738"/>
    </row>
    <row r="3739" spans="2:11" x14ac:dyDescent="0.25">
      <c r="B3739"/>
      <c r="K3739"/>
    </row>
    <row r="3740" spans="2:11" x14ac:dyDescent="0.25">
      <c r="B3740"/>
      <c r="K3740"/>
    </row>
    <row r="3741" spans="2:11" x14ac:dyDescent="0.25">
      <c r="B3741"/>
      <c r="K3741"/>
    </row>
    <row r="3742" spans="2:11" x14ac:dyDescent="0.25">
      <c r="B3742"/>
      <c r="K3742"/>
    </row>
    <row r="3743" spans="2:11" x14ac:dyDescent="0.25">
      <c r="B3743"/>
      <c r="K3743"/>
    </row>
    <row r="3744" spans="2:11" x14ac:dyDescent="0.25">
      <c r="B3744"/>
      <c r="K3744"/>
    </row>
    <row r="3745" spans="2:11" x14ac:dyDescent="0.25">
      <c r="B3745"/>
      <c r="K3745"/>
    </row>
    <row r="3746" spans="2:11" x14ac:dyDescent="0.25">
      <c r="B3746"/>
      <c r="K3746"/>
    </row>
    <row r="3747" spans="2:11" x14ac:dyDescent="0.25">
      <c r="B3747"/>
      <c r="K3747"/>
    </row>
    <row r="3748" spans="2:11" x14ac:dyDescent="0.25">
      <c r="B3748"/>
      <c r="K3748"/>
    </row>
    <row r="3749" spans="2:11" x14ac:dyDescent="0.25">
      <c r="B3749"/>
      <c r="K3749"/>
    </row>
    <row r="3750" spans="2:11" x14ac:dyDescent="0.25">
      <c r="B3750"/>
      <c r="K3750"/>
    </row>
    <row r="3751" spans="2:11" x14ac:dyDescent="0.25">
      <c r="B3751"/>
      <c r="K3751"/>
    </row>
    <row r="3752" spans="2:11" x14ac:dyDescent="0.25">
      <c r="B3752"/>
      <c r="K3752"/>
    </row>
    <row r="3753" spans="2:11" x14ac:dyDescent="0.25">
      <c r="B3753"/>
      <c r="K3753"/>
    </row>
    <row r="3754" spans="2:11" x14ac:dyDescent="0.25">
      <c r="B3754"/>
      <c r="K3754"/>
    </row>
    <row r="3755" spans="2:11" x14ac:dyDescent="0.25">
      <c r="B3755"/>
      <c r="K3755"/>
    </row>
    <row r="3756" spans="2:11" x14ac:dyDescent="0.25">
      <c r="B3756"/>
      <c r="K3756"/>
    </row>
    <row r="3757" spans="2:11" x14ac:dyDescent="0.25">
      <c r="B3757"/>
      <c r="K3757"/>
    </row>
    <row r="3758" spans="2:11" x14ac:dyDescent="0.25">
      <c r="B3758"/>
      <c r="K3758"/>
    </row>
    <row r="3759" spans="2:11" x14ac:dyDescent="0.25">
      <c r="B3759"/>
      <c r="K3759"/>
    </row>
    <row r="3760" spans="2:11" x14ac:dyDescent="0.25">
      <c r="B3760"/>
      <c r="K3760"/>
    </row>
    <row r="3761" spans="2:11" x14ac:dyDescent="0.25">
      <c r="B3761"/>
      <c r="K3761"/>
    </row>
    <row r="3762" spans="2:11" x14ac:dyDescent="0.25">
      <c r="B3762"/>
      <c r="K3762"/>
    </row>
    <row r="3763" spans="2:11" x14ac:dyDescent="0.25">
      <c r="B3763"/>
      <c r="K3763"/>
    </row>
    <row r="3764" spans="2:11" x14ac:dyDescent="0.25">
      <c r="B3764"/>
      <c r="K3764"/>
    </row>
    <row r="3765" spans="2:11" x14ac:dyDescent="0.25">
      <c r="B3765"/>
      <c r="K3765"/>
    </row>
    <row r="3766" spans="2:11" x14ac:dyDescent="0.25">
      <c r="B3766"/>
      <c r="K3766"/>
    </row>
    <row r="3767" spans="2:11" x14ac:dyDescent="0.25">
      <c r="B3767"/>
      <c r="K3767"/>
    </row>
    <row r="3768" spans="2:11" x14ac:dyDescent="0.25">
      <c r="B3768"/>
      <c r="K3768"/>
    </row>
    <row r="3769" spans="2:11" x14ac:dyDescent="0.25">
      <c r="B3769"/>
      <c r="K3769"/>
    </row>
    <row r="3770" spans="2:11" x14ac:dyDescent="0.25">
      <c r="B3770"/>
      <c r="K3770"/>
    </row>
    <row r="3771" spans="2:11" x14ac:dyDescent="0.25">
      <c r="B3771"/>
      <c r="K3771"/>
    </row>
    <row r="3772" spans="2:11" x14ac:dyDescent="0.25">
      <c r="B3772"/>
      <c r="K3772"/>
    </row>
    <row r="3773" spans="2:11" x14ac:dyDescent="0.25">
      <c r="B3773"/>
      <c r="K3773"/>
    </row>
    <row r="3774" spans="2:11" x14ac:dyDescent="0.25">
      <c r="B3774"/>
      <c r="K3774"/>
    </row>
    <row r="3775" spans="2:11" x14ac:dyDescent="0.25">
      <c r="B3775"/>
      <c r="K3775"/>
    </row>
    <row r="3776" spans="2:11" x14ac:dyDescent="0.25">
      <c r="B3776"/>
      <c r="K3776"/>
    </row>
    <row r="3777" spans="2:11" x14ac:dyDescent="0.25">
      <c r="B3777"/>
      <c r="K3777"/>
    </row>
    <row r="3778" spans="2:11" x14ac:dyDescent="0.25">
      <c r="B3778"/>
      <c r="K3778"/>
    </row>
    <row r="3779" spans="2:11" x14ac:dyDescent="0.25">
      <c r="B3779"/>
      <c r="K3779"/>
    </row>
    <row r="3780" spans="2:11" x14ac:dyDescent="0.25">
      <c r="B3780"/>
      <c r="K3780"/>
    </row>
    <row r="3781" spans="2:11" x14ac:dyDescent="0.25">
      <c r="B3781"/>
      <c r="K3781"/>
    </row>
    <row r="3782" spans="2:11" x14ac:dyDescent="0.25">
      <c r="B3782"/>
      <c r="K3782"/>
    </row>
    <row r="3783" spans="2:11" x14ac:dyDescent="0.25">
      <c r="B3783"/>
      <c r="K3783"/>
    </row>
    <row r="3784" spans="2:11" x14ac:dyDescent="0.25">
      <c r="B3784"/>
      <c r="K3784"/>
    </row>
    <row r="3785" spans="2:11" x14ac:dyDescent="0.25">
      <c r="B3785"/>
      <c r="K3785"/>
    </row>
    <row r="3786" spans="2:11" x14ac:dyDescent="0.25">
      <c r="B3786"/>
      <c r="K3786"/>
    </row>
    <row r="3787" spans="2:11" x14ac:dyDescent="0.25">
      <c r="B3787"/>
      <c r="K3787"/>
    </row>
    <row r="3788" spans="2:11" x14ac:dyDescent="0.25">
      <c r="B3788"/>
      <c r="K3788"/>
    </row>
    <row r="3789" spans="2:11" x14ac:dyDescent="0.25">
      <c r="B3789"/>
      <c r="K3789"/>
    </row>
    <row r="3790" spans="2:11" x14ac:dyDescent="0.25">
      <c r="B3790"/>
      <c r="K3790"/>
    </row>
    <row r="3791" spans="2:11" x14ac:dyDescent="0.25">
      <c r="B3791"/>
      <c r="K3791"/>
    </row>
    <row r="3792" spans="2:11" x14ac:dyDescent="0.25">
      <c r="B3792"/>
      <c r="K3792"/>
    </row>
    <row r="3793" spans="2:11" x14ac:dyDescent="0.25">
      <c r="B3793"/>
      <c r="K3793"/>
    </row>
    <row r="3794" spans="2:11" x14ac:dyDescent="0.25">
      <c r="B3794"/>
      <c r="K3794"/>
    </row>
    <row r="3795" spans="2:11" x14ac:dyDescent="0.25">
      <c r="B3795"/>
      <c r="K3795"/>
    </row>
    <row r="3796" spans="2:11" x14ac:dyDescent="0.25">
      <c r="B3796"/>
      <c r="K3796"/>
    </row>
    <row r="3797" spans="2:11" x14ac:dyDescent="0.25">
      <c r="B3797"/>
      <c r="K3797"/>
    </row>
    <row r="3798" spans="2:11" x14ac:dyDescent="0.25">
      <c r="B3798"/>
      <c r="K3798"/>
    </row>
    <row r="3799" spans="2:11" x14ac:dyDescent="0.25">
      <c r="B3799"/>
      <c r="K3799"/>
    </row>
    <row r="3800" spans="2:11" x14ac:dyDescent="0.25">
      <c r="B3800"/>
      <c r="K3800"/>
    </row>
    <row r="3801" spans="2:11" x14ac:dyDescent="0.25">
      <c r="B3801"/>
      <c r="K3801"/>
    </row>
    <row r="3802" spans="2:11" x14ac:dyDescent="0.25">
      <c r="B3802"/>
      <c r="K3802"/>
    </row>
    <row r="3803" spans="2:11" x14ac:dyDescent="0.25">
      <c r="B3803"/>
      <c r="K3803"/>
    </row>
    <row r="3804" spans="2:11" x14ac:dyDescent="0.25">
      <c r="B3804"/>
      <c r="K3804"/>
    </row>
    <row r="3805" spans="2:11" x14ac:dyDescent="0.25">
      <c r="B3805"/>
      <c r="K3805"/>
    </row>
    <row r="3806" spans="2:11" x14ac:dyDescent="0.25">
      <c r="B3806"/>
      <c r="K3806"/>
    </row>
    <row r="3807" spans="2:11" x14ac:dyDescent="0.25">
      <c r="B3807"/>
      <c r="K3807"/>
    </row>
    <row r="3808" spans="2:11" x14ac:dyDescent="0.25">
      <c r="B3808"/>
      <c r="K3808"/>
    </row>
    <row r="3809" spans="2:11" x14ac:dyDescent="0.25">
      <c r="B3809"/>
      <c r="K3809"/>
    </row>
    <row r="3810" spans="2:11" x14ac:dyDescent="0.25">
      <c r="B3810"/>
      <c r="K3810"/>
    </row>
    <row r="3811" spans="2:11" x14ac:dyDescent="0.25">
      <c r="B3811"/>
      <c r="K3811"/>
    </row>
    <row r="3812" spans="2:11" x14ac:dyDescent="0.25">
      <c r="B3812"/>
      <c r="K3812"/>
    </row>
    <row r="3813" spans="2:11" x14ac:dyDescent="0.25">
      <c r="B3813"/>
      <c r="K3813"/>
    </row>
    <row r="3814" spans="2:11" x14ac:dyDescent="0.25">
      <c r="B3814"/>
      <c r="K3814"/>
    </row>
    <row r="3815" spans="2:11" x14ac:dyDescent="0.25">
      <c r="B3815"/>
      <c r="K3815"/>
    </row>
    <row r="3816" spans="2:11" x14ac:dyDescent="0.25">
      <c r="B3816"/>
      <c r="K3816"/>
    </row>
    <row r="3817" spans="2:11" x14ac:dyDescent="0.25">
      <c r="B3817"/>
      <c r="K3817"/>
    </row>
    <row r="3818" spans="2:11" x14ac:dyDescent="0.25">
      <c r="B3818"/>
      <c r="K3818"/>
    </row>
    <row r="3819" spans="2:11" x14ac:dyDescent="0.25">
      <c r="B3819"/>
      <c r="K3819"/>
    </row>
    <row r="3820" spans="2:11" x14ac:dyDescent="0.25">
      <c r="B3820"/>
      <c r="K3820"/>
    </row>
    <row r="3821" spans="2:11" x14ac:dyDescent="0.25">
      <c r="B3821"/>
      <c r="K3821"/>
    </row>
    <row r="3822" spans="2:11" x14ac:dyDescent="0.25">
      <c r="B3822"/>
      <c r="K3822"/>
    </row>
    <row r="3823" spans="2:11" x14ac:dyDescent="0.25">
      <c r="B3823"/>
      <c r="K3823"/>
    </row>
    <row r="3824" spans="2:11" x14ac:dyDescent="0.25">
      <c r="B3824"/>
      <c r="K3824"/>
    </row>
    <row r="3825" spans="2:11" x14ac:dyDescent="0.25">
      <c r="B3825"/>
      <c r="K3825"/>
    </row>
    <row r="3826" spans="2:11" x14ac:dyDescent="0.25">
      <c r="B3826"/>
      <c r="K3826"/>
    </row>
    <row r="3827" spans="2:11" x14ac:dyDescent="0.25">
      <c r="B3827"/>
      <c r="K3827"/>
    </row>
    <row r="3828" spans="2:11" x14ac:dyDescent="0.25">
      <c r="B3828"/>
      <c r="K3828"/>
    </row>
    <row r="3829" spans="2:11" x14ac:dyDescent="0.25">
      <c r="B3829"/>
      <c r="K3829"/>
    </row>
    <row r="3830" spans="2:11" x14ac:dyDescent="0.25">
      <c r="B3830"/>
      <c r="K3830"/>
    </row>
    <row r="3831" spans="2:11" x14ac:dyDescent="0.25">
      <c r="B3831"/>
      <c r="K3831"/>
    </row>
    <row r="3832" spans="2:11" x14ac:dyDescent="0.25">
      <c r="B3832"/>
      <c r="K3832"/>
    </row>
    <row r="3833" spans="2:11" x14ac:dyDescent="0.25">
      <c r="B3833"/>
      <c r="K3833"/>
    </row>
    <row r="3834" spans="2:11" x14ac:dyDescent="0.25">
      <c r="B3834"/>
      <c r="K3834"/>
    </row>
    <row r="3835" spans="2:11" x14ac:dyDescent="0.25">
      <c r="B3835"/>
      <c r="K3835"/>
    </row>
    <row r="3836" spans="2:11" x14ac:dyDescent="0.25">
      <c r="B3836"/>
      <c r="K3836"/>
    </row>
    <row r="3837" spans="2:11" x14ac:dyDescent="0.25">
      <c r="B3837"/>
      <c r="K3837"/>
    </row>
    <row r="3838" spans="2:11" x14ac:dyDescent="0.25">
      <c r="B3838"/>
      <c r="K3838"/>
    </row>
    <row r="3839" spans="2:11" x14ac:dyDescent="0.25">
      <c r="B3839"/>
      <c r="K3839"/>
    </row>
    <row r="3840" spans="2:11" x14ac:dyDescent="0.25">
      <c r="B3840"/>
      <c r="K3840"/>
    </row>
    <row r="3841" spans="2:11" x14ac:dyDescent="0.25">
      <c r="B3841"/>
      <c r="K3841"/>
    </row>
    <row r="3842" spans="2:11" x14ac:dyDescent="0.25">
      <c r="B3842"/>
      <c r="K3842"/>
    </row>
    <row r="3843" spans="2:11" x14ac:dyDescent="0.25">
      <c r="B3843"/>
      <c r="K3843"/>
    </row>
    <row r="3844" spans="2:11" x14ac:dyDescent="0.25">
      <c r="B3844"/>
      <c r="K3844"/>
    </row>
    <row r="3845" spans="2:11" x14ac:dyDescent="0.25">
      <c r="B3845"/>
      <c r="K3845"/>
    </row>
    <row r="3846" spans="2:11" x14ac:dyDescent="0.25">
      <c r="B3846"/>
      <c r="K3846"/>
    </row>
    <row r="3847" spans="2:11" x14ac:dyDescent="0.25">
      <c r="B3847"/>
      <c r="K3847"/>
    </row>
    <row r="3848" spans="2:11" x14ac:dyDescent="0.25">
      <c r="B3848"/>
      <c r="K3848"/>
    </row>
    <row r="3849" spans="2:11" x14ac:dyDescent="0.25">
      <c r="B3849"/>
      <c r="K3849"/>
    </row>
    <row r="3850" spans="2:11" x14ac:dyDescent="0.25">
      <c r="B3850"/>
      <c r="K3850"/>
    </row>
    <row r="3851" spans="2:11" x14ac:dyDescent="0.25">
      <c r="B3851"/>
      <c r="K3851"/>
    </row>
    <row r="3852" spans="2:11" x14ac:dyDescent="0.25">
      <c r="B3852"/>
      <c r="K3852"/>
    </row>
    <row r="3853" spans="2:11" x14ac:dyDescent="0.25">
      <c r="B3853"/>
      <c r="K3853"/>
    </row>
    <row r="3854" spans="2:11" x14ac:dyDescent="0.25">
      <c r="B3854"/>
      <c r="K3854"/>
    </row>
    <row r="3855" spans="2:11" x14ac:dyDescent="0.25">
      <c r="B3855"/>
      <c r="K3855"/>
    </row>
    <row r="3856" spans="2:11" x14ac:dyDescent="0.25">
      <c r="B3856"/>
      <c r="K3856"/>
    </row>
    <row r="3857" spans="2:11" x14ac:dyDescent="0.25">
      <c r="B3857"/>
      <c r="K3857"/>
    </row>
    <row r="3858" spans="2:11" x14ac:dyDescent="0.25">
      <c r="B3858"/>
      <c r="K3858"/>
    </row>
    <row r="3859" spans="2:11" x14ac:dyDescent="0.25">
      <c r="B3859"/>
      <c r="K3859"/>
    </row>
    <row r="3860" spans="2:11" x14ac:dyDescent="0.25">
      <c r="B3860"/>
      <c r="K3860"/>
    </row>
    <row r="3861" spans="2:11" x14ac:dyDescent="0.25">
      <c r="B3861"/>
      <c r="K3861"/>
    </row>
    <row r="3862" spans="2:11" x14ac:dyDescent="0.25">
      <c r="B3862"/>
      <c r="K3862"/>
    </row>
    <row r="3863" spans="2:11" x14ac:dyDescent="0.25">
      <c r="B3863"/>
      <c r="K3863"/>
    </row>
    <row r="3864" spans="2:11" x14ac:dyDescent="0.25">
      <c r="B3864"/>
      <c r="K3864"/>
    </row>
    <row r="3865" spans="2:11" x14ac:dyDescent="0.25">
      <c r="B3865"/>
      <c r="K3865"/>
    </row>
    <row r="3866" spans="2:11" x14ac:dyDescent="0.25">
      <c r="B3866"/>
      <c r="K3866"/>
    </row>
    <row r="3867" spans="2:11" x14ac:dyDescent="0.25">
      <c r="B3867"/>
      <c r="K3867"/>
    </row>
    <row r="3868" spans="2:11" x14ac:dyDescent="0.25">
      <c r="B3868"/>
      <c r="K3868"/>
    </row>
    <row r="3869" spans="2:11" x14ac:dyDescent="0.25">
      <c r="B3869"/>
      <c r="K3869"/>
    </row>
    <row r="3870" spans="2:11" x14ac:dyDescent="0.25">
      <c r="B3870"/>
      <c r="K3870"/>
    </row>
    <row r="3871" spans="2:11" x14ac:dyDescent="0.25">
      <c r="B3871"/>
      <c r="K3871"/>
    </row>
    <row r="3872" spans="2:11" x14ac:dyDescent="0.25">
      <c r="B3872"/>
      <c r="K3872"/>
    </row>
    <row r="3873" spans="2:11" x14ac:dyDescent="0.25">
      <c r="B3873"/>
      <c r="K3873"/>
    </row>
    <row r="3874" spans="2:11" x14ac:dyDescent="0.25">
      <c r="B3874"/>
      <c r="K3874"/>
    </row>
    <row r="3875" spans="2:11" x14ac:dyDescent="0.25">
      <c r="B3875"/>
      <c r="K3875"/>
    </row>
    <row r="3876" spans="2:11" x14ac:dyDescent="0.25">
      <c r="B3876"/>
      <c r="K3876"/>
    </row>
    <row r="3877" spans="2:11" x14ac:dyDescent="0.25">
      <c r="B3877"/>
      <c r="K3877"/>
    </row>
    <row r="3878" spans="2:11" x14ac:dyDescent="0.25">
      <c r="B3878"/>
      <c r="K3878"/>
    </row>
    <row r="3879" spans="2:11" x14ac:dyDescent="0.25">
      <c r="B3879"/>
      <c r="K3879"/>
    </row>
    <row r="3880" spans="2:11" x14ac:dyDescent="0.25">
      <c r="B3880"/>
      <c r="K3880"/>
    </row>
    <row r="3881" spans="2:11" x14ac:dyDescent="0.25">
      <c r="B3881"/>
      <c r="K3881"/>
    </row>
    <row r="3882" spans="2:11" x14ac:dyDescent="0.25">
      <c r="B3882"/>
      <c r="K3882"/>
    </row>
    <row r="3883" spans="2:11" x14ac:dyDescent="0.25">
      <c r="B3883"/>
      <c r="K3883"/>
    </row>
    <row r="3884" spans="2:11" x14ac:dyDescent="0.25">
      <c r="B3884"/>
      <c r="K3884"/>
    </row>
    <row r="3885" spans="2:11" x14ac:dyDescent="0.25">
      <c r="B3885"/>
      <c r="K3885"/>
    </row>
    <row r="3886" spans="2:11" x14ac:dyDescent="0.25">
      <c r="B3886"/>
      <c r="K3886"/>
    </row>
    <row r="3887" spans="2:11" x14ac:dyDescent="0.25">
      <c r="B3887"/>
      <c r="K3887"/>
    </row>
    <row r="3888" spans="2:11" x14ac:dyDescent="0.25">
      <c r="B3888"/>
      <c r="K3888"/>
    </row>
    <row r="3889" spans="2:11" x14ac:dyDescent="0.25">
      <c r="B3889"/>
      <c r="K3889"/>
    </row>
    <row r="3890" spans="2:11" x14ac:dyDescent="0.25">
      <c r="B3890"/>
      <c r="K3890"/>
    </row>
    <row r="3891" spans="2:11" x14ac:dyDescent="0.25">
      <c r="B3891"/>
      <c r="K3891"/>
    </row>
    <row r="3892" spans="2:11" x14ac:dyDescent="0.25">
      <c r="B3892"/>
      <c r="K3892"/>
    </row>
    <row r="3893" spans="2:11" x14ac:dyDescent="0.25">
      <c r="B3893"/>
      <c r="K3893"/>
    </row>
    <row r="3894" spans="2:11" x14ac:dyDescent="0.25">
      <c r="B3894"/>
      <c r="K3894"/>
    </row>
    <row r="3895" spans="2:11" x14ac:dyDescent="0.25">
      <c r="B3895"/>
      <c r="K3895"/>
    </row>
    <row r="3896" spans="2:11" x14ac:dyDescent="0.25">
      <c r="B3896"/>
      <c r="K3896"/>
    </row>
    <row r="3897" spans="2:11" x14ac:dyDescent="0.25">
      <c r="B3897"/>
      <c r="K3897"/>
    </row>
    <row r="3898" spans="2:11" x14ac:dyDescent="0.25">
      <c r="B3898"/>
      <c r="K3898"/>
    </row>
    <row r="3899" spans="2:11" x14ac:dyDescent="0.25">
      <c r="B3899"/>
      <c r="K3899"/>
    </row>
    <row r="3900" spans="2:11" x14ac:dyDescent="0.25">
      <c r="B3900"/>
      <c r="K3900"/>
    </row>
    <row r="3901" spans="2:11" x14ac:dyDescent="0.25">
      <c r="B3901"/>
      <c r="K3901"/>
    </row>
    <row r="3902" spans="2:11" x14ac:dyDescent="0.25">
      <c r="B3902"/>
      <c r="K3902"/>
    </row>
    <row r="3903" spans="2:11" x14ac:dyDescent="0.25">
      <c r="B3903"/>
      <c r="K3903"/>
    </row>
    <row r="3904" spans="2:11" x14ac:dyDescent="0.25">
      <c r="B3904"/>
      <c r="K3904"/>
    </row>
    <row r="3905" spans="2:11" x14ac:dyDescent="0.25">
      <c r="B3905"/>
      <c r="K3905"/>
    </row>
    <row r="3906" spans="2:11" x14ac:dyDescent="0.25">
      <c r="B3906"/>
      <c r="K3906"/>
    </row>
    <row r="3907" spans="2:11" x14ac:dyDescent="0.25">
      <c r="B3907"/>
      <c r="K3907"/>
    </row>
    <row r="3908" spans="2:11" x14ac:dyDescent="0.25">
      <c r="B3908"/>
      <c r="K3908"/>
    </row>
    <row r="3909" spans="2:11" x14ac:dyDescent="0.25">
      <c r="B3909"/>
      <c r="K3909"/>
    </row>
    <row r="3910" spans="2:11" x14ac:dyDescent="0.25">
      <c r="B3910"/>
      <c r="K3910"/>
    </row>
    <row r="3911" spans="2:11" x14ac:dyDescent="0.25">
      <c r="B3911"/>
      <c r="K3911"/>
    </row>
    <row r="3912" spans="2:11" x14ac:dyDescent="0.25">
      <c r="B3912"/>
      <c r="K3912"/>
    </row>
    <row r="3913" spans="2:11" x14ac:dyDescent="0.25">
      <c r="B3913"/>
      <c r="K3913"/>
    </row>
    <row r="3914" spans="2:11" x14ac:dyDescent="0.25">
      <c r="B3914"/>
      <c r="K3914"/>
    </row>
    <row r="3915" spans="2:11" x14ac:dyDescent="0.25">
      <c r="B3915"/>
      <c r="K3915"/>
    </row>
    <row r="3916" spans="2:11" x14ac:dyDescent="0.25">
      <c r="B3916"/>
      <c r="K3916"/>
    </row>
    <row r="3917" spans="2:11" x14ac:dyDescent="0.25">
      <c r="B3917"/>
      <c r="K3917"/>
    </row>
    <row r="3918" spans="2:11" x14ac:dyDescent="0.25">
      <c r="B3918"/>
      <c r="K3918"/>
    </row>
    <row r="3919" spans="2:11" x14ac:dyDescent="0.25">
      <c r="B3919"/>
      <c r="K3919"/>
    </row>
    <row r="3920" spans="2:11" x14ac:dyDescent="0.25">
      <c r="B3920"/>
      <c r="K3920"/>
    </row>
    <row r="3921" spans="2:11" x14ac:dyDescent="0.25">
      <c r="B3921"/>
      <c r="K3921"/>
    </row>
    <row r="3922" spans="2:11" x14ac:dyDescent="0.25">
      <c r="B3922"/>
      <c r="K3922"/>
    </row>
    <row r="3923" spans="2:11" x14ac:dyDescent="0.25">
      <c r="B3923"/>
      <c r="K3923"/>
    </row>
    <row r="3924" spans="2:11" x14ac:dyDescent="0.25">
      <c r="B3924"/>
      <c r="K3924"/>
    </row>
    <row r="3925" spans="2:11" x14ac:dyDescent="0.25">
      <c r="B3925"/>
      <c r="K3925"/>
    </row>
    <row r="3926" spans="2:11" x14ac:dyDescent="0.25">
      <c r="B3926"/>
      <c r="K3926"/>
    </row>
    <row r="3927" spans="2:11" x14ac:dyDescent="0.25">
      <c r="B3927"/>
      <c r="K3927"/>
    </row>
    <row r="3928" spans="2:11" x14ac:dyDescent="0.25">
      <c r="B3928"/>
      <c r="K3928"/>
    </row>
    <row r="3929" spans="2:11" x14ac:dyDescent="0.25">
      <c r="B3929"/>
      <c r="K3929"/>
    </row>
    <row r="3930" spans="2:11" x14ac:dyDescent="0.25">
      <c r="B3930"/>
      <c r="K3930"/>
    </row>
    <row r="3931" spans="2:11" x14ac:dyDescent="0.25">
      <c r="B3931"/>
      <c r="K3931"/>
    </row>
    <row r="3932" spans="2:11" x14ac:dyDescent="0.25">
      <c r="B3932"/>
      <c r="K3932"/>
    </row>
    <row r="3933" spans="2:11" x14ac:dyDescent="0.25">
      <c r="B3933"/>
      <c r="K3933"/>
    </row>
    <row r="3934" spans="2:11" x14ac:dyDescent="0.25">
      <c r="B3934"/>
      <c r="K3934"/>
    </row>
    <row r="3935" spans="2:11" x14ac:dyDescent="0.25">
      <c r="B3935"/>
      <c r="K3935"/>
    </row>
    <row r="3936" spans="2:11" x14ac:dyDescent="0.25">
      <c r="B3936"/>
      <c r="K3936"/>
    </row>
    <row r="3937" spans="2:11" x14ac:dyDescent="0.25">
      <c r="B3937"/>
      <c r="K3937"/>
    </row>
    <row r="3938" spans="2:11" x14ac:dyDescent="0.25">
      <c r="B3938"/>
      <c r="K3938"/>
    </row>
    <row r="3939" spans="2:11" x14ac:dyDescent="0.25">
      <c r="B3939"/>
      <c r="K3939"/>
    </row>
    <row r="3940" spans="2:11" x14ac:dyDescent="0.25">
      <c r="B3940"/>
      <c r="K3940"/>
    </row>
    <row r="3941" spans="2:11" x14ac:dyDescent="0.25">
      <c r="B3941"/>
      <c r="K3941"/>
    </row>
    <row r="3942" spans="2:11" x14ac:dyDescent="0.25">
      <c r="B3942"/>
      <c r="K3942"/>
    </row>
    <row r="3943" spans="2:11" x14ac:dyDescent="0.25">
      <c r="B3943"/>
      <c r="K3943"/>
    </row>
    <row r="3944" spans="2:11" x14ac:dyDescent="0.25">
      <c r="B3944"/>
      <c r="K3944"/>
    </row>
    <row r="3945" spans="2:11" x14ac:dyDescent="0.25">
      <c r="B3945"/>
      <c r="K3945"/>
    </row>
    <row r="3946" spans="2:11" x14ac:dyDescent="0.25">
      <c r="B3946"/>
      <c r="K3946"/>
    </row>
    <row r="3947" spans="2:11" x14ac:dyDescent="0.25">
      <c r="B3947"/>
      <c r="K3947"/>
    </row>
    <row r="3948" spans="2:11" x14ac:dyDescent="0.25">
      <c r="B3948"/>
      <c r="K3948"/>
    </row>
    <row r="3949" spans="2:11" x14ac:dyDescent="0.25">
      <c r="B3949"/>
      <c r="K3949"/>
    </row>
    <row r="3950" spans="2:11" x14ac:dyDescent="0.25">
      <c r="B3950"/>
      <c r="K3950"/>
    </row>
    <row r="3951" spans="2:11" x14ac:dyDescent="0.25">
      <c r="B3951"/>
      <c r="K3951"/>
    </row>
    <row r="3952" spans="2:11" x14ac:dyDescent="0.25">
      <c r="B3952"/>
      <c r="K3952"/>
    </row>
    <row r="3953" spans="2:11" x14ac:dyDescent="0.25">
      <c r="B3953"/>
      <c r="K3953"/>
    </row>
    <row r="3954" spans="2:11" x14ac:dyDescent="0.25">
      <c r="B3954"/>
      <c r="K3954"/>
    </row>
    <row r="3955" spans="2:11" x14ac:dyDescent="0.25">
      <c r="B3955"/>
      <c r="K3955"/>
    </row>
    <row r="3956" spans="2:11" x14ac:dyDescent="0.25">
      <c r="B3956"/>
      <c r="K3956"/>
    </row>
    <row r="3957" spans="2:11" x14ac:dyDescent="0.25">
      <c r="B3957"/>
      <c r="K3957"/>
    </row>
    <row r="3958" spans="2:11" x14ac:dyDescent="0.25">
      <c r="B3958"/>
      <c r="K3958"/>
    </row>
    <row r="3959" spans="2:11" x14ac:dyDescent="0.25">
      <c r="B3959"/>
      <c r="K3959"/>
    </row>
    <row r="3960" spans="2:11" x14ac:dyDescent="0.25">
      <c r="B3960"/>
      <c r="K3960"/>
    </row>
    <row r="3961" spans="2:11" x14ac:dyDescent="0.25">
      <c r="B3961"/>
      <c r="K3961"/>
    </row>
    <row r="3962" spans="2:11" x14ac:dyDescent="0.25">
      <c r="B3962"/>
      <c r="K3962"/>
    </row>
    <row r="3963" spans="2:11" x14ac:dyDescent="0.25">
      <c r="B3963"/>
      <c r="K3963"/>
    </row>
    <row r="3964" spans="2:11" x14ac:dyDescent="0.25">
      <c r="B3964"/>
      <c r="K3964"/>
    </row>
    <row r="3965" spans="2:11" x14ac:dyDescent="0.25">
      <c r="B3965"/>
      <c r="K3965"/>
    </row>
    <row r="3966" spans="2:11" x14ac:dyDescent="0.25">
      <c r="B3966"/>
      <c r="K3966"/>
    </row>
    <row r="3967" spans="2:11" x14ac:dyDescent="0.25">
      <c r="B3967"/>
      <c r="K3967"/>
    </row>
    <row r="3968" spans="2:11" x14ac:dyDescent="0.25">
      <c r="B3968"/>
      <c r="K3968"/>
    </row>
    <row r="3969" spans="2:11" x14ac:dyDescent="0.25">
      <c r="B3969"/>
      <c r="K3969"/>
    </row>
    <row r="3970" spans="2:11" x14ac:dyDescent="0.25">
      <c r="B3970"/>
      <c r="K3970"/>
    </row>
    <row r="3971" spans="2:11" x14ac:dyDescent="0.25">
      <c r="B3971"/>
      <c r="K3971"/>
    </row>
    <row r="3972" spans="2:11" x14ac:dyDescent="0.25">
      <c r="B3972"/>
      <c r="K3972"/>
    </row>
    <row r="3973" spans="2:11" x14ac:dyDescent="0.25">
      <c r="B3973"/>
      <c r="K3973"/>
    </row>
    <row r="3974" spans="2:11" x14ac:dyDescent="0.25">
      <c r="B3974"/>
      <c r="K3974"/>
    </row>
    <row r="3975" spans="2:11" x14ac:dyDescent="0.25">
      <c r="B3975"/>
      <c r="K3975"/>
    </row>
    <row r="3976" spans="2:11" x14ac:dyDescent="0.25">
      <c r="B3976"/>
      <c r="K3976"/>
    </row>
    <row r="3977" spans="2:11" x14ac:dyDescent="0.25">
      <c r="B3977"/>
      <c r="K3977"/>
    </row>
    <row r="3978" spans="2:11" x14ac:dyDescent="0.25">
      <c r="B3978"/>
      <c r="K3978"/>
    </row>
    <row r="3979" spans="2:11" x14ac:dyDescent="0.25">
      <c r="B3979"/>
      <c r="K3979"/>
    </row>
    <row r="3980" spans="2:11" x14ac:dyDescent="0.25">
      <c r="B3980"/>
      <c r="K3980"/>
    </row>
    <row r="3981" spans="2:11" x14ac:dyDescent="0.25">
      <c r="B3981"/>
      <c r="K3981"/>
    </row>
    <row r="3982" spans="2:11" x14ac:dyDescent="0.25">
      <c r="B3982"/>
      <c r="K3982"/>
    </row>
    <row r="3983" spans="2:11" x14ac:dyDescent="0.25">
      <c r="B3983"/>
      <c r="K3983"/>
    </row>
    <row r="3984" spans="2:11" x14ac:dyDescent="0.25">
      <c r="B3984"/>
      <c r="K3984"/>
    </row>
    <row r="3985" spans="2:11" x14ac:dyDescent="0.25">
      <c r="B3985"/>
      <c r="K3985"/>
    </row>
    <row r="3986" spans="2:11" x14ac:dyDescent="0.25">
      <c r="B3986"/>
      <c r="K3986"/>
    </row>
    <row r="3987" spans="2:11" x14ac:dyDescent="0.25">
      <c r="B3987"/>
      <c r="K3987"/>
    </row>
    <row r="3988" spans="2:11" x14ac:dyDescent="0.25">
      <c r="B3988"/>
      <c r="K3988"/>
    </row>
    <row r="3989" spans="2:11" x14ac:dyDescent="0.25">
      <c r="B3989"/>
      <c r="K3989"/>
    </row>
    <row r="3990" spans="2:11" x14ac:dyDescent="0.25">
      <c r="B3990"/>
      <c r="K3990"/>
    </row>
    <row r="3991" spans="2:11" x14ac:dyDescent="0.25">
      <c r="B3991"/>
      <c r="K3991"/>
    </row>
    <row r="3992" spans="2:11" x14ac:dyDescent="0.25">
      <c r="B3992"/>
      <c r="K3992"/>
    </row>
    <row r="3993" spans="2:11" x14ac:dyDescent="0.25">
      <c r="B3993"/>
      <c r="K3993"/>
    </row>
    <row r="3994" spans="2:11" x14ac:dyDescent="0.25">
      <c r="B3994"/>
      <c r="K3994"/>
    </row>
    <row r="3995" spans="2:11" x14ac:dyDescent="0.25">
      <c r="B3995"/>
      <c r="K3995"/>
    </row>
    <row r="3996" spans="2:11" x14ac:dyDescent="0.25">
      <c r="B3996"/>
      <c r="K3996"/>
    </row>
    <row r="3997" spans="2:11" x14ac:dyDescent="0.25">
      <c r="B3997"/>
      <c r="K3997"/>
    </row>
    <row r="3998" spans="2:11" x14ac:dyDescent="0.25">
      <c r="B3998"/>
      <c r="K3998"/>
    </row>
    <row r="3999" spans="2:11" x14ac:dyDescent="0.25">
      <c r="B3999"/>
      <c r="K3999"/>
    </row>
    <row r="4000" spans="2:11" x14ac:dyDescent="0.25">
      <c r="B4000"/>
      <c r="K4000"/>
    </row>
    <row r="4001" spans="2:11" x14ac:dyDescent="0.25">
      <c r="B4001"/>
      <c r="K4001"/>
    </row>
    <row r="4002" spans="2:11" x14ac:dyDescent="0.25">
      <c r="B4002"/>
      <c r="K4002"/>
    </row>
    <row r="4003" spans="2:11" x14ac:dyDescent="0.25">
      <c r="B4003"/>
      <c r="K4003"/>
    </row>
    <row r="4004" spans="2:11" x14ac:dyDescent="0.25">
      <c r="B4004"/>
      <c r="K4004"/>
    </row>
    <row r="4005" spans="2:11" x14ac:dyDescent="0.25">
      <c r="B4005"/>
      <c r="K4005"/>
    </row>
    <row r="4006" spans="2:11" x14ac:dyDescent="0.25">
      <c r="B4006"/>
      <c r="K4006"/>
    </row>
    <row r="4007" spans="2:11" x14ac:dyDescent="0.25">
      <c r="B4007"/>
      <c r="K4007"/>
    </row>
    <row r="4008" spans="2:11" x14ac:dyDescent="0.25">
      <c r="B4008"/>
      <c r="K4008"/>
    </row>
    <row r="4009" spans="2:11" x14ac:dyDescent="0.25">
      <c r="B4009"/>
      <c r="K4009"/>
    </row>
    <row r="4010" spans="2:11" x14ac:dyDescent="0.25">
      <c r="B4010"/>
      <c r="K4010"/>
    </row>
    <row r="4011" spans="2:11" x14ac:dyDescent="0.25">
      <c r="B4011"/>
      <c r="K4011"/>
    </row>
    <row r="4012" spans="2:11" x14ac:dyDescent="0.25">
      <c r="B4012"/>
      <c r="K4012"/>
    </row>
    <row r="4013" spans="2:11" x14ac:dyDescent="0.25">
      <c r="B4013"/>
      <c r="K4013"/>
    </row>
    <row r="4014" spans="2:11" x14ac:dyDescent="0.25">
      <c r="B4014"/>
      <c r="K4014"/>
    </row>
    <row r="4015" spans="2:11" x14ac:dyDescent="0.25">
      <c r="B4015"/>
      <c r="K4015"/>
    </row>
    <row r="4016" spans="2:11" x14ac:dyDescent="0.25">
      <c r="B4016"/>
      <c r="K4016"/>
    </row>
    <row r="4017" spans="2:11" x14ac:dyDescent="0.25">
      <c r="B4017"/>
      <c r="K4017"/>
    </row>
    <row r="4018" spans="2:11" x14ac:dyDescent="0.25">
      <c r="B4018"/>
      <c r="K4018"/>
    </row>
    <row r="4019" spans="2:11" x14ac:dyDescent="0.25">
      <c r="B4019"/>
      <c r="K4019"/>
    </row>
    <row r="4020" spans="2:11" x14ac:dyDescent="0.25">
      <c r="B4020"/>
      <c r="K4020"/>
    </row>
    <row r="4021" spans="2:11" x14ac:dyDescent="0.25">
      <c r="B4021"/>
      <c r="K4021"/>
    </row>
    <row r="4022" spans="2:11" x14ac:dyDescent="0.25">
      <c r="B4022"/>
      <c r="K4022"/>
    </row>
    <row r="4023" spans="2:11" x14ac:dyDescent="0.25">
      <c r="B4023"/>
      <c r="K4023"/>
    </row>
    <row r="4024" spans="2:11" x14ac:dyDescent="0.25">
      <c r="B4024"/>
      <c r="K4024"/>
    </row>
    <row r="4025" spans="2:11" x14ac:dyDescent="0.25">
      <c r="B4025"/>
      <c r="K4025"/>
    </row>
    <row r="4026" spans="2:11" x14ac:dyDescent="0.25">
      <c r="B4026"/>
      <c r="K4026"/>
    </row>
    <row r="4027" spans="2:11" x14ac:dyDescent="0.25">
      <c r="B4027"/>
      <c r="K4027"/>
    </row>
    <row r="4028" spans="2:11" x14ac:dyDescent="0.25">
      <c r="B4028"/>
      <c r="K4028"/>
    </row>
    <row r="4029" spans="2:11" x14ac:dyDescent="0.25">
      <c r="B4029"/>
      <c r="K4029"/>
    </row>
    <row r="4030" spans="2:11" x14ac:dyDescent="0.25">
      <c r="B4030"/>
      <c r="K4030"/>
    </row>
    <row r="4031" spans="2:11" x14ac:dyDescent="0.25">
      <c r="B4031"/>
      <c r="K4031"/>
    </row>
    <row r="4032" spans="2:11" x14ac:dyDescent="0.25">
      <c r="B4032"/>
      <c r="K4032"/>
    </row>
    <row r="4033" spans="2:11" x14ac:dyDescent="0.25">
      <c r="B4033"/>
      <c r="K4033"/>
    </row>
    <row r="4034" spans="2:11" x14ac:dyDescent="0.25">
      <c r="B4034"/>
      <c r="K4034"/>
    </row>
    <row r="4035" spans="2:11" x14ac:dyDescent="0.25">
      <c r="B4035"/>
      <c r="K4035"/>
    </row>
    <row r="4036" spans="2:11" x14ac:dyDescent="0.25">
      <c r="B4036"/>
      <c r="K4036"/>
    </row>
    <row r="4037" spans="2:11" x14ac:dyDescent="0.25">
      <c r="B4037"/>
      <c r="K4037"/>
    </row>
    <row r="4038" spans="2:11" x14ac:dyDescent="0.25">
      <c r="B4038"/>
      <c r="K4038"/>
    </row>
    <row r="4039" spans="2:11" x14ac:dyDescent="0.25">
      <c r="B4039"/>
      <c r="K4039"/>
    </row>
    <row r="4040" spans="2:11" x14ac:dyDescent="0.25">
      <c r="B4040"/>
      <c r="K4040"/>
    </row>
    <row r="4041" spans="2:11" x14ac:dyDescent="0.25">
      <c r="B4041"/>
      <c r="K4041"/>
    </row>
    <row r="4042" spans="2:11" x14ac:dyDescent="0.25">
      <c r="B4042"/>
      <c r="K4042"/>
    </row>
    <row r="4043" spans="2:11" x14ac:dyDescent="0.25">
      <c r="B4043"/>
      <c r="K4043"/>
    </row>
    <row r="4044" spans="2:11" x14ac:dyDescent="0.25">
      <c r="B4044"/>
      <c r="K4044"/>
    </row>
    <row r="4045" spans="2:11" x14ac:dyDescent="0.25">
      <c r="B4045"/>
      <c r="K4045"/>
    </row>
    <row r="4046" spans="2:11" x14ac:dyDescent="0.25">
      <c r="B4046"/>
      <c r="K4046"/>
    </row>
    <row r="4047" spans="2:11" x14ac:dyDescent="0.25">
      <c r="B4047"/>
      <c r="K4047"/>
    </row>
    <row r="4048" spans="2:11" x14ac:dyDescent="0.25">
      <c r="B4048"/>
      <c r="K4048"/>
    </row>
    <row r="4049" spans="2:11" x14ac:dyDescent="0.25">
      <c r="B4049"/>
      <c r="K4049"/>
    </row>
    <row r="4050" spans="2:11" x14ac:dyDescent="0.25">
      <c r="B4050"/>
      <c r="K4050"/>
    </row>
    <row r="4051" spans="2:11" x14ac:dyDescent="0.25">
      <c r="B4051"/>
      <c r="K4051"/>
    </row>
    <row r="4052" spans="2:11" x14ac:dyDescent="0.25">
      <c r="B4052"/>
      <c r="K4052"/>
    </row>
    <row r="4053" spans="2:11" x14ac:dyDescent="0.25">
      <c r="B4053"/>
      <c r="K4053"/>
    </row>
    <row r="4054" spans="2:11" x14ac:dyDescent="0.25">
      <c r="B4054"/>
      <c r="K4054"/>
    </row>
    <row r="4055" spans="2:11" x14ac:dyDescent="0.25">
      <c r="B4055"/>
      <c r="K4055"/>
    </row>
    <row r="4056" spans="2:11" x14ac:dyDescent="0.25">
      <c r="B4056"/>
      <c r="K4056"/>
    </row>
    <row r="4057" spans="2:11" x14ac:dyDescent="0.25">
      <c r="B4057"/>
      <c r="K4057"/>
    </row>
    <row r="4058" spans="2:11" x14ac:dyDescent="0.25">
      <c r="B4058"/>
      <c r="K4058"/>
    </row>
    <row r="4059" spans="2:11" x14ac:dyDescent="0.25">
      <c r="B4059"/>
      <c r="K4059"/>
    </row>
    <row r="4060" spans="2:11" x14ac:dyDescent="0.25">
      <c r="B4060"/>
      <c r="K4060"/>
    </row>
    <row r="4061" spans="2:11" x14ac:dyDescent="0.25">
      <c r="B4061"/>
      <c r="K4061"/>
    </row>
    <row r="4062" spans="2:11" x14ac:dyDescent="0.25">
      <c r="B4062"/>
      <c r="K4062"/>
    </row>
    <row r="4063" spans="2:11" x14ac:dyDescent="0.25">
      <c r="B4063"/>
      <c r="K4063"/>
    </row>
    <row r="4064" spans="2:11" x14ac:dyDescent="0.25">
      <c r="B4064"/>
      <c r="K4064"/>
    </row>
    <row r="4065" spans="2:11" x14ac:dyDescent="0.25">
      <c r="B4065"/>
      <c r="K4065"/>
    </row>
    <row r="4066" spans="2:11" x14ac:dyDescent="0.25">
      <c r="B4066"/>
      <c r="K4066"/>
    </row>
    <row r="4067" spans="2:11" x14ac:dyDescent="0.25">
      <c r="B4067"/>
      <c r="K4067"/>
    </row>
    <row r="4068" spans="2:11" x14ac:dyDescent="0.25">
      <c r="B4068"/>
      <c r="K4068"/>
    </row>
    <row r="4069" spans="2:11" x14ac:dyDescent="0.25">
      <c r="B4069"/>
      <c r="K4069"/>
    </row>
    <row r="4070" spans="2:11" x14ac:dyDescent="0.25">
      <c r="B4070"/>
      <c r="K4070"/>
    </row>
    <row r="4071" spans="2:11" x14ac:dyDescent="0.25">
      <c r="B4071"/>
      <c r="K4071"/>
    </row>
    <row r="4072" spans="2:11" x14ac:dyDescent="0.25">
      <c r="B4072"/>
      <c r="K4072"/>
    </row>
    <row r="4073" spans="2:11" x14ac:dyDescent="0.25">
      <c r="B4073"/>
      <c r="K4073"/>
    </row>
    <row r="4074" spans="2:11" x14ac:dyDescent="0.25">
      <c r="B4074"/>
      <c r="K4074"/>
    </row>
    <row r="4075" spans="2:11" x14ac:dyDescent="0.25">
      <c r="B4075"/>
      <c r="K4075"/>
    </row>
    <row r="4076" spans="2:11" x14ac:dyDescent="0.25">
      <c r="B4076"/>
      <c r="K4076"/>
    </row>
    <row r="4077" spans="2:11" x14ac:dyDescent="0.25">
      <c r="B4077"/>
      <c r="K4077"/>
    </row>
    <row r="4078" spans="2:11" x14ac:dyDescent="0.25">
      <c r="B4078"/>
      <c r="K4078"/>
    </row>
    <row r="4079" spans="2:11" x14ac:dyDescent="0.25">
      <c r="B4079"/>
      <c r="K4079"/>
    </row>
    <row r="4080" spans="2:11" x14ac:dyDescent="0.25">
      <c r="B4080"/>
      <c r="K4080"/>
    </row>
    <row r="4081" spans="2:11" x14ac:dyDescent="0.25">
      <c r="B4081"/>
      <c r="K4081"/>
    </row>
    <row r="4082" spans="2:11" x14ac:dyDescent="0.25">
      <c r="B4082"/>
      <c r="K4082"/>
    </row>
    <row r="4083" spans="2:11" x14ac:dyDescent="0.25">
      <c r="B4083"/>
      <c r="K4083"/>
    </row>
    <row r="4084" spans="2:11" x14ac:dyDescent="0.25">
      <c r="B4084"/>
      <c r="K4084"/>
    </row>
    <row r="4085" spans="2:11" x14ac:dyDescent="0.25">
      <c r="B4085"/>
      <c r="K4085"/>
    </row>
    <row r="4086" spans="2:11" x14ac:dyDescent="0.25">
      <c r="B4086"/>
      <c r="K4086"/>
    </row>
    <row r="4087" spans="2:11" x14ac:dyDescent="0.25">
      <c r="B4087"/>
      <c r="K4087"/>
    </row>
    <row r="4088" spans="2:11" x14ac:dyDescent="0.25">
      <c r="B4088"/>
      <c r="K4088"/>
    </row>
    <row r="4089" spans="2:11" x14ac:dyDescent="0.25">
      <c r="B4089"/>
      <c r="K4089"/>
    </row>
    <row r="4090" spans="2:11" x14ac:dyDescent="0.25">
      <c r="B4090"/>
      <c r="K4090"/>
    </row>
    <row r="4091" spans="2:11" x14ac:dyDescent="0.25">
      <c r="B4091"/>
      <c r="K4091"/>
    </row>
    <row r="4092" spans="2:11" x14ac:dyDescent="0.25">
      <c r="B4092"/>
      <c r="K4092"/>
    </row>
    <row r="4093" spans="2:11" x14ac:dyDescent="0.25">
      <c r="B4093"/>
      <c r="K4093"/>
    </row>
    <row r="4094" spans="2:11" x14ac:dyDescent="0.25">
      <c r="B4094"/>
      <c r="K4094"/>
    </row>
    <row r="4095" spans="2:11" x14ac:dyDescent="0.25">
      <c r="B4095"/>
      <c r="K4095"/>
    </row>
    <row r="4096" spans="2:11" x14ac:dyDescent="0.25">
      <c r="B4096"/>
      <c r="K4096"/>
    </row>
    <row r="4097" spans="2:11" x14ac:dyDescent="0.25">
      <c r="B4097"/>
      <c r="K4097"/>
    </row>
    <row r="4098" spans="2:11" x14ac:dyDescent="0.25">
      <c r="B4098"/>
      <c r="K4098"/>
    </row>
    <row r="4099" spans="2:11" x14ac:dyDescent="0.25">
      <c r="B4099"/>
      <c r="K4099"/>
    </row>
    <row r="4100" spans="2:11" x14ac:dyDescent="0.25">
      <c r="B4100"/>
      <c r="K4100"/>
    </row>
    <row r="4101" spans="2:11" x14ac:dyDescent="0.25">
      <c r="B4101"/>
      <c r="K4101"/>
    </row>
    <row r="4102" spans="2:11" x14ac:dyDescent="0.25">
      <c r="B4102"/>
      <c r="K4102"/>
    </row>
    <row r="4103" spans="2:11" x14ac:dyDescent="0.25">
      <c r="B4103"/>
      <c r="K4103"/>
    </row>
    <row r="4104" spans="2:11" x14ac:dyDescent="0.25">
      <c r="B4104"/>
      <c r="K4104"/>
    </row>
    <row r="4105" spans="2:11" x14ac:dyDescent="0.25">
      <c r="B4105"/>
      <c r="K4105"/>
    </row>
    <row r="4106" spans="2:11" x14ac:dyDescent="0.25">
      <c r="B4106"/>
      <c r="K4106"/>
    </row>
    <row r="4107" spans="2:11" x14ac:dyDescent="0.25">
      <c r="B4107"/>
      <c r="K4107"/>
    </row>
    <row r="4108" spans="2:11" x14ac:dyDescent="0.25">
      <c r="B4108"/>
      <c r="K4108"/>
    </row>
    <row r="4109" spans="2:11" x14ac:dyDescent="0.25">
      <c r="B4109"/>
      <c r="K4109"/>
    </row>
    <row r="4110" spans="2:11" x14ac:dyDescent="0.25">
      <c r="B4110"/>
      <c r="K4110"/>
    </row>
    <row r="4111" spans="2:11" x14ac:dyDescent="0.25">
      <c r="B4111"/>
      <c r="K4111"/>
    </row>
    <row r="4112" spans="2:11" x14ac:dyDescent="0.25">
      <c r="B4112"/>
      <c r="K4112"/>
    </row>
    <row r="4113" spans="2:11" x14ac:dyDescent="0.25">
      <c r="B4113"/>
      <c r="K4113"/>
    </row>
    <row r="4114" spans="2:11" x14ac:dyDescent="0.25">
      <c r="B4114"/>
      <c r="K4114"/>
    </row>
    <row r="4115" spans="2:11" x14ac:dyDescent="0.25">
      <c r="B4115"/>
      <c r="K4115"/>
    </row>
    <row r="4116" spans="2:11" x14ac:dyDescent="0.25">
      <c r="B4116"/>
      <c r="K4116"/>
    </row>
    <row r="4117" spans="2:11" x14ac:dyDescent="0.25">
      <c r="B4117"/>
      <c r="K4117"/>
    </row>
    <row r="4118" spans="2:11" x14ac:dyDescent="0.25">
      <c r="B4118"/>
      <c r="K4118"/>
    </row>
    <row r="4119" spans="2:11" x14ac:dyDescent="0.25">
      <c r="B4119"/>
      <c r="K4119"/>
    </row>
    <row r="4120" spans="2:11" x14ac:dyDescent="0.25">
      <c r="B4120"/>
      <c r="K4120"/>
    </row>
    <row r="4121" spans="2:11" x14ac:dyDescent="0.25">
      <c r="B4121"/>
      <c r="K4121"/>
    </row>
    <row r="4122" spans="2:11" x14ac:dyDescent="0.25">
      <c r="B4122"/>
      <c r="K4122"/>
    </row>
    <row r="4123" spans="2:11" x14ac:dyDescent="0.25">
      <c r="B4123"/>
      <c r="K4123"/>
    </row>
    <row r="4124" spans="2:11" x14ac:dyDescent="0.25">
      <c r="B4124"/>
      <c r="K4124"/>
    </row>
    <row r="4125" spans="2:11" x14ac:dyDescent="0.25">
      <c r="B4125"/>
      <c r="K4125"/>
    </row>
    <row r="4126" spans="2:11" x14ac:dyDescent="0.25">
      <c r="B4126"/>
      <c r="K4126"/>
    </row>
    <row r="4127" spans="2:11" x14ac:dyDescent="0.25">
      <c r="B4127"/>
      <c r="K4127"/>
    </row>
    <row r="4128" spans="2:11" x14ac:dyDescent="0.25">
      <c r="B4128"/>
      <c r="K4128"/>
    </row>
    <row r="4129" spans="2:11" x14ac:dyDescent="0.25">
      <c r="B4129"/>
      <c r="K4129"/>
    </row>
    <row r="4130" spans="2:11" x14ac:dyDescent="0.25">
      <c r="B4130"/>
      <c r="K4130"/>
    </row>
    <row r="4131" spans="2:11" x14ac:dyDescent="0.25">
      <c r="B4131"/>
      <c r="K4131"/>
    </row>
    <row r="4132" spans="2:11" x14ac:dyDescent="0.25">
      <c r="B4132"/>
      <c r="K4132"/>
    </row>
    <row r="4133" spans="2:11" x14ac:dyDescent="0.25">
      <c r="B4133"/>
      <c r="K4133"/>
    </row>
    <row r="4134" spans="2:11" x14ac:dyDescent="0.25">
      <c r="B4134"/>
      <c r="K4134"/>
    </row>
    <row r="4135" spans="2:11" x14ac:dyDescent="0.25">
      <c r="B4135"/>
      <c r="K4135"/>
    </row>
    <row r="4136" spans="2:11" x14ac:dyDescent="0.25">
      <c r="B4136"/>
      <c r="K4136"/>
    </row>
    <row r="4137" spans="2:11" x14ac:dyDescent="0.25">
      <c r="B4137"/>
      <c r="K4137"/>
    </row>
    <row r="4138" spans="2:11" x14ac:dyDescent="0.25">
      <c r="B4138"/>
      <c r="K4138"/>
    </row>
    <row r="4139" spans="2:11" x14ac:dyDescent="0.25">
      <c r="B4139"/>
      <c r="K4139"/>
    </row>
    <row r="4140" spans="2:11" x14ac:dyDescent="0.25">
      <c r="B4140"/>
      <c r="K4140"/>
    </row>
    <row r="4141" spans="2:11" x14ac:dyDescent="0.25">
      <c r="B4141"/>
      <c r="K4141"/>
    </row>
    <row r="4142" spans="2:11" x14ac:dyDescent="0.25">
      <c r="B4142"/>
      <c r="K4142"/>
    </row>
    <row r="4143" spans="2:11" x14ac:dyDescent="0.25">
      <c r="B4143"/>
      <c r="K4143"/>
    </row>
    <row r="4144" spans="2:11" x14ac:dyDescent="0.25">
      <c r="B4144"/>
      <c r="K4144"/>
    </row>
    <row r="4145" spans="2:11" x14ac:dyDescent="0.25">
      <c r="B4145"/>
      <c r="K4145"/>
    </row>
    <row r="4146" spans="2:11" x14ac:dyDescent="0.25">
      <c r="B4146"/>
      <c r="K4146"/>
    </row>
    <row r="4147" spans="2:11" x14ac:dyDescent="0.25">
      <c r="B4147"/>
      <c r="K4147"/>
    </row>
    <row r="4148" spans="2:11" x14ac:dyDescent="0.25">
      <c r="B4148"/>
      <c r="K4148"/>
    </row>
    <row r="4149" spans="2:11" x14ac:dyDescent="0.25">
      <c r="B4149"/>
      <c r="K4149"/>
    </row>
    <row r="4150" spans="2:11" x14ac:dyDescent="0.25">
      <c r="B4150"/>
      <c r="K4150"/>
    </row>
    <row r="4151" spans="2:11" x14ac:dyDescent="0.25">
      <c r="B4151"/>
      <c r="K4151"/>
    </row>
    <row r="4152" spans="2:11" x14ac:dyDescent="0.25">
      <c r="B4152"/>
      <c r="K4152"/>
    </row>
    <row r="4153" spans="2:11" x14ac:dyDescent="0.25">
      <c r="B4153"/>
      <c r="K4153"/>
    </row>
    <row r="4154" spans="2:11" x14ac:dyDescent="0.25">
      <c r="B4154"/>
      <c r="K4154"/>
    </row>
    <row r="4155" spans="2:11" x14ac:dyDescent="0.25">
      <c r="B4155"/>
      <c r="K4155"/>
    </row>
    <row r="4156" spans="2:11" x14ac:dyDescent="0.25">
      <c r="B4156"/>
      <c r="K4156"/>
    </row>
    <row r="4157" spans="2:11" x14ac:dyDescent="0.25">
      <c r="B4157"/>
      <c r="K4157"/>
    </row>
    <row r="4158" spans="2:11" x14ac:dyDescent="0.25">
      <c r="B4158"/>
      <c r="K4158"/>
    </row>
    <row r="4159" spans="2:11" x14ac:dyDescent="0.25">
      <c r="B4159"/>
      <c r="K4159"/>
    </row>
    <row r="4160" spans="2:11" x14ac:dyDescent="0.25">
      <c r="B4160"/>
      <c r="K4160"/>
    </row>
    <row r="4161" spans="2:11" x14ac:dyDescent="0.25">
      <c r="B4161"/>
      <c r="K4161"/>
    </row>
    <row r="4162" spans="2:11" x14ac:dyDescent="0.25">
      <c r="B4162"/>
      <c r="K4162"/>
    </row>
    <row r="4163" spans="2:11" x14ac:dyDescent="0.25">
      <c r="B4163"/>
      <c r="K4163"/>
    </row>
    <row r="4164" spans="2:11" x14ac:dyDescent="0.25">
      <c r="B4164"/>
      <c r="K4164"/>
    </row>
    <row r="4165" spans="2:11" x14ac:dyDescent="0.25">
      <c r="B4165"/>
      <c r="K4165"/>
    </row>
    <row r="4166" spans="2:11" x14ac:dyDescent="0.25">
      <c r="B4166"/>
      <c r="K4166"/>
    </row>
    <row r="4167" spans="2:11" x14ac:dyDescent="0.25">
      <c r="B4167"/>
      <c r="K4167"/>
    </row>
    <row r="4168" spans="2:11" x14ac:dyDescent="0.25">
      <c r="B4168"/>
      <c r="K4168"/>
    </row>
    <row r="4169" spans="2:11" x14ac:dyDescent="0.25">
      <c r="B4169"/>
      <c r="K4169"/>
    </row>
    <row r="4170" spans="2:11" x14ac:dyDescent="0.25">
      <c r="B4170"/>
      <c r="K4170"/>
    </row>
    <row r="4171" spans="2:11" x14ac:dyDescent="0.25">
      <c r="B4171"/>
      <c r="K4171"/>
    </row>
    <row r="4172" spans="2:11" x14ac:dyDescent="0.25">
      <c r="B4172"/>
      <c r="K4172"/>
    </row>
    <row r="4173" spans="2:11" x14ac:dyDescent="0.25">
      <c r="B4173"/>
      <c r="K4173"/>
    </row>
    <row r="4174" spans="2:11" x14ac:dyDescent="0.25">
      <c r="B4174"/>
      <c r="K4174"/>
    </row>
    <row r="4175" spans="2:11" x14ac:dyDescent="0.25">
      <c r="B4175"/>
      <c r="K4175"/>
    </row>
    <row r="4176" spans="2:11" x14ac:dyDescent="0.25">
      <c r="B4176"/>
      <c r="K4176"/>
    </row>
    <row r="4177" spans="2:11" x14ac:dyDescent="0.25">
      <c r="B4177"/>
      <c r="K4177"/>
    </row>
    <row r="4178" spans="2:11" x14ac:dyDescent="0.25">
      <c r="B4178"/>
      <c r="K4178"/>
    </row>
    <row r="4179" spans="2:11" x14ac:dyDescent="0.25">
      <c r="B4179"/>
      <c r="K4179"/>
    </row>
    <row r="4180" spans="2:11" x14ac:dyDescent="0.25">
      <c r="B4180"/>
      <c r="K4180"/>
    </row>
    <row r="4181" spans="2:11" x14ac:dyDescent="0.25">
      <c r="B4181"/>
      <c r="K4181"/>
    </row>
    <row r="4182" spans="2:11" x14ac:dyDescent="0.25">
      <c r="B4182"/>
      <c r="K4182"/>
    </row>
    <row r="4183" spans="2:11" x14ac:dyDescent="0.25">
      <c r="B4183"/>
      <c r="K4183"/>
    </row>
    <row r="4184" spans="2:11" x14ac:dyDescent="0.25">
      <c r="B4184"/>
      <c r="K4184"/>
    </row>
    <row r="4185" spans="2:11" x14ac:dyDescent="0.25">
      <c r="B4185"/>
      <c r="K4185"/>
    </row>
    <row r="4186" spans="2:11" x14ac:dyDescent="0.25">
      <c r="B4186"/>
      <c r="K4186"/>
    </row>
    <row r="4187" spans="2:11" x14ac:dyDescent="0.25">
      <c r="B4187"/>
      <c r="K4187"/>
    </row>
    <row r="4188" spans="2:11" x14ac:dyDescent="0.25">
      <c r="B4188"/>
      <c r="K4188"/>
    </row>
    <row r="4189" spans="2:11" x14ac:dyDescent="0.25">
      <c r="B4189"/>
      <c r="K4189"/>
    </row>
    <row r="4190" spans="2:11" x14ac:dyDescent="0.25">
      <c r="B4190"/>
      <c r="K4190"/>
    </row>
    <row r="4191" spans="2:11" x14ac:dyDescent="0.25">
      <c r="B4191"/>
      <c r="K4191"/>
    </row>
    <row r="4192" spans="2:11" x14ac:dyDescent="0.25">
      <c r="B4192"/>
      <c r="K4192"/>
    </row>
    <row r="4193" spans="2:11" x14ac:dyDescent="0.25">
      <c r="B4193"/>
      <c r="K4193"/>
    </row>
    <row r="4194" spans="2:11" x14ac:dyDescent="0.25">
      <c r="B4194"/>
      <c r="K4194"/>
    </row>
    <row r="4195" spans="2:11" x14ac:dyDescent="0.25">
      <c r="B4195"/>
      <c r="K4195"/>
    </row>
    <row r="4196" spans="2:11" x14ac:dyDescent="0.25">
      <c r="B4196"/>
      <c r="K4196"/>
    </row>
    <row r="4197" spans="2:11" x14ac:dyDescent="0.25">
      <c r="B4197"/>
      <c r="K4197"/>
    </row>
    <row r="4198" spans="2:11" x14ac:dyDescent="0.25">
      <c r="B4198"/>
      <c r="K4198"/>
    </row>
    <row r="4199" spans="2:11" x14ac:dyDescent="0.25">
      <c r="B4199"/>
      <c r="K4199"/>
    </row>
    <row r="4200" spans="2:11" x14ac:dyDescent="0.25">
      <c r="B4200"/>
      <c r="K4200"/>
    </row>
    <row r="4201" spans="2:11" x14ac:dyDescent="0.25">
      <c r="B4201"/>
      <c r="K4201"/>
    </row>
    <row r="4202" spans="2:11" x14ac:dyDescent="0.25">
      <c r="B4202"/>
      <c r="K4202"/>
    </row>
    <row r="4203" spans="2:11" x14ac:dyDescent="0.25">
      <c r="B4203"/>
      <c r="K4203"/>
    </row>
    <row r="4204" spans="2:11" x14ac:dyDescent="0.25">
      <c r="B4204"/>
      <c r="K4204"/>
    </row>
    <row r="4205" spans="2:11" x14ac:dyDescent="0.25">
      <c r="B4205"/>
      <c r="K4205"/>
    </row>
    <row r="4206" spans="2:11" x14ac:dyDescent="0.25">
      <c r="B4206"/>
      <c r="K4206"/>
    </row>
    <row r="4207" spans="2:11" x14ac:dyDescent="0.25">
      <c r="B4207"/>
      <c r="K4207"/>
    </row>
    <row r="4208" spans="2:11" x14ac:dyDescent="0.25">
      <c r="B4208"/>
      <c r="K4208"/>
    </row>
    <row r="4209" spans="2:11" x14ac:dyDescent="0.25">
      <c r="B4209"/>
      <c r="K4209"/>
    </row>
    <row r="4210" spans="2:11" x14ac:dyDescent="0.25">
      <c r="B4210"/>
      <c r="K4210"/>
    </row>
    <row r="4211" spans="2:11" x14ac:dyDescent="0.25">
      <c r="B4211"/>
      <c r="K4211"/>
    </row>
    <row r="4212" spans="2:11" x14ac:dyDescent="0.25">
      <c r="B4212"/>
      <c r="K4212"/>
    </row>
    <row r="4213" spans="2:11" x14ac:dyDescent="0.25">
      <c r="B4213"/>
      <c r="K4213"/>
    </row>
    <row r="4214" spans="2:11" x14ac:dyDescent="0.25">
      <c r="B4214"/>
      <c r="K4214"/>
    </row>
    <row r="4215" spans="2:11" x14ac:dyDescent="0.25">
      <c r="B4215"/>
      <c r="K4215"/>
    </row>
    <row r="4216" spans="2:11" x14ac:dyDescent="0.25">
      <c r="B4216"/>
      <c r="K4216"/>
    </row>
    <row r="4217" spans="2:11" x14ac:dyDescent="0.25">
      <c r="B4217"/>
      <c r="K4217"/>
    </row>
    <row r="4218" spans="2:11" x14ac:dyDescent="0.25">
      <c r="B4218"/>
      <c r="K4218"/>
    </row>
    <row r="4219" spans="2:11" x14ac:dyDescent="0.25">
      <c r="B4219"/>
      <c r="K4219"/>
    </row>
    <row r="4220" spans="2:11" x14ac:dyDescent="0.25">
      <c r="B4220"/>
      <c r="K4220"/>
    </row>
    <row r="4221" spans="2:11" x14ac:dyDescent="0.25">
      <c r="B4221"/>
      <c r="K4221"/>
    </row>
    <row r="4222" spans="2:11" x14ac:dyDescent="0.25">
      <c r="B4222"/>
      <c r="K4222"/>
    </row>
    <row r="4223" spans="2:11" x14ac:dyDescent="0.25">
      <c r="B4223"/>
      <c r="K4223"/>
    </row>
    <row r="4224" spans="2:11" x14ac:dyDescent="0.25">
      <c r="B4224"/>
      <c r="K4224"/>
    </row>
    <row r="4225" spans="2:11" x14ac:dyDescent="0.25">
      <c r="B4225"/>
      <c r="K4225"/>
    </row>
    <row r="4226" spans="2:11" x14ac:dyDescent="0.25">
      <c r="B4226"/>
      <c r="K4226"/>
    </row>
    <row r="4227" spans="2:11" x14ac:dyDescent="0.25">
      <c r="B4227"/>
      <c r="K4227"/>
    </row>
    <row r="4228" spans="2:11" x14ac:dyDescent="0.25">
      <c r="B4228"/>
      <c r="K4228"/>
    </row>
    <row r="4229" spans="2:11" x14ac:dyDescent="0.25">
      <c r="B4229"/>
      <c r="K4229"/>
    </row>
    <row r="4230" spans="2:11" x14ac:dyDescent="0.25">
      <c r="B4230"/>
      <c r="K4230"/>
    </row>
    <row r="4231" spans="2:11" x14ac:dyDescent="0.25">
      <c r="B4231"/>
      <c r="K4231"/>
    </row>
    <row r="4232" spans="2:11" x14ac:dyDescent="0.25">
      <c r="B4232"/>
      <c r="K4232"/>
    </row>
    <row r="4233" spans="2:11" x14ac:dyDescent="0.25">
      <c r="B4233"/>
      <c r="K4233"/>
    </row>
    <row r="4234" spans="2:11" x14ac:dyDescent="0.25">
      <c r="B4234"/>
      <c r="K4234"/>
    </row>
    <row r="4235" spans="2:11" x14ac:dyDescent="0.25">
      <c r="B4235"/>
      <c r="K4235"/>
    </row>
    <row r="4236" spans="2:11" x14ac:dyDescent="0.25">
      <c r="B4236"/>
      <c r="K4236"/>
    </row>
    <row r="4237" spans="2:11" x14ac:dyDescent="0.25">
      <c r="B4237"/>
      <c r="K4237"/>
    </row>
    <row r="4238" spans="2:11" x14ac:dyDescent="0.25">
      <c r="B4238"/>
      <c r="K4238"/>
    </row>
    <row r="4239" spans="2:11" x14ac:dyDescent="0.25">
      <c r="B4239"/>
      <c r="K4239"/>
    </row>
    <row r="4240" spans="2:11" x14ac:dyDescent="0.25">
      <c r="B4240"/>
      <c r="K4240"/>
    </row>
    <row r="4241" spans="2:11" x14ac:dyDescent="0.25">
      <c r="B4241"/>
      <c r="K4241"/>
    </row>
    <row r="4242" spans="2:11" x14ac:dyDescent="0.25">
      <c r="B4242"/>
      <c r="K4242"/>
    </row>
    <row r="4243" spans="2:11" x14ac:dyDescent="0.25">
      <c r="B4243"/>
      <c r="K4243"/>
    </row>
    <row r="4244" spans="2:11" x14ac:dyDescent="0.25">
      <c r="B4244"/>
      <c r="K4244"/>
    </row>
    <row r="4245" spans="2:11" x14ac:dyDescent="0.25">
      <c r="B4245"/>
      <c r="K4245"/>
    </row>
    <row r="4246" spans="2:11" x14ac:dyDescent="0.25">
      <c r="B4246"/>
      <c r="K4246"/>
    </row>
    <row r="4247" spans="2:11" x14ac:dyDescent="0.25">
      <c r="B4247"/>
      <c r="K4247"/>
    </row>
    <row r="4248" spans="2:11" x14ac:dyDescent="0.25">
      <c r="B4248"/>
      <c r="K4248"/>
    </row>
    <row r="4249" spans="2:11" x14ac:dyDescent="0.25">
      <c r="B4249"/>
      <c r="K4249"/>
    </row>
    <row r="4250" spans="2:11" x14ac:dyDescent="0.25">
      <c r="B4250"/>
      <c r="K4250"/>
    </row>
    <row r="4251" spans="2:11" x14ac:dyDescent="0.25">
      <c r="B4251"/>
      <c r="K4251"/>
    </row>
    <row r="4252" spans="2:11" x14ac:dyDescent="0.25">
      <c r="B4252"/>
      <c r="K4252"/>
    </row>
    <row r="4253" spans="2:11" x14ac:dyDescent="0.25">
      <c r="B4253"/>
      <c r="K4253"/>
    </row>
    <row r="4254" spans="2:11" x14ac:dyDescent="0.25">
      <c r="B4254"/>
      <c r="K4254"/>
    </row>
    <row r="4255" spans="2:11" x14ac:dyDescent="0.25">
      <c r="B4255"/>
      <c r="K4255"/>
    </row>
    <row r="4256" spans="2:11" x14ac:dyDescent="0.25">
      <c r="B4256"/>
      <c r="K4256"/>
    </row>
    <row r="4257" spans="2:11" x14ac:dyDescent="0.25">
      <c r="B4257"/>
      <c r="K4257"/>
    </row>
    <row r="4258" spans="2:11" x14ac:dyDescent="0.25">
      <c r="B4258"/>
      <c r="K4258"/>
    </row>
    <row r="4259" spans="2:11" x14ac:dyDescent="0.25">
      <c r="B4259"/>
      <c r="K4259"/>
    </row>
    <row r="4260" spans="2:11" x14ac:dyDescent="0.25">
      <c r="B4260"/>
      <c r="K4260"/>
    </row>
    <row r="4261" spans="2:11" x14ac:dyDescent="0.25">
      <c r="B4261"/>
      <c r="K4261"/>
    </row>
    <row r="4262" spans="2:11" x14ac:dyDescent="0.25">
      <c r="B4262"/>
      <c r="K4262"/>
    </row>
    <row r="4263" spans="2:11" x14ac:dyDescent="0.25">
      <c r="B4263"/>
      <c r="K4263"/>
    </row>
    <row r="4264" spans="2:11" x14ac:dyDescent="0.25">
      <c r="B4264"/>
      <c r="K4264"/>
    </row>
    <row r="4265" spans="2:11" x14ac:dyDescent="0.25">
      <c r="B4265"/>
      <c r="K4265"/>
    </row>
    <row r="4266" spans="2:11" x14ac:dyDescent="0.25">
      <c r="B4266"/>
      <c r="K4266"/>
    </row>
    <row r="4267" spans="2:11" x14ac:dyDescent="0.25">
      <c r="B4267"/>
      <c r="K4267"/>
    </row>
    <row r="4268" spans="2:11" x14ac:dyDescent="0.25">
      <c r="B4268"/>
      <c r="K4268"/>
    </row>
    <row r="4269" spans="2:11" x14ac:dyDescent="0.25">
      <c r="B4269"/>
      <c r="K4269"/>
    </row>
    <row r="4270" spans="2:11" x14ac:dyDescent="0.25">
      <c r="B4270"/>
      <c r="K4270"/>
    </row>
    <row r="4271" spans="2:11" x14ac:dyDescent="0.25">
      <c r="B4271"/>
      <c r="K4271"/>
    </row>
    <row r="4272" spans="2:11" x14ac:dyDescent="0.25">
      <c r="B4272"/>
      <c r="K4272"/>
    </row>
    <row r="4273" spans="2:11" x14ac:dyDescent="0.25">
      <c r="B4273"/>
      <c r="K4273"/>
    </row>
    <row r="4274" spans="2:11" x14ac:dyDescent="0.25">
      <c r="B4274"/>
      <c r="K4274"/>
    </row>
    <row r="4275" spans="2:11" x14ac:dyDescent="0.25">
      <c r="B4275"/>
      <c r="K4275"/>
    </row>
    <row r="4276" spans="2:11" x14ac:dyDescent="0.25">
      <c r="B4276"/>
      <c r="K4276"/>
    </row>
    <row r="4277" spans="2:11" x14ac:dyDescent="0.25">
      <c r="B4277"/>
      <c r="K4277"/>
    </row>
    <row r="4278" spans="2:11" x14ac:dyDescent="0.25">
      <c r="B4278"/>
      <c r="K4278"/>
    </row>
    <row r="4279" spans="2:11" x14ac:dyDescent="0.25">
      <c r="B4279"/>
      <c r="K4279"/>
    </row>
    <row r="4280" spans="2:11" x14ac:dyDescent="0.25">
      <c r="B4280"/>
      <c r="K4280"/>
    </row>
    <row r="4281" spans="2:11" x14ac:dyDescent="0.25">
      <c r="B4281"/>
      <c r="K4281"/>
    </row>
    <row r="4282" spans="2:11" x14ac:dyDescent="0.25">
      <c r="B4282"/>
      <c r="K4282"/>
    </row>
    <row r="4283" spans="2:11" x14ac:dyDescent="0.25">
      <c r="B4283"/>
      <c r="K4283"/>
    </row>
    <row r="4284" spans="2:11" x14ac:dyDescent="0.25">
      <c r="B4284"/>
      <c r="K4284"/>
    </row>
    <row r="4285" spans="2:11" x14ac:dyDescent="0.25">
      <c r="B4285"/>
      <c r="K4285"/>
    </row>
    <row r="4286" spans="2:11" x14ac:dyDescent="0.25">
      <c r="B4286"/>
      <c r="K4286"/>
    </row>
    <row r="4287" spans="2:11" x14ac:dyDescent="0.25">
      <c r="B4287"/>
      <c r="K4287"/>
    </row>
    <row r="4288" spans="2:11" x14ac:dyDescent="0.25">
      <c r="B4288"/>
      <c r="K4288"/>
    </row>
    <row r="4289" spans="2:11" x14ac:dyDescent="0.25">
      <c r="B4289"/>
      <c r="K4289"/>
    </row>
    <row r="4290" spans="2:11" x14ac:dyDescent="0.25">
      <c r="B4290"/>
      <c r="K4290"/>
    </row>
    <row r="4291" spans="2:11" x14ac:dyDescent="0.25">
      <c r="B4291"/>
      <c r="K4291"/>
    </row>
    <row r="4292" spans="2:11" x14ac:dyDescent="0.25">
      <c r="B4292"/>
      <c r="K4292"/>
    </row>
    <row r="4293" spans="2:11" x14ac:dyDescent="0.25">
      <c r="B4293"/>
      <c r="K4293"/>
    </row>
    <row r="4294" spans="2:11" x14ac:dyDescent="0.25">
      <c r="B4294"/>
      <c r="K4294"/>
    </row>
    <row r="4295" spans="2:11" x14ac:dyDescent="0.25">
      <c r="B4295"/>
      <c r="K4295"/>
    </row>
    <row r="4296" spans="2:11" x14ac:dyDescent="0.25">
      <c r="B4296"/>
      <c r="K4296"/>
    </row>
    <row r="4297" spans="2:11" x14ac:dyDescent="0.25">
      <c r="B4297"/>
      <c r="K4297"/>
    </row>
    <row r="4298" spans="2:11" x14ac:dyDescent="0.25">
      <c r="B4298"/>
      <c r="K4298"/>
    </row>
    <row r="4299" spans="2:11" x14ac:dyDescent="0.25">
      <c r="B4299"/>
      <c r="K4299"/>
    </row>
    <row r="4300" spans="2:11" x14ac:dyDescent="0.25">
      <c r="B4300"/>
      <c r="K4300"/>
    </row>
    <row r="4301" spans="2:11" x14ac:dyDescent="0.25">
      <c r="B4301"/>
      <c r="K4301"/>
    </row>
    <row r="4302" spans="2:11" x14ac:dyDescent="0.25">
      <c r="B4302"/>
      <c r="K4302"/>
    </row>
    <row r="4303" spans="2:11" x14ac:dyDescent="0.25">
      <c r="B4303"/>
      <c r="K4303"/>
    </row>
    <row r="4304" spans="2:11" x14ac:dyDescent="0.25">
      <c r="B4304"/>
      <c r="K4304"/>
    </row>
    <row r="4305" spans="2:11" x14ac:dyDescent="0.25">
      <c r="B4305"/>
      <c r="K4305"/>
    </row>
    <row r="4306" spans="2:11" x14ac:dyDescent="0.25">
      <c r="B4306"/>
      <c r="K4306"/>
    </row>
    <row r="4307" spans="2:11" x14ac:dyDescent="0.25">
      <c r="B4307"/>
      <c r="K4307"/>
    </row>
    <row r="4308" spans="2:11" x14ac:dyDescent="0.25">
      <c r="B4308"/>
      <c r="K4308"/>
    </row>
    <row r="4309" spans="2:11" x14ac:dyDescent="0.25">
      <c r="B4309"/>
      <c r="K4309"/>
    </row>
    <row r="4310" spans="2:11" x14ac:dyDescent="0.25">
      <c r="B4310"/>
      <c r="K4310"/>
    </row>
    <row r="4311" spans="2:11" x14ac:dyDescent="0.25">
      <c r="B4311"/>
      <c r="K4311"/>
    </row>
    <row r="4312" spans="2:11" x14ac:dyDescent="0.25">
      <c r="B4312"/>
      <c r="K4312"/>
    </row>
    <row r="4313" spans="2:11" x14ac:dyDescent="0.25">
      <c r="B4313"/>
      <c r="K4313"/>
    </row>
    <row r="4314" spans="2:11" x14ac:dyDescent="0.25">
      <c r="B4314"/>
      <c r="K4314"/>
    </row>
    <row r="4315" spans="2:11" x14ac:dyDescent="0.25">
      <c r="B4315"/>
      <c r="K4315"/>
    </row>
    <row r="4316" spans="2:11" x14ac:dyDescent="0.25">
      <c r="B4316"/>
      <c r="K4316"/>
    </row>
    <row r="4317" spans="2:11" x14ac:dyDescent="0.25">
      <c r="B4317"/>
      <c r="K4317"/>
    </row>
    <row r="4318" spans="2:11" x14ac:dyDescent="0.25">
      <c r="B4318"/>
      <c r="K4318"/>
    </row>
    <row r="4319" spans="2:11" x14ac:dyDescent="0.25">
      <c r="B4319"/>
      <c r="K4319"/>
    </row>
    <row r="4320" spans="2:11" x14ac:dyDescent="0.25">
      <c r="B4320"/>
      <c r="K4320"/>
    </row>
    <row r="4321" spans="2:11" x14ac:dyDescent="0.25">
      <c r="B4321"/>
      <c r="K4321"/>
    </row>
    <row r="4322" spans="2:11" x14ac:dyDescent="0.25">
      <c r="B4322"/>
      <c r="K4322"/>
    </row>
    <row r="4323" spans="2:11" x14ac:dyDescent="0.25">
      <c r="B4323"/>
      <c r="K4323"/>
    </row>
    <row r="4324" spans="2:11" x14ac:dyDescent="0.25">
      <c r="B4324"/>
      <c r="K4324"/>
    </row>
    <row r="4325" spans="2:11" x14ac:dyDescent="0.25">
      <c r="B4325"/>
      <c r="K4325"/>
    </row>
    <row r="4326" spans="2:11" x14ac:dyDescent="0.25">
      <c r="B4326"/>
      <c r="K4326"/>
    </row>
    <row r="4327" spans="2:11" x14ac:dyDescent="0.25">
      <c r="B4327"/>
      <c r="K4327"/>
    </row>
    <row r="4328" spans="2:11" x14ac:dyDescent="0.25">
      <c r="B4328"/>
      <c r="K4328"/>
    </row>
    <row r="4329" spans="2:11" x14ac:dyDescent="0.25">
      <c r="B4329"/>
      <c r="K4329"/>
    </row>
    <row r="4330" spans="2:11" x14ac:dyDescent="0.25">
      <c r="B4330"/>
      <c r="K4330"/>
    </row>
    <row r="4331" spans="2:11" x14ac:dyDescent="0.25">
      <c r="B4331"/>
      <c r="K4331"/>
    </row>
    <row r="4332" spans="2:11" x14ac:dyDescent="0.25">
      <c r="B4332"/>
      <c r="K4332"/>
    </row>
    <row r="4333" spans="2:11" x14ac:dyDescent="0.25">
      <c r="B4333"/>
      <c r="K4333"/>
    </row>
    <row r="4334" spans="2:11" x14ac:dyDescent="0.25">
      <c r="B4334"/>
      <c r="K4334"/>
    </row>
    <row r="4335" spans="2:11" x14ac:dyDescent="0.25">
      <c r="B4335"/>
      <c r="K4335"/>
    </row>
    <row r="4336" spans="2:11" x14ac:dyDescent="0.25">
      <c r="B4336"/>
      <c r="K4336"/>
    </row>
    <row r="4337" spans="2:11" x14ac:dyDescent="0.25">
      <c r="B4337"/>
      <c r="K4337"/>
    </row>
    <row r="4338" spans="2:11" x14ac:dyDescent="0.25">
      <c r="B4338"/>
      <c r="K4338"/>
    </row>
    <row r="4339" spans="2:11" x14ac:dyDescent="0.25">
      <c r="B4339"/>
      <c r="K4339"/>
    </row>
    <row r="4340" spans="2:11" x14ac:dyDescent="0.25">
      <c r="B4340"/>
      <c r="K4340"/>
    </row>
    <row r="4341" spans="2:11" x14ac:dyDescent="0.25">
      <c r="B4341"/>
      <c r="K4341"/>
    </row>
    <row r="4342" spans="2:11" x14ac:dyDescent="0.25">
      <c r="B4342"/>
      <c r="K4342"/>
    </row>
    <row r="4343" spans="2:11" x14ac:dyDescent="0.25">
      <c r="B4343"/>
      <c r="K4343"/>
    </row>
    <row r="4344" spans="2:11" x14ac:dyDescent="0.25">
      <c r="B4344"/>
      <c r="K4344"/>
    </row>
    <row r="4345" spans="2:11" x14ac:dyDescent="0.25">
      <c r="B4345"/>
      <c r="K4345"/>
    </row>
    <row r="4346" spans="2:11" x14ac:dyDescent="0.25">
      <c r="B4346"/>
      <c r="K4346"/>
    </row>
    <row r="4347" spans="2:11" x14ac:dyDescent="0.25">
      <c r="B4347"/>
      <c r="K4347"/>
    </row>
    <row r="4348" spans="2:11" x14ac:dyDescent="0.25">
      <c r="B4348"/>
      <c r="K4348"/>
    </row>
    <row r="4349" spans="2:11" x14ac:dyDescent="0.25">
      <c r="B4349"/>
      <c r="K4349"/>
    </row>
    <row r="4350" spans="2:11" x14ac:dyDescent="0.25">
      <c r="B4350"/>
      <c r="K4350"/>
    </row>
    <row r="4351" spans="2:11" x14ac:dyDescent="0.25">
      <c r="B4351"/>
      <c r="K4351"/>
    </row>
    <row r="4352" spans="2:11" x14ac:dyDescent="0.25">
      <c r="B4352"/>
      <c r="K4352"/>
    </row>
    <row r="4353" spans="2:11" x14ac:dyDescent="0.25">
      <c r="B4353"/>
      <c r="K4353"/>
    </row>
    <row r="4354" spans="2:11" x14ac:dyDescent="0.25">
      <c r="B4354"/>
      <c r="K4354"/>
    </row>
    <row r="4355" spans="2:11" x14ac:dyDescent="0.25">
      <c r="B4355"/>
      <c r="K4355"/>
    </row>
    <row r="4356" spans="2:11" x14ac:dyDescent="0.25">
      <c r="B4356"/>
      <c r="K4356"/>
    </row>
    <row r="4357" spans="2:11" x14ac:dyDescent="0.25">
      <c r="B4357"/>
      <c r="K4357"/>
    </row>
    <row r="4358" spans="2:11" x14ac:dyDescent="0.25">
      <c r="B4358"/>
      <c r="K4358"/>
    </row>
    <row r="4359" spans="2:11" x14ac:dyDescent="0.25">
      <c r="B4359"/>
      <c r="K4359"/>
    </row>
    <row r="4360" spans="2:11" x14ac:dyDescent="0.25">
      <c r="B4360"/>
      <c r="K4360"/>
    </row>
    <row r="4361" spans="2:11" x14ac:dyDescent="0.25">
      <c r="B4361"/>
      <c r="K4361"/>
    </row>
    <row r="4362" spans="2:11" x14ac:dyDescent="0.25">
      <c r="B4362"/>
      <c r="K4362"/>
    </row>
    <row r="4363" spans="2:11" x14ac:dyDescent="0.25">
      <c r="B4363"/>
      <c r="K4363"/>
    </row>
    <row r="4364" spans="2:11" x14ac:dyDescent="0.25">
      <c r="B4364"/>
      <c r="K4364"/>
    </row>
    <row r="4365" spans="2:11" x14ac:dyDescent="0.25">
      <c r="B4365"/>
      <c r="K4365"/>
    </row>
    <row r="4366" spans="2:11" x14ac:dyDescent="0.25">
      <c r="B4366"/>
      <c r="K4366"/>
    </row>
    <row r="4367" spans="2:11" x14ac:dyDescent="0.25">
      <c r="B4367"/>
      <c r="K4367"/>
    </row>
    <row r="4368" spans="2:11" x14ac:dyDescent="0.25">
      <c r="B4368"/>
      <c r="K4368"/>
    </row>
    <row r="4369" spans="2:11" x14ac:dyDescent="0.25">
      <c r="B4369"/>
      <c r="K4369"/>
    </row>
    <row r="4370" spans="2:11" x14ac:dyDescent="0.25">
      <c r="B4370"/>
      <c r="K4370"/>
    </row>
    <row r="4371" spans="2:11" x14ac:dyDescent="0.25">
      <c r="B4371"/>
      <c r="K4371"/>
    </row>
    <row r="4372" spans="2:11" x14ac:dyDescent="0.25">
      <c r="B4372"/>
      <c r="K4372"/>
    </row>
    <row r="4373" spans="2:11" x14ac:dyDescent="0.25">
      <c r="B4373"/>
      <c r="K4373"/>
    </row>
    <row r="4374" spans="2:11" x14ac:dyDescent="0.25">
      <c r="B4374"/>
      <c r="K4374"/>
    </row>
    <row r="4375" spans="2:11" x14ac:dyDescent="0.25">
      <c r="B4375"/>
      <c r="K4375"/>
    </row>
    <row r="4376" spans="2:11" x14ac:dyDescent="0.25">
      <c r="B4376"/>
      <c r="K4376"/>
    </row>
    <row r="4377" spans="2:11" x14ac:dyDescent="0.25">
      <c r="B4377"/>
      <c r="K4377"/>
    </row>
    <row r="4378" spans="2:11" x14ac:dyDescent="0.25">
      <c r="B4378"/>
      <c r="K4378"/>
    </row>
    <row r="4379" spans="2:11" x14ac:dyDescent="0.25">
      <c r="B4379"/>
      <c r="K4379"/>
    </row>
    <row r="4380" spans="2:11" x14ac:dyDescent="0.25">
      <c r="B4380"/>
      <c r="K4380"/>
    </row>
    <row r="4381" spans="2:11" x14ac:dyDescent="0.25">
      <c r="B4381"/>
      <c r="K4381"/>
    </row>
    <row r="4382" spans="2:11" x14ac:dyDescent="0.25">
      <c r="B4382"/>
      <c r="K4382"/>
    </row>
    <row r="4383" spans="2:11" x14ac:dyDescent="0.25">
      <c r="B4383"/>
      <c r="K4383"/>
    </row>
    <row r="4384" spans="2:11" x14ac:dyDescent="0.25">
      <c r="B4384"/>
      <c r="K4384"/>
    </row>
    <row r="4385" spans="2:11" x14ac:dyDescent="0.25">
      <c r="B4385"/>
      <c r="K4385"/>
    </row>
    <row r="4386" spans="2:11" x14ac:dyDescent="0.25">
      <c r="B4386"/>
      <c r="K4386"/>
    </row>
    <row r="4387" spans="2:11" x14ac:dyDescent="0.25">
      <c r="B4387"/>
      <c r="K4387"/>
    </row>
    <row r="4388" spans="2:11" x14ac:dyDescent="0.25">
      <c r="B4388"/>
      <c r="K4388"/>
    </row>
    <row r="4389" spans="2:11" x14ac:dyDescent="0.25">
      <c r="B4389"/>
      <c r="K4389"/>
    </row>
    <row r="4390" spans="2:11" x14ac:dyDescent="0.25">
      <c r="B4390"/>
      <c r="K4390"/>
    </row>
    <row r="4391" spans="2:11" x14ac:dyDescent="0.25">
      <c r="B4391"/>
      <c r="K4391"/>
    </row>
    <row r="4392" spans="2:11" x14ac:dyDescent="0.25">
      <c r="B4392"/>
      <c r="K4392"/>
    </row>
    <row r="4393" spans="2:11" x14ac:dyDescent="0.25">
      <c r="B4393"/>
      <c r="K4393"/>
    </row>
    <row r="4394" spans="2:11" x14ac:dyDescent="0.25">
      <c r="B4394"/>
      <c r="K4394"/>
    </row>
    <row r="4395" spans="2:11" x14ac:dyDescent="0.25">
      <c r="B4395"/>
      <c r="K4395"/>
    </row>
    <row r="4396" spans="2:11" x14ac:dyDescent="0.25">
      <c r="B4396"/>
      <c r="K4396"/>
    </row>
    <row r="4397" spans="2:11" x14ac:dyDescent="0.25">
      <c r="B4397"/>
      <c r="K4397"/>
    </row>
    <row r="4398" spans="2:11" x14ac:dyDescent="0.25">
      <c r="B4398"/>
      <c r="K4398"/>
    </row>
    <row r="4399" spans="2:11" x14ac:dyDescent="0.25">
      <c r="B4399"/>
      <c r="K4399"/>
    </row>
    <row r="4400" spans="2:11" x14ac:dyDescent="0.25">
      <c r="B4400"/>
      <c r="K4400"/>
    </row>
    <row r="4401" spans="2:11" x14ac:dyDescent="0.25">
      <c r="B4401"/>
      <c r="K4401"/>
    </row>
    <row r="4402" spans="2:11" x14ac:dyDescent="0.25">
      <c r="B4402"/>
      <c r="K4402"/>
    </row>
    <row r="4403" spans="2:11" x14ac:dyDescent="0.25">
      <c r="B4403"/>
      <c r="K4403"/>
    </row>
    <row r="4404" spans="2:11" x14ac:dyDescent="0.25">
      <c r="B4404"/>
      <c r="K4404"/>
    </row>
    <row r="4405" spans="2:11" x14ac:dyDescent="0.25">
      <c r="B4405"/>
      <c r="K4405"/>
    </row>
    <row r="4406" spans="2:11" x14ac:dyDescent="0.25">
      <c r="B4406"/>
      <c r="K4406"/>
    </row>
    <row r="4407" spans="2:11" x14ac:dyDescent="0.25">
      <c r="B4407"/>
      <c r="K4407"/>
    </row>
    <row r="4408" spans="2:11" x14ac:dyDescent="0.25">
      <c r="B4408"/>
      <c r="K4408"/>
    </row>
    <row r="4409" spans="2:11" x14ac:dyDescent="0.25">
      <c r="B4409"/>
      <c r="K4409"/>
    </row>
    <row r="4410" spans="2:11" x14ac:dyDescent="0.25">
      <c r="B4410"/>
      <c r="K4410"/>
    </row>
    <row r="4411" spans="2:11" x14ac:dyDescent="0.25">
      <c r="B4411"/>
      <c r="K4411"/>
    </row>
    <row r="4412" spans="2:11" x14ac:dyDescent="0.25">
      <c r="B4412"/>
      <c r="K4412"/>
    </row>
    <row r="4413" spans="2:11" x14ac:dyDescent="0.25">
      <c r="B4413"/>
      <c r="K4413"/>
    </row>
    <row r="4414" spans="2:11" x14ac:dyDescent="0.25">
      <c r="B4414"/>
      <c r="K4414"/>
    </row>
    <row r="4415" spans="2:11" x14ac:dyDescent="0.25">
      <c r="B4415"/>
      <c r="K4415"/>
    </row>
    <row r="4416" spans="2:11" x14ac:dyDescent="0.25">
      <c r="B4416"/>
      <c r="K4416"/>
    </row>
    <row r="4417" spans="2:11" x14ac:dyDescent="0.25">
      <c r="B4417"/>
      <c r="K4417"/>
    </row>
    <row r="4418" spans="2:11" x14ac:dyDescent="0.25">
      <c r="B4418"/>
      <c r="K4418"/>
    </row>
    <row r="4419" spans="2:11" x14ac:dyDescent="0.25">
      <c r="B4419"/>
      <c r="K4419"/>
    </row>
    <row r="4420" spans="2:11" x14ac:dyDescent="0.25">
      <c r="B4420"/>
      <c r="K4420"/>
    </row>
    <row r="4421" spans="2:11" x14ac:dyDescent="0.25">
      <c r="B4421"/>
      <c r="K4421"/>
    </row>
    <row r="4422" spans="2:11" x14ac:dyDescent="0.25">
      <c r="B4422"/>
      <c r="K4422"/>
    </row>
    <row r="4423" spans="2:11" x14ac:dyDescent="0.25">
      <c r="B4423"/>
      <c r="K4423"/>
    </row>
    <row r="4424" spans="2:11" x14ac:dyDescent="0.25">
      <c r="B4424"/>
      <c r="K4424"/>
    </row>
    <row r="4425" spans="2:11" x14ac:dyDescent="0.25">
      <c r="B4425"/>
      <c r="K4425"/>
    </row>
    <row r="4426" spans="2:11" x14ac:dyDescent="0.25">
      <c r="B4426"/>
      <c r="K4426"/>
    </row>
    <row r="4427" spans="2:11" x14ac:dyDescent="0.25">
      <c r="B4427"/>
      <c r="K4427"/>
    </row>
    <row r="4428" spans="2:11" x14ac:dyDescent="0.25">
      <c r="B4428"/>
      <c r="K4428"/>
    </row>
    <row r="4429" spans="2:11" x14ac:dyDescent="0.25">
      <c r="B4429"/>
      <c r="K4429"/>
    </row>
    <row r="4430" spans="2:11" x14ac:dyDescent="0.25">
      <c r="B4430"/>
      <c r="K4430"/>
    </row>
    <row r="4431" spans="2:11" x14ac:dyDescent="0.25">
      <c r="B4431"/>
      <c r="K4431"/>
    </row>
    <row r="4432" spans="2:11" x14ac:dyDescent="0.25">
      <c r="B4432"/>
      <c r="K4432"/>
    </row>
    <row r="4433" spans="2:11" x14ac:dyDescent="0.25">
      <c r="B4433"/>
      <c r="K4433"/>
    </row>
    <row r="4434" spans="2:11" x14ac:dyDescent="0.25">
      <c r="B4434"/>
      <c r="K4434"/>
    </row>
    <row r="4435" spans="2:11" x14ac:dyDescent="0.25">
      <c r="B4435"/>
      <c r="K4435"/>
    </row>
    <row r="4436" spans="2:11" x14ac:dyDescent="0.25">
      <c r="B4436"/>
      <c r="K4436"/>
    </row>
    <row r="4437" spans="2:11" x14ac:dyDescent="0.25">
      <c r="B4437"/>
      <c r="K4437"/>
    </row>
    <row r="4438" spans="2:11" x14ac:dyDescent="0.25">
      <c r="B4438"/>
      <c r="K4438"/>
    </row>
    <row r="4439" spans="2:11" x14ac:dyDescent="0.25">
      <c r="B4439"/>
      <c r="K4439"/>
    </row>
    <row r="4440" spans="2:11" x14ac:dyDescent="0.25">
      <c r="B4440"/>
      <c r="K4440"/>
    </row>
    <row r="4441" spans="2:11" x14ac:dyDescent="0.25">
      <c r="B4441"/>
      <c r="K4441"/>
    </row>
    <row r="4442" spans="2:11" x14ac:dyDescent="0.25">
      <c r="B4442"/>
      <c r="K4442"/>
    </row>
    <row r="4443" spans="2:11" x14ac:dyDescent="0.25">
      <c r="B4443"/>
      <c r="K4443"/>
    </row>
    <row r="4444" spans="2:11" x14ac:dyDescent="0.25">
      <c r="B4444"/>
      <c r="K4444"/>
    </row>
    <row r="4445" spans="2:11" x14ac:dyDescent="0.25">
      <c r="B4445"/>
      <c r="K4445"/>
    </row>
    <row r="4446" spans="2:11" x14ac:dyDescent="0.25">
      <c r="B4446"/>
      <c r="K4446"/>
    </row>
    <row r="4447" spans="2:11" x14ac:dyDescent="0.25">
      <c r="B4447"/>
      <c r="K4447"/>
    </row>
    <row r="4448" spans="2:11" x14ac:dyDescent="0.25">
      <c r="B4448"/>
      <c r="K4448"/>
    </row>
    <row r="4449" spans="2:11" x14ac:dyDescent="0.25">
      <c r="B4449"/>
      <c r="K4449"/>
    </row>
    <row r="4450" spans="2:11" x14ac:dyDescent="0.25">
      <c r="B4450"/>
      <c r="K4450"/>
    </row>
    <row r="4451" spans="2:11" x14ac:dyDescent="0.25">
      <c r="B4451"/>
      <c r="K4451"/>
    </row>
    <row r="4452" spans="2:11" x14ac:dyDescent="0.25">
      <c r="B4452"/>
      <c r="K4452"/>
    </row>
    <row r="4453" spans="2:11" x14ac:dyDescent="0.25">
      <c r="B4453"/>
      <c r="K4453"/>
    </row>
    <row r="4454" spans="2:11" x14ac:dyDescent="0.25">
      <c r="B4454"/>
      <c r="K4454"/>
    </row>
    <row r="4455" spans="2:11" x14ac:dyDescent="0.25">
      <c r="B4455"/>
      <c r="K4455"/>
    </row>
    <row r="4456" spans="2:11" x14ac:dyDescent="0.25">
      <c r="B4456"/>
      <c r="K4456"/>
    </row>
    <row r="4457" spans="2:11" x14ac:dyDescent="0.25">
      <c r="B4457"/>
      <c r="K4457"/>
    </row>
    <row r="4458" spans="2:11" x14ac:dyDescent="0.25">
      <c r="B4458"/>
      <c r="K4458"/>
    </row>
    <row r="4459" spans="2:11" x14ac:dyDescent="0.25">
      <c r="B4459"/>
      <c r="K4459"/>
    </row>
    <row r="4460" spans="2:11" x14ac:dyDescent="0.25">
      <c r="B4460"/>
      <c r="K4460"/>
    </row>
    <row r="4461" spans="2:11" x14ac:dyDescent="0.25">
      <c r="B4461"/>
      <c r="K4461"/>
    </row>
    <row r="4462" spans="2:11" x14ac:dyDescent="0.25">
      <c r="B4462"/>
      <c r="K4462"/>
    </row>
    <row r="4463" spans="2:11" x14ac:dyDescent="0.25">
      <c r="B4463"/>
      <c r="K4463"/>
    </row>
    <row r="4464" spans="2:11" x14ac:dyDescent="0.25">
      <c r="B4464"/>
      <c r="K4464"/>
    </row>
    <row r="4465" spans="2:11" x14ac:dyDescent="0.25">
      <c r="B4465"/>
      <c r="K4465"/>
    </row>
    <row r="4466" spans="2:11" x14ac:dyDescent="0.25">
      <c r="B4466"/>
      <c r="K4466"/>
    </row>
    <row r="4467" spans="2:11" x14ac:dyDescent="0.25">
      <c r="B4467"/>
      <c r="K4467"/>
    </row>
    <row r="4468" spans="2:11" x14ac:dyDescent="0.25">
      <c r="B4468"/>
      <c r="K4468"/>
    </row>
    <row r="4469" spans="2:11" x14ac:dyDescent="0.25">
      <c r="B4469"/>
      <c r="K4469"/>
    </row>
    <row r="4470" spans="2:11" x14ac:dyDescent="0.25">
      <c r="B4470"/>
      <c r="K4470"/>
    </row>
    <row r="4471" spans="2:11" x14ac:dyDescent="0.25">
      <c r="B4471"/>
      <c r="K4471"/>
    </row>
    <row r="4472" spans="2:11" x14ac:dyDescent="0.25">
      <c r="B4472"/>
      <c r="K4472"/>
    </row>
    <row r="4473" spans="2:11" x14ac:dyDescent="0.25">
      <c r="B4473"/>
      <c r="K4473"/>
    </row>
    <row r="4474" spans="2:11" x14ac:dyDescent="0.25">
      <c r="B4474"/>
      <c r="K4474"/>
    </row>
    <row r="4475" spans="2:11" x14ac:dyDescent="0.25">
      <c r="B4475"/>
      <c r="K4475"/>
    </row>
    <row r="4476" spans="2:11" x14ac:dyDescent="0.25">
      <c r="B4476"/>
      <c r="K4476"/>
    </row>
    <row r="4477" spans="2:11" x14ac:dyDescent="0.25">
      <c r="B4477"/>
      <c r="K4477"/>
    </row>
    <row r="4478" spans="2:11" x14ac:dyDescent="0.25">
      <c r="B4478"/>
      <c r="K4478"/>
    </row>
    <row r="4479" spans="2:11" x14ac:dyDescent="0.25">
      <c r="B4479"/>
      <c r="K4479"/>
    </row>
    <row r="4480" spans="2:11" x14ac:dyDescent="0.25">
      <c r="B4480"/>
      <c r="K4480"/>
    </row>
    <row r="4481" spans="2:11" x14ac:dyDescent="0.25">
      <c r="B4481"/>
      <c r="K4481"/>
    </row>
    <row r="4482" spans="2:11" x14ac:dyDescent="0.25">
      <c r="B4482"/>
      <c r="K4482"/>
    </row>
    <row r="4483" spans="2:11" x14ac:dyDescent="0.25">
      <c r="B4483"/>
      <c r="K4483"/>
    </row>
    <row r="4484" spans="2:11" x14ac:dyDescent="0.25">
      <c r="B4484"/>
      <c r="K4484"/>
    </row>
    <row r="4485" spans="2:11" x14ac:dyDescent="0.25">
      <c r="B4485"/>
      <c r="K4485"/>
    </row>
    <row r="4486" spans="2:11" x14ac:dyDescent="0.25">
      <c r="B4486"/>
      <c r="K4486"/>
    </row>
    <row r="4487" spans="2:11" x14ac:dyDescent="0.25">
      <c r="B4487"/>
      <c r="K4487"/>
    </row>
    <row r="4488" spans="2:11" x14ac:dyDescent="0.25">
      <c r="B4488"/>
      <c r="K4488"/>
    </row>
    <row r="4489" spans="2:11" x14ac:dyDescent="0.25">
      <c r="B4489"/>
      <c r="K4489"/>
    </row>
    <row r="4490" spans="2:11" x14ac:dyDescent="0.25">
      <c r="B4490"/>
      <c r="K4490"/>
    </row>
    <row r="4491" spans="2:11" x14ac:dyDescent="0.25">
      <c r="B4491"/>
      <c r="K4491"/>
    </row>
    <row r="4492" spans="2:11" x14ac:dyDescent="0.25">
      <c r="B4492"/>
      <c r="K4492"/>
    </row>
    <row r="4493" spans="2:11" x14ac:dyDescent="0.25">
      <c r="B4493"/>
      <c r="K4493"/>
    </row>
    <row r="4494" spans="2:11" x14ac:dyDescent="0.25">
      <c r="B4494"/>
      <c r="K4494"/>
    </row>
    <row r="4495" spans="2:11" x14ac:dyDescent="0.25">
      <c r="B4495"/>
      <c r="K4495"/>
    </row>
    <row r="4496" spans="2:11" x14ac:dyDescent="0.25">
      <c r="B4496"/>
      <c r="K4496"/>
    </row>
    <row r="4497" spans="2:11" x14ac:dyDescent="0.25">
      <c r="B4497"/>
      <c r="K4497"/>
    </row>
    <row r="4498" spans="2:11" x14ac:dyDescent="0.25">
      <c r="B4498"/>
      <c r="K4498"/>
    </row>
    <row r="4499" spans="2:11" x14ac:dyDescent="0.25">
      <c r="B4499"/>
      <c r="K4499"/>
    </row>
    <row r="4500" spans="2:11" x14ac:dyDescent="0.25">
      <c r="B4500"/>
      <c r="K4500"/>
    </row>
    <row r="4501" spans="2:11" x14ac:dyDescent="0.25">
      <c r="B4501"/>
      <c r="K4501"/>
    </row>
    <row r="4502" spans="2:11" x14ac:dyDescent="0.25">
      <c r="B4502"/>
      <c r="K4502"/>
    </row>
    <row r="4503" spans="2:11" x14ac:dyDescent="0.25">
      <c r="B4503"/>
      <c r="K4503"/>
    </row>
    <row r="4504" spans="2:11" x14ac:dyDescent="0.25">
      <c r="B4504"/>
      <c r="K4504"/>
    </row>
    <row r="4505" spans="2:11" x14ac:dyDescent="0.25">
      <c r="B4505"/>
      <c r="K4505"/>
    </row>
    <row r="4506" spans="2:11" x14ac:dyDescent="0.25">
      <c r="B4506"/>
      <c r="K4506"/>
    </row>
    <row r="4507" spans="2:11" x14ac:dyDescent="0.25">
      <c r="B4507"/>
      <c r="K4507"/>
    </row>
    <row r="4508" spans="2:11" x14ac:dyDescent="0.25">
      <c r="B4508"/>
      <c r="K4508"/>
    </row>
    <row r="4509" spans="2:11" x14ac:dyDescent="0.25">
      <c r="B4509"/>
      <c r="K4509"/>
    </row>
    <row r="4510" spans="2:11" x14ac:dyDescent="0.25">
      <c r="B4510"/>
      <c r="K4510"/>
    </row>
    <row r="4511" spans="2:11" x14ac:dyDescent="0.25">
      <c r="B4511"/>
      <c r="K4511"/>
    </row>
    <row r="4512" spans="2:11" x14ac:dyDescent="0.25">
      <c r="B4512"/>
      <c r="K4512"/>
    </row>
    <row r="4513" spans="2:11" x14ac:dyDescent="0.25">
      <c r="B4513"/>
      <c r="K4513"/>
    </row>
    <row r="4514" spans="2:11" x14ac:dyDescent="0.25">
      <c r="B4514"/>
      <c r="K4514"/>
    </row>
    <row r="4515" spans="2:11" x14ac:dyDescent="0.25">
      <c r="B4515"/>
      <c r="K4515"/>
    </row>
    <row r="4516" spans="2:11" x14ac:dyDescent="0.25">
      <c r="B4516"/>
      <c r="K4516"/>
    </row>
    <row r="4517" spans="2:11" x14ac:dyDescent="0.25">
      <c r="B4517"/>
      <c r="K4517"/>
    </row>
    <row r="4518" spans="2:11" x14ac:dyDescent="0.25">
      <c r="B4518"/>
      <c r="K4518"/>
    </row>
    <row r="4519" spans="2:11" x14ac:dyDescent="0.25">
      <c r="B4519"/>
      <c r="K4519"/>
    </row>
    <row r="4520" spans="2:11" x14ac:dyDescent="0.25">
      <c r="B4520"/>
      <c r="K4520"/>
    </row>
    <row r="4521" spans="2:11" x14ac:dyDescent="0.25">
      <c r="B4521"/>
      <c r="K4521"/>
    </row>
    <row r="4522" spans="2:11" x14ac:dyDescent="0.25">
      <c r="B4522"/>
      <c r="K4522"/>
    </row>
    <row r="4523" spans="2:11" x14ac:dyDescent="0.25">
      <c r="B4523"/>
      <c r="K4523"/>
    </row>
    <row r="4524" spans="2:11" x14ac:dyDescent="0.25">
      <c r="B4524"/>
      <c r="K4524"/>
    </row>
    <row r="4525" spans="2:11" x14ac:dyDescent="0.25">
      <c r="B4525"/>
      <c r="K4525"/>
    </row>
    <row r="4526" spans="2:11" x14ac:dyDescent="0.25">
      <c r="B4526"/>
      <c r="K4526"/>
    </row>
    <row r="4527" spans="2:11" x14ac:dyDescent="0.25">
      <c r="B4527"/>
      <c r="K4527"/>
    </row>
    <row r="4528" spans="2:11" x14ac:dyDescent="0.25">
      <c r="B4528"/>
      <c r="K4528"/>
    </row>
    <row r="4529" spans="2:11" x14ac:dyDescent="0.25">
      <c r="B4529"/>
      <c r="K4529"/>
    </row>
    <row r="4530" spans="2:11" x14ac:dyDescent="0.25">
      <c r="B4530"/>
      <c r="K4530"/>
    </row>
    <row r="4531" spans="2:11" x14ac:dyDescent="0.25">
      <c r="B4531"/>
      <c r="K4531"/>
    </row>
    <row r="4532" spans="2:11" x14ac:dyDescent="0.25">
      <c r="B4532"/>
      <c r="K4532"/>
    </row>
    <row r="4533" spans="2:11" x14ac:dyDescent="0.25">
      <c r="B4533"/>
      <c r="K4533"/>
    </row>
    <row r="4534" spans="2:11" x14ac:dyDescent="0.25">
      <c r="B4534"/>
      <c r="K4534"/>
    </row>
    <row r="4535" spans="2:11" x14ac:dyDescent="0.25">
      <c r="B4535"/>
      <c r="K4535"/>
    </row>
    <row r="4536" spans="2:11" x14ac:dyDescent="0.25">
      <c r="B4536"/>
      <c r="K4536"/>
    </row>
    <row r="4537" spans="2:11" x14ac:dyDescent="0.25">
      <c r="B4537"/>
      <c r="K4537"/>
    </row>
    <row r="4538" spans="2:11" x14ac:dyDescent="0.25">
      <c r="B4538"/>
      <c r="K4538"/>
    </row>
    <row r="4539" spans="2:11" x14ac:dyDescent="0.25">
      <c r="B4539"/>
      <c r="K4539"/>
    </row>
    <row r="4540" spans="2:11" x14ac:dyDescent="0.25">
      <c r="B4540"/>
      <c r="K4540"/>
    </row>
    <row r="4541" spans="2:11" x14ac:dyDescent="0.25">
      <c r="B4541"/>
      <c r="K4541"/>
    </row>
    <row r="4542" spans="2:11" x14ac:dyDescent="0.25">
      <c r="B4542"/>
      <c r="K4542"/>
    </row>
    <row r="4543" spans="2:11" x14ac:dyDescent="0.25">
      <c r="B4543"/>
      <c r="K4543"/>
    </row>
    <row r="4544" spans="2:11" x14ac:dyDescent="0.25">
      <c r="B4544"/>
      <c r="K4544"/>
    </row>
    <row r="4545" spans="2:11" x14ac:dyDescent="0.25">
      <c r="B4545"/>
      <c r="K4545"/>
    </row>
    <row r="4546" spans="2:11" x14ac:dyDescent="0.25">
      <c r="B4546"/>
      <c r="K4546"/>
    </row>
    <row r="4547" spans="2:11" x14ac:dyDescent="0.25">
      <c r="B4547"/>
      <c r="K4547"/>
    </row>
    <row r="4548" spans="2:11" x14ac:dyDescent="0.25">
      <c r="B4548"/>
      <c r="K4548"/>
    </row>
    <row r="4549" spans="2:11" x14ac:dyDescent="0.25">
      <c r="B4549"/>
      <c r="K4549"/>
    </row>
    <row r="4550" spans="2:11" x14ac:dyDescent="0.25">
      <c r="B4550"/>
      <c r="K4550"/>
    </row>
    <row r="4551" spans="2:11" x14ac:dyDescent="0.25">
      <c r="B4551"/>
      <c r="K4551"/>
    </row>
    <row r="4552" spans="2:11" x14ac:dyDescent="0.25">
      <c r="B4552"/>
      <c r="K4552"/>
    </row>
    <row r="4553" spans="2:11" x14ac:dyDescent="0.25">
      <c r="B4553"/>
      <c r="K4553"/>
    </row>
    <row r="4554" spans="2:11" x14ac:dyDescent="0.25">
      <c r="B4554"/>
      <c r="K4554"/>
    </row>
    <row r="4555" spans="2:11" x14ac:dyDescent="0.25">
      <c r="B4555"/>
      <c r="K4555"/>
    </row>
    <row r="4556" spans="2:11" x14ac:dyDescent="0.25">
      <c r="B4556"/>
      <c r="K4556"/>
    </row>
    <row r="4557" spans="2:11" x14ac:dyDescent="0.25">
      <c r="B4557"/>
      <c r="K4557"/>
    </row>
    <row r="4558" spans="2:11" x14ac:dyDescent="0.25">
      <c r="B4558"/>
      <c r="K4558"/>
    </row>
    <row r="4559" spans="2:11" x14ac:dyDescent="0.25">
      <c r="B4559"/>
      <c r="K4559"/>
    </row>
    <row r="4560" spans="2:11" x14ac:dyDescent="0.25">
      <c r="B4560"/>
      <c r="K4560"/>
    </row>
    <row r="4561" spans="2:11" x14ac:dyDescent="0.25">
      <c r="B4561"/>
      <c r="K4561"/>
    </row>
    <row r="4562" spans="2:11" x14ac:dyDescent="0.25">
      <c r="B4562"/>
      <c r="K4562"/>
    </row>
    <row r="4563" spans="2:11" x14ac:dyDescent="0.25">
      <c r="B4563"/>
      <c r="K4563"/>
    </row>
    <row r="4564" spans="2:11" x14ac:dyDescent="0.25">
      <c r="B4564"/>
      <c r="K4564"/>
    </row>
    <row r="4565" spans="2:11" x14ac:dyDescent="0.25">
      <c r="B4565"/>
      <c r="K4565"/>
    </row>
    <row r="4566" spans="2:11" x14ac:dyDescent="0.25">
      <c r="B4566"/>
      <c r="K4566"/>
    </row>
    <row r="4567" spans="2:11" x14ac:dyDescent="0.25">
      <c r="B4567"/>
      <c r="K4567"/>
    </row>
    <row r="4568" spans="2:11" x14ac:dyDescent="0.25">
      <c r="B4568"/>
      <c r="K4568"/>
    </row>
    <row r="4569" spans="2:11" x14ac:dyDescent="0.25">
      <c r="B4569"/>
      <c r="K4569"/>
    </row>
    <row r="4570" spans="2:11" x14ac:dyDescent="0.25">
      <c r="B4570"/>
      <c r="K4570"/>
    </row>
    <row r="4571" spans="2:11" x14ac:dyDescent="0.25">
      <c r="B4571"/>
      <c r="K4571"/>
    </row>
    <row r="4572" spans="2:11" x14ac:dyDescent="0.25">
      <c r="B4572"/>
      <c r="K4572"/>
    </row>
    <row r="4573" spans="2:11" x14ac:dyDescent="0.25">
      <c r="B4573"/>
      <c r="K4573"/>
    </row>
    <row r="4574" spans="2:11" x14ac:dyDescent="0.25">
      <c r="B4574"/>
      <c r="K4574"/>
    </row>
    <row r="4575" spans="2:11" x14ac:dyDescent="0.25">
      <c r="B4575"/>
      <c r="K4575"/>
    </row>
    <row r="4576" spans="2:11" x14ac:dyDescent="0.25">
      <c r="B4576"/>
      <c r="K4576"/>
    </row>
    <row r="4577" spans="2:11" x14ac:dyDescent="0.25">
      <c r="B4577"/>
      <c r="K4577"/>
    </row>
    <row r="4578" spans="2:11" x14ac:dyDescent="0.25">
      <c r="B4578"/>
      <c r="K4578"/>
    </row>
    <row r="4579" spans="2:11" x14ac:dyDescent="0.25">
      <c r="B4579"/>
      <c r="K4579"/>
    </row>
    <row r="4580" spans="2:11" x14ac:dyDescent="0.25">
      <c r="B4580"/>
      <c r="K4580"/>
    </row>
    <row r="4581" spans="2:11" x14ac:dyDescent="0.25">
      <c r="B4581"/>
      <c r="K4581"/>
    </row>
    <row r="4582" spans="2:11" x14ac:dyDescent="0.25">
      <c r="B4582"/>
      <c r="K4582"/>
    </row>
    <row r="4583" spans="2:11" x14ac:dyDescent="0.25">
      <c r="B4583"/>
      <c r="K4583"/>
    </row>
    <row r="4584" spans="2:11" x14ac:dyDescent="0.25">
      <c r="B4584"/>
      <c r="K4584"/>
    </row>
    <row r="4585" spans="2:11" x14ac:dyDescent="0.25">
      <c r="B4585"/>
      <c r="K4585"/>
    </row>
    <row r="4586" spans="2:11" x14ac:dyDescent="0.25">
      <c r="B4586"/>
      <c r="K4586"/>
    </row>
    <row r="4587" spans="2:11" x14ac:dyDescent="0.25">
      <c r="B4587"/>
      <c r="K4587"/>
    </row>
    <row r="4588" spans="2:11" x14ac:dyDescent="0.25">
      <c r="B4588"/>
      <c r="K4588"/>
    </row>
    <row r="4589" spans="2:11" x14ac:dyDescent="0.25">
      <c r="B4589"/>
      <c r="K4589"/>
    </row>
    <row r="4590" spans="2:11" x14ac:dyDescent="0.25">
      <c r="B4590"/>
      <c r="K4590"/>
    </row>
    <row r="4591" spans="2:11" x14ac:dyDescent="0.25">
      <c r="B4591"/>
      <c r="K4591"/>
    </row>
    <row r="4592" spans="2:11" x14ac:dyDescent="0.25">
      <c r="B4592"/>
      <c r="K4592"/>
    </row>
    <row r="4593" spans="2:11" x14ac:dyDescent="0.25">
      <c r="B4593"/>
      <c r="K4593"/>
    </row>
    <row r="4594" spans="2:11" x14ac:dyDescent="0.25">
      <c r="B4594"/>
      <c r="K4594"/>
    </row>
    <row r="4595" spans="2:11" x14ac:dyDescent="0.25">
      <c r="B4595"/>
      <c r="K4595"/>
    </row>
    <row r="4596" spans="2:11" x14ac:dyDescent="0.25">
      <c r="B4596"/>
      <c r="K4596"/>
    </row>
    <row r="4597" spans="2:11" x14ac:dyDescent="0.25">
      <c r="B4597"/>
      <c r="K4597"/>
    </row>
    <row r="4598" spans="2:11" x14ac:dyDescent="0.25">
      <c r="B4598"/>
      <c r="K4598"/>
    </row>
    <row r="4599" spans="2:11" x14ac:dyDescent="0.25">
      <c r="B4599"/>
      <c r="K4599"/>
    </row>
    <row r="4600" spans="2:11" x14ac:dyDescent="0.25">
      <c r="B4600"/>
      <c r="K4600"/>
    </row>
    <row r="4601" spans="2:11" x14ac:dyDescent="0.25">
      <c r="B4601"/>
      <c r="K4601"/>
    </row>
    <row r="4602" spans="2:11" x14ac:dyDescent="0.25">
      <c r="B4602"/>
      <c r="K4602"/>
    </row>
    <row r="4603" spans="2:11" x14ac:dyDescent="0.25">
      <c r="B4603"/>
      <c r="K4603"/>
    </row>
    <row r="4604" spans="2:11" x14ac:dyDescent="0.25">
      <c r="B4604"/>
      <c r="K4604"/>
    </row>
    <row r="4605" spans="2:11" x14ac:dyDescent="0.25">
      <c r="B4605"/>
      <c r="K4605"/>
    </row>
    <row r="4606" spans="2:11" x14ac:dyDescent="0.25">
      <c r="B4606"/>
      <c r="K4606"/>
    </row>
    <row r="4607" spans="2:11" x14ac:dyDescent="0.25">
      <c r="B4607"/>
      <c r="K4607"/>
    </row>
    <row r="4608" spans="2:11" x14ac:dyDescent="0.25">
      <c r="B4608"/>
      <c r="K4608"/>
    </row>
    <row r="4609" spans="2:11" x14ac:dyDescent="0.25">
      <c r="B4609"/>
      <c r="K4609"/>
    </row>
    <row r="4610" spans="2:11" x14ac:dyDescent="0.25">
      <c r="B4610"/>
      <c r="K4610"/>
    </row>
    <row r="4611" spans="2:11" x14ac:dyDescent="0.25">
      <c r="B4611"/>
      <c r="K4611"/>
    </row>
    <row r="4612" spans="2:11" x14ac:dyDescent="0.25">
      <c r="B4612"/>
      <c r="K4612"/>
    </row>
    <row r="4613" spans="2:11" x14ac:dyDescent="0.25">
      <c r="B4613"/>
      <c r="K4613"/>
    </row>
    <row r="4614" spans="2:11" x14ac:dyDescent="0.25">
      <c r="B4614"/>
      <c r="K4614"/>
    </row>
    <row r="4615" spans="2:11" x14ac:dyDescent="0.25">
      <c r="B4615"/>
      <c r="K4615"/>
    </row>
    <row r="4616" spans="2:11" x14ac:dyDescent="0.25">
      <c r="B4616"/>
      <c r="K4616"/>
    </row>
    <row r="4617" spans="2:11" x14ac:dyDescent="0.25">
      <c r="B4617"/>
      <c r="K4617"/>
    </row>
    <row r="4618" spans="2:11" x14ac:dyDescent="0.25">
      <c r="B4618"/>
      <c r="K4618"/>
    </row>
    <row r="4619" spans="2:11" x14ac:dyDescent="0.25">
      <c r="B4619"/>
      <c r="K4619"/>
    </row>
    <row r="4620" spans="2:11" x14ac:dyDescent="0.25">
      <c r="B4620"/>
      <c r="K4620"/>
    </row>
    <row r="4621" spans="2:11" x14ac:dyDescent="0.25">
      <c r="B4621"/>
      <c r="K4621"/>
    </row>
    <row r="4622" spans="2:11" x14ac:dyDescent="0.25">
      <c r="B4622"/>
      <c r="K4622"/>
    </row>
    <row r="4623" spans="2:11" x14ac:dyDescent="0.25">
      <c r="B4623"/>
      <c r="K4623"/>
    </row>
    <row r="4624" spans="2:11" x14ac:dyDescent="0.25">
      <c r="B4624"/>
      <c r="K4624"/>
    </row>
    <row r="4625" spans="2:11" x14ac:dyDescent="0.25">
      <c r="B4625"/>
      <c r="K4625"/>
    </row>
    <row r="4626" spans="2:11" x14ac:dyDescent="0.25">
      <c r="B4626"/>
      <c r="K4626"/>
    </row>
    <row r="4627" spans="2:11" x14ac:dyDescent="0.25">
      <c r="B4627"/>
      <c r="K4627"/>
    </row>
    <row r="4628" spans="2:11" x14ac:dyDescent="0.25">
      <c r="B4628"/>
      <c r="K4628"/>
    </row>
    <row r="4629" spans="2:11" x14ac:dyDescent="0.25">
      <c r="B4629"/>
      <c r="K4629"/>
    </row>
    <row r="4630" spans="2:11" x14ac:dyDescent="0.25">
      <c r="B4630"/>
      <c r="K4630"/>
    </row>
    <row r="4631" spans="2:11" x14ac:dyDescent="0.25">
      <c r="B4631"/>
      <c r="K4631"/>
    </row>
    <row r="4632" spans="2:11" x14ac:dyDescent="0.25">
      <c r="B4632"/>
      <c r="K4632"/>
    </row>
    <row r="4633" spans="2:11" x14ac:dyDescent="0.25">
      <c r="B4633"/>
      <c r="K4633"/>
    </row>
    <row r="4634" spans="2:11" x14ac:dyDescent="0.25">
      <c r="B4634"/>
      <c r="K4634"/>
    </row>
    <row r="4635" spans="2:11" x14ac:dyDescent="0.25">
      <c r="B4635"/>
      <c r="K4635"/>
    </row>
    <row r="4636" spans="2:11" x14ac:dyDescent="0.25">
      <c r="B4636"/>
      <c r="K4636"/>
    </row>
    <row r="4637" spans="2:11" x14ac:dyDescent="0.25">
      <c r="B4637"/>
      <c r="K4637"/>
    </row>
    <row r="4638" spans="2:11" x14ac:dyDescent="0.25">
      <c r="B4638"/>
      <c r="K4638"/>
    </row>
    <row r="4639" spans="2:11" x14ac:dyDescent="0.25">
      <c r="B4639"/>
      <c r="K4639"/>
    </row>
    <row r="4640" spans="2:11" x14ac:dyDescent="0.25">
      <c r="B4640"/>
      <c r="K4640"/>
    </row>
    <row r="4641" spans="2:11" x14ac:dyDescent="0.25">
      <c r="B4641"/>
      <c r="K4641"/>
    </row>
    <row r="4642" spans="2:11" x14ac:dyDescent="0.25">
      <c r="B4642"/>
      <c r="K4642"/>
    </row>
    <row r="4643" spans="2:11" x14ac:dyDescent="0.25">
      <c r="B4643"/>
      <c r="K4643"/>
    </row>
    <row r="4644" spans="2:11" x14ac:dyDescent="0.25">
      <c r="B4644"/>
      <c r="K4644"/>
    </row>
    <row r="4645" spans="2:11" x14ac:dyDescent="0.25">
      <c r="B4645"/>
      <c r="K4645"/>
    </row>
    <row r="4646" spans="2:11" x14ac:dyDescent="0.25">
      <c r="B4646"/>
      <c r="K4646"/>
    </row>
    <row r="4647" spans="2:11" x14ac:dyDescent="0.25">
      <c r="B4647"/>
      <c r="K4647"/>
    </row>
    <row r="4648" spans="2:11" x14ac:dyDescent="0.25">
      <c r="B4648"/>
      <c r="K4648"/>
    </row>
    <row r="4649" spans="2:11" x14ac:dyDescent="0.25">
      <c r="B4649"/>
      <c r="K4649"/>
    </row>
    <row r="4650" spans="2:11" x14ac:dyDescent="0.25">
      <c r="B4650"/>
      <c r="K4650"/>
    </row>
    <row r="4651" spans="2:11" x14ac:dyDescent="0.25">
      <c r="B4651"/>
      <c r="K4651"/>
    </row>
    <row r="4652" spans="2:11" x14ac:dyDescent="0.25">
      <c r="B4652"/>
      <c r="K4652"/>
    </row>
    <row r="4653" spans="2:11" x14ac:dyDescent="0.25">
      <c r="B4653"/>
      <c r="K4653"/>
    </row>
    <row r="4654" spans="2:11" x14ac:dyDescent="0.25">
      <c r="B4654"/>
      <c r="K4654"/>
    </row>
    <row r="4655" spans="2:11" x14ac:dyDescent="0.25">
      <c r="B4655"/>
      <c r="K4655"/>
    </row>
    <row r="4656" spans="2:11" x14ac:dyDescent="0.25">
      <c r="B4656"/>
      <c r="K4656"/>
    </row>
    <row r="4657" spans="2:11" x14ac:dyDescent="0.25">
      <c r="B4657"/>
      <c r="K4657"/>
    </row>
    <row r="4658" spans="2:11" x14ac:dyDescent="0.25">
      <c r="B4658"/>
      <c r="K4658"/>
    </row>
    <row r="4659" spans="2:11" x14ac:dyDescent="0.25">
      <c r="B4659"/>
      <c r="K4659"/>
    </row>
    <row r="4660" spans="2:11" x14ac:dyDescent="0.25">
      <c r="B4660"/>
      <c r="K4660"/>
    </row>
    <row r="4661" spans="2:11" x14ac:dyDescent="0.25">
      <c r="B4661"/>
      <c r="K4661"/>
    </row>
    <row r="4662" spans="2:11" x14ac:dyDescent="0.25">
      <c r="B4662"/>
      <c r="K4662"/>
    </row>
    <row r="4663" spans="2:11" x14ac:dyDescent="0.25">
      <c r="B4663"/>
      <c r="K4663"/>
    </row>
    <row r="4664" spans="2:11" x14ac:dyDescent="0.25">
      <c r="B4664"/>
      <c r="K4664"/>
    </row>
    <row r="4665" spans="2:11" x14ac:dyDescent="0.25">
      <c r="B4665"/>
      <c r="K4665"/>
    </row>
    <row r="4666" spans="2:11" x14ac:dyDescent="0.25">
      <c r="B4666"/>
      <c r="K4666"/>
    </row>
    <row r="4667" spans="2:11" x14ac:dyDescent="0.25">
      <c r="B4667"/>
      <c r="K4667"/>
    </row>
    <row r="4668" spans="2:11" x14ac:dyDescent="0.25">
      <c r="B4668"/>
      <c r="K4668"/>
    </row>
    <row r="4669" spans="2:11" x14ac:dyDescent="0.25">
      <c r="B4669"/>
      <c r="K4669"/>
    </row>
    <row r="4670" spans="2:11" x14ac:dyDescent="0.25">
      <c r="B4670"/>
      <c r="K4670"/>
    </row>
    <row r="4671" spans="2:11" x14ac:dyDescent="0.25">
      <c r="B4671"/>
      <c r="K4671"/>
    </row>
    <row r="4672" spans="2:11" x14ac:dyDescent="0.25">
      <c r="B4672"/>
      <c r="K4672"/>
    </row>
    <row r="4673" spans="2:11" x14ac:dyDescent="0.25">
      <c r="B4673"/>
      <c r="K4673"/>
    </row>
    <row r="4674" spans="2:11" x14ac:dyDescent="0.25">
      <c r="B4674"/>
      <c r="K4674"/>
    </row>
    <row r="4675" spans="2:11" x14ac:dyDescent="0.25">
      <c r="B4675"/>
      <c r="K4675"/>
    </row>
    <row r="4676" spans="2:11" x14ac:dyDescent="0.25">
      <c r="B4676"/>
      <c r="K4676"/>
    </row>
    <row r="4677" spans="2:11" x14ac:dyDescent="0.25">
      <c r="B4677"/>
      <c r="K4677"/>
    </row>
    <row r="4678" spans="2:11" x14ac:dyDescent="0.25">
      <c r="B4678"/>
      <c r="K4678"/>
    </row>
    <row r="4679" spans="2:11" x14ac:dyDescent="0.25">
      <c r="B4679"/>
      <c r="K4679"/>
    </row>
    <row r="4680" spans="2:11" x14ac:dyDescent="0.25">
      <c r="B4680"/>
      <c r="K4680"/>
    </row>
    <row r="4681" spans="2:11" x14ac:dyDescent="0.25">
      <c r="B4681"/>
      <c r="K4681"/>
    </row>
    <row r="4682" spans="2:11" x14ac:dyDescent="0.25">
      <c r="B4682"/>
      <c r="K4682"/>
    </row>
    <row r="4683" spans="2:11" x14ac:dyDescent="0.25">
      <c r="B4683"/>
      <c r="K4683"/>
    </row>
    <row r="4684" spans="2:11" x14ac:dyDescent="0.25">
      <c r="B4684"/>
      <c r="K4684"/>
    </row>
    <row r="4685" spans="2:11" x14ac:dyDescent="0.25">
      <c r="B4685"/>
      <c r="K4685"/>
    </row>
    <row r="4686" spans="2:11" x14ac:dyDescent="0.25">
      <c r="B4686"/>
      <c r="K4686"/>
    </row>
    <row r="4687" spans="2:11" x14ac:dyDescent="0.25">
      <c r="B4687"/>
      <c r="K4687"/>
    </row>
    <row r="4688" spans="2:11" x14ac:dyDescent="0.25">
      <c r="B4688"/>
      <c r="K4688"/>
    </row>
    <row r="4689" spans="2:11" x14ac:dyDescent="0.25">
      <c r="B4689"/>
      <c r="K4689"/>
    </row>
    <row r="4690" spans="2:11" x14ac:dyDescent="0.25">
      <c r="B4690"/>
      <c r="K4690"/>
    </row>
    <row r="4691" spans="2:11" x14ac:dyDescent="0.25">
      <c r="B4691"/>
      <c r="K4691"/>
    </row>
    <row r="4692" spans="2:11" x14ac:dyDescent="0.25">
      <c r="B4692"/>
      <c r="K4692"/>
    </row>
    <row r="4693" spans="2:11" x14ac:dyDescent="0.25">
      <c r="B4693"/>
      <c r="K4693"/>
    </row>
    <row r="4694" spans="2:11" x14ac:dyDescent="0.25">
      <c r="B4694"/>
      <c r="K4694"/>
    </row>
    <row r="4695" spans="2:11" x14ac:dyDescent="0.25">
      <c r="B4695"/>
      <c r="K4695"/>
    </row>
    <row r="4696" spans="2:11" x14ac:dyDescent="0.25">
      <c r="B4696"/>
      <c r="K4696"/>
    </row>
    <row r="4697" spans="2:11" x14ac:dyDescent="0.25">
      <c r="B4697"/>
      <c r="K4697"/>
    </row>
    <row r="4698" spans="2:11" x14ac:dyDescent="0.25">
      <c r="B4698"/>
      <c r="K4698"/>
    </row>
    <row r="4699" spans="2:11" x14ac:dyDescent="0.25">
      <c r="B4699"/>
      <c r="K4699"/>
    </row>
    <row r="4700" spans="2:11" x14ac:dyDescent="0.25">
      <c r="B4700"/>
      <c r="K4700"/>
    </row>
    <row r="4701" spans="2:11" x14ac:dyDescent="0.25">
      <c r="B4701"/>
      <c r="K4701"/>
    </row>
    <row r="4702" spans="2:11" x14ac:dyDescent="0.25">
      <c r="B4702"/>
      <c r="K4702"/>
    </row>
    <row r="4703" spans="2:11" x14ac:dyDescent="0.25">
      <c r="B4703"/>
      <c r="K4703"/>
    </row>
    <row r="4704" spans="2:11" x14ac:dyDescent="0.25">
      <c r="B4704"/>
      <c r="K4704"/>
    </row>
    <row r="4705" spans="2:11" x14ac:dyDescent="0.25">
      <c r="B4705"/>
      <c r="K4705"/>
    </row>
    <row r="4706" spans="2:11" x14ac:dyDescent="0.25">
      <c r="B4706"/>
      <c r="K4706"/>
    </row>
    <row r="4707" spans="2:11" x14ac:dyDescent="0.25">
      <c r="B4707"/>
      <c r="K4707"/>
    </row>
    <row r="4708" spans="2:11" x14ac:dyDescent="0.25">
      <c r="B4708"/>
      <c r="K4708"/>
    </row>
    <row r="4709" spans="2:11" x14ac:dyDescent="0.25">
      <c r="B4709"/>
      <c r="K4709"/>
    </row>
    <row r="4710" spans="2:11" x14ac:dyDescent="0.25">
      <c r="B4710"/>
      <c r="K4710"/>
    </row>
    <row r="4711" spans="2:11" x14ac:dyDescent="0.25">
      <c r="B4711"/>
      <c r="K4711"/>
    </row>
    <row r="4712" spans="2:11" x14ac:dyDescent="0.25">
      <c r="B4712"/>
      <c r="K4712"/>
    </row>
    <row r="4713" spans="2:11" x14ac:dyDescent="0.25">
      <c r="B4713"/>
      <c r="K4713"/>
    </row>
    <row r="4714" spans="2:11" x14ac:dyDescent="0.25">
      <c r="B4714"/>
      <c r="K4714"/>
    </row>
    <row r="4715" spans="2:11" x14ac:dyDescent="0.25">
      <c r="B4715"/>
      <c r="K4715"/>
    </row>
    <row r="4716" spans="2:11" x14ac:dyDescent="0.25">
      <c r="B4716"/>
      <c r="K4716"/>
    </row>
    <row r="4717" spans="2:11" x14ac:dyDescent="0.25">
      <c r="B4717"/>
      <c r="K4717"/>
    </row>
    <row r="4718" spans="2:11" x14ac:dyDescent="0.25">
      <c r="B4718"/>
      <c r="K4718"/>
    </row>
    <row r="4719" spans="2:11" x14ac:dyDescent="0.25">
      <c r="B4719"/>
      <c r="K4719"/>
    </row>
    <row r="4720" spans="2:11" x14ac:dyDescent="0.25">
      <c r="B4720"/>
      <c r="K4720"/>
    </row>
    <row r="4721" spans="2:11" x14ac:dyDescent="0.25">
      <c r="B4721"/>
      <c r="K4721"/>
    </row>
    <row r="4722" spans="2:11" x14ac:dyDescent="0.25">
      <c r="B4722"/>
      <c r="K4722"/>
    </row>
    <row r="4723" spans="2:11" x14ac:dyDescent="0.25">
      <c r="B4723"/>
      <c r="K4723"/>
    </row>
    <row r="4724" spans="2:11" x14ac:dyDescent="0.25">
      <c r="B4724"/>
      <c r="K4724"/>
    </row>
    <row r="4725" spans="2:11" x14ac:dyDescent="0.25">
      <c r="B4725"/>
      <c r="K4725"/>
    </row>
    <row r="4726" spans="2:11" x14ac:dyDescent="0.25">
      <c r="B4726"/>
      <c r="K4726"/>
    </row>
    <row r="4727" spans="2:11" x14ac:dyDescent="0.25">
      <c r="B4727"/>
      <c r="K4727"/>
    </row>
    <row r="4728" spans="2:11" x14ac:dyDescent="0.25">
      <c r="B4728"/>
      <c r="K4728"/>
    </row>
    <row r="4729" spans="2:11" x14ac:dyDescent="0.25">
      <c r="B4729"/>
      <c r="K4729"/>
    </row>
    <row r="4730" spans="2:11" x14ac:dyDescent="0.25">
      <c r="B4730"/>
      <c r="K4730"/>
    </row>
    <row r="4731" spans="2:11" x14ac:dyDescent="0.25">
      <c r="B4731"/>
      <c r="K4731"/>
    </row>
    <row r="4732" spans="2:11" x14ac:dyDescent="0.25">
      <c r="B4732"/>
      <c r="K4732"/>
    </row>
    <row r="4733" spans="2:11" x14ac:dyDescent="0.25">
      <c r="B4733"/>
      <c r="K4733"/>
    </row>
    <row r="4734" spans="2:11" x14ac:dyDescent="0.25">
      <c r="B4734"/>
      <c r="K4734"/>
    </row>
    <row r="4735" spans="2:11" x14ac:dyDescent="0.25">
      <c r="B4735"/>
      <c r="K4735"/>
    </row>
    <row r="4736" spans="2:11" x14ac:dyDescent="0.25">
      <c r="B4736"/>
      <c r="K4736"/>
    </row>
    <row r="4737" spans="2:11" x14ac:dyDescent="0.25">
      <c r="B4737"/>
      <c r="K4737"/>
    </row>
    <row r="4738" spans="2:11" x14ac:dyDescent="0.25">
      <c r="B4738"/>
      <c r="K4738"/>
    </row>
    <row r="4739" spans="2:11" x14ac:dyDescent="0.25">
      <c r="B4739"/>
      <c r="K4739"/>
    </row>
    <row r="4740" spans="2:11" x14ac:dyDescent="0.25">
      <c r="B4740"/>
      <c r="K4740"/>
    </row>
    <row r="4741" spans="2:11" x14ac:dyDescent="0.25">
      <c r="B4741"/>
      <c r="K4741"/>
    </row>
    <row r="4742" spans="2:11" x14ac:dyDescent="0.25">
      <c r="B4742"/>
      <c r="K4742"/>
    </row>
    <row r="4743" spans="2:11" x14ac:dyDescent="0.25">
      <c r="B4743"/>
      <c r="K4743"/>
    </row>
    <row r="4744" spans="2:11" x14ac:dyDescent="0.25">
      <c r="B4744"/>
      <c r="K4744"/>
    </row>
    <row r="4745" spans="2:11" x14ac:dyDescent="0.25">
      <c r="B4745"/>
      <c r="K4745"/>
    </row>
    <row r="4746" spans="2:11" x14ac:dyDescent="0.25">
      <c r="B4746"/>
      <c r="K4746"/>
    </row>
    <row r="4747" spans="2:11" x14ac:dyDescent="0.25">
      <c r="B4747"/>
      <c r="K4747"/>
    </row>
    <row r="4748" spans="2:11" x14ac:dyDescent="0.25">
      <c r="B4748"/>
      <c r="K4748"/>
    </row>
    <row r="4749" spans="2:11" x14ac:dyDescent="0.25">
      <c r="B4749"/>
      <c r="K4749"/>
    </row>
    <row r="4750" spans="2:11" x14ac:dyDescent="0.25">
      <c r="B4750"/>
      <c r="K4750"/>
    </row>
    <row r="4751" spans="2:11" x14ac:dyDescent="0.25">
      <c r="B4751"/>
      <c r="K4751"/>
    </row>
    <row r="4752" spans="2:11" x14ac:dyDescent="0.25">
      <c r="B4752"/>
      <c r="K4752"/>
    </row>
    <row r="4753" spans="2:11" x14ac:dyDescent="0.25">
      <c r="B4753"/>
      <c r="K4753"/>
    </row>
    <row r="4754" spans="2:11" x14ac:dyDescent="0.25">
      <c r="B4754"/>
      <c r="K4754"/>
    </row>
    <row r="4755" spans="2:11" x14ac:dyDescent="0.25">
      <c r="B4755"/>
      <c r="K4755"/>
    </row>
    <row r="4756" spans="2:11" x14ac:dyDescent="0.25">
      <c r="B4756"/>
      <c r="K4756"/>
    </row>
    <row r="4757" spans="2:11" x14ac:dyDescent="0.25">
      <c r="B4757"/>
      <c r="K4757"/>
    </row>
    <row r="4758" spans="2:11" x14ac:dyDescent="0.25">
      <c r="B4758"/>
      <c r="K4758"/>
    </row>
    <row r="4759" spans="2:11" x14ac:dyDescent="0.25">
      <c r="B4759"/>
      <c r="K4759"/>
    </row>
    <row r="4760" spans="2:11" x14ac:dyDescent="0.25">
      <c r="B4760"/>
      <c r="K4760"/>
    </row>
    <row r="4761" spans="2:11" x14ac:dyDescent="0.25">
      <c r="B4761"/>
      <c r="K4761"/>
    </row>
    <row r="4762" spans="2:11" x14ac:dyDescent="0.25">
      <c r="B4762"/>
      <c r="K4762"/>
    </row>
    <row r="4763" spans="2:11" x14ac:dyDescent="0.25">
      <c r="B4763"/>
      <c r="K4763"/>
    </row>
    <row r="4764" spans="2:11" x14ac:dyDescent="0.25">
      <c r="B4764"/>
      <c r="K4764"/>
    </row>
    <row r="4765" spans="2:11" x14ac:dyDescent="0.25">
      <c r="B4765"/>
      <c r="K4765"/>
    </row>
    <row r="4766" spans="2:11" x14ac:dyDescent="0.25">
      <c r="B4766"/>
      <c r="K4766"/>
    </row>
    <row r="4767" spans="2:11" x14ac:dyDescent="0.25">
      <c r="B4767"/>
      <c r="K4767"/>
    </row>
    <row r="4768" spans="2:11" x14ac:dyDescent="0.25">
      <c r="B4768"/>
      <c r="K4768"/>
    </row>
    <row r="4769" spans="2:11" x14ac:dyDescent="0.25">
      <c r="B4769"/>
      <c r="K4769"/>
    </row>
    <row r="4770" spans="2:11" x14ac:dyDescent="0.25">
      <c r="B4770"/>
      <c r="K4770"/>
    </row>
    <row r="4771" spans="2:11" x14ac:dyDescent="0.25">
      <c r="B4771"/>
      <c r="K4771"/>
    </row>
    <row r="4772" spans="2:11" x14ac:dyDescent="0.25">
      <c r="B4772"/>
      <c r="K4772"/>
    </row>
    <row r="4773" spans="2:11" x14ac:dyDescent="0.25">
      <c r="B4773"/>
      <c r="K4773"/>
    </row>
    <row r="4774" spans="2:11" x14ac:dyDescent="0.25">
      <c r="B4774"/>
      <c r="K4774"/>
    </row>
    <row r="4775" spans="2:11" x14ac:dyDescent="0.25">
      <c r="B4775"/>
      <c r="K4775"/>
    </row>
    <row r="4776" spans="2:11" x14ac:dyDescent="0.25">
      <c r="B4776"/>
      <c r="K4776"/>
    </row>
    <row r="4777" spans="2:11" x14ac:dyDescent="0.25">
      <c r="B4777"/>
      <c r="K4777"/>
    </row>
    <row r="4778" spans="2:11" x14ac:dyDescent="0.25">
      <c r="B4778"/>
      <c r="K4778"/>
    </row>
    <row r="4779" spans="2:11" x14ac:dyDescent="0.25">
      <c r="B4779"/>
      <c r="K4779"/>
    </row>
    <row r="4780" spans="2:11" x14ac:dyDescent="0.25">
      <c r="B4780"/>
      <c r="K4780"/>
    </row>
    <row r="4781" spans="2:11" x14ac:dyDescent="0.25">
      <c r="B4781"/>
      <c r="K4781"/>
    </row>
    <row r="4782" spans="2:11" x14ac:dyDescent="0.25">
      <c r="B4782"/>
      <c r="K4782"/>
    </row>
    <row r="4783" spans="2:11" x14ac:dyDescent="0.25">
      <c r="B4783"/>
      <c r="K4783"/>
    </row>
    <row r="4784" spans="2:11" x14ac:dyDescent="0.25">
      <c r="B4784"/>
      <c r="K4784"/>
    </row>
    <row r="4785" spans="2:11" x14ac:dyDescent="0.25">
      <c r="B4785"/>
      <c r="K4785"/>
    </row>
    <row r="4786" spans="2:11" x14ac:dyDescent="0.25">
      <c r="B4786"/>
      <c r="K4786"/>
    </row>
    <row r="4787" spans="2:11" x14ac:dyDescent="0.25">
      <c r="B4787"/>
      <c r="K4787"/>
    </row>
    <row r="4788" spans="2:11" x14ac:dyDescent="0.25">
      <c r="B4788"/>
      <c r="K4788"/>
    </row>
    <row r="4789" spans="2:11" x14ac:dyDescent="0.25">
      <c r="B4789"/>
      <c r="K4789"/>
    </row>
    <row r="4790" spans="2:11" x14ac:dyDescent="0.25">
      <c r="B4790"/>
      <c r="K4790"/>
    </row>
    <row r="4791" spans="2:11" x14ac:dyDescent="0.25">
      <c r="B4791"/>
      <c r="K4791"/>
    </row>
    <row r="4792" spans="2:11" x14ac:dyDescent="0.25">
      <c r="B4792"/>
      <c r="K4792"/>
    </row>
    <row r="4793" spans="2:11" x14ac:dyDescent="0.25">
      <c r="B4793"/>
      <c r="K4793"/>
    </row>
    <row r="4794" spans="2:11" x14ac:dyDescent="0.25">
      <c r="B4794"/>
      <c r="K4794"/>
    </row>
    <row r="4795" spans="2:11" x14ac:dyDescent="0.25">
      <c r="B4795"/>
      <c r="K4795"/>
    </row>
    <row r="4796" spans="2:11" x14ac:dyDescent="0.25">
      <c r="B4796"/>
      <c r="K4796"/>
    </row>
    <row r="4797" spans="2:11" x14ac:dyDescent="0.25">
      <c r="B4797"/>
      <c r="K4797"/>
    </row>
    <row r="4798" spans="2:11" x14ac:dyDescent="0.25">
      <c r="B4798"/>
      <c r="K4798"/>
    </row>
    <row r="4799" spans="2:11" x14ac:dyDescent="0.25">
      <c r="B4799"/>
      <c r="K4799"/>
    </row>
    <row r="4800" spans="2:11" x14ac:dyDescent="0.25">
      <c r="B4800"/>
      <c r="K4800"/>
    </row>
    <row r="4801" spans="2:11" x14ac:dyDescent="0.25">
      <c r="B4801"/>
      <c r="K4801"/>
    </row>
    <row r="4802" spans="2:11" x14ac:dyDescent="0.25">
      <c r="B4802"/>
      <c r="K4802"/>
    </row>
    <row r="4803" spans="2:11" x14ac:dyDescent="0.25">
      <c r="B4803"/>
      <c r="K4803"/>
    </row>
    <row r="4804" spans="2:11" x14ac:dyDescent="0.25">
      <c r="B4804"/>
      <c r="K4804"/>
    </row>
    <row r="4805" spans="2:11" x14ac:dyDescent="0.25">
      <c r="B4805"/>
      <c r="K4805"/>
    </row>
    <row r="4806" spans="2:11" x14ac:dyDescent="0.25">
      <c r="B4806"/>
      <c r="K4806"/>
    </row>
    <row r="4807" spans="2:11" x14ac:dyDescent="0.25">
      <c r="B4807"/>
      <c r="K4807"/>
    </row>
    <row r="4808" spans="2:11" x14ac:dyDescent="0.25">
      <c r="B4808"/>
      <c r="K4808"/>
    </row>
    <row r="4809" spans="2:11" x14ac:dyDescent="0.25">
      <c r="B4809"/>
      <c r="K4809"/>
    </row>
    <row r="4810" spans="2:11" x14ac:dyDescent="0.25">
      <c r="B4810"/>
      <c r="K4810"/>
    </row>
    <row r="4811" spans="2:11" x14ac:dyDescent="0.25">
      <c r="B4811"/>
      <c r="K4811"/>
    </row>
    <row r="4812" spans="2:11" x14ac:dyDescent="0.25">
      <c r="B4812"/>
      <c r="K4812"/>
    </row>
    <row r="4813" spans="2:11" x14ac:dyDescent="0.25">
      <c r="B4813"/>
      <c r="K4813"/>
    </row>
    <row r="4814" spans="2:11" x14ac:dyDescent="0.25">
      <c r="B4814"/>
      <c r="K4814"/>
    </row>
    <row r="4815" spans="2:11" x14ac:dyDescent="0.25">
      <c r="B4815"/>
      <c r="K4815"/>
    </row>
    <row r="4816" spans="2:11" x14ac:dyDescent="0.25">
      <c r="B4816"/>
      <c r="K4816"/>
    </row>
    <row r="4817" spans="2:11" x14ac:dyDescent="0.25">
      <c r="B4817"/>
      <c r="K4817"/>
    </row>
    <row r="4818" spans="2:11" x14ac:dyDescent="0.25">
      <c r="B4818"/>
      <c r="K4818"/>
    </row>
    <row r="4819" spans="2:11" x14ac:dyDescent="0.25">
      <c r="B4819"/>
      <c r="K4819"/>
    </row>
    <row r="4820" spans="2:11" x14ac:dyDescent="0.25">
      <c r="B4820"/>
      <c r="K4820"/>
    </row>
    <row r="4821" spans="2:11" x14ac:dyDescent="0.25">
      <c r="B4821"/>
      <c r="K4821"/>
    </row>
    <row r="4822" spans="2:11" x14ac:dyDescent="0.25">
      <c r="B4822"/>
      <c r="K4822"/>
    </row>
    <row r="4823" spans="2:11" x14ac:dyDescent="0.25">
      <c r="B4823"/>
      <c r="K4823"/>
    </row>
    <row r="4824" spans="2:11" x14ac:dyDescent="0.25">
      <c r="B4824"/>
      <c r="K4824"/>
    </row>
    <row r="4825" spans="2:11" x14ac:dyDescent="0.25">
      <c r="B4825"/>
      <c r="K4825"/>
    </row>
    <row r="4826" spans="2:11" x14ac:dyDescent="0.25">
      <c r="B4826"/>
      <c r="K4826"/>
    </row>
    <row r="4827" spans="2:11" x14ac:dyDescent="0.25">
      <c r="B4827"/>
      <c r="K4827"/>
    </row>
    <row r="4828" spans="2:11" x14ac:dyDescent="0.25">
      <c r="B4828"/>
      <c r="K4828"/>
    </row>
    <row r="4829" spans="2:11" x14ac:dyDescent="0.25">
      <c r="B4829"/>
      <c r="K4829"/>
    </row>
    <row r="4830" spans="2:11" x14ac:dyDescent="0.25">
      <c r="B4830"/>
      <c r="K4830"/>
    </row>
    <row r="4831" spans="2:11" x14ac:dyDescent="0.25">
      <c r="B4831"/>
      <c r="K4831"/>
    </row>
    <row r="4832" spans="2:11" x14ac:dyDescent="0.25">
      <c r="B4832"/>
      <c r="K4832"/>
    </row>
    <row r="4833" spans="2:11" x14ac:dyDescent="0.25">
      <c r="B4833"/>
      <c r="K4833"/>
    </row>
    <row r="4834" spans="2:11" x14ac:dyDescent="0.25">
      <c r="B4834"/>
      <c r="K4834"/>
    </row>
    <row r="4835" spans="2:11" x14ac:dyDescent="0.25">
      <c r="B4835"/>
      <c r="K4835"/>
    </row>
    <row r="4836" spans="2:11" x14ac:dyDescent="0.25">
      <c r="B4836"/>
      <c r="K4836"/>
    </row>
    <row r="4837" spans="2:11" x14ac:dyDescent="0.25">
      <c r="B4837"/>
      <c r="K4837"/>
    </row>
    <row r="4838" spans="2:11" x14ac:dyDescent="0.25">
      <c r="B4838"/>
      <c r="K4838"/>
    </row>
    <row r="4839" spans="2:11" x14ac:dyDescent="0.25">
      <c r="B4839"/>
      <c r="K4839"/>
    </row>
    <row r="4840" spans="2:11" x14ac:dyDescent="0.25">
      <c r="B4840"/>
      <c r="K4840"/>
    </row>
    <row r="4841" spans="2:11" x14ac:dyDescent="0.25">
      <c r="B4841"/>
      <c r="K4841"/>
    </row>
    <row r="4842" spans="2:11" x14ac:dyDescent="0.25">
      <c r="B4842"/>
      <c r="K4842"/>
    </row>
    <row r="4843" spans="2:11" x14ac:dyDescent="0.25">
      <c r="B4843"/>
      <c r="K4843"/>
    </row>
    <row r="4844" spans="2:11" x14ac:dyDescent="0.25">
      <c r="B4844"/>
      <c r="K4844"/>
    </row>
    <row r="4845" spans="2:11" x14ac:dyDescent="0.25">
      <c r="B4845"/>
      <c r="K4845"/>
    </row>
    <row r="4846" spans="2:11" x14ac:dyDescent="0.25">
      <c r="B4846"/>
      <c r="K4846"/>
    </row>
    <row r="4847" spans="2:11" x14ac:dyDescent="0.25">
      <c r="B4847"/>
      <c r="K4847"/>
    </row>
    <row r="4848" spans="2:11" x14ac:dyDescent="0.25">
      <c r="B4848"/>
      <c r="K4848"/>
    </row>
    <row r="4849" spans="2:11" x14ac:dyDescent="0.25">
      <c r="B4849"/>
      <c r="K4849"/>
    </row>
    <row r="4850" spans="2:11" x14ac:dyDescent="0.25">
      <c r="B4850"/>
      <c r="K4850"/>
    </row>
    <row r="4851" spans="2:11" x14ac:dyDescent="0.25">
      <c r="B4851"/>
      <c r="K4851"/>
    </row>
    <row r="4852" spans="2:11" x14ac:dyDescent="0.25">
      <c r="B4852"/>
      <c r="K4852"/>
    </row>
    <row r="4853" spans="2:11" x14ac:dyDescent="0.25">
      <c r="B4853"/>
      <c r="K4853"/>
    </row>
    <row r="4854" spans="2:11" x14ac:dyDescent="0.25">
      <c r="B4854"/>
      <c r="K4854"/>
    </row>
    <row r="4855" spans="2:11" x14ac:dyDescent="0.25">
      <c r="B4855"/>
      <c r="K4855"/>
    </row>
    <row r="4856" spans="2:11" x14ac:dyDescent="0.25">
      <c r="B4856"/>
      <c r="K4856"/>
    </row>
    <row r="4857" spans="2:11" x14ac:dyDescent="0.25">
      <c r="B4857"/>
      <c r="K4857"/>
    </row>
    <row r="4858" spans="2:11" x14ac:dyDescent="0.25">
      <c r="B4858"/>
      <c r="K4858"/>
    </row>
    <row r="4859" spans="2:11" x14ac:dyDescent="0.25">
      <c r="B4859"/>
      <c r="K4859"/>
    </row>
    <row r="4860" spans="2:11" x14ac:dyDescent="0.25">
      <c r="B4860"/>
      <c r="K4860"/>
    </row>
    <row r="4861" spans="2:11" x14ac:dyDescent="0.25">
      <c r="B4861"/>
      <c r="K4861"/>
    </row>
    <row r="4862" spans="2:11" x14ac:dyDescent="0.25">
      <c r="B4862"/>
      <c r="K4862"/>
    </row>
    <row r="4863" spans="2:11" x14ac:dyDescent="0.25">
      <c r="B4863"/>
      <c r="K4863"/>
    </row>
    <row r="4864" spans="2:11" x14ac:dyDescent="0.25">
      <c r="B4864"/>
      <c r="K4864"/>
    </row>
    <row r="4865" spans="2:11" x14ac:dyDescent="0.25">
      <c r="B4865"/>
      <c r="K4865"/>
    </row>
    <row r="4866" spans="2:11" x14ac:dyDescent="0.25">
      <c r="B4866"/>
      <c r="K4866"/>
    </row>
    <row r="4867" spans="2:11" x14ac:dyDescent="0.25">
      <c r="B4867"/>
      <c r="K4867"/>
    </row>
    <row r="4868" spans="2:11" x14ac:dyDescent="0.25">
      <c r="B4868"/>
      <c r="K4868"/>
    </row>
    <row r="4869" spans="2:11" x14ac:dyDescent="0.25">
      <c r="B4869"/>
      <c r="K4869"/>
    </row>
    <row r="4870" spans="2:11" x14ac:dyDescent="0.25">
      <c r="B4870"/>
      <c r="K4870"/>
    </row>
    <row r="4871" spans="2:11" x14ac:dyDescent="0.25">
      <c r="B4871"/>
      <c r="K4871"/>
    </row>
    <row r="4872" spans="2:11" x14ac:dyDescent="0.25">
      <c r="B4872"/>
      <c r="K4872"/>
    </row>
    <row r="4873" spans="2:11" x14ac:dyDescent="0.25">
      <c r="B4873"/>
      <c r="K4873"/>
    </row>
    <row r="4874" spans="2:11" x14ac:dyDescent="0.25">
      <c r="B4874"/>
      <c r="K4874"/>
    </row>
    <row r="4875" spans="2:11" x14ac:dyDescent="0.25">
      <c r="B4875"/>
      <c r="K4875"/>
    </row>
    <row r="4876" spans="2:11" x14ac:dyDescent="0.25">
      <c r="B4876"/>
      <c r="K4876"/>
    </row>
    <row r="4877" spans="2:11" x14ac:dyDescent="0.25">
      <c r="B4877"/>
      <c r="K4877"/>
    </row>
    <row r="4878" spans="2:11" x14ac:dyDescent="0.25">
      <c r="B4878"/>
      <c r="K4878"/>
    </row>
    <row r="4879" spans="2:11" x14ac:dyDescent="0.25">
      <c r="B4879"/>
      <c r="K4879"/>
    </row>
    <row r="4880" spans="2:11" x14ac:dyDescent="0.25">
      <c r="B4880"/>
      <c r="K4880"/>
    </row>
    <row r="4881" spans="2:11" x14ac:dyDescent="0.25">
      <c r="B4881"/>
      <c r="K4881"/>
    </row>
    <row r="4882" spans="2:11" x14ac:dyDescent="0.25">
      <c r="B4882"/>
      <c r="K4882"/>
    </row>
    <row r="4883" spans="2:11" x14ac:dyDescent="0.25">
      <c r="B4883"/>
      <c r="K4883"/>
    </row>
    <row r="4884" spans="2:11" x14ac:dyDescent="0.25">
      <c r="B4884"/>
      <c r="K4884"/>
    </row>
    <row r="4885" spans="2:11" x14ac:dyDescent="0.25">
      <c r="B4885"/>
      <c r="K4885"/>
    </row>
    <row r="4886" spans="2:11" x14ac:dyDescent="0.25">
      <c r="B4886"/>
      <c r="K4886"/>
    </row>
    <row r="4887" spans="2:11" x14ac:dyDescent="0.25">
      <c r="B4887"/>
      <c r="K4887"/>
    </row>
    <row r="4888" spans="2:11" x14ac:dyDescent="0.25">
      <c r="B4888"/>
      <c r="K4888"/>
    </row>
    <row r="4889" spans="2:11" x14ac:dyDescent="0.25">
      <c r="B4889"/>
      <c r="K4889"/>
    </row>
    <row r="4890" spans="2:11" x14ac:dyDescent="0.25">
      <c r="B4890"/>
      <c r="K4890"/>
    </row>
    <row r="4891" spans="2:11" x14ac:dyDescent="0.25">
      <c r="B4891"/>
      <c r="K4891"/>
    </row>
    <row r="4892" spans="2:11" x14ac:dyDescent="0.25">
      <c r="B4892"/>
      <c r="K4892"/>
    </row>
    <row r="4893" spans="2:11" x14ac:dyDescent="0.25">
      <c r="B4893"/>
      <c r="K4893"/>
    </row>
    <row r="4894" spans="2:11" x14ac:dyDescent="0.25">
      <c r="B4894"/>
      <c r="K4894"/>
    </row>
    <row r="4895" spans="2:11" x14ac:dyDescent="0.25">
      <c r="B4895"/>
      <c r="K4895"/>
    </row>
    <row r="4896" spans="2:11" x14ac:dyDescent="0.25">
      <c r="B4896"/>
      <c r="K4896"/>
    </row>
    <row r="4897" spans="2:11" x14ac:dyDescent="0.25">
      <c r="B4897"/>
      <c r="K4897"/>
    </row>
    <row r="4898" spans="2:11" x14ac:dyDescent="0.25">
      <c r="B4898"/>
      <c r="K4898"/>
    </row>
    <row r="4899" spans="2:11" x14ac:dyDescent="0.25">
      <c r="B4899"/>
      <c r="K4899"/>
    </row>
    <row r="4900" spans="2:11" x14ac:dyDescent="0.25">
      <c r="B4900"/>
      <c r="K4900"/>
    </row>
    <row r="4901" spans="2:11" x14ac:dyDescent="0.25">
      <c r="B4901"/>
      <c r="K4901"/>
    </row>
    <row r="4902" spans="2:11" x14ac:dyDescent="0.25">
      <c r="B4902"/>
      <c r="K4902"/>
    </row>
    <row r="4903" spans="2:11" x14ac:dyDescent="0.25">
      <c r="B4903"/>
      <c r="K4903"/>
    </row>
    <row r="4904" spans="2:11" x14ac:dyDescent="0.25">
      <c r="B4904"/>
      <c r="K4904"/>
    </row>
    <row r="4905" spans="2:11" x14ac:dyDescent="0.25">
      <c r="B4905"/>
      <c r="K4905"/>
    </row>
    <row r="4906" spans="2:11" x14ac:dyDescent="0.25">
      <c r="B4906"/>
      <c r="K4906"/>
    </row>
    <row r="4907" spans="2:11" x14ac:dyDescent="0.25">
      <c r="B4907"/>
      <c r="K4907"/>
    </row>
    <row r="4908" spans="2:11" x14ac:dyDescent="0.25">
      <c r="B4908"/>
      <c r="K4908"/>
    </row>
    <row r="4909" spans="2:11" x14ac:dyDescent="0.25">
      <c r="B4909"/>
      <c r="K4909"/>
    </row>
    <row r="4910" spans="2:11" x14ac:dyDescent="0.25">
      <c r="B4910"/>
      <c r="K4910"/>
    </row>
    <row r="4911" spans="2:11" x14ac:dyDescent="0.25">
      <c r="B4911"/>
      <c r="K4911"/>
    </row>
    <row r="4912" spans="2:11" x14ac:dyDescent="0.25">
      <c r="B4912"/>
      <c r="K4912"/>
    </row>
    <row r="4913" spans="2:11" x14ac:dyDescent="0.25">
      <c r="B4913"/>
      <c r="K4913"/>
    </row>
    <row r="4914" spans="2:11" x14ac:dyDescent="0.25">
      <c r="B4914"/>
      <c r="K4914"/>
    </row>
    <row r="4915" spans="2:11" x14ac:dyDescent="0.25">
      <c r="B4915"/>
      <c r="K4915"/>
    </row>
    <row r="4916" spans="2:11" x14ac:dyDescent="0.25">
      <c r="B4916"/>
      <c r="K4916"/>
    </row>
    <row r="4917" spans="2:11" x14ac:dyDescent="0.25">
      <c r="B4917"/>
      <c r="K4917"/>
    </row>
    <row r="4918" spans="2:11" x14ac:dyDescent="0.25">
      <c r="B4918"/>
      <c r="K4918"/>
    </row>
    <row r="4919" spans="2:11" x14ac:dyDescent="0.25">
      <c r="B4919"/>
      <c r="K4919"/>
    </row>
    <row r="4920" spans="2:11" x14ac:dyDescent="0.25">
      <c r="B4920"/>
      <c r="K4920"/>
    </row>
    <row r="4921" spans="2:11" x14ac:dyDescent="0.25">
      <c r="B4921"/>
      <c r="K4921"/>
    </row>
    <row r="4922" spans="2:11" x14ac:dyDescent="0.25">
      <c r="B4922"/>
      <c r="K4922"/>
    </row>
    <row r="4923" spans="2:11" x14ac:dyDescent="0.25">
      <c r="B4923"/>
      <c r="K4923"/>
    </row>
    <row r="4924" spans="2:11" x14ac:dyDescent="0.25">
      <c r="B4924"/>
      <c r="K4924"/>
    </row>
    <row r="4925" spans="2:11" x14ac:dyDescent="0.25">
      <c r="B4925"/>
      <c r="K4925"/>
    </row>
    <row r="4926" spans="2:11" x14ac:dyDescent="0.25">
      <c r="B4926"/>
      <c r="K4926"/>
    </row>
    <row r="4927" spans="2:11" x14ac:dyDescent="0.25">
      <c r="B4927"/>
      <c r="K4927"/>
    </row>
    <row r="4928" spans="2:11" x14ac:dyDescent="0.25">
      <c r="B4928"/>
      <c r="K4928"/>
    </row>
    <row r="4929" spans="2:11" x14ac:dyDescent="0.25">
      <c r="B4929"/>
      <c r="K4929"/>
    </row>
    <row r="4930" spans="2:11" x14ac:dyDescent="0.25">
      <c r="B4930"/>
      <c r="K4930"/>
    </row>
    <row r="4931" spans="2:11" x14ac:dyDescent="0.25">
      <c r="B4931"/>
      <c r="K4931"/>
    </row>
    <row r="4932" spans="2:11" x14ac:dyDescent="0.25">
      <c r="B4932"/>
      <c r="K4932"/>
    </row>
    <row r="4933" spans="2:11" x14ac:dyDescent="0.25">
      <c r="B4933"/>
      <c r="K4933"/>
    </row>
    <row r="4934" spans="2:11" x14ac:dyDescent="0.25">
      <c r="B4934"/>
      <c r="K4934"/>
    </row>
    <row r="4935" spans="2:11" x14ac:dyDescent="0.25">
      <c r="B4935"/>
      <c r="K4935"/>
    </row>
    <row r="4936" spans="2:11" x14ac:dyDescent="0.25">
      <c r="B4936"/>
      <c r="K4936"/>
    </row>
    <row r="4937" spans="2:11" x14ac:dyDescent="0.25">
      <c r="B4937"/>
      <c r="K4937"/>
    </row>
    <row r="4938" spans="2:11" x14ac:dyDescent="0.25">
      <c r="B4938"/>
      <c r="K4938"/>
    </row>
    <row r="4939" spans="2:11" x14ac:dyDescent="0.25">
      <c r="B4939"/>
      <c r="K4939"/>
    </row>
    <row r="4940" spans="2:11" x14ac:dyDescent="0.25">
      <c r="B4940"/>
      <c r="K4940"/>
    </row>
    <row r="4941" spans="2:11" x14ac:dyDescent="0.25">
      <c r="B4941"/>
      <c r="K4941"/>
    </row>
    <row r="4942" spans="2:11" x14ac:dyDescent="0.25">
      <c r="B4942"/>
      <c r="K4942"/>
    </row>
    <row r="4943" spans="2:11" x14ac:dyDescent="0.25">
      <c r="B4943"/>
      <c r="K4943"/>
    </row>
    <row r="4944" spans="2:11" x14ac:dyDescent="0.25">
      <c r="B4944"/>
      <c r="K4944"/>
    </row>
    <row r="4945" spans="2:11" x14ac:dyDescent="0.25">
      <c r="B4945"/>
      <c r="K4945"/>
    </row>
    <row r="4946" spans="2:11" x14ac:dyDescent="0.25">
      <c r="B4946"/>
      <c r="K4946"/>
    </row>
    <row r="4947" spans="2:11" x14ac:dyDescent="0.25">
      <c r="B4947"/>
      <c r="K4947"/>
    </row>
    <row r="4948" spans="2:11" x14ac:dyDescent="0.25">
      <c r="B4948"/>
      <c r="K4948"/>
    </row>
    <row r="4949" spans="2:11" x14ac:dyDescent="0.25">
      <c r="B4949"/>
      <c r="K4949"/>
    </row>
    <row r="4950" spans="2:11" x14ac:dyDescent="0.25">
      <c r="B4950"/>
      <c r="K4950"/>
    </row>
    <row r="4951" spans="2:11" x14ac:dyDescent="0.25">
      <c r="B4951"/>
      <c r="K4951"/>
    </row>
    <row r="4952" spans="2:11" x14ac:dyDescent="0.25">
      <c r="B4952"/>
      <c r="K4952"/>
    </row>
    <row r="4953" spans="2:11" x14ac:dyDescent="0.25">
      <c r="B4953"/>
      <c r="K4953"/>
    </row>
    <row r="4954" spans="2:11" x14ac:dyDescent="0.25">
      <c r="B4954"/>
      <c r="K4954"/>
    </row>
    <row r="4955" spans="2:11" x14ac:dyDescent="0.25">
      <c r="B4955"/>
      <c r="K4955"/>
    </row>
    <row r="4956" spans="2:11" x14ac:dyDescent="0.25">
      <c r="B4956"/>
      <c r="K4956"/>
    </row>
    <row r="4957" spans="2:11" x14ac:dyDescent="0.25">
      <c r="B4957"/>
      <c r="K4957"/>
    </row>
    <row r="4958" spans="2:11" x14ac:dyDescent="0.25">
      <c r="B4958"/>
      <c r="K4958"/>
    </row>
    <row r="4959" spans="2:11" x14ac:dyDescent="0.25">
      <c r="B4959"/>
      <c r="K4959"/>
    </row>
    <row r="4960" spans="2:11" x14ac:dyDescent="0.25">
      <c r="B4960"/>
      <c r="K4960"/>
    </row>
    <row r="4961" spans="2:11" x14ac:dyDescent="0.25">
      <c r="B4961"/>
      <c r="K4961"/>
    </row>
    <row r="4962" spans="2:11" x14ac:dyDescent="0.25">
      <c r="B4962"/>
      <c r="K4962"/>
    </row>
    <row r="4963" spans="2:11" x14ac:dyDescent="0.25">
      <c r="B4963"/>
      <c r="K4963"/>
    </row>
    <row r="4964" spans="2:11" x14ac:dyDescent="0.25">
      <c r="B4964"/>
      <c r="K4964"/>
    </row>
    <row r="4965" spans="2:11" x14ac:dyDescent="0.25">
      <c r="B4965"/>
      <c r="K4965"/>
    </row>
    <row r="4966" spans="2:11" x14ac:dyDescent="0.25">
      <c r="B4966"/>
      <c r="K4966"/>
    </row>
    <row r="4967" spans="2:11" x14ac:dyDescent="0.25">
      <c r="B4967"/>
      <c r="K4967"/>
    </row>
    <row r="4968" spans="2:11" x14ac:dyDescent="0.25">
      <c r="B4968"/>
      <c r="K4968"/>
    </row>
    <row r="4969" spans="2:11" x14ac:dyDescent="0.25">
      <c r="B4969"/>
      <c r="K4969"/>
    </row>
    <row r="4970" spans="2:11" x14ac:dyDescent="0.25">
      <c r="B4970"/>
      <c r="K4970"/>
    </row>
    <row r="4971" spans="2:11" x14ac:dyDescent="0.25">
      <c r="B4971"/>
      <c r="K4971"/>
    </row>
    <row r="4972" spans="2:11" x14ac:dyDescent="0.25">
      <c r="B4972"/>
      <c r="K4972"/>
    </row>
    <row r="4973" spans="2:11" x14ac:dyDescent="0.25">
      <c r="B4973"/>
      <c r="K4973"/>
    </row>
    <row r="4974" spans="2:11" x14ac:dyDescent="0.25">
      <c r="B4974"/>
      <c r="K4974"/>
    </row>
    <row r="4975" spans="2:11" x14ac:dyDescent="0.25">
      <c r="B4975"/>
      <c r="K4975"/>
    </row>
    <row r="4976" spans="2:11" x14ac:dyDescent="0.25">
      <c r="B4976"/>
      <c r="K4976"/>
    </row>
    <row r="4977" spans="2:11" x14ac:dyDescent="0.25">
      <c r="B4977"/>
      <c r="K4977"/>
    </row>
    <row r="4978" spans="2:11" x14ac:dyDescent="0.25">
      <c r="B4978"/>
      <c r="K4978"/>
    </row>
    <row r="4979" spans="2:11" x14ac:dyDescent="0.25">
      <c r="B4979"/>
      <c r="K4979"/>
    </row>
    <row r="4980" spans="2:11" x14ac:dyDescent="0.25">
      <c r="B4980"/>
      <c r="K4980"/>
    </row>
    <row r="4981" spans="2:11" x14ac:dyDescent="0.25">
      <c r="B4981"/>
      <c r="K4981"/>
    </row>
    <row r="4982" spans="2:11" x14ac:dyDescent="0.25">
      <c r="B4982"/>
      <c r="K4982"/>
    </row>
    <row r="4983" spans="2:11" x14ac:dyDescent="0.25">
      <c r="B4983"/>
      <c r="K4983"/>
    </row>
    <row r="4984" spans="2:11" x14ac:dyDescent="0.25">
      <c r="B4984"/>
      <c r="K4984"/>
    </row>
    <row r="4985" spans="2:11" x14ac:dyDescent="0.25">
      <c r="B4985"/>
      <c r="K4985"/>
    </row>
    <row r="4986" spans="2:11" x14ac:dyDescent="0.25">
      <c r="B4986"/>
      <c r="K4986"/>
    </row>
    <row r="4987" spans="2:11" x14ac:dyDescent="0.25">
      <c r="B4987"/>
      <c r="K4987"/>
    </row>
    <row r="4988" spans="2:11" x14ac:dyDescent="0.25">
      <c r="B4988"/>
      <c r="K4988"/>
    </row>
    <row r="4989" spans="2:11" x14ac:dyDescent="0.25">
      <c r="B4989"/>
      <c r="K4989"/>
    </row>
    <row r="4990" spans="2:11" x14ac:dyDescent="0.25">
      <c r="B4990"/>
      <c r="K4990"/>
    </row>
    <row r="4991" spans="2:11" x14ac:dyDescent="0.25">
      <c r="B4991"/>
      <c r="K4991"/>
    </row>
    <row r="4992" spans="2:11" x14ac:dyDescent="0.25">
      <c r="B4992"/>
      <c r="K4992"/>
    </row>
    <row r="4993" spans="2:11" x14ac:dyDescent="0.25">
      <c r="B4993"/>
      <c r="K4993"/>
    </row>
    <row r="4994" spans="2:11" x14ac:dyDescent="0.25">
      <c r="B4994"/>
      <c r="K4994"/>
    </row>
    <row r="4995" spans="2:11" x14ac:dyDescent="0.25">
      <c r="B4995"/>
      <c r="K4995"/>
    </row>
    <row r="4996" spans="2:11" x14ac:dyDescent="0.25">
      <c r="B4996"/>
      <c r="K4996"/>
    </row>
    <row r="4997" spans="2:11" x14ac:dyDescent="0.25">
      <c r="B4997"/>
      <c r="K4997"/>
    </row>
    <row r="4998" spans="2:11" x14ac:dyDescent="0.25">
      <c r="B4998"/>
      <c r="K4998"/>
    </row>
    <row r="4999" spans="2:11" x14ac:dyDescent="0.25">
      <c r="B4999"/>
      <c r="K4999"/>
    </row>
    <row r="5000" spans="2:11" x14ac:dyDescent="0.25">
      <c r="B5000"/>
      <c r="K5000"/>
    </row>
    <row r="5001" spans="2:11" x14ac:dyDescent="0.25">
      <c r="B5001"/>
      <c r="K5001"/>
    </row>
    <row r="5002" spans="2:11" x14ac:dyDescent="0.25">
      <c r="B5002"/>
      <c r="K5002"/>
    </row>
    <row r="5003" spans="2:11" x14ac:dyDescent="0.25">
      <c r="B5003"/>
      <c r="K5003"/>
    </row>
    <row r="5004" spans="2:11" x14ac:dyDescent="0.25">
      <c r="B5004"/>
      <c r="K5004"/>
    </row>
    <row r="5005" spans="2:11" x14ac:dyDescent="0.25">
      <c r="B5005"/>
      <c r="K5005"/>
    </row>
    <row r="5006" spans="2:11" x14ac:dyDescent="0.25">
      <c r="B5006"/>
      <c r="K5006"/>
    </row>
    <row r="5007" spans="2:11" x14ac:dyDescent="0.25">
      <c r="B5007"/>
      <c r="K5007"/>
    </row>
    <row r="5008" spans="2:11" x14ac:dyDescent="0.25">
      <c r="B5008"/>
      <c r="K5008"/>
    </row>
    <row r="5009" spans="2:11" x14ac:dyDescent="0.25">
      <c r="B5009"/>
      <c r="K5009"/>
    </row>
    <row r="5010" spans="2:11" x14ac:dyDescent="0.25">
      <c r="B5010"/>
      <c r="K5010"/>
    </row>
    <row r="5011" spans="2:11" x14ac:dyDescent="0.25">
      <c r="B5011"/>
      <c r="K5011"/>
    </row>
    <row r="5012" spans="2:11" x14ac:dyDescent="0.25">
      <c r="B5012"/>
      <c r="K5012"/>
    </row>
    <row r="5013" spans="2:11" x14ac:dyDescent="0.25">
      <c r="B5013"/>
      <c r="K5013"/>
    </row>
    <row r="5014" spans="2:11" x14ac:dyDescent="0.25">
      <c r="B5014"/>
      <c r="K5014"/>
    </row>
    <row r="5015" spans="2:11" x14ac:dyDescent="0.25">
      <c r="B5015"/>
      <c r="K5015"/>
    </row>
    <row r="5016" spans="2:11" x14ac:dyDescent="0.25">
      <c r="B5016"/>
      <c r="K5016"/>
    </row>
    <row r="5017" spans="2:11" x14ac:dyDescent="0.25">
      <c r="B5017"/>
      <c r="K5017"/>
    </row>
    <row r="5018" spans="2:11" x14ac:dyDescent="0.25">
      <c r="B5018"/>
      <c r="K5018"/>
    </row>
    <row r="5019" spans="2:11" x14ac:dyDescent="0.25">
      <c r="B5019"/>
      <c r="K5019"/>
    </row>
    <row r="5020" spans="2:11" x14ac:dyDescent="0.25">
      <c r="B5020"/>
      <c r="K5020"/>
    </row>
    <row r="5021" spans="2:11" x14ac:dyDescent="0.25">
      <c r="B5021"/>
      <c r="K5021"/>
    </row>
    <row r="5022" spans="2:11" x14ac:dyDescent="0.25">
      <c r="B5022"/>
      <c r="K5022"/>
    </row>
    <row r="5023" spans="2:11" x14ac:dyDescent="0.25">
      <c r="B5023"/>
      <c r="K5023"/>
    </row>
    <row r="5024" spans="2:11" x14ac:dyDescent="0.25">
      <c r="B5024"/>
      <c r="K5024"/>
    </row>
    <row r="5025" spans="2:11" x14ac:dyDescent="0.25">
      <c r="B5025"/>
      <c r="K5025"/>
    </row>
    <row r="5026" spans="2:11" x14ac:dyDescent="0.25">
      <c r="B5026"/>
      <c r="K5026"/>
    </row>
    <row r="5027" spans="2:11" x14ac:dyDescent="0.25">
      <c r="B5027"/>
      <c r="K5027"/>
    </row>
    <row r="5028" spans="2:11" x14ac:dyDescent="0.25">
      <c r="B5028"/>
      <c r="K5028"/>
    </row>
    <row r="5029" spans="2:11" x14ac:dyDescent="0.25">
      <c r="B5029"/>
      <c r="K5029"/>
    </row>
    <row r="5030" spans="2:11" x14ac:dyDescent="0.25">
      <c r="B5030"/>
      <c r="K5030"/>
    </row>
    <row r="5031" spans="2:11" x14ac:dyDescent="0.25">
      <c r="B5031"/>
      <c r="K5031"/>
    </row>
    <row r="5032" spans="2:11" x14ac:dyDescent="0.25">
      <c r="B5032"/>
      <c r="K5032"/>
    </row>
    <row r="5033" spans="2:11" x14ac:dyDescent="0.25">
      <c r="B5033"/>
      <c r="K5033"/>
    </row>
    <row r="5034" spans="2:11" x14ac:dyDescent="0.25">
      <c r="B5034"/>
      <c r="K5034"/>
    </row>
    <row r="5035" spans="2:11" x14ac:dyDescent="0.25">
      <c r="B5035"/>
      <c r="K5035"/>
    </row>
    <row r="5036" spans="2:11" x14ac:dyDescent="0.25">
      <c r="B5036"/>
      <c r="K5036"/>
    </row>
    <row r="5037" spans="2:11" x14ac:dyDescent="0.25">
      <c r="B5037"/>
      <c r="K5037"/>
    </row>
    <row r="5038" spans="2:11" x14ac:dyDescent="0.25">
      <c r="B5038"/>
      <c r="K5038"/>
    </row>
    <row r="5039" spans="2:11" x14ac:dyDescent="0.25">
      <c r="B5039"/>
      <c r="K5039"/>
    </row>
    <row r="5040" spans="2:11" x14ac:dyDescent="0.25">
      <c r="B5040"/>
      <c r="K5040"/>
    </row>
    <row r="5041" spans="2:11" x14ac:dyDescent="0.25">
      <c r="B5041"/>
      <c r="K5041"/>
    </row>
    <row r="5042" spans="2:11" x14ac:dyDescent="0.25">
      <c r="B5042"/>
      <c r="K5042"/>
    </row>
    <row r="5043" spans="2:11" x14ac:dyDescent="0.25">
      <c r="B5043"/>
      <c r="K5043"/>
    </row>
    <row r="5044" spans="2:11" x14ac:dyDescent="0.25">
      <c r="B5044"/>
      <c r="K5044"/>
    </row>
    <row r="5045" spans="2:11" x14ac:dyDescent="0.25">
      <c r="B5045"/>
      <c r="K5045"/>
    </row>
    <row r="5046" spans="2:11" x14ac:dyDescent="0.25">
      <c r="B5046"/>
      <c r="K5046"/>
    </row>
    <row r="5047" spans="2:11" x14ac:dyDescent="0.25">
      <c r="B5047"/>
      <c r="K5047"/>
    </row>
    <row r="5048" spans="2:11" x14ac:dyDescent="0.25">
      <c r="B5048"/>
      <c r="K5048"/>
    </row>
    <row r="5049" spans="2:11" x14ac:dyDescent="0.25">
      <c r="B5049"/>
      <c r="K5049"/>
    </row>
    <row r="5050" spans="2:11" x14ac:dyDescent="0.25">
      <c r="B5050"/>
      <c r="K5050"/>
    </row>
    <row r="5051" spans="2:11" x14ac:dyDescent="0.25">
      <c r="B5051"/>
      <c r="K5051"/>
    </row>
    <row r="5052" spans="2:11" x14ac:dyDescent="0.25">
      <c r="B5052"/>
      <c r="K5052"/>
    </row>
    <row r="5053" spans="2:11" x14ac:dyDescent="0.25">
      <c r="B5053"/>
      <c r="K5053"/>
    </row>
    <row r="5054" spans="2:11" x14ac:dyDescent="0.25">
      <c r="B5054"/>
      <c r="K5054"/>
    </row>
    <row r="5055" spans="2:11" x14ac:dyDescent="0.25">
      <c r="B5055"/>
      <c r="K5055"/>
    </row>
    <row r="5056" spans="2:11" x14ac:dyDescent="0.25">
      <c r="B5056"/>
      <c r="K5056"/>
    </row>
    <row r="5057" spans="2:11" x14ac:dyDescent="0.25">
      <c r="B5057"/>
      <c r="K5057"/>
    </row>
    <row r="5058" spans="2:11" x14ac:dyDescent="0.25">
      <c r="B5058"/>
      <c r="K5058"/>
    </row>
    <row r="5059" spans="2:11" x14ac:dyDescent="0.25">
      <c r="B5059"/>
      <c r="K5059"/>
    </row>
    <row r="5060" spans="2:11" x14ac:dyDescent="0.25">
      <c r="B5060"/>
      <c r="K5060"/>
    </row>
    <row r="5061" spans="2:11" x14ac:dyDescent="0.25">
      <c r="B5061"/>
      <c r="K5061"/>
    </row>
    <row r="5062" spans="2:11" x14ac:dyDescent="0.25">
      <c r="B5062"/>
      <c r="K5062"/>
    </row>
    <row r="5063" spans="2:11" x14ac:dyDescent="0.25">
      <c r="B5063"/>
      <c r="K5063"/>
    </row>
    <row r="5064" spans="2:11" x14ac:dyDescent="0.25">
      <c r="B5064"/>
      <c r="K5064"/>
    </row>
    <row r="5065" spans="2:11" x14ac:dyDescent="0.25">
      <c r="B5065"/>
      <c r="K5065"/>
    </row>
    <row r="5066" spans="2:11" x14ac:dyDescent="0.25">
      <c r="B5066"/>
      <c r="K5066"/>
    </row>
    <row r="5067" spans="2:11" x14ac:dyDescent="0.25">
      <c r="B5067"/>
      <c r="K5067"/>
    </row>
    <row r="5068" spans="2:11" x14ac:dyDescent="0.25">
      <c r="B5068"/>
      <c r="K5068"/>
    </row>
    <row r="5069" spans="2:11" x14ac:dyDescent="0.25">
      <c r="B5069"/>
      <c r="K5069"/>
    </row>
    <row r="5070" spans="2:11" x14ac:dyDescent="0.25">
      <c r="B5070"/>
      <c r="K5070"/>
    </row>
    <row r="5071" spans="2:11" x14ac:dyDescent="0.25">
      <c r="B5071"/>
      <c r="K5071"/>
    </row>
    <row r="5072" spans="2:11" x14ac:dyDescent="0.25">
      <c r="B5072"/>
      <c r="K5072"/>
    </row>
    <row r="5073" spans="2:11" x14ac:dyDescent="0.25">
      <c r="B5073"/>
      <c r="K5073"/>
    </row>
    <row r="5074" spans="2:11" x14ac:dyDescent="0.25">
      <c r="B5074"/>
      <c r="K5074"/>
    </row>
    <row r="5075" spans="2:11" x14ac:dyDescent="0.25">
      <c r="B5075"/>
      <c r="K5075"/>
    </row>
    <row r="5076" spans="2:11" x14ac:dyDescent="0.25">
      <c r="B5076"/>
      <c r="K5076"/>
    </row>
    <row r="5077" spans="2:11" x14ac:dyDescent="0.25">
      <c r="B5077"/>
      <c r="K5077"/>
    </row>
    <row r="5078" spans="2:11" x14ac:dyDescent="0.25">
      <c r="B5078"/>
      <c r="K5078"/>
    </row>
    <row r="5079" spans="2:11" x14ac:dyDescent="0.25">
      <c r="B5079"/>
      <c r="K5079"/>
    </row>
    <row r="5080" spans="2:11" x14ac:dyDescent="0.25">
      <c r="B5080"/>
      <c r="K5080"/>
    </row>
    <row r="5081" spans="2:11" x14ac:dyDescent="0.25">
      <c r="B5081"/>
      <c r="K5081"/>
    </row>
    <row r="5082" spans="2:11" x14ac:dyDescent="0.25">
      <c r="B5082"/>
      <c r="K5082"/>
    </row>
    <row r="5083" spans="2:11" x14ac:dyDescent="0.25">
      <c r="B5083"/>
      <c r="K5083"/>
    </row>
    <row r="5084" spans="2:11" x14ac:dyDescent="0.25">
      <c r="B5084"/>
      <c r="K5084"/>
    </row>
    <row r="5085" spans="2:11" x14ac:dyDescent="0.25">
      <c r="B5085"/>
      <c r="K5085"/>
    </row>
    <row r="5086" spans="2:11" x14ac:dyDescent="0.25">
      <c r="B5086"/>
      <c r="K5086"/>
    </row>
    <row r="5087" spans="2:11" x14ac:dyDescent="0.25">
      <c r="B5087"/>
      <c r="K5087"/>
    </row>
    <row r="5088" spans="2:11" x14ac:dyDescent="0.25">
      <c r="B5088"/>
      <c r="K5088"/>
    </row>
    <row r="5089" spans="2:11" x14ac:dyDescent="0.25">
      <c r="B5089"/>
      <c r="K5089"/>
    </row>
    <row r="5090" spans="2:11" x14ac:dyDescent="0.25">
      <c r="B5090"/>
      <c r="K5090"/>
    </row>
    <row r="5091" spans="2:11" x14ac:dyDescent="0.25">
      <c r="B5091"/>
      <c r="K5091"/>
    </row>
    <row r="5092" spans="2:11" x14ac:dyDescent="0.25">
      <c r="B5092"/>
      <c r="K5092"/>
    </row>
    <row r="5093" spans="2:11" x14ac:dyDescent="0.25">
      <c r="B5093"/>
      <c r="K5093"/>
    </row>
    <row r="5094" spans="2:11" x14ac:dyDescent="0.25">
      <c r="B5094"/>
      <c r="K5094"/>
    </row>
    <row r="5095" spans="2:11" x14ac:dyDescent="0.25">
      <c r="B5095"/>
      <c r="K5095"/>
    </row>
    <row r="5096" spans="2:11" x14ac:dyDescent="0.25">
      <c r="B5096"/>
      <c r="K5096"/>
    </row>
    <row r="5097" spans="2:11" x14ac:dyDescent="0.25">
      <c r="B5097"/>
      <c r="K5097"/>
    </row>
    <row r="5098" spans="2:11" x14ac:dyDescent="0.25">
      <c r="B5098"/>
      <c r="K5098"/>
    </row>
    <row r="5099" spans="2:11" x14ac:dyDescent="0.25">
      <c r="B5099"/>
      <c r="K5099"/>
    </row>
    <row r="5100" spans="2:11" x14ac:dyDescent="0.25">
      <c r="B5100"/>
      <c r="K5100"/>
    </row>
    <row r="5101" spans="2:11" x14ac:dyDescent="0.25">
      <c r="B5101"/>
      <c r="K5101"/>
    </row>
    <row r="5102" spans="2:11" x14ac:dyDescent="0.25">
      <c r="B5102"/>
      <c r="K5102"/>
    </row>
    <row r="5103" spans="2:11" x14ac:dyDescent="0.25">
      <c r="B5103"/>
      <c r="K5103"/>
    </row>
    <row r="5104" spans="2:11" x14ac:dyDescent="0.25">
      <c r="B5104"/>
      <c r="K5104"/>
    </row>
    <row r="5105" spans="2:11" x14ac:dyDescent="0.25">
      <c r="B5105"/>
      <c r="K5105"/>
    </row>
    <row r="5106" spans="2:11" x14ac:dyDescent="0.25">
      <c r="B5106"/>
      <c r="K5106"/>
    </row>
    <row r="5107" spans="2:11" x14ac:dyDescent="0.25">
      <c r="B5107"/>
      <c r="K5107"/>
    </row>
    <row r="5108" spans="2:11" x14ac:dyDescent="0.25">
      <c r="B5108"/>
      <c r="K5108"/>
    </row>
    <row r="5109" spans="2:11" x14ac:dyDescent="0.25">
      <c r="B5109"/>
      <c r="K5109"/>
    </row>
    <row r="5110" spans="2:11" x14ac:dyDescent="0.25">
      <c r="B5110"/>
      <c r="K5110"/>
    </row>
    <row r="5111" spans="2:11" x14ac:dyDescent="0.25">
      <c r="B5111"/>
      <c r="K5111"/>
    </row>
    <row r="5112" spans="2:11" x14ac:dyDescent="0.25">
      <c r="B5112"/>
      <c r="K5112"/>
    </row>
    <row r="5113" spans="2:11" x14ac:dyDescent="0.25">
      <c r="B5113"/>
      <c r="K5113"/>
    </row>
    <row r="5114" spans="2:11" x14ac:dyDescent="0.25">
      <c r="B5114"/>
      <c r="K5114"/>
    </row>
    <row r="5115" spans="2:11" x14ac:dyDescent="0.25">
      <c r="B5115"/>
      <c r="K5115"/>
    </row>
    <row r="5116" spans="2:11" x14ac:dyDescent="0.25">
      <c r="B5116"/>
      <c r="K5116"/>
    </row>
    <row r="5117" spans="2:11" x14ac:dyDescent="0.25">
      <c r="B5117"/>
      <c r="K5117"/>
    </row>
    <row r="5118" spans="2:11" x14ac:dyDescent="0.25">
      <c r="B5118"/>
      <c r="K5118"/>
    </row>
    <row r="5119" spans="2:11" x14ac:dyDescent="0.25">
      <c r="B5119"/>
      <c r="K5119"/>
    </row>
    <row r="5120" spans="2:11" x14ac:dyDescent="0.25">
      <c r="B5120"/>
      <c r="K5120"/>
    </row>
    <row r="5121" spans="2:11" x14ac:dyDescent="0.25">
      <c r="B5121"/>
      <c r="K5121"/>
    </row>
    <row r="5122" spans="2:11" x14ac:dyDescent="0.25">
      <c r="B5122"/>
      <c r="K5122"/>
    </row>
    <row r="5123" spans="2:11" x14ac:dyDescent="0.25">
      <c r="B5123"/>
      <c r="K5123"/>
    </row>
    <row r="5124" spans="2:11" x14ac:dyDescent="0.25">
      <c r="B5124"/>
      <c r="K5124"/>
    </row>
    <row r="5125" spans="2:11" x14ac:dyDescent="0.25">
      <c r="B5125"/>
      <c r="K5125"/>
    </row>
    <row r="5126" spans="2:11" x14ac:dyDescent="0.25">
      <c r="B5126"/>
      <c r="K5126"/>
    </row>
    <row r="5127" spans="2:11" x14ac:dyDescent="0.25">
      <c r="B5127"/>
      <c r="K5127"/>
    </row>
    <row r="5128" spans="2:11" x14ac:dyDescent="0.25">
      <c r="B5128"/>
      <c r="K5128"/>
    </row>
    <row r="5129" spans="2:11" x14ac:dyDescent="0.25">
      <c r="B5129"/>
      <c r="K5129"/>
    </row>
    <row r="5130" spans="2:11" x14ac:dyDescent="0.25">
      <c r="B5130"/>
      <c r="K5130"/>
    </row>
    <row r="5131" spans="2:11" x14ac:dyDescent="0.25">
      <c r="B5131"/>
      <c r="K5131"/>
    </row>
    <row r="5132" spans="2:11" x14ac:dyDescent="0.25">
      <c r="B5132"/>
      <c r="K5132"/>
    </row>
    <row r="5133" spans="2:11" x14ac:dyDescent="0.25">
      <c r="B5133"/>
      <c r="K5133"/>
    </row>
    <row r="5134" spans="2:11" x14ac:dyDescent="0.25">
      <c r="B5134"/>
      <c r="K5134"/>
    </row>
    <row r="5135" spans="2:11" x14ac:dyDescent="0.25">
      <c r="B5135"/>
      <c r="K5135"/>
    </row>
    <row r="5136" spans="2:11" x14ac:dyDescent="0.25">
      <c r="B5136"/>
      <c r="K5136"/>
    </row>
    <row r="5137" spans="2:11" x14ac:dyDescent="0.25">
      <c r="B5137"/>
      <c r="K5137"/>
    </row>
    <row r="5138" spans="2:11" x14ac:dyDescent="0.25">
      <c r="B5138"/>
      <c r="K5138"/>
    </row>
    <row r="5139" spans="2:11" x14ac:dyDescent="0.25">
      <c r="B5139"/>
      <c r="K5139"/>
    </row>
    <row r="5140" spans="2:11" x14ac:dyDescent="0.25">
      <c r="B5140"/>
      <c r="K5140"/>
    </row>
    <row r="5141" spans="2:11" x14ac:dyDescent="0.25">
      <c r="B5141"/>
      <c r="K5141"/>
    </row>
    <row r="5142" spans="2:11" x14ac:dyDescent="0.25">
      <c r="B5142"/>
      <c r="K5142"/>
    </row>
    <row r="5143" spans="2:11" x14ac:dyDescent="0.25">
      <c r="B5143"/>
      <c r="K5143"/>
    </row>
    <row r="5144" spans="2:11" x14ac:dyDescent="0.25">
      <c r="B5144"/>
      <c r="K5144"/>
    </row>
    <row r="5145" spans="2:11" x14ac:dyDescent="0.25">
      <c r="B5145"/>
      <c r="K5145"/>
    </row>
    <row r="5146" spans="2:11" x14ac:dyDescent="0.25">
      <c r="B5146"/>
      <c r="K5146"/>
    </row>
    <row r="5147" spans="2:11" x14ac:dyDescent="0.25">
      <c r="B5147"/>
      <c r="K5147"/>
    </row>
    <row r="5148" spans="2:11" x14ac:dyDescent="0.25">
      <c r="B5148"/>
      <c r="K5148"/>
    </row>
    <row r="5149" spans="2:11" x14ac:dyDescent="0.25">
      <c r="B5149"/>
      <c r="K5149"/>
    </row>
    <row r="5150" spans="2:11" x14ac:dyDescent="0.25">
      <c r="B5150"/>
      <c r="K5150"/>
    </row>
    <row r="5151" spans="2:11" x14ac:dyDescent="0.25">
      <c r="B5151"/>
      <c r="K5151"/>
    </row>
    <row r="5152" spans="2:11" x14ac:dyDescent="0.25">
      <c r="B5152"/>
      <c r="K5152"/>
    </row>
    <row r="5153" spans="2:11" x14ac:dyDescent="0.25">
      <c r="B5153"/>
      <c r="K5153"/>
    </row>
    <row r="5154" spans="2:11" x14ac:dyDescent="0.25">
      <c r="B5154"/>
      <c r="K5154"/>
    </row>
    <row r="5155" spans="2:11" x14ac:dyDescent="0.25">
      <c r="B5155"/>
      <c r="K5155"/>
    </row>
    <row r="5156" spans="2:11" x14ac:dyDescent="0.25">
      <c r="B5156"/>
      <c r="K5156"/>
    </row>
    <row r="5157" spans="2:11" x14ac:dyDescent="0.25">
      <c r="B5157"/>
      <c r="K5157"/>
    </row>
    <row r="5158" spans="2:11" x14ac:dyDescent="0.25">
      <c r="B5158"/>
      <c r="K5158"/>
    </row>
    <row r="5159" spans="2:11" x14ac:dyDescent="0.25">
      <c r="B5159"/>
      <c r="K5159"/>
    </row>
    <row r="5160" spans="2:11" x14ac:dyDescent="0.25">
      <c r="B5160"/>
      <c r="K5160"/>
    </row>
    <row r="5161" spans="2:11" x14ac:dyDescent="0.25">
      <c r="B5161"/>
      <c r="K5161"/>
    </row>
    <row r="5162" spans="2:11" x14ac:dyDescent="0.25">
      <c r="B5162"/>
      <c r="K5162"/>
    </row>
    <row r="5163" spans="2:11" x14ac:dyDescent="0.25">
      <c r="B5163"/>
      <c r="K5163"/>
    </row>
    <row r="5164" spans="2:11" x14ac:dyDescent="0.25">
      <c r="B5164"/>
      <c r="K5164"/>
    </row>
    <row r="5165" spans="2:11" x14ac:dyDescent="0.25">
      <c r="B5165"/>
      <c r="K5165"/>
    </row>
    <row r="5166" spans="2:11" x14ac:dyDescent="0.25">
      <c r="B5166"/>
      <c r="K5166"/>
    </row>
    <row r="5167" spans="2:11" x14ac:dyDescent="0.25">
      <c r="B5167"/>
      <c r="K5167"/>
    </row>
    <row r="5168" spans="2:11" x14ac:dyDescent="0.25">
      <c r="B5168"/>
      <c r="K5168"/>
    </row>
    <row r="5169" spans="2:11" x14ac:dyDescent="0.25">
      <c r="B5169"/>
      <c r="K5169"/>
    </row>
    <row r="5170" spans="2:11" x14ac:dyDescent="0.25">
      <c r="B5170"/>
      <c r="K5170"/>
    </row>
    <row r="5171" spans="2:11" x14ac:dyDescent="0.25">
      <c r="B5171"/>
      <c r="K5171"/>
    </row>
    <row r="5172" spans="2:11" x14ac:dyDescent="0.25">
      <c r="B5172"/>
      <c r="K5172"/>
    </row>
    <row r="5173" spans="2:11" x14ac:dyDescent="0.25">
      <c r="B5173"/>
      <c r="K5173"/>
    </row>
    <row r="5174" spans="2:11" x14ac:dyDescent="0.25">
      <c r="B5174"/>
      <c r="K5174"/>
    </row>
    <row r="5175" spans="2:11" x14ac:dyDescent="0.25">
      <c r="B5175"/>
      <c r="K5175"/>
    </row>
    <row r="5176" spans="2:11" x14ac:dyDescent="0.25">
      <c r="B5176"/>
      <c r="K5176"/>
    </row>
    <row r="5177" spans="2:11" x14ac:dyDescent="0.25">
      <c r="B5177"/>
      <c r="K5177"/>
    </row>
    <row r="5178" spans="2:11" x14ac:dyDescent="0.25">
      <c r="B5178"/>
      <c r="K5178"/>
    </row>
    <row r="5179" spans="2:11" x14ac:dyDescent="0.25">
      <c r="B5179"/>
      <c r="K5179"/>
    </row>
    <row r="5180" spans="2:11" x14ac:dyDescent="0.25">
      <c r="B5180"/>
      <c r="K5180"/>
    </row>
    <row r="5181" spans="2:11" x14ac:dyDescent="0.25">
      <c r="B5181"/>
      <c r="K5181"/>
    </row>
    <row r="5182" spans="2:11" x14ac:dyDescent="0.25">
      <c r="B5182"/>
      <c r="K5182"/>
    </row>
    <row r="5183" spans="2:11" x14ac:dyDescent="0.25">
      <c r="B5183"/>
      <c r="K5183"/>
    </row>
    <row r="5184" spans="2:11" x14ac:dyDescent="0.25">
      <c r="B5184"/>
      <c r="K5184"/>
    </row>
    <row r="5185" spans="2:11" x14ac:dyDescent="0.25">
      <c r="B5185"/>
      <c r="K5185"/>
    </row>
    <row r="5186" spans="2:11" x14ac:dyDescent="0.25">
      <c r="B5186"/>
      <c r="K5186"/>
    </row>
    <row r="5187" spans="2:11" x14ac:dyDescent="0.25">
      <c r="B5187"/>
      <c r="K5187"/>
    </row>
    <row r="5188" spans="2:11" x14ac:dyDescent="0.25">
      <c r="B5188"/>
      <c r="K5188"/>
    </row>
    <row r="5189" spans="2:11" x14ac:dyDescent="0.25">
      <c r="B5189"/>
      <c r="K5189"/>
    </row>
    <row r="5190" spans="2:11" x14ac:dyDescent="0.25">
      <c r="B5190"/>
      <c r="K5190"/>
    </row>
    <row r="5191" spans="2:11" x14ac:dyDescent="0.25">
      <c r="B5191"/>
      <c r="K5191"/>
    </row>
    <row r="5192" spans="2:11" x14ac:dyDescent="0.25">
      <c r="B5192"/>
      <c r="K5192"/>
    </row>
    <row r="5193" spans="2:11" x14ac:dyDescent="0.25">
      <c r="B5193"/>
      <c r="K5193"/>
    </row>
    <row r="5194" spans="2:11" x14ac:dyDescent="0.25">
      <c r="B5194"/>
      <c r="K5194"/>
    </row>
    <row r="5195" spans="2:11" x14ac:dyDescent="0.25">
      <c r="B5195"/>
      <c r="K5195"/>
    </row>
    <row r="5196" spans="2:11" x14ac:dyDescent="0.25">
      <c r="B5196"/>
      <c r="K5196"/>
    </row>
    <row r="5197" spans="2:11" x14ac:dyDescent="0.25">
      <c r="B5197"/>
      <c r="K5197"/>
    </row>
    <row r="5198" spans="2:11" x14ac:dyDescent="0.25">
      <c r="B5198"/>
      <c r="K5198"/>
    </row>
    <row r="5199" spans="2:11" x14ac:dyDescent="0.25">
      <c r="B5199"/>
      <c r="K5199"/>
    </row>
    <row r="5200" spans="2:11" x14ac:dyDescent="0.25">
      <c r="B5200"/>
      <c r="K5200"/>
    </row>
    <row r="5201" spans="2:11" x14ac:dyDescent="0.25">
      <c r="B5201"/>
      <c r="K5201"/>
    </row>
    <row r="5202" spans="2:11" x14ac:dyDescent="0.25">
      <c r="B5202"/>
      <c r="K5202"/>
    </row>
    <row r="5203" spans="2:11" x14ac:dyDescent="0.25">
      <c r="B5203"/>
      <c r="K5203"/>
    </row>
    <row r="5204" spans="2:11" x14ac:dyDescent="0.25">
      <c r="B5204"/>
      <c r="K5204"/>
    </row>
    <row r="5205" spans="2:11" x14ac:dyDescent="0.25">
      <c r="B5205"/>
      <c r="K5205"/>
    </row>
    <row r="5206" spans="2:11" x14ac:dyDescent="0.25">
      <c r="B5206"/>
      <c r="K5206"/>
    </row>
    <row r="5207" spans="2:11" x14ac:dyDescent="0.25">
      <c r="B5207"/>
      <c r="K5207"/>
    </row>
    <row r="5208" spans="2:11" x14ac:dyDescent="0.25">
      <c r="B5208"/>
    </row>
  </sheetData>
  <mergeCells count="7">
    <mergeCell ref="A1:C1"/>
    <mergeCell ref="A8:C8"/>
    <mergeCell ref="A4:B4"/>
    <mergeCell ref="A2:B2"/>
    <mergeCell ref="A7:C7"/>
    <mergeCell ref="A5:C5"/>
    <mergeCell ref="A6:C6"/>
  </mergeCells>
  <pageMargins left="0.7" right="0.7" top="0.75" bottom="0.75" header="0.3" footer="0.3"/>
  <pageSetup paperSize="9"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AAE7-4DBF-4617-9B4A-7AE281F83337}">
  <dimension ref="A1:L1753"/>
  <sheetViews>
    <sheetView workbookViewId="0">
      <selection activeCell="F9" sqref="F9"/>
    </sheetView>
  </sheetViews>
  <sheetFormatPr baseColWidth="10" defaultRowHeight="15" x14ac:dyDescent="0.25"/>
  <cols>
    <col min="2" max="2" width="52.42578125" bestFit="1" customWidth="1"/>
    <col min="3" max="3" width="14.5703125" bestFit="1" customWidth="1"/>
    <col min="4" max="4" width="13.5703125" bestFit="1" customWidth="1"/>
    <col min="9" max="9" width="11.7109375" style="37" bestFit="1" customWidth="1"/>
    <col min="10" max="10" width="72.85546875" style="37" bestFit="1" customWidth="1"/>
    <col min="11" max="11" width="15.5703125" style="39" bestFit="1" customWidth="1"/>
    <col min="12" max="12" width="11.7109375" style="38" bestFit="1" customWidth="1"/>
  </cols>
  <sheetData>
    <row r="1" spans="1:12" ht="25.5" x14ac:dyDescent="0.25">
      <c r="I1" s="34" t="s">
        <v>46</v>
      </c>
      <c r="J1" s="34" t="s">
        <v>5</v>
      </c>
      <c r="K1" s="35" t="s">
        <v>47</v>
      </c>
      <c r="L1" s="36" t="s">
        <v>6</v>
      </c>
    </row>
    <row r="2" spans="1:12" x14ac:dyDescent="0.25">
      <c r="I2" s="21">
        <v>3045959</v>
      </c>
      <c r="J2" s="21" t="s">
        <v>352</v>
      </c>
      <c r="K2" s="54">
        <v>6923300.0999999996</v>
      </c>
      <c r="L2" s="22">
        <v>45663</v>
      </c>
    </row>
    <row r="3" spans="1:12" x14ac:dyDescent="0.25">
      <c r="A3" s="103" t="s">
        <v>546</v>
      </c>
      <c r="B3" s="103" t="s">
        <v>547</v>
      </c>
      <c r="C3" s="103" t="s">
        <v>10</v>
      </c>
      <c r="D3" s="103" t="s">
        <v>548</v>
      </c>
      <c r="I3" s="21">
        <v>3045960</v>
      </c>
      <c r="J3" s="21" t="s">
        <v>353</v>
      </c>
      <c r="K3" s="54">
        <v>3021563.4</v>
      </c>
      <c r="L3" s="22">
        <v>45663</v>
      </c>
    </row>
    <row r="4" spans="1:12" x14ac:dyDescent="0.25">
      <c r="A4">
        <v>71643815</v>
      </c>
      <c r="B4" s="21" t="s">
        <v>545</v>
      </c>
      <c r="C4" s="4">
        <f>VLOOKUP(A4,I:L,3,FALSE)</f>
        <v>7802392.0099999998</v>
      </c>
      <c r="D4" s="22">
        <f>VLOOKUP(A4,I:L,4,FALSE)</f>
        <v>46114</v>
      </c>
      <c r="I4" s="21">
        <v>3045961</v>
      </c>
      <c r="J4" s="21" t="s">
        <v>29</v>
      </c>
      <c r="K4" s="54">
        <v>6282395.3700000001</v>
      </c>
      <c r="L4" s="22">
        <v>45663</v>
      </c>
    </row>
    <row r="5" spans="1:12" x14ac:dyDescent="0.25">
      <c r="A5">
        <v>73815758</v>
      </c>
      <c r="B5" s="21" t="s">
        <v>515</v>
      </c>
      <c r="C5" s="4">
        <f t="shared" ref="C5:C23" si="0">VLOOKUP(A5,I:L,3,FALSE)</f>
        <v>2417460.4900000002</v>
      </c>
      <c r="D5" s="22">
        <f t="shared" ref="D5:D23" si="1">VLOOKUP(A5,I:L,4,FALSE)</f>
        <v>46099</v>
      </c>
      <c r="I5" s="21">
        <v>3045962</v>
      </c>
      <c r="J5" s="21" t="s">
        <v>83</v>
      </c>
      <c r="K5" s="54">
        <v>2160608.65</v>
      </c>
      <c r="L5" s="22">
        <v>45663</v>
      </c>
    </row>
    <row r="6" spans="1:12" x14ac:dyDescent="0.25">
      <c r="A6">
        <v>73815773</v>
      </c>
      <c r="B6" s="21" t="s">
        <v>565</v>
      </c>
      <c r="C6" s="4">
        <f t="shared" si="0"/>
        <v>19791685.550000001</v>
      </c>
      <c r="D6" s="22">
        <f t="shared" si="1"/>
        <v>46113</v>
      </c>
      <c r="I6" s="21">
        <v>3045963</v>
      </c>
      <c r="J6" s="21" t="s">
        <v>354</v>
      </c>
      <c r="K6" s="54">
        <v>7003929.4800000004</v>
      </c>
      <c r="L6" s="22">
        <v>45664</v>
      </c>
    </row>
    <row r="7" spans="1:12" x14ac:dyDescent="0.25">
      <c r="A7">
        <v>73815781</v>
      </c>
      <c r="B7" s="21" t="s">
        <v>566</v>
      </c>
      <c r="C7" s="4">
        <f t="shared" si="0"/>
        <v>5890723.4000000004</v>
      </c>
      <c r="D7" s="22">
        <f t="shared" si="1"/>
        <v>46112</v>
      </c>
      <c r="I7" s="21">
        <v>3045964</v>
      </c>
      <c r="J7" s="21" t="s">
        <v>355</v>
      </c>
      <c r="K7" s="54">
        <v>16987515.260000002</v>
      </c>
      <c r="L7" s="22">
        <v>45664</v>
      </c>
    </row>
    <row r="8" spans="1:12" x14ac:dyDescent="0.25">
      <c r="A8">
        <v>73815783</v>
      </c>
      <c r="B8" s="21" t="s">
        <v>513</v>
      </c>
      <c r="C8" s="4">
        <f t="shared" si="0"/>
        <v>14446591.810000001</v>
      </c>
      <c r="D8" s="22">
        <f t="shared" si="1"/>
        <v>46113</v>
      </c>
      <c r="I8" s="21">
        <v>3045958</v>
      </c>
      <c r="J8" s="21" t="s">
        <v>356</v>
      </c>
      <c r="K8" s="54">
        <v>34672682.140000001</v>
      </c>
      <c r="L8" s="22">
        <v>45660</v>
      </c>
    </row>
    <row r="9" spans="1:12" x14ac:dyDescent="0.25">
      <c r="A9">
        <v>73815787</v>
      </c>
      <c r="B9" s="21" t="s">
        <v>357</v>
      </c>
      <c r="C9" s="4">
        <f t="shared" si="0"/>
        <v>1181043.8999999999</v>
      </c>
      <c r="D9" s="22">
        <f t="shared" si="1"/>
        <v>46111</v>
      </c>
      <c r="I9">
        <v>93655828</v>
      </c>
      <c r="J9" s="21" t="s">
        <v>357</v>
      </c>
      <c r="K9" s="50">
        <v>3708721.25</v>
      </c>
      <c r="L9" s="22">
        <v>45667</v>
      </c>
    </row>
    <row r="10" spans="1:12" x14ac:dyDescent="0.25">
      <c r="A10">
        <v>73815789</v>
      </c>
      <c r="B10" s="21" t="s">
        <v>567</v>
      </c>
      <c r="C10" s="4">
        <f t="shared" si="0"/>
        <v>6486668.3300000001</v>
      </c>
      <c r="D10" s="22">
        <f t="shared" si="1"/>
        <v>46111</v>
      </c>
      <c r="I10" s="21">
        <v>93919608</v>
      </c>
      <c r="J10" s="21" t="s">
        <v>358</v>
      </c>
      <c r="K10" s="54">
        <v>6224594.2999999998</v>
      </c>
      <c r="L10" s="22">
        <v>45670</v>
      </c>
    </row>
    <row r="11" spans="1:12" x14ac:dyDescent="0.25">
      <c r="A11">
        <v>73815792</v>
      </c>
      <c r="B11" s="21" t="s">
        <v>568</v>
      </c>
      <c r="C11" s="4">
        <f t="shared" si="0"/>
        <v>1285199.07</v>
      </c>
      <c r="D11" s="22">
        <f t="shared" si="1"/>
        <v>46119</v>
      </c>
      <c r="I11" s="21">
        <v>93919609</v>
      </c>
      <c r="J11" s="21" t="s">
        <v>41</v>
      </c>
      <c r="K11" s="54">
        <v>10810850.810000001</v>
      </c>
      <c r="L11" s="22">
        <v>45670</v>
      </c>
    </row>
    <row r="12" spans="1:12" x14ac:dyDescent="0.25">
      <c r="A12">
        <v>73815793</v>
      </c>
      <c r="B12" s="21" t="s">
        <v>453</v>
      </c>
      <c r="C12" s="4">
        <f t="shared" si="0"/>
        <v>3366049.8</v>
      </c>
      <c r="D12" s="22">
        <f t="shared" si="1"/>
        <v>46119</v>
      </c>
      <c r="I12" s="21">
        <v>95363988</v>
      </c>
      <c r="J12" s="21" t="s">
        <v>359</v>
      </c>
      <c r="K12" s="54">
        <v>14814901.869999999</v>
      </c>
      <c r="L12" s="22">
        <v>45670</v>
      </c>
    </row>
    <row r="13" spans="1:12" x14ac:dyDescent="0.25">
      <c r="A13">
        <v>73815794</v>
      </c>
      <c r="B13" s="21" t="s">
        <v>549</v>
      </c>
      <c r="C13" s="4">
        <f t="shared" si="0"/>
        <v>9456251.6999999993</v>
      </c>
      <c r="D13" s="22">
        <f t="shared" si="1"/>
        <v>46119</v>
      </c>
      <c r="I13" s="21">
        <v>95363989</v>
      </c>
      <c r="J13" s="21" t="s">
        <v>355</v>
      </c>
      <c r="K13" s="54">
        <v>13000000</v>
      </c>
      <c r="L13" s="22">
        <v>45670</v>
      </c>
    </row>
    <row r="14" spans="1:12" x14ac:dyDescent="0.25">
      <c r="A14">
        <v>73815795</v>
      </c>
      <c r="B14" s="21" t="s">
        <v>569</v>
      </c>
      <c r="C14" s="4">
        <f t="shared" si="0"/>
        <v>14112822.99</v>
      </c>
      <c r="D14" s="22">
        <f t="shared" si="1"/>
        <v>46119</v>
      </c>
      <c r="I14" s="21">
        <v>95363990</v>
      </c>
      <c r="J14" s="21" t="s">
        <v>355</v>
      </c>
      <c r="K14" s="54">
        <v>12640528.41</v>
      </c>
      <c r="L14" s="22">
        <v>45671</v>
      </c>
    </row>
    <row r="15" spans="1:12" x14ac:dyDescent="0.25">
      <c r="A15">
        <v>73815796</v>
      </c>
      <c r="B15" s="21" t="s">
        <v>570</v>
      </c>
      <c r="C15" s="4">
        <f t="shared" si="0"/>
        <v>1073500</v>
      </c>
      <c r="D15" s="22">
        <f t="shared" si="1"/>
        <v>46119</v>
      </c>
      <c r="I15" s="21">
        <v>95363991</v>
      </c>
      <c r="J15" s="21" t="s">
        <v>360</v>
      </c>
      <c r="K15" s="54">
        <v>15000000</v>
      </c>
      <c r="L15" s="22">
        <v>45670</v>
      </c>
    </row>
    <row r="16" spans="1:12" x14ac:dyDescent="0.25">
      <c r="A16">
        <v>73815797</v>
      </c>
      <c r="B16" s="21" t="s">
        <v>550</v>
      </c>
      <c r="C16" s="4">
        <f t="shared" si="0"/>
        <v>4873807.92</v>
      </c>
      <c r="D16" s="22">
        <f t="shared" si="1"/>
        <v>46119</v>
      </c>
      <c r="I16" s="21">
        <v>95363992</v>
      </c>
      <c r="J16" s="21" t="s">
        <v>360</v>
      </c>
      <c r="K16" s="54">
        <v>14252678.1</v>
      </c>
      <c r="L16" s="22">
        <v>45671</v>
      </c>
    </row>
    <row r="17" spans="1:12" x14ac:dyDescent="0.25">
      <c r="A17">
        <v>73815798</v>
      </c>
      <c r="B17" s="21" t="s">
        <v>504</v>
      </c>
      <c r="C17" s="4">
        <f t="shared" si="0"/>
        <v>5896898.3099999996</v>
      </c>
      <c r="D17" s="22">
        <f t="shared" si="1"/>
        <v>46119</v>
      </c>
      <c r="I17" s="21">
        <v>3045965</v>
      </c>
      <c r="J17" s="21" t="s">
        <v>361</v>
      </c>
      <c r="K17" s="54">
        <v>33502827.57</v>
      </c>
      <c r="L17" s="22">
        <v>45672</v>
      </c>
    </row>
    <row r="18" spans="1:12" x14ac:dyDescent="0.25">
      <c r="A18">
        <v>73815799</v>
      </c>
      <c r="B18" s="21" t="s">
        <v>571</v>
      </c>
      <c r="C18" s="4">
        <f t="shared" si="0"/>
        <v>2321760.94</v>
      </c>
      <c r="D18" s="22">
        <f t="shared" si="1"/>
        <v>46119</v>
      </c>
      <c r="I18" s="21">
        <v>3045966</v>
      </c>
      <c r="J18" s="21" t="s">
        <v>361</v>
      </c>
      <c r="K18" s="54">
        <v>27669000</v>
      </c>
      <c r="L18" s="22">
        <v>45694</v>
      </c>
    </row>
    <row r="19" spans="1:12" x14ac:dyDescent="0.25">
      <c r="A19">
        <v>73815800</v>
      </c>
      <c r="B19" s="21" t="s">
        <v>572</v>
      </c>
      <c r="C19" s="4">
        <f t="shared" si="0"/>
        <v>1891500</v>
      </c>
      <c r="D19" s="22">
        <f t="shared" si="1"/>
        <v>46119</v>
      </c>
      <c r="I19">
        <v>3045967</v>
      </c>
      <c r="J19" t="s">
        <v>362</v>
      </c>
      <c r="K19" s="50">
        <v>39541000</v>
      </c>
      <c r="L19" s="3">
        <v>45673</v>
      </c>
    </row>
    <row r="20" spans="1:12" x14ac:dyDescent="0.25">
      <c r="A20">
        <v>73815801</v>
      </c>
      <c r="B20" s="21" t="s">
        <v>573</v>
      </c>
      <c r="C20" s="4">
        <f t="shared" si="0"/>
        <v>2807828.8</v>
      </c>
      <c r="D20" s="22">
        <f t="shared" si="1"/>
        <v>46119</v>
      </c>
      <c r="I20">
        <v>3045968</v>
      </c>
      <c r="J20" t="s">
        <v>362</v>
      </c>
      <c r="K20" s="50">
        <v>106485000</v>
      </c>
      <c r="L20" s="3">
        <v>45694</v>
      </c>
    </row>
    <row r="21" spans="1:12" x14ac:dyDescent="0.25">
      <c r="A21">
        <v>73815802</v>
      </c>
      <c r="B21" s="21" t="s">
        <v>574</v>
      </c>
      <c r="C21" s="4">
        <f t="shared" si="0"/>
        <v>1649311.8</v>
      </c>
      <c r="D21" s="22">
        <f t="shared" si="1"/>
        <v>46120</v>
      </c>
      <c r="I21">
        <v>3045969</v>
      </c>
      <c r="J21" t="s">
        <v>362</v>
      </c>
      <c r="K21" s="50">
        <v>39542364.359999999</v>
      </c>
      <c r="L21" s="3">
        <v>45705</v>
      </c>
    </row>
    <row r="22" spans="1:12" x14ac:dyDescent="0.25">
      <c r="A22">
        <v>73815803</v>
      </c>
      <c r="B22" s="21" t="s">
        <v>575</v>
      </c>
      <c r="C22" s="4">
        <f t="shared" si="0"/>
        <v>1292742.52</v>
      </c>
      <c r="D22" s="22">
        <f t="shared" si="1"/>
        <v>46120</v>
      </c>
      <c r="I22">
        <v>3045970</v>
      </c>
      <c r="J22" t="s">
        <v>14</v>
      </c>
      <c r="K22" s="50">
        <v>46015872.670000002</v>
      </c>
      <c r="L22" s="3">
        <v>45678</v>
      </c>
    </row>
    <row r="23" spans="1:12" x14ac:dyDescent="0.25">
      <c r="A23">
        <v>73815804</v>
      </c>
      <c r="B23" s="21" t="s">
        <v>576</v>
      </c>
      <c r="C23" s="4">
        <f t="shared" si="0"/>
        <v>971247.75</v>
      </c>
      <c r="D23" s="22">
        <f t="shared" si="1"/>
        <v>46120</v>
      </c>
      <c r="I23">
        <v>3045971</v>
      </c>
      <c r="J23" t="s">
        <v>14</v>
      </c>
      <c r="K23" s="50">
        <v>6047852.3300000001</v>
      </c>
      <c r="L23" s="3">
        <v>45678</v>
      </c>
    </row>
    <row r="24" spans="1:12" x14ac:dyDescent="0.25">
      <c r="A24">
        <v>73815805</v>
      </c>
      <c r="B24" s="21" t="s">
        <v>577</v>
      </c>
      <c r="C24" s="4">
        <f t="shared" ref="C24:C48" si="2">VLOOKUP(A24,I:L,3,FALSE)</f>
        <v>21859841.620000001</v>
      </c>
      <c r="D24" s="22">
        <f t="shared" ref="D24:D48" si="3">VLOOKUP(A24,I:L,4,FALSE)</f>
        <v>46120</v>
      </c>
      <c r="I24">
        <v>95363993</v>
      </c>
      <c r="J24" t="s">
        <v>363</v>
      </c>
      <c r="K24" s="50">
        <v>13859102.699999999</v>
      </c>
      <c r="L24" s="3">
        <v>45677</v>
      </c>
    </row>
    <row r="25" spans="1:12" x14ac:dyDescent="0.25">
      <c r="A25">
        <v>73815681</v>
      </c>
      <c r="B25" s="21" t="s">
        <v>522</v>
      </c>
      <c r="C25" s="4">
        <f t="shared" si="2"/>
        <v>8400000</v>
      </c>
      <c r="D25" s="22">
        <f t="shared" si="3"/>
        <v>46121</v>
      </c>
      <c r="I25">
        <v>95363994</v>
      </c>
      <c r="J25" t="s">
        <v>29</v>
      </c>
      <c r="K25" s="50">
        <v>5259947.82</v>
      </c>
      <c r="L25" s="3">
        <v>45677</v>
      </c>
    </row>
    <row r="26" spans="1:12" x14ac:dyDescent="0.25">
      <c r="C26" s="4" t="e">
        <f t="shared" si="2"/>
        <v>#N/A</v>
      </c>
      <c r="D26" s="22" t="e">
        <f t="shared" si="3"/>
        <v>#N/A</v>
      </c>
      <c r="I26">
        <v>95363995</v>
      </c>
      <c r="J26" t="s">
        <v>364</v>
      </c>
      <c r="K26" s="50">
        <v>14747365.99</v>
      </c>
      <c r="L26" s="3">
        <v>45677</v>
      </c>
    </row>
    <row r="27" spans="1:12" x14ac:dyDescent="0.25">
      <c r="C27" s="4" t="e">
        <f t="shared" si="2"/>
        <v>#N/A</v>
      </c>
      <c r="D27" s="22" t="e">
        <f t="shared" si="3"/>
        <v>#N/A</v>
      </c>
      <c r="I27">
        <v>95363996</v>
      </c>
      <c r="J27" t="s">
        <v>358</v>
      </c>
      <c r="K27" s="50">
        <v>5817326.4699999997</v>
      </c>
      <c r="L27" s="3">
        <v>45677</v>
      </c>
    </row>
    <row r="28" spans="1:12" x14ac:dyDescent="0.25">
      <c r="C28" s="4" t="e">
        <f t="shared" si="2"/>
        <v>#N/A</v>
      </c>
      <c r="D28" s="22" t="e">
        <f t="shared" si="3"/>
        <v>#N/A</v>
      </c>
      <c r="I28">
        <v>95363997</v>
      </c>
      <c r="J28" t="s">
        <v>365</v>
      </c>
      <c r="K28" s="50">
        <v>11737631.050000001</v>
      </c>
      <c r="L28" s="3">
        <v>45677</v>
      </c>
    </row>
    <row r="29" spans="1:12" x14ac:dyDescent="0.25">
      <c r="C29" s="4" t="e">
        <f t="shared" si="2"/>
        <v>#N/A</v>
      </c>
      <c r="D29" s="22" t="e">
        <f t="shared" si="3"/>
        <v>#N/A</v>
      </c>
      <c r="I29">
        <v>95363998</v>
      </c>
      <c r="J29" t="s">
        <v>366</v>
      </c>
      <c r="K29" s="50">
        <v>13000000</v>
      </c>
      <c r="L29" s="3">
        <v>45678</v>
      </c>
    </row>
    <row r="30" spans="1:12" x14ac:dyDescent="0.25">
      <c r="C30" s="4" t="e">
        <f t="shared" si="2"/>
        <v>#N/A</v>
      </c>
      <c r="D30" s="22" t="e">
        <f t="shared" si="3"/>
        <v>#N/A</v>
      </c>
      <c r="I30">
        <v>95363999</v>
      </c>
      <c r="J30" t="s">
        <v>366</v>
      </c>
      <c r="K30" s="50">
        <v>13721032.199999999</v>
      </c>
      <c r="L30" s="3">
        <v>45679</v>
      </c>
    </row>
    <row r="31" spans="1:12" x14ac:dyDescent="0.25">
      <c r="C31" s="4" t="e">
        <f t="shared" si="2"/>
        <v>#N/A</v>
      </c>
      <c r="D31" s="22" t="e">
        <f t="shared" si="3"/>
        <v>#N/A</v>
      </c>
      <c r="I31">
        <v>95364000</v>
      </c>
      <c r="J31" t="s">
        <v>367</v>
      </c>
      <c r="K31" s="50">
        <v>20000000</v>
      </c>
      <c r="L31" s="3">
        <v>45678</v>
      </c>
    </row>
    <row r="32" spans="1:12" x14ac:dyDescent="0.25">
      <c r="C32" s="4" t="e">
        <f t="shared" si="2"/>
        <v>#N/A</v>
      </c>
      <c r="D32" s="22" t="e">
        <f t="shared" si="3"/>
        <v>#N/A</v>
      </c>
      <c r="I32">
        <v>95364001</v>
      </c>
      <c r="J32" t="s">
        <v>367</v>
      </c>
      <c r="K32" s="50">
        <v>19766069.399999999</v>
      </c>
      <c r="L32" s="3">
        <v>45679</v>
      </c>
    </row>
    <row r="33" spans="3:12" x14ac:dyDescent="0.25">
      <c r="C33" s="4" t="e">
        <f t="shared" si="2"/>
        <v>#N/A</v>
      </c>
      <c r="D33" s="22" t="e">
        <f t="shared" si="3"/>
        <v>#N/A</v>
      </c>
      <c r="I33">
        <v>95364002</v>
      </c>
      <c r="J33" t="s">
        <v>87</v>
      </c>
      <c r="K33" s="50">
        <v>17000000</v>
      </c>
      <c r="L33" s="3">
        <v>45678</v>
      </c>
    </row>
    <row r="34" spans="3:12" x14ac:dyDescent="0.25">
      <c r="C34" s="4" t="e">
        <f t="shared" si="2"/>
        <v>#N/A</v>
      </c>
      <c r="D34" s="22" t="e">
        <f t="shared" si="3"/>
        <v>#N/A</v>
      </c>
      <c r="I34">
        <v>95364003</v>
      </c>
      <c r="J34" t="s">
        <v>87</v>
      </c>
      <c r="K34" s="50">
        <v>19263402.23</v>
      </c>
      <c r="L34" s="3">
        <v>45679</v>
      </c>
    </row>
    <row r="35" spans="3:12" x14ac:dyDescent="0.25">
      <c r="C35" s="4" t="e">
        <f t="shared" si="2"/>
        <v>#N/A</v>
      </c>
      <c r="D35" s="22" t="e">
        <f t="shared" si="3"/>
        <v>#N/A</v>
      </c>
      <c r="I35" s="21">
        <v>3045972</v>
      </c>
      <c r="J35" s="21" t="s">
        <v>368</v>
      </c>
      <c r="K35" s="54">
        <v>5638258.5999999996</v>
      </c>
      <c r="L35" s="22">
        <v>45681</v>
      </c>
    </row>
    <row r="36" spans="3:12" x14ac:dyDescent="0.25">
      <c r="C36" s="4" t="e">
        <f t="shared" si="2"/>
        <v>#N/A</v>
      </c>
      <c r="D36" s="22" t="e">
        <f t="shared" si="3"/>
        <v>#N/A</v>
      </c>
      <c r="I36" s="21">
        <v>3045973</v>
      </c>
      <c r="J36" s="21" t="s">
        <v>369</v>
      </c>
      <c r="K36" s="54">
        <v>14278043.4</v>
      </c>
      <c r="L36" s="22">
        <v>45681</v>
      </c>
    </row>
    <row r="37" spans="3:12" x14ac:dyDescent="0.25">
      <c r="C37" s="4" t="e">
        <f t="shared" si="2"/>
        <v>#N/A</v>
      </c>
      <c r="D37" s="22" t="e">
        <f t="shared" si="3"/>
        <v>#N/A</v>
      </c>
      <c r="I37" s="21">
        <v>3045974</v>
      </c>
      <c r="J37" s="21" t="s">
        <v>370</v>
      </c>
      <c r="K37" s="54">
        <v>9618299.5999999996</v>
      </c>
      <c r="L37" s="22">
        <v>45681</v>
      </c>
    </row>
    <row r="38" spans="3:12" x14ac:dyDescent="0.25">
      <c r="C38" s="4" t="e">
        <f t="shared" si="2"/>
        <v>#N/A</v>
      </c>
      <c r="D38" s="22" t="e">
        <f t="shared" si="3"/>
        <v>#N/A</v>
      </c>
      <c r="I38" s="21">
        <v>3045975</v>
      </c>
      <c r="J38" s="21" t="s">
        <v>29</v>
      </c>
      <c r="K38" s="54">
        <v>6136520.5599999996</v>
      </c>
      <c r="L38" s="22">
        <v>45681</v>
      </c>
    </row>
    <row r="39" spans="3:12" x14ac:dyDescent="0.25">
      <c r="C39" s="4" t="e">
        <f t="shared" si="2"/>
        <v>#N/A</v>
      </c>
      <c r="D39" s="22" t="e">
        <f t="shared" si="3"/>
        <v>#N/A</v>
      </c>
      <c r="I39" s="21">
        <v>3045976</v>
      </c>
      <c r="J39" s="21" t="s">
        <v>371</v>
      </c>
      <c r="K39" s="54">
        <v>1650000</v>
      </c>
      <c r="L39" s="22">
        <v>45681</v>
      </c>
    </row>
    <row r="40" spans="3:12" x14ac:dyDescent="0.25">
      <c r="C40" s="4" t="e">
        <f t="shared" si="2"/>
        <v>#N/A</v>
      </c>
      <c r="D40" s="22" t="e">
        <f t="shared" si="3"/>
        <v>#N/A</v>
      </c>
      <c r="I40" s="21">
        <v>3045977</v>
      </c>
      <c r="J40" s="21" t="s">
        <v>372</v>
      </c>
      <c r="K40" s="54">
        <v>6445479</v>
      </c>
      <c r="L40" s="22">
        <v>45681</v>
      </c>
    </row>
    <row r="41" spans="3:12" x14ac:dyDescent="0.25">
      <c r="C41" s="4" t="e">
        <f t="shared" si="2"/>
        <v>#N/A</v>
      </c>
      <c r="D41" s="22" t="e">
        <f t="shared" si="3"/>
        <v>#N/A</v>
      </c>
      <c r="I41" s="21">
        <v>3045978</v>
      </c>
      <c r="J41" s="21" t="s">
        <v>355</v>
      </c>
      <c r="K41" s="54">
        <v>20864963.989999998</v>
      </c>
      <c r="L41" s="22">
        <v>45684</v>
      </c>
    </row>
    <row r="42" spans="3:12" x14ac:dyDescent="0.25">
      <c r="C42" s="4" t="e">
        <f t="shared" si="2"/>
        <v>#N/A</v>
      </c>
      <c r="D42" s="22" t="e">
        <f t="shared" si="3"/>
        <v>#N/A</v>
      </c>
      <c r="I42" s="21">
        <v>3045979</v>
      </c>
      <c r="J42" s="21" t="s">
        <v>362</v>
      </c>
      <c r="K42" s="54">
        <v>30661744.039999999</v>
      </c>
      <c r="L42" s="22">
        <v>45684</v>
      </c>
    </row>
    <row r="43" spans="3:12" x14ac:dyDescent="0.25">
      <c r="C43" s="4" t="e">
        <f t="shared" si="2"/>
        <v>#N/A</v>
      </c>
      <c r="D43" s="22" t="e">
        <f t="shared" si="3"/>
        <v>#N/A</v>
      </c>
      <c r="I43" s="21">
        <v>3045980</v>
      </c>
      <c r="J43" s="21" t="s">
        <v>362</v>
      </c>
      <c r="K43" s="54">
        <v>31195000</v>
      </c>
      <c r="L43" s="22">
        <v>45712</v>
      </c>
    </row>
    <row r="44" spans="3:12" x14ac:dyDescent="0.25">
      <c r="C44" s="4" t="e">
        <f t="shared" si="2"/>
        <v>#N/A</v>
      </c>
      <c r="D44" s="22" t="e">
        <f t="shared" si="3"/>
        <v>#N/A</v>
      </c>
      <c r="I44" s="21">
        <v>3045981</v>
      </c>
      <c r="J44" s="21" t="s">
        <v>356</v>
      </c>
      <c r="K44" s="54">
        <v>15000000</v>
      </c>
      <c r="L44" s="22">
        <v>45681</v>
      </c>
    </row>
    <row r="45" spans="3:12" x14ac:dyDescent="0.25">
      <c r="C45" s="4" t="e">
        <f t="shared" si="2"/>
        <v>#N/A</v>
      </c>
      <c r="D45" s="22" t="e">
        <f t="shared" si="3"/>
        <v>#N/A</v>
      </c>
      <c r="I45" s="21">
        <v>3045982</v>
      </c>
      <c r="J45" s="21" t="s">
        <v>356</v>
      </c>
      <c r="K45" s="54">
        <v>13956712.16</v>
      </c>
      <c r="L45" s="22">
        <v>45684</v>
      </c>
    </row>
    <row r="46" spans="3:12" x14ac:dyDescent="0.25">
      <c r="C46" s="4" t="e">
        <f t="shared" si="2"/>
        <v>#N/A</v>
      </c>
      <c r="D46" s="22" t="e">
        <f t="shared" si="3"/>
        <v>#N/A</v>
      </c>
      <c r="I46" s="21">
        <v>3045983</v>
      </c>
      <c r="J46" s="21" t="s">
        <v>373</v>
      </c>
      <c r="K46" s="54">
        <v>10917099.369999999</v>
      </c>
      <c r="L46" s="22">
        <v>45681</v>
      </c>
    </row>
    <row r="47" spans="3:12" x14ac:dyDescent="0.25">
      <c r="C47" s="4" t="e">
        <f t="shared" si="2"/>
        <v>#N/A</v>
      </c>
      <c r="D47" s="22" t="e">
        <f t="shared" si="3"/>
        <v>#N/A</v>
      </c>
      <c r="I47" s="21">
        <v>3045984</v>
      </c>
      <c r="J47" s="21" t="s">
        <v>374</v>
      </c>
      <c r="K47" s="54">
        <v>7303429.5999999996</v>
      </c>
      <c r="L47" s="22">
        <v>45681</v>
      </c>
    </row>
    <row r="48" spans="3:12" x14ac:dyDescent="0.25">
      <c r="C48" s="4" t="e">
        <f t="shared" si="2"/>
        <v>#N/A</v>
      </c>
      <c r="D48" s="22" t="e">
        <f t="shared" si="3"/>
        <v>#N/A</v>
      </c>
      <c r="I48" s="21">
        <v>3045985</v>
      </c>
      <c r="J48" s="21" t="s">
        <v>361</v>
      </c>
      <c r="K48" s="54">
        <v>107900000</v>
      </c>
      <c r="L48" s="22">
        <v>45712</v>
      </c>
    </row>
    <row r="49" spans="9:12" x14ac:dyDescent="0.25">
      <c r="I49" s="21">
        <v>3045986</v>
      </c>
      <c r="J49" s="21" t="s">
        <v>361</v>
      </c>
      <c r="K49" s="54">
        <v>65540828.57</v>
      </c>
      <c r="L49" s="22">
        <v>45741</v>
      </c>
    </row>
    <row r="50" spans="9:12" x14ac:dyDescent="0.25">
      <c r="I50" s="21">
        <v>95364004</v>
      </c>
      <c r="J50" s="21" t="s">
        <v>375</v>
      </c>
      <c r="K50" s="54">
        <v>12631434.460000001</v>
      </c>
      <c r="L50" s="22">
        <v>45686</v>
      </c>
    </row>
    <row r="51" spans="9:12" x14ac:dyDescent="0.25">
      <c r="I51" s="21">
        <v>95364005</v>
      </c>
      <c r="J51" s="21" t="s">
        <v>376</v>
      </c>
      <c r="K51" s="54">
        <v>21000000</v>
      </c>
      <c r="L51" s="22">
        <v>45688</v>
      </c>
    </row>
    <row r="52" spans="9:12" x14ac:dyDescent="0.25">
      <c r="I52" s="21">
        <v>95364006</v>
      </c>
      <c r="J52" s="21" t="s">
        <v>376</v>
      </c>
      <c r="K52" s="54">
        <v>21949760.030000001</v>
      </c>
      <c r="L52" s="22">
        <v>45691</v>
      </c>
    </row>
    <row r="53" spans="9:12" x14ac:dyDescent="0.25">
      <c r="I53" s="21">
        <v>95364007</v>
      </c>
      <c r="J53" s="21" t="s">
        <v>367</v>
      </c>
      <c r="K53" s="54">
        <v>8544851.5</v>
      </c>
      <c r="L53" s="22">
        <v>45687</v>
      </c>
    </row>
    <row r="54" spans="9:12" x14ac:dyDescent="0.25">
      <c r="I54" s="21">
        <v>95364008</v>
      </c>
      <c r="J54" s="21" t="s">
        <v>377</v>
      </c>
      <c r="K54" s="54">
        <v>23375321.91</v>
      </c>
      <c r="L54" s="22">
        <v>45687</v>
      </c>
    </row>
    <row r="55" spans="9:12" x14ac:dyDescent="0.25">
      <c r="I55">
        <v>55259926</v>
      </c>
      <c r="J55" t="s">
        <v>25</v>
      </c>
      <c r="K55" s="50">
        <v>2443870</v>
      </c>
      <c r="L55" s="22">
        <v>45687</v>
      </c>
    </row>
    <row r="56" spans="9:12" x14ac:dyDescent="0.25">
      <c r="I56" s="21">
        <v>55259927</v>
      </c>
      <c r="J56" s="21" t="s">
        <v>378</v>
      </c>
      <c r="K56" s="54">
        <v>1000000</v>
      </c>
      <c r="L56" s="22">
        <v>45693</v>
      </c>
    </row>
    <row r="57" spans="9:12" x14ac:dyDescent="0.25">
      <c r="I57" s="21">
        <v>55259928</v>
      </c>
      <c r="J57" s="21" t="s">
        <v>378</v>
      </c>
      <c r="K57" s="54">
        <v>2000000</v>
      </c>
      <c r="L57" s="22">
        <v>45693</v>
      </c>
    </row>
    <row r="58" spans="9:12" x14ac:dyDescent="0.25">
      <c r="I58" s="21">
        <v>55259929</v>
      </c>
      <c r="J58" s="21" t="s">
        <v>378</v>
      </c>
      <c r="K58" s="54">
        <v>1075735.7</v>
      </c>
      <c r="L58" s="22">
        <v>45693</v>
      </c>
    </row>
    <row r="59" spans="9:12" x14ac:dyDescent="0.25">
      <c r="I59" s="21">
        <v>95364009</v>
      </c>
      <c r="J59" s="21" t="s">
        <v>379</v>
      </c>
      <c r="K59" s="54">
        <v>156355.79999999999</v>
      </c>
      <c r="L59" s="22">
        <v>45695</v>
      </c>
    </row>
    <row r="60" spans="9:12" x14ac:dyDescent="0.25">
      <c r="I60" s="21">
        <v>95364010</v>
      </c>
      <c r="J60" s="21" t="s">
        <v>367</v>
      </c>
      <c r="K60" s="54">
        <v>20712833.399999999</v>
      </c>
      <c r="L60" s="22">
        <v>45695</v>
      </c>
    </row>
    <row r="61" spans="9:12" x14ac:dyDescent="0.25">
      <c r="I61" s="21">
        <v>95364011</v>
      </c>
      <c r="J61" s="21" t="s">
        <v>380</v>
      </c>
      <c r="K61" s="54">
        <v>4744584.24</v>
      </c>
      <c r="L61" s="22">
        <v>45695</v>
      </c>
    </row>
    <row r="62" spans="9:12" x14ac:dyDescent="0.25">
      <c r="I62" s="21">
        <v>95364012</v>
      </c>
      <c r="J62" s="21" t="s">
        <v>381</v>
      </c>
      <c r="K62" s="54">
        <v>15000000</v>
      </c>
      <c r="L62" s="22">
        <v>45698</v>
      </c>
    </row>
    <row r="63" spans="9:12" x14ac:dyDescent="0.25">
      <c r="I63" s="21">
        <v>95364013</v>
      </c>
      <c r="J63" s="21" t="s">
        <v>381</v>
      </c>
      <c r="K63" s="54">
        <v>15566652.9</v>
      </c>
      <c r="L63" s="22">
        <v>45699</v>
      </c>
    </row>
    <row r="64" spans="9:12" x14ac:dyDescent="0.25">
      <c r="I64" s="21">
        <v>95364014</v>
      </c>
      <c r="J64" s="21" t="s">
        <v>90</v>
      </c>
      <c r="K64" s="54">
        <v>16141307.84</v>
      </c>
      <c r="L64" s="22">
        <v>45695</v>
      </c>
    </row>
    <row r="65" spans="9:12" x14ac:dyDescent="0.25">
      <c r="I65" s="21">
        <v>95364015</v>
      </c>
      <c r="J65" s="21" t="s">
        <v>359</v>
      </c>
      <c r="K65" s="54">
        <v>17633342.190000001</v>
      </c>
      <c r="L65" s="22">
        <v>45698</v>
      </c>
    </row>
    <row r="66" spans="9:12" x14ac:dyDescent="0.25">
      <c r="I66" s="21">
        <v>95364016</v>
      </c>
      <c r="J66" s="21" t="s">
        <v>163</v>
      </c>
      <c r="K66" s="54">
        <v>14424299.710000001</v>
      </c>
      <c r="L66" s="22">
        <v>45698</v>
      </c>
    </row>
    <row r="67" spans="9:12" x14ac:dyDescent="0.25">
      <c r="I67" s="21">
        <v>95364017</v>
      </c>
      <c r="J67" s="21" t="s">
        <v>382</v>
      </c>
      <c r="K67" s="54">
        <v>5992257.46</v>
      </c>
      <c r="L67" s="22">
        <v>45695</v>
      </c>
    </row>
    <row r="68" spans="9:12" x14ac:dyDescent="0.25">
      <c r="I68" s="21">
        <v>95364018</v>
      </c>
      <c r="J68" s="21" t="s">
        <v>358</v>
      </c>
      <c r="K68" s="54">
        <v>20000000</v>
      </c>
      <c r="L68" s="22">
        <v>45698</v>
      </c>
    </row>
    <row r="69" spans="9:12" x14ac:dyDescent="0.25">
      <c r="I69" s="21">
        <v>95364019</v>
      </c>
      <c r="J69" s="21" t="s">
        <v>358</v>
      </c>
      <c r="K69" s="54">
        <v>24303944.07</v>
      </c>
      <c r="L69" s="22">
        <v>45699</v>
      </c>
    </row>
    <row r="70" spans="9:12" x14ac:dyDescent="0.25">
      <c r="I70" s="21">
        <v>95364020</v>
      </c>
      <c r="J70" s="21" t="s">
        <v>17</v>
      </c>
      <c r="K70" s="54">
        <v>3108946.12</v>
      </c>
      <c r="L70" s="22">
        <v>45695</v>
      </c>
    </row>
    <row r="71" spans="9:12" x14ac:dyDescent="0.25">
      <c r="I71" s="21">
        <v>95364021</v>
      </c>
      <c r="J71" s="21" t="s">
        <v>383</v>
      </c>
      <c r="K71" s="54">
        <v>5078288.87</v>
      </c>
      <c r="L71" s="22">
        <v>45698</v>
      </c>
    </row>
    <row r="72" spans="9:12" x14ac:dyDescent="0.25">
      <c r="I72" s="21">
        <v>95364022</v>
      </c>
      <c r="J72" s="21" t="s">
        <v>384</v>
      </c>
      <c r="K72" s="54">
        <v>10000000</v>
      </c>
      <c r="L72" s="22">
        <v>45698</v>
      </c>
    </row>
    <row r="73" spans="9:12" x14ac:dyDescent="0.25">
      <c r="I73" s="21">
        <v>95364023</v>
      </c>
      <c r="J73" s="21" t="s">
        <v>384</v>
      </c>
      <c r="K73" s="54">
        <v>10000000</v>
      </c>
      <c r="L73" s="22">
        <v>45699</v>
      </c>
    </row>
    <row r="74" spans="9:12" x14ac:dyDescent="0.25">
      <c r="I74" s="21">
        <v>95364024</v>
      </c>
      <c r="J74" s="21" t="s">
        <v>384</v>
      </c>
      <c r="K74" s="54">
        <v>7966693.9400000004</v>
      </c>
      <c r="L74" s="22">
        <v>45700</v>
      </c>
    </row>
    <row r="75" spans="9:12" x14ac:dyDescent="0.25">
      <c r="I75" s="21">
        <v>3045987</v>
      </c>
      <c r="J75" s="21" t="s">
        <v>90</v>
      </c>
      <c r="K75" s="54">
        <v>10794237.710000001</v>
      </c>
      <c r="L75" s="22">
        <v>45701</v>
      </c>
    </row>
    <row r="76" spans="9:12" x14ac:dyDescent="0.25">
      <c r="I76" s="21">
        <v>3045988</v>
      </c>
      <c r="J76" s="21" t="s">
        <v>379</v>
      </c>
      <c r="K76" s="54">
        <v>155012.4</v>
      </c>
      <c r="L76" s="22">
        <v>45701</v>
      </c>
    </row>
    <row r="77" spans="9:12" x14ac:dyDescent="0.25">
      <c r="I77" s="21">
        <v>3045989</v>
      </c>
      <c r="J77" s="21" t="s">
        <v>29</v>
      </c>
      <c r="K77" s="54">
        <v>6911951.3399999999</v>
      </c>
      <c r="L77" s="22">
        <v>45701</v>
      </c>
    </row>
    <row r="78" spans="9:12" x14ac:dyDescent="0.25">
      <c r="I78" s="21">
        <v>3045990</v>
      </c>
      <c r="J78" s="21" t="s">
        <v>385</v>
      </c>
      <c r="K78" s="54">
        <v>32326259</v>
      </c>
      <c r="L78" s="22">
        <v>45702</v>
      </c>
    </row>
    <row r="79" spans="9:12" x14ac:dyDescent="0.25">
      <c r="I79" s="21">
        <v>3045991</v>
      </c>
      <c r="J79" s="21" t="s">
        <v>385</v>
      </c>
      <c r="K79" s="54">
        <v>34013000</v>
      </c>
      <c r="L79" s="22">
        <v>45730</v>
      </c>
    </row>
    <row r="80" spans="9:12" x14ac:dyDescent="0.25">
      <c r="I80" s="21">
        <v>3045992</v>
      </c>
      <c r="J80" s="21" t="s">
        <v>386</v>
      </c>
      <c r="K80" s="54">
        <v>1000000</v>
      </c>
      <c r="L80" s="22">
        <v>45701</v>
      </c>
    </row>
    <row r="81" spans="9:12" x14ac:dyDescent="0.25">
      <c r="I81" s="21">
        <v>3045993</v>
      </c>
      <c r="J81" s="21" t="s">
        <v>386</v>
      </c>
      <c r="K81" s="54">
        <v>1000000</v>
      </c>
      <c r="L81" s="22">
        <v>45701</v>
      </c>
    </row>
    <row r="82" spans="9:12" x14ac:dyDescent="0.25">
      <c r="I82" s="21">
        <v>3045994</v>
      </c>
      <c r="J82" s="21" t="s">
        <v>386</v>
      </c>
      <c r="K82" s="54">
        <v>1000000</v>
      </c>
      <c r="L82" s="22">
        <v>45701</v>
      </c>
    </row>
    <row r="83" spans="9:12" x14ac:dyDescent="0.25">
      <c r="I83" s="21">
        <v>3045995</v>
      </c>
      <c r="J83" s="21" t="s">
        <v>386</v>
      </c>
      <c r="K83" s="54">
        <v>1000000</v>
      </c>
      <c r="L83" s="22">
        <v>45702</v>
      </c>
    </row>
    <row r="84" spans="9:12" x14ac:dyDescent="0.25">
      <c r="I84" s="21">
        <v>3045996</v>
      </c>
      <c r="J84" s="21" t="s">
        <v>386</v>
      </c>
      <c r="K84" s="54">
        <v>970631.9</v>
      </c>
      <c r="L84" s="22">
        <v>45702</v>
      </c>
    </row>
    <row r="85" spans="9:12" x14ac:dyDescent="0.25">
      <c r="I85">
        <v>3045997</v>
      </c>
      <c r="J85" t="s">
        <v>387</v>
      </c>
      <c r="K85" s="50">
        <v>8771025</v>
      </c>
      <c r="L85" s="22">
        <v>45702</v>
      </c>
    </row>
    <row r="86" spans="9:12" x14ac:dyDescent="0.25">
      <c r="I86">
        <v>3045998</v>
      </c>
      <c r="J86" t="s">
        <v>387</v>
      </c>
      <c r="K86" s="50">
        <v>4391301.82</v>
      </c>
      <c r="L86" s="22">
        <v>45730</v>
      </c>
    </row>
    <row r="87" spans="9:12" x14ac:dyDescent="0.25">
      <c r="I87">
        <v>94462901</v>
      </c>
      <c r="J87" t="s">
        <v>25</v>
      </c>
      <c r="K87" s="50">
        <v>2509920</v>
      </c>
      <c r="L87" s="3">
        <v>45705</v>
      </c>
    </row>
    <row r="88" spans="9:12" x14ac:dyDescent="0.25">
      <c r="I88">
        <v>3045999</v>
      </c>
      <c r="J88" t="s">
        <v>361</v>
      </c>
      <c r="K88" s="50">
        <v>86573058</v>
      </c>
      <c r="L88" s="3">
        <v>45733</v>
      </c>
    </row>
    <row r="89" spans="9:12" x14ac:dyDescent="0.25">
      <c r="I89">
        <v>3046000</v>
      </c>
      <c r="J89" t="s">
        <v>361</v>
      </c>
      <c r="K89" s="50">
        <v>86573058</v>
      </c>
      <c r="L89" s="3">
        <v>45763</v>
      </c>
    </row>
    <row r="90" spans="9:12" x14ac:dyDescent="0.25">
      <c r="I90">
        <v>3046001</v>
      </c>
      <c r="J90" t="s">
        <v>380</v>
      </c>
      <c r="K90" s="50">
        <v>7580805.4699999997</v>
      </c>
      <c r="L90" s="3">
        <v>45707</v>
      </c>
    </row>
    <row r="91" spans="9:12" x14ac:dyDescent="0.25">
      <c r="I91">
        <v>3046002</v>
      </c>
      <c r="J91" t="s">
        <v>87</v>
      </c>
      <c r="K91" s="50">
        <v>15000000</v>
      </c>
      <c r="L91" s="3">
        <v>45707</v>
      </c>
    </row>
    <row r="92" spans="9:12" x14ac:dyDescent="0.25">
      <c r="I92">
        <v>3046003</v>
      </c>
      <c r="J92" t="s">
        <v>87</v>
      </c>
      <c r="K92" s="50">
        <v>13974536.16</v>
      </c>
      <c r="L92" s="3">
        <v>45708</v>
      </c>
    </row>
    <row r="93" spans="9:12" x14ac:dyDescent="0.25">
      <c r="I93">
        <v>3046004</v>
      </c>
      <c r="J93" t="s">
        <v>363</v>
      </c>
      <c r="K93" s="50">
        <v>10000000</v>
      </c>
      <c r="L93" s="3">
        <v>45707</v>
      </c>
    </row>
    <row r="94" spans="9:12" x14ac:dyDescent="0.25">
      <c r="I94">
        <v>3046005</v>
      </c>
      <c r="J94" t="s">
        <v>363</v>
      </c>
      <c r="K94" s="50">
        <v>8849177.4800000004</v>
      </c>
      <c r="L94" s="3">
        <v>45708</v>
      </c>
    </row>
    <row r="95" spans="9:12" x14ac:dyDescent="0.25">
      <c r="I95">
        <v>3046006</v>
      </c>
      <c r="J95" t="s">
        <v>358</v>
      </c>
      <c r="K95" s="50">
        <v>6011688</v>
      </c>
      <c r="L95" s="3">
        <v>45712</v>
      </c>
    </row>
    <row r="96" spans="9:12" x14ac:dyDescent="0.25">
      <c r="I96">
        <v>3046007</v>
      </c>
      <c r="J96" t="s">
        <v>373</v>
      </c>
      <c r="K96" s="50">
        <v>15000000</v>
      </c>
      <c r="L96" s="3">
        <v>45712</v>
      </c>
    </row>
    <row r="97" spans="9:12" x14ac:dyDescent="0.25">
      <c r="I97">
        <v>3046008</v>
      </c>
      <c r="J97" t="s">
        <v>373</v>
      </c>
      <c r="K97" s="50">
        <v>15433512.199999999</v>
      </c>
      <c r="L97" s="3">
        <v>45713</v>
      </c>
    </row>
    <row r="98" spans="9:12" x14ac:dyDescent="0.25">
      <c r="I98">
        <v>3046009</v>
      </c>
      <c r="J98" t="s">
        <v>356</v>
      </c>
      <c r="K98" s="50">
        <v>9773054.8000000007</v>
      </c>
      <c r="L98" s="3">
        <v>45715</v>
      </c>
    </row>
    <row r="99" spans="9:12" x14ac:dyDescent="0.25">
      <c r="I99">
        <v>3046010</v>
      </c>
      <c r="J99" t="s">
        <v>355</v>
      </c>
      <c r="K99" s="50">
        <v>13000000</v>
      </c>
      <c r="L99" s="3">
        <v>45715</v>
      </c>
    </row>
    <row r="100" spans="9:12" x14ac:dyDescent="0.25">
      <c r="I100">
        <v>3046011</v>
      </c>
      <c r="J100" t="s">
        <v>355</v>
      </c>
      <c r="K100" s="50">
        <v>13109789.66</v>
      </c>
      <c r="L100" s="3">
        <v>45716</v>
      </c>
    </row>
    <row r="101" spans="9:12" x14ac:dyDescent="0.25">
      <c r="I101">
        <v>3046012</v>
      </c>
      <c r="J101" t="s">
        <v>131</v>
      </c>
      <c r="K101" s="50">
        <v>9758881.9399999995</v>
      </c>
      <c r="L101" s="3">
        <v>45716</v>
      </c>
    </row>
    <row r="102" spans="9:12" x14ac:dyDescent="0.25">
      <c r="I102">
        <v>3046013</v>
      </c>
      <c r="J102" t="s">
        <v>359</v>
      </c>
      <c r="K102" s="50">
        <v>13000000</v>
      </c>
      <c r="L102" s="3">
        <v>45715</v>
      </c>
    </row>
    <row r="103" spans="9:12" x14ac:dyDescent="0.25">
      <c r="I103">
        <v>3046014</v>
      </c>
      <c r="J103" t="s">
        <v>359</v>
      </c>
      <c r="K103" s="50">
        <v>12884476.24</v>
      </c>
      <c r="L103" s="3">
        <v>45716</v>
      </c>
    </row>
    <row r="104" spans="9:12" x14ac:dyDescent="0.25">
      <c r="I104">
        <v>3046015</v>
      </c>
      <c r="J104" t="s">
        <v>388</v>
      </c>
      <c r="K104" s="50">
        <v>12152752.15</v>
      </c>
      <c r="L104" s="3">
        <v>45716</v>
      </c>
    </row>
    <row r="105" spans="9:12" x14ac:dyDescent="0.25">
      <c r="I105">
        <v>3046016</v>
      </c>
      <c r="J105" t="s">
        <v>389</v>
      </c>
      <c r="K105" s="50">
        <v>12000000</v>
      </c>
      <c r="L105" s="3">
        <v>45716</v>
      </c>
    </row>
    <row r="106" spans="9:12" x14ac:dyDescent="0.25">
      <c r="I106">
        <v>3046017</v>
      </c>
      <c r="J106" t="s">
        <v>389</v>
      </c>
      <c r="K106" s="50">
        <v>11956967.92</v>
      </c>
      <c r="L106" s="3">
        <v>45721</v>
      </c>
    </row>
    <row r="107" spans="9:12" x14ac:dyDescent="0.25">
      <c r="I107">
        <v>3046018</v>
      </c>
      <c r="J107" t="s">
        <v>373</v>
      </c>
      <c r="K107" s="50">
        <v>11000000</v>
      </c>
      <c r="L107" s="3">
        <v>45721</v>
      </c>
    </row>
    <row r="108" spans="9:12" x14ac:dyDescent="0.25">
      <c r="I108">
        <v>3046019</v>
      </c>
      <c r="J108" t="s">
        <v>373</v>
      </c>
      <c r="K108" s="50">
        <v>10022197.57</v>
      </c>
      <c r="L108" s="3">
        <v>45722</v>
      </c>
    </row>
    <row r="109" spans="9:12" x14ac:dyDescent="0.25">
      <c r="I109" s="21">
        <v>95364025</v>
      </c>
      <c r="J109" s="21" t="s">
        <v>390</v>
      </c>
      <c r="K109" s="54">
        <v>15000000</v>
      </c>
      <c r="L109" s="22">
        <v>45726</v>
      </c>
    </row>
    <row r="110" spans="9:12" x14ac:dyDescent="0.25">
      <c r="I110" s="21">
        <v>95364026</v>
      </c>
      <c r="J110" s="21" t="s">
        <v>390</v>
      </c>
      <c r="K110" s="54">
        <v>14031177.779999999</v>
      </c>
      <c r="L110" s="22">
        <v>45727</v>
      </c>
    </row>
    <row r="111" spans="9:12" x14ac:dyDescent="0.25">
      <c r="I111" s="21">
        <v>95364027</v>
      </c>
      <c r="J111" s="21" t="s">
        <v>359</v>
      </c>
      <c r="K111" s="54">
        <v>10000000</v>
      </c>
      <c r="L111" s="22">
        <v>45726</v>
      </c>
    </row>
    <row r="112" spans="9:12" x14ac:dyDescent="0.25">
      <c r="I112" s="21">
        <v>95364028</v>
      </c>
      <c r="J112" s="21" t="s">
        <v>359</v>
      </c>
      <c r="K112" s="54">
        <v>8585545</v>
      </c>
      <c r="L112" s="22">
        <v>45727</v>
      </c>
    </row>
    <row r="113" spans="9:12" x14ac:dyDescent="0.25">
      <c r="I113" s="21">
        <v>95364029</v>
      </c>
      <c r="J113" s="21" t="s">
        <v>391</v>
      </c>
      <c r="K113" s="54">
        <v>10444522.890000001</v>
      </c>
      <c r="L113" s="22">
        <v>45737</v>
      </c>
    </row>
    <row r="114" spans="9:12" x14ac:dyDescent="0.25">
      <c r="I114">
        <v>3046020</v>
      </c>
      <c r="J114" t="s">
        <v>392</v>
      </c>
      <c r="K114" s="50">
        <v>13917939.82</v>
      </c>
      <c r="L114" s="3">
        <v>45728</v>
      </c>
    </row>
    <row r="115" spans="9:12" x14ac:dyDescent="0.25">
      <c r="I115" s="21">
        <v>3046021</v>
      </c>
      <c r="J115" s="21" t="s">
        <v>393</v>
      </c>
      <c r="K115" s="54">
        <v>6965980</v>
      </c>
      <c r="L115" s="22">
        <v>45729</v>
      </c>
    </row>
    <row r="116" spans="9:12" x14ac:dyDescent="0.25">
      <c r="I116" s="21">
        <v>3046022</v>
      </c>
      <c r="J116" s="21" t="s">
        <v>370</v>
      </c>
      <c r="K116" s="54">
        <v>9963636.9000000004</v>
      </c>
      <c r="L116" s="22">
        <v>45729</v>
      </c>
    </row>
    <row r="117" spans="9:12" x14ac:dyDescent="0.25">
      <c r="I117" s="21">
        <v>3046023</v>
      </c>
      <c r="J117" s="21" t="s">
        <v>390</v>
      </c>
      <c r="K117" s="54">
        <v>6084160.5999999996</v>
      </c>
      <c r="L117" s="22">
        <v>45729</v>
      </c>
    </row>
    <row r="118" spans="9:12" x14ac:dyDescent="0.25">
      <c r="I118" s="21">
        <v>95364030</v>
      </c>
      <c r="J118" s="21" t="s">
        <v>394</v>
      </c>
      <c r="K118" s="54">
        <v>8410497.7899999991</v>
      </c>
      <c r="L118" s="22">
        <v>45735</v>
      </c>
    </row>
    <row r="119" spans="9:12" x14ac:dyDescent="0.25">
      <c r="I119" s="21">
        <v>95364031</v>
      </c>
      <c r="J119" s="21" t="s">
        <v>395</v>
      </c>
      <c r="K119" s="54">
        <v>6283122.6299999999</v>
      </c>
      <c r="L119" s="22">
        <v>45735</v>
      </c>
    </row>
    <row r="120" spans="9:12" x14ac:dyDescent="0.25">
      <c r="I120" s="21">
        <v>95364032</v>
      </c>
      <c r="J120" s="21" t="s">
        <v>396</v>
      </c>
      <c r="K120" s="54">
        <v>2880052.24</v>
      </c>
      <c r="L120" s="22">
        <v>45735</v>
      </c>
    </row>
    <row r="121" spans="9:12" x14ac:dyDescent="0.25">
      <c r="I121" s="21">
        <v>95364033</v>
      </c>
      <c r="J121" s="21" t="s">
        <v>29</v>
      </c>
      <c r="K121" s="54">
        <v>8158811.3300000001</v>
      </c>
      <c r="L121" s="22">
        <v>45735</v>
      </c>
    </row>
    <row r="122" spans="9:12" x14ac:dyDescent="0.25">
      <c r="I122" s="21">
        <v>95364034</v>
      </c>
      <c r="J122" s="21" t="s">
        <v>397</v>
      </c>
      <c r="K122" s="54">
        <v>8610143.4000000004</v>
      </c>
      <c r="L122" s="22">
        <v>45735</v>
      </c>
    </row>
    <row r="123" spans="9:12" x14ac:dyDescent="0.25">
      <c r="I123" s="21">
        <v>95364035</v>
      </c>
      <c r="J123" s="21" t="s">
        <v>358</v>
      </c>
      <c r="K123" s="54">
        <v>17000000</v>
      </c>
      <c r="L123" s="22">
        <v>45735</v>
      </c>
    </row>
    <row r="124" spans="9:12" x14ac:dyDescent="0.25">
      <c r="I124" s="21">
        <v>95364036</v>
      </c>
      <c r="J124" s="21" t="s">
        <v>358</v>
      </c>
      <c r="K124" s="54">
        <v>17775547.350000001</v>
      </c>
      <c r="L124" s="22">
        <v>45736</v>
      </c>
    </row>
    <row r="125" spans="9:12" x14ac:dyDescent="0.25">
      <c r="I125" s="21">
        <v>94462902</v>
      </c>
      <c r="J125" s="21" t="s">
        <v>25</v>
      </c>
      <c r="K125" s="54">
        <v>3420300</v>
      </c>
      <c r="L125" s="22">
        <v>45734</v>
      </c>
    </row>
    <row r="126" spans="9:12" x14ac:dyDescent="0.25">
      <c r="I126" s="21">
        <v>94462904</v>
      </c>
      <c r="J126" s="21" t="s">
        <v>88</v>
      </c>
      <c r="K126" s="54">
        <v>323899.81</v>
      </c>
      <c r="L126" s="22">
        <v>45735</v>
      </c>
    </row>
    <row r="127" spans="9:12" x14ac:dyDescent="0.25">
      <c r="I127">
        <v>94462905</v>
      </c>
      <c r="J127" t="s">
        <v>386</v>
      </c>
      <c r="K127" s="50">
        <v>5000000</v>
      </c>
      <c r="L127" s="3">
        <v>45741</v>
      </c>
    </row>
    <row r="128" spans="9:12" x14ac:dyDescent="0.25">
      <c r="I128">
        <v>94462906</v>
      </c>
      <c r="J128" t="s">
        <v>386</v>
      </c>
      <c r="K128" s="50">
        <v>1000000</v>
      </c>
      <c r="L128" s="3">
        <v>45741</v>
      </c>
    </row>
    <row r="129" spans="9:12" x14ac:dyDescent="0.25">
      <c r="I129">
        <v>94462907</v>
      </c>
      <c r="J129" t="s">
        <v>386</v>
      </c>
      <c r="K129" s="50">
        <v>1000000</v>
      </c>
      <c r="L129" s="3">
        <v>45741</v>
      </c>
    </row>
    <row r="130" spans="9:12" x14ac:dyDescent="0.25">
      <c r="I130">
        <v>94462908</v>
      </c>
      <c r="J130" t="s">
        <v>386</v>
      </c>
      <c r="K130" s="50">
        <v>1000000</v>
      </c>
      <c r="L130" s="3">
        <v>45741</v>
      </c>
    </row>
    <row r="131" spans="9:12" x14ac:dyDescent="0.25">
      <c r="I131">
        <v>94462909</v>
      </c>
      <c r="J131" t="s">
        <v>386</v>
      </c>
      <c r="K131" s="50">
        <v>500000</v>
      </c>
      <c r="L131" s="3">
        <v>45741</v>
      </c>
    </row>
    <row r="132" spans="9:12" x14ac:dyDescent="0.25">
      <c r="I132">
        <v>94462910</v>
      </c>
      <c r="J132" t="s">
        <v>386</v>
      </c>
      <c r="K132" s="50">
        <v>500000</v>
      </c>
      <c r="L132" s="3">
        <v>45741</v>
      </c>
    </row>
    <row r="133" spans="9:12" x14ac:dyDescent="0.25">
      <c r="I133">
        <v>94462911</v>
      </c>
      <c r="J133" t="s">
        <v>386</v>
      </c>
      <c r="K133" s="50">
        <v>500000</v>
      </c>
      <c r="L133" s="3">
        <v>45741</v>
      </c>
    </row>
    <row r="134" spans="9:12" x14ac:dyDescent="0.25">
      <c r="I134">
        <v>94462912</v>
      </c>
      <c r="J134" t="s">
        <v>386</v>
      </c>
      <c r="K134" s="50">
        <v>500000</v>
      </c>
      <c r="L134" s="3">
        <v>45741</v>
      </c>
    </row>
    <row r="135" spans="9:12" x14ac:dyDescent="0.25">
      <c r="I135">
        <v>94462913</v>
      </c>
      <c r="J135" t="s">
        <v>386</v>
      </c>
      <c r="K135" s="50">
        <v>500000</v>
      </c>
      <c r="L135" s="3">
        <v>45741</v>
      </c>
    </row>
    <row r="136" spans="9:12" x14ac:dyDescent="0.25">
      <c r="I136">
        <v>94462914</v>
      </c>
      <c r="J136" t="s">
        <v>386</v>
      </c>
      <c r="K136" s="50">
        <v>500000</v>
      </c>
      <c r="L136" s="3">
        <v>45741</v>
      </c>
    </row>
    <row r="137" spans="9:12" x14ac:dyDescent="0.25">
      <c r="I137">
        <v>94462915</v>
      </c>
      <c r="J137" t="s">
        <v>386</v>
      </c>
      <c r="K137" s="50">
        <v>300000</v>
      </c>
      <c r="L137" s="3">
        <v>45741</v>
      </c>
    </row>
    <row r="138" spans="9:12" x14ac:dyDescent="0.25">
      <c r="I138">
        <v>94462916</v>
      </c>
      <c r="J138" t="s">
        <v>386</v>
      </c>
      <c r="K138" s="50">
        <v>300000</v>
      </c>
      <c r="L138" s="3">
        <v>45741</v>
      </c>
    </row>
    <row r="139" spans="9:12" x14ac:dyDescent="0.25">
      <c r="I139">
        <v>94462917</v>
      </c>
      <c r="J139" t="s">
        <v>386</v>
      </c>
      <c r="K139" s="50">
        <v>300000</v>
      </c>
      <c r="L139" s="3">
        <v>45741</v>
      </c>
    </row>
    <row r="140" spans="9:12" x14ac:dyDescent="0.25">
      <c r="I140">
        <v>94462918</v>
      </c>
      <c r="J140" t="s">
        <v>386</v>
      </c>
      <c r="K140" s="50">
        <v>277996</v>
      </c>
      <c r="L140" s="3">
        <v>45741</v>
      </c>
    </row>
    <row r="141" spans="9:12" x14ac:dyDescent="0.25">
      <c r="I141" s="21">
        <v>95364037</v>
      </c>
      <c r="J141" s="21" t="s">
        <v>373</v>
      </c>
      <c r="K141" s="54">
        <v>13673475.300000001</v>
      </c>
      <c r="L141" s="22">
        <v>45741</v>
      </c>
    </row>
    <row r="142" spans="9:12" x14ac:dyDescent="0.25">
      <c r="I142" s="21">
        <v>95364038</v>
      </c>
      <c r="J142" s="21" t="s">
        <v>389</v>
      </c>
      <c r="K142" s="54">
        <v>12000000</v>
      </c>
      <c r="L142" s="22">
        <v>45741</v>
      </c>
    </row>
    <row r="143" spans="9:12" x14ac:dyDescent="0.25">
      <c r="I143" s="21">
        <v>95364039</v>
      </c>
      <c r="J143" s="21" t="s">
        <v>389</v>
      </c>
      <c r="K143" s="54">
        <v>12014927.92</v>
      </c>
      <c r="L143" s="22">
        <v>45742</v>
      </c>
    </row>
    <row r="144" spans="9:12" x14ac:dyDescent="0.25">
      <c r="I144" s="21">
        <v>95364040</v>
      </c>
      <c r="J144" s="21" t="s">
        <v>358</v>
      </c>
      <c r="K144" s="54">
        <v>13000000</v>
      </c>
      <c r="L144" s="22">
        <v>45741</v>
      </c>
    </row>
    <row r="145" spans="9:12" x14ac:dyDescent="0.25">
      <c r="I145" s="21">
        <v>95364041</v>
      </c>
      <c r="J145" s="21" t="s">
        <v>358</v>
      </c>
      <c r="K145" s="54">
        <v>12760328.880000001</v>
      </c>
      <c r="L145" s="22">
        <v>45742</v>
      </c>
    </row>
    <row r="146" spans="9:12" x14ac:dyDescent="0.25">
      <c r="I146" s="21">
        <v>95364042</v>
      </c>
      <c r="J146" s="21" t="s">
        <v>30</v>
      </c>
      <c r="K146" s="54">
        <v>4399368.82</v>
      </c>
      <c r="L146" s="22">
        <v>45741</v>
      </c>
    </row>
    <row r="147" spans="9:12" x14ac:dyDescent="0.25">
      <c r="I147" s="21">
        <v>95364043</v>
      </c>
      <c r="J147" s="21" t="s">
        <v>29</v>
      </c>
      <c r="K147" s="54">
        <v>12546951.029999999</v>
      </c>
      <c r="L147" s="22">
        <v>45743</v>
      </c>
    </row>
    <row r="148" spans="9:12" x14ac:dyDescent="0.25">
      <c r="I148" s="21">
        <v>95364044</v>
      </c>
      <c r="J148" s="21" t="s">
        <v>87</v>
      </c>
      <c r="K148" s="54">
        <v>11694121.65</v>
      </c>
      <c r="L148" s="22">
        <v>45743</v>
      </c>
    </row>
    <row r="149" spans="9:12" x14ac:dyDescent="0.25">
      <c r="I149" s="21">
        <v>3046024</v>
      </c>
      <c r="J149" s="21" t="s">
        <v>362</v>
      </c>
      <c r="K149" s="54">
        <v>56950290</v>
      </c>
      <c r="L149" s="22">
        <v>45772</v>
      </c>
    </row>
    <row r="150" spans="9:12" x14ac:dyDescent="0.25">
      <c r="I150" s="21">
        <v>3046025</v>
      </c>
      <c r="J150" s="21" t="s">
        <v>362</v>
      </c>
      <c r="K150" s="54">
        <v>56950289.979999997</v>
      </c>
      <c r="L150" s="22">
        <v>45803</v>
      </c>
    </row>
    <row r="151" spans="9:12" x14ac:dyDescent="0.25">
      <c r="I151" s="21">
        <v>4462919</v>
      </c>
      <c r="J151" s="21" t="s">
        <v>378</v>
      </c>
      <c r="K151" s="54">
        <v>1059834.3500000001</v>
      </c>
      <c r="L151" s="22">
        <v>45747</v>
      </c>
    </row>
    <row r="152" spans="9:12" x14ac:dyDescent="0.25">
      <c r="I152" s="21">
        <v>3046026</v>
      </c>
      <c r="J152" s="21" t="s">
        <v>398</v>
      </c>
      <c r="K152" s="54">
        <v>12000000</v>
      </c>
      <c r="L152" s="22">
        <v>45747</v>
      </c>
    </row>
    <row r="153" spans="9:12" x14ac:dyDescent="0.25">
      <c r="I153" s="21">
        <v>3046027</v>
      </c>
      <c r="J153" s="21" t="s">
        <v>398</v>
      </c>
      <c r="K153" s="54">
        <v>12669091.300000001</v>
      </c>
      <c r="L153" s="22">
        <v>45748</v>
      </c>
    </row>
    <row r="154" spans="9:12" x14ac:dyDescent="0.25">
      <c r="I154" s="21">
        <v>3046028</v>
      </c>
      <c r="J154" s="21" t="s">
        <v>373</v>
      </c>
      <c r="K154" s="54">
        <v>11000000</v>
      </c>
      <c r="L154" s="22">
        <v>45747</v>
      </c>
    </row>
    <row r="155" spans="9:12" x14ac:dyDescent="0.25">
      <c r="I155" s="21">
        <v>3046029</v>
      </c>
      <c r="J155" s="21" t="s">
        <v>373</v>
      </c>
      <c r="K155" s="54">
        <v>11698132.699999999</v>
      </c>
      <c r="L155" s="22">
        <v>45748</v>
      </c>
    </row>
    <row r="156" spans="9:12" x14ac:dyDescent="0.25">
      <c r="I156" s="21">
        <v>95364045</v>
      </c>
      <c r="J156" s="21" t="s">
        <v>395</v>
      </c>
      <c r="K156" s="54">
        <v>7031251.4199999999</v>
      </c>
      <c r="L156" s="22">
        <v>45751</v>
      </c>
    </row>
    <row r="157" spans="9:12" x14ac:dyDescent="0.25">
      <c r="I157" s="21">
        <v>95364046</v>
      </c>
      <c r="J157" s="21" t="s">
        <v>390</v>
      </c>
      <c r="K157" s="54">
        <v>10103814</v>
      </c>
      <c r="L157" s="22">
        <v>45750</v>
      </c>
    </row>
    <row r="158" spans="9:12" x14ac:dyDescent="0.25">
      <c r="I158" s="21">
        <v>95364047</v>
      </c>
      <c r="J158" s="21" t="s">
        <v>399</v>
      </c>
      <c r="K158" s="54">
        <v>8881995.4199999999</v>
      </c>
      <c r="L158" s="22">
        <v>45751</v>
      </c>
    </row>
    <row r="159" spans="9:12" x14ac:dyDescent="0.25">
      <c r="I159" s="21">
        <v>95364048</v>
      </c>
      <c r="J159" s="21" t="s">
        <v>35</v>
      </c>
      <c r="K159" s="54">
        <v>10000000</v>
      </c>
      <c r="L159" s="22">
        <v>45772</v>
      </c>
    </row>
    <row r="160" spans="9:12" x14ac:dyDescent="0.25">
      <c r="I160" s="21">
        <v>95364049</v>
      </c>
      <c r="J160" s="21" t="s">
        <v>35</v>
      </c>
      <c r="K160" s="54">
        <v>8793270.5600000005</v>
      </c>
      <c r="L160" s="22">
        <v>45803</v>
      </c>
    </row>
    <row r="161" spans="9:12" x14ac:dyDescent="0.25">
      <c r="I161" s="21">
        <v>95364050</v>
      </c>
      <c r="J161" s="21" t="s">
        <v>90</v>
      </c>
      <c r="K161" s="54">
        <v>11143161.23</v>
      </c>
      <c r="L161" s="22">
        <v>45756</v>
      </c>
    </row>
    <row r="162" spans="9:12" x14ac:dyDescent="0.25">
      <c r="I162" s="21">
        <v>95364051</v>
      </c>
      <c r="J162" s="21" t="s">
        <v>29</v>
      </c>
      <c r="K162" s="54">
        <v>7937866.2300000004</v>
      </c>
      <c r="L162" s="22">
        <v>45756</v>
      </c>
    </row>
    <row r="163" spans="9:12" x14ac:dyDescent="0.25">
      <c r="I163" s="21">
        <v>95364052</v>
      </c>
      <c r="J163" s="21" t="s">
        <v>400</v>
      </c>
      <c r="K163" s="54">
        <v>3472173.04</v>
      </c>
      <c r="L163" s="22">
        <v>45758</v>
      </c>
    </row>
    <row r="164" spans="9:12" x14ac:dyDescent="0.25">
      <c r="I164" s="21">
        <v>95364053</v>
      </c>
      <c r="J164" s="21" t="s">
        <v>358</v>
      </c>
      <c r="K164" s="54">
        <v>5754364.7199999997</v>
      </c>
      <c r="L164" s="22">
        <v>45758</v>
      </c>
    </row>
    <row r="165" spans="9:12" x14ac:dyDescent="0.25">
      <c r="I165" s="21">
        <v>95364054</v>
      </c>
      <c r="J165" s="21" t="s">
        <v>17</v>
      </c>
      <c r="K165" s="54">
        <v>3027512.63</v>
      </c>
      <c r="L165" s="22">
        <v>45758</v>
      </c>
    </row>
    <row r="166" spans="9:12" x14ac:dyDescent="0.25">
      <c r="I166" s="21">
        <v>95364055</v>
      </c>
      <c r="J166" s="21" t="s">
        <v>373</v>
      </c>
      <c r="K166" s="54">
        <v>12000000</v>
      </c>
      <c r="L166" s="22">
        <v>45758</v>
      </c>
    </row>
    <row r="167" spans="9:12" x14ac:dyDescent="0.25">
      <c r="I167" s="21">
        <v>95364056</v>
      </c>
      <c r="J167" s="21" t="s">
        <v>373</v>
      </c>
      <c r="K167" s="54">
        <v>12696484.140000001</v>
      </c>
      <c r="L167" s="22">
        <v>45761</v>
      </c>
    </row>
    <row r="168" spans="9:12" x14ac:dyDescent="0.25">
      <c r="I168" s="21">
        <v>95364057</v>
      </c>
      <c r="J168" s="21" t="s">
        <v>67</v>
      </c>
      <c r="K168" s="54">
        <v>20000000</v>
      </c>
      <c r="L168" s="22">
        <v>45758</v>
      </c>
    </row>
    <row r="169" spans="9:12" x14ac:dyDescent="0.25">
      <c r="I169" s="21">
        <v>95364058</v>
      </c>
      <c r="J169" s="21" t="s">
        <v>67</v>
      </c>
      <c r="K169" s="54">
        <v>17696377.399999999</v>
      </c>
      <c r="L169" s="22">
        <v>45761</v>
      </c>
    </row>
    <row r="170" spans="9:12" x14ac:dyDescent="0.25">
      <c r="I170" s="21">
        <v>95364059</v>
      </c>
      <c r="J170" s="21" t="s">
        <v>401</v>
      </c>
      <c r="K170" s="54">
        <v>54030460</v>
      </c>
      <c r="L170" s="22">
        <v>45786</v>
      </c>
    </row>
    <row r="171" spans="9:12" x14ac:dyDescent="0.25">
      <c r="I171" s="21">
        <v>95364060</v>
      </c>
      <c r="J171" s="21" t="s">
        <v>401</v>
      </c>
      <c r="K171" s="54">
        <v>23386077.140000001</v>
      </c>
      <c r="L171" s="22">
        <v>45817</v>
      </c>
    </row>
    <row r="172" spans="9:12" x14ac:dyDescent="0.25">
      <c r="I172" s="21">
        <v>95364061</v>
      </c>
      <c r="J172" s="21" t="s">
        <v>359</v>
      </c>
      <c r="K172" s="54">
        <v>276075.02</v>
      </c>
      <c r="L172" s="22">
        <v>45762</v>
      </c>
    </row>
    <row r="173" spans="9:12" x14ac:dyDescent="0.25">
      <c r="I173" s="21">
        <v>95364062</v>
      </c>
      <c r="J173" s="21" t="s">
        <v>87</v>
      </c>
      <c r="K173" s="54">
        <v>21000000</v>
      </c>
      <c r="L173" s="22">
        <v>45763</v>
      </c>
    </row>
    <row r="174" spans="9:12" x14ac:dyDescent="0.25">
      <c r="I174" s="21">
        <v>95364063</v>
      </c>
      <c r="J174" s="21" t="s">
        <v>87</v>
      </c>
      <c r="K174" s="54">
        <v>20765619.440000001</v>
      </c>
      <c r="L174" s="22">
        <v>45768</v>
      </c>
    </row>
    <row r="175" spans="9:12" x14ac:dyDescent="0.25">
      <c r="I175" s="21">
        <v>95364064</v>
      </c>
      <c r="J175" s="21" t="s">
        <v>35</v>
      </c>
      <c r="K175" s="54">
        <v>6000000</v>
      </c>
      <c r="L175" s="22">
        <v>45775</v>
      </c>
    </row>
    <row r="176" spans="9:12" x14ac:dyDescent="0.25">
      <c r="I176" s="21">
        <v>95364065</v>
      </c>
      <c r="J176" s="21" t="s">
        <v>35</v>
      </c>
      <c r="K176" s="54">
        <v>6479587.3300000001</v>
      </c>
      <c r="L176" s="22">
        <v>45805</v>
      </c>
    </row>
    <row r="177" spans="9:12" x14ac:dyDescent="0.25">
      <c r="I177" s="21">
        <v>95364066</v>
      </c>
      <c r="J177" s="21" t="s">
        <v>402</v>
      </c>
      <c r="K177" s="54">
        <v>16524148.75</v>
      </c>
      <c r="L177" s="22">
        <v>45763</v>
      </c>
    </row>
    <row r="178" spans="9:12" x14ac:dyDescent="0.25">
      <c r="I178" s="21">
        <v>95364067</v>
      </c>
      <c r="J178" s="21" t="s">
        <v>37</v>
      </c>
      <c r="K178" s="54">
        <v>4987776.4000000004</v>
      </c>
      <c r="L178" s="22">
        <v>45763</v>
      </c>
    </row>
    <row r="179" spans="9:12" x14ac:dyDescent="0.25">
      <c r="I179" s="21">
        <v>95364068</v>
      </c>
      <c r="J179" s="21" t="s">
        <v>367</v>
      </c>
      <c r="K179" s="54">
        <v>10000000</v>
      </c>
      <c r="L179" s="22">
        <v>45763</v>
      </c>
    </row>
    <row r="180" spans="9:12" x14ac:dyDescent="0.25">
      <c r="I180" s="21">
        <v>95364069</v>
      </c>
      <c r="J180" s="21" t="s">
        <v>367</v>
      </c>
      <c r="K180" s="54">
        <v>9434668.4000000004</v>
      </c>
      <c r="L180" s="22">
        <v>45768</v>
      </c>
    </row>
    <row r="181" spans="9:12" x14ac:dyDescent="0.25">
      <c r="I181" s="21">
        <v>95364070</v>
      </c>
      <c r="J181" s="21" t="s">
        <v>363</v>
      </c>
      <c r="K181" s="54">
        <v>8634933.4199999999</v>
      </c>
      <c r="L181" s="22">
        <v>45763</v>
      </c>
    </row>
    <row r="182" spans="9:12" x14ac:dyDescent="0.25">
      <c r="I182" s="21">
        <v>95364071</v>
      </c>
      <c r="J182" s="21" t="s">
        <v>355</v>
      </c>
      <c r="K182" s="54">
        <v>13000000</v>
      </c>
      <c r="L182" s="22">
        <v>45763</v>
      </c>
    </row>
    <row r="183" spans="9:12" x14ac:dyDescent="0.25">
      <c r="I183" s="21">
        <v>95364072</v>
      </c>
      <c r="J183" s="21" t="s">
        <v>355</v>
      </c>
      <c r="K183" s="54">
        <v>10458206.25</v>
      </c>
      <c r="L183" s="22">
        <v>45768</v>
      </c>
    </row>
    <row r="184" spans="9:12" x14ac:dyDescent="0.25">
      <c r="I184" s="21">
        <v>95364073</v>
      </c>
      <c r="J184" s="21" t="s">
        <v>361</v>
      </c>
      <c r="K184" s="54">
        <v>29131172.5</v>
      </c>
      <c r="L184" s="22">
        <v>45763</v>
      </c>
    </row>
    <row r="185" spans="9:12" x14ac:dyDescent="0.25">
      <c r="I185" s="21">
        <v>95364074</v>
      </c>
      <c r="J185" s="21" t="s">
        <v>361</v>
      </c>
      <c r="K185" s="54">
        <v>22137720</v>
      </c>
      <c r="L185" s="22">
        <v>45793</v>
      </c>
    </row>
    <row r="186" spans="9:12" x14ac:dyDescent="0.25">
      <c r="I186" s="21">
        <v>95364075</v>
      </c>
      <c r="J186" s="21" t="s">
        <v>361</v>
      </c>
      <c r="K186" s="54">
        <v>22523517.940000001</v>
      </c>
      <c r="L186" s="22">
        <v>45824</v>
      </c>
    </row>
    <row r="187" spans="9:12" x14ac:dyDescent="0.25">
      <c r="I187" s="21">
        <v>95364076</v>
      </c>
      <c r="J187" s="21" t="s">
        <v>358</v>
      </c>
      <c r="K187" s="54">
        <v>13000000</v>
      </c>
      <c r="L187" s="22">
        <v>45763</v>
      </c>
    </row>
    <row r="188" spans="9:12" x14ac:dyDescent="0.25">
      <c r="I188" s="21">
        <v>95364077</v>
      </c>
      <c r="J188" s="21" t="s">
        <v>358</v>
      </c>
      <c r="K188" s="54">
        <v>10991386.76</v>
      </c>
      <c r="L188" s="22">
        <v>45768</v>
      </c>
    </row>
    <row r="189" spans="9:12" x14ac:dyDescent="0.25">
      <c r="I189" s="21">
        <v>95364078</v>
      </c>
      <c r="J189" s="21" t="s">
        <v>362</v>
      </c>
      <c r="K189" s="54">
        <v>78390487.290000007</v>
      </c>
      <c r="L189" s="22">
        <v>45763</v>
      </c>
    </row>
    <row r="190" spans="9:12" x14ac:dyDescent="0.25">
      <c r="I190" s="21">
        <v>95364079</v>
      </c>
      <c r="J190" s="21" t="s">
        <v>362</v>
      </c>
      <c r="K190" s="54">
        <v>377354900</v>
      </c>
      <c r="L190" s="22">
        <v>45792</v>
      </c>
    </row>
    <row r="191" spans="9:12" x14ac:dyDescent="0.25">
      <c r="I191" s="21">
        <v>95364080</v>
      </c>
      <c r="J191" s="21" t="s">
        <v>362</v>
      </c>
      <c r="K191" s="54">
        <v>152476667.59999999</v>
      </c>
      <c r="L191" s="22">
        <v>45824</v>
      </c>
    </row>
    <row r="192" spans="9:12" x14ac:dyDescent="0.25">
      <c r="I192" s="21">
        <v>94462920</v>
      </c>
      <c r="J192" s="21" t="s">
        <v>162</v>
      </c>
      <c r="K192" s="54">
        <v>0</v>
      </c>
      <c r="L192" s="22">
        <v>45758</v>
      </c>
    </row>
    <row r="193" spans="9:12" x14ac:dyDescent="0.25">
      <c r="I193" s="21">
        <v>94462921</v>
      </c>
      <c r="J193" s="21" t="s">
        <v>403</v>
      </c>
      <c r="K193" s="54">
        <v>108144727.34</v>
      </c>
      <c r="L193" s="22">
        <v>45758</v>
      </c>
    </row>
    <row r="194" spans="9:12" x14ac:dyDescent="0.25">
      <c r="I194" s="21">
        <v>94462922</v>
      </c>
      <c r="J194" s="21" t="s">
        <v>88</v>
      </c>
      <c r="K194" s="54">
        <v>861125.47</v>
      </c>
      <c r="L194" s="22">
        <v>45758</v>
      </c>
    </row>
    <row r="195" spans="9:12" x14ac:dyDescent="0.25">
      <c r="I195" s="21">
        <v>94462923</v>
      </c>
      <c r="J195" t="s">
        <v>25</v>
      </c>
      <c r="K195" s="50">
        <v>4752430</v>
      </c>
      <c r="L195" s="22">
        <v>45763</v>
      </c>
    </row>
    <row r="196" spans="9:12" x14ac:dyDescent="0.25">
      <c r="I196" s="21">
        <v>95364081</v>
      </c>
      <c r="J196" s="21" t="s">
        <v>404</v>
      </c>
      <c r="K196" s="54">
        <v>4999343.4000000004</v>
      </c>
      <c r="L196" s="22">
        <v>45770</v>
      </c>
    </row>
    <row r="197" spans="9:12" x14ac:dyDescent="0.25">
      <c r="I197" s="21">
        <v>95364082</v>
      </c>
      <c r="J197" s="21" t="s">
        <v>405</v>
      </c>
      <c r="K197" s="54">
        <v>8464918.4399999995</v>
      </c>
      <c r="L197" s="22">
        <v>45770</v>
      </c>
    </row>
    <row r="198" spans="9:12" x14ac:dyDescent="0.25">
      <c r="I198" s="21">
        <v>95364083</v>
      </c>
      <c r="J198" s="21" t="s">
        <v>406</v>
      </c>
      <c r="K198" s="54">
        <v>3000000</v>
      </c>
      <c r="L198" s="22">
        <v>45770</v>
      </c>
    </row>
    <row r="199" spans="9:12" x14ac:dyDescent="0.25">
      <c r="I199" s="21">
        <v>95364084</v>
      </c>
      <c r="J199" s="21" t="s">
        <v>380</v>
      </c>
      <c r="K199" s="54">
        <v>7496539.2699999996</v>
      </c>
      <c r="L199" s="22">
        <v>45770</v>
      </c>
    </row>
    <row r="200" spans="9:12" x14ac:dyDescent="0.25">
      <c r="I200" s="21">
        <v>95364085</v>
      </c>
      <c r="J200" s="21" t="s">
        <v>358</v>
      </c>
      <c r="K200" s="54">
        <v>12000000</v>
      </c>
      <c r="L200" s="22">
        <v>45771</v>
      </c>
    </row>
    <row r="201" spans="9:12" x14ac:dyDescent="0.25">
      <c r="I201" s="21">
        <v>95364086</v>
      </c>
      <c r="J201" s="21" t="s">
        <v>358</v>
      </c>
      <c r="K201" s="54">
        <v>11937687.779999999</v>
      </c>
      <c r="L201" s="22">
        <v>45772</v>
      </c>
    </row>
    <row r="202" spans="9:12" x14ac:dyDescent="0.25">
      <c r="I202" s="21">
        <v>95364087</v>
      </c>
      <c r="J202" s="21" t="s">
        <v>407</v>
      </c>
      <c r="K202" s="54">
        <v>10000000</v>
      </c>
      <c r="L202" s="22">
        <v>45770</v>
      </c>
    </row>
    <row r="203" spans="9:12" x14ac:dyDescent="0.25">
      <c r="I203" s="21">
        <v>95364088</v>
      </c>
      <c r="J203" s="21" t="s">
        <v>407</v>
      </c>
      <c r="K203" s="54">
        <v>7798700.54</v>
      </c>
      <c r="L203" s="22">
        <v>45771</v>
      </c>
    </row>
    <row r="204" spans="9:12" x14ac:dyDescent="0.25">
      <c r="I204" s="21">
        <v>95364089</v>
      </c>
      <c r="J204" s="21" t="s">
        <v>408</v>
      </c>
      <c r="K204" s="54">
        <v>2946384.79</v>
      </c>
      <c r="L204" s="22">
        <v>45770</v>
      </c>
    </row>
    <row r="205" spans="9:12" x14ac:dyDescent="0.25">
      <c r="I205" s="21">
        <v>95364090</v>
      </c>
      <c r="J205" s="21" t="s">
        <v>409</v>
      </c>
      <c r="K205" s="54">
        <v>0</v>
      </c>
      <c r="L205" s="22">
        <v>45771</v>
      </c>
    </row>
    <row r="206" spans="9:12" x14ac:dyDescent="0.25">
      <c r="I206" s="21">
        <v>95364091</v>
      </c>
      <c r="J206" s="21" t="s">
        <v>410</v>
      </c>
      <c r="K206" s="54">
        <v>29300000</v>
      </c>
      <c r="L206" s="22">
        <v>45771</v>
      </c>
    </row>
    <row r="207" spans="9:12" x14ac:dyDescent="0.25">
      <c r="I207" s="21">
        <v>95364092</v>
      </c>
      <c r="J207" s="21" t="s">
        <v>410</v>
      </c>
      <c r="K207" s="54">
        <v>23300000</v>
      </c>
      <c r="L207" s="22">
        <v>45793</v>
      </c>
    </row>
    <row r="208" spans="9:12" x14ac:dyDescent="0.25">
      <c r="I208" s="21">
        <v>95364093</v>
      </c>
      <c r="J208" s="21" t="s">
        <v>410</v>
      </c>
      <c r="K208" s="54">
        <v>23361636.629999999</v>
      </c>
      <c r="L208" s="22">
        <v>45824</v>
      </c>
    </row>
    <row r="209" spans="9:12" x14ac:dyDescent="0.25">
      <c r="I209">
        <v>95364094</v>
      </c>
      <c r="J209" t="s">
        <v>100</v>
      </c>
      <c r="K209" s="50">
        <v>2083710.06</v>
      </c>
      <c r="L209" s="22">
        <v>45772</v>
      </c>
    </row>
    <row r="210" spans="9:12" x14ac:dyDescent="0.25">
      <c r="I210">
        <v>95364095</v>
      </c>
      <c r="J210" t="s">
        <v>100</v>
      </c>
      <c r="K210" s="50">
        <v>34622028.280000001</v>
      </c>
      <c r="L210" s="22">
        <v>45772</v>
      </c>
    </row>
    <row r="211" spans="9:12" x14ac:dyDescent="0.25">
      <c r="I211" s="21">
        <v>95364096</v>
      </c>
      <c r="J211" s="21" t="s">
        <v>373</v>
      </c>
      <c r="K211" s="54">
        <v>16793320</v>
      </c>
      <c r="L211" s="22">
        <v>45784</v>
      </c>
    </row>
    <row r="212" spans="9:12" x14ac:dyDescent="0.25">
      <c r="I212" s="21">
        <v>95364097</v>
      </c>
      <c r="J212" s="21" t="s">
        <v>411</v>
      </c>
      <c r="K212" s="54">
        <v>4567354.57</v>
      </c>
      <c r="L212" s="22">
        <v>45783</v>
      </c>
    </row>
    <row r="213" spans="9:12" x14ac:dyDescent="0.25">
      <c r="I213" s="21">
        <v>95364098</v>
      </c>
      <c r="J213" s="21" t="s">
        <v>359</v>
      </c>
      <c r="K213" s="54">
        <v>23246226.25</v>
      </c>
      <c r="L213" s="22">
        <v>45784</v>
      </c>
    </row>
    <row r="214" spans="9:12" x14ac:dyDescent="0.25">
      <c r="I214" s="21">
        <v>95364099</v>
      </c>
      <c r="J214" s="21" t="s">
        <v>412</v>
      </c>
      <c r="K214" s="54">
        <v>19663855</v>
      </c>
      <c r="L214" s="22">
        <v>45784</v>
      </c>
    </row>
    <row r="215" spans="9:12" x14ac:dyDescent="0.25">
      <c r="I215" s="21">
        <v>95364100</v>
      </c>
      <c r="J215" s="21" t="s">
        <v>397</v>
      </c>
      <c r="K215" s="54">
        <v>7025893.4000000004</v>
      </c>
      <c r="L215" s="22">
        <v>45783</v>
      </c>
    </row>
    <row r="216" spans="9:12" x14ac:dyDescent="0.25">
      <c r="I216" s="21">
        <v>95364101</v>
      </c>
      <c r="J216" s="21" t="s">
        <v>29</v>
      </c>
      <c r="K216" s="54">
        <v>9451377.8100000005</v>
      </c>
      <c r="L216" s="22">
        <v>45783</v>
      </c>
    </row>
    <row r="217" spans="9:12" x14ac:dyDescent="0.25">
      <c r="I217">
        <v>95364102</v>
      </c>
      <c r="J217" t="s">
        <v>370</v>
      </c>
      <c r="K217" s="50">
        <v>3622158.42</v>
      </c>
      <c r="L217" s="22">
        <v>45786</v>
      </c>
    </row>
    <row r="218" spans="9:12" x14ac:dyDescent="0.25">
      <c r="I218">
        <v>95364103</v>
      </c>
      <c r="J218" t="s">
        <v>413</v>
      </c>
      <c r="K218" s="50">
        <v>1957879</v>
      </c>
      <c r="L218" s="22">
        <v>45785</v>
      </c>
    </row>
    <row r="219" spans="9:12" x14ac:dyDescent="0.25">
      <c r="I219">
        <v>95364104</v>
      </c>
      <c r="J219" t="s">
        <v>376</v>
      </c>
      <c r="K219" s="50">
        <v>1545315.61</v>
      </c>
      <c r="L219" s="22">
        <v>45786</v>
      </c>
    </row>
    <row r="220" spans="9:12" x14ac:dyDescent="0.25">
      <c r="I220">
        <v>95364105</v>
      </c>
      <c r="J220" t="s">
        <v>36</v>
      </c>
      <c r="K220" s="50">
        <v>3770595.7</v>
      </c>
      <c r="L220" s="22">
        <v>45785</v>
      </c>
    </row>
    <row r="221" spans="9:12" x14ac:dyDescent="0.25">
      <c r="I221">
        <v>95364102</v>
      </c>
      <c r="J221" t="s">
        <v>370</v>
      </c>
      <c r="K221" s="50">
        <v>3622158.42</v>
      </c>
      <c r="L221" s="22">
        <v>45786</v>
      </c>
    </row>
    <row r="222" spans="9:12" x14ac:dyDescent="0.25">
      <c r="I222">
        <v>95364103</v>
      </c>
      <c r="J222" t="s">
        <v>413</v>
      </c>
      <c r="K222" s="50">
        <v>1957879</v>
      </c>
      <c r="L222" s="22">
        <v>45785</v>
      </c>
    </row>
    <row r="223" spans="9:12" x14ac:dyDescent="0.25">
      <c r="I223">
        <v>95364104</v>
      </c>
      <c r="J223" t="s">
        <v>376</v>
      </c>
      <c r="K223" s="50">
        <v>1545315.61</v>
      </c>
      <c r="L223" s="22">
        <v>45786</v>
      </c>
    </row>
    <row r="224" spans="9:12" x14ac:dyDescent="0.25">
      <c r="I224">
        <v>95364105</v>
      </c>
      <c r="J224" t="s">
        <v>36</v>
      </c>
      <c r="K224" s="50">
        <v>3770595.7</v>
      </c>
      <c r="L224" s="22">
        <v>45785</v>
      </c>
    </row>
    <row r="225" spans="9:12" x14ac:dyDescent="0.25">
      <c r="I225">
        <v>95364106</v>
      </c>
      <c r="J225" t="s">
        <v>414</v>
      </c>
      <c r="K225" s="50">
        <v>5505515.6100000003</v>
      </c>
      <c r="L225" s="22">
        <v>45790</v>
      </c>
    </row>
    <row r="226" spans="9:12" x14ac:dyDescent="0.25">
      <c r="I226">
        <v>95364107</v>
      </c>
      <c r="J226" t="s">
        <v>42</v>
      </c>
      <c r="K226" s="50">
        <v>18615830.120000001</v>
      </c>
      <c r="L226" s="22">
        <v>45790</v>
      </c>
    </row>
    <row r="227" spans="9:12" x14ac:dyDescent="0.25">
      <c r="I227">
        <v>95364108</v>
      </c>
      <c r="J227" t="s">
        <v>31</v>
      </c>
      <c r="K227" s="50">
        <v>4168422.88</v>
      </c>
      <c r="L227" s="22">
        <v>45790</v>
      </c>
    </row>
    <row r="228" spans="9:12" x14ac:dyDescent="0.25">
      <c r="I228">
        <v>95364109</v>
      </c>
      <c r="J228" t="s">
        <v>362</v>
      </c>
      <c r="K228" s="50">
        <v>194909000</v>
      </c>
      <c r="L228" s="22">
        <v>45793</v>
      </c>
    </row>
    <row r="229" spans="9:12" x14ac:dyDescent="0.25">
      <c r="I229">
        <v>95364110</v>
      </c>
      <c r="J229" t="s">
        <v>362</v>
      </c>
      <c r="K229" s="50">
        <v>141068527.31</v>
      </c>
      <c r="L229" s="22">
        <v>45817</v>
      </c>
    </row>
    <row r="230" spans="9:12" x14ac:dyDescent="0.25">
      <c r="I230" s="21">
        <v>95364111</v>
      </c>
      <c r="J230" s="21" t="s">
        <v>367</v>
      </c>
      <c r="K230" s="54">
        <v>9835944.6500000004</v>
      </c>
      <c r="L230" s="22">
        <v>45797</v>
      </c>
    </row>
    <row r="231" spans="9:12" x14ac:dyDescent="0.25">
      <c r="I231" s="21">
        <v>95364112</v>
      </c>
      <c r="J231" s="21" t="s">
        <v>378</v>
      </c>
      <c r="K231" s="54">
        <v>1809820.4</v>
      </c>
      <c r="L231" s="22">
        <v>45796</v>
      </c>
    </row>
    <row r="232" spans="9:12" x14ac:dyDescent="0.25">
      <c r="I232" s="21">
        <v>95364113</v>
      </c>
      <c r="J232" s="21" t="s">
        <v>373</v>
      </c>
      <c r="K232" s="54">
        <v>13965162.07</v>
      </c>
      <c r="L232" s="22">
        <v>45796</v>
      </c>
    </row>
    <row r="233" spans="9:12" x14ac:dyDescent="0.25">
      <c r="I233" s="21">
        <v>95364114</v>
      </c>
      <c r="J233" s="21" t="s">
        <v>29</v>
      </c>
      <c r="K233" s="54">
        <v>9550402.6099999994</v>
      </c>
      <c r="L233" s="22">
        <v>45796</v>
      </c>
    </row>
    <row r="234" spans="9:12" x14ac:dyDescent="0.25">
      <c r="I234" s="21">
        <v>95364115</v>
      </c>
      <c r="J234" s="21" t="s">
        <v>67</v>
      </c>
      <c r="K234" s="54">
        <v>10527880.970000001</v>
      </c>
      <c r="L234" s="22">
        <v>45796</v>
      </c>
    </row>
    <row r="235" spans="9:12" x14ac:dyDescent="0.25">
      <c r="I235" s="21">
        <v>95364116</v>
      </c>
      <c r="J235" s="21" t="s">
        <v>381</v>
      </c>
      <c r="K235" s="54">
        <v>5739109.4400000004</v>
      </c>
      <c r="L235" s="22">
        <v>45796</v>
      </c>
    </row>
    <row r="236" spans="9:12" x14ac:dyDescent="0.25">
      <c r="I236" s="21">
        <v>95364117</v>
      </c>
      <c r="J236" s="21" t="s">
        <v>395</v>
      </c>
      <c r="K236" s="54">
        <v>14913888.949999999</v>
      </c>
      <c r="L236" s="22">
        <v>45796</v>
      </c>
    </row>
    <row r="237" spans="9:12" x14ac:dyDescent="0.25">
      <c r="I237" s="21">
        <v>95364118</v>
      </c>
      <c r="J237" s="21" t="s">
        <v>376</v>
      </c>
      <c r="K237" s="54">
        <v>6278932.7599999998</v>
      </c>
      <c r="L237" s="22">
        <v>45796</v>
      </c>
    </row>
    <row r="238" spans="9:12" x14ac:dyDescent="0.25">
      <c r="I238" s="21">
        <v>95364119</v>
      </c>
      <c r="J238" s="21" t="s">
        <v>355</v>
      </c>
      <c r="K238" s="54">
        <v>10000000</v>
      </c>
      <c r="L238" s="22">
        <v>45796</v>
      </c>
    </row>
    <row r="239" spans="9:12" x14ac:dyDescent="0.25">
      <c r="I239" s="21">
        <v>95364120</v>
      </c>
      <c r="J239" s="21" t="s">
        <v>355</v>
      </c>
      <c r="K239" s="54">
        <v>10204316.9</v>
      </c>
      <c r="L239" s="22">
        <v>45797</v>
      </c>
    </row>
    <row r="240" spans="9:12" x14ac:dyDescent="0.25">
      <c r="I240" s="21">
        <v>95364121</v>
      </c>
      <c r="J240" s="21" t="s">
        <v>389</v>
      </c>
      <c r="K240" s="54">
        <v>15992297.92</v>
      </c>
      <c r="L240" s="22">
        <v>45796</v>
      </c>
    </row>
    <row r="241" spans="9:12" x14ac:dyDescent="0.25">
      <c r="I241" s="21">
        <v>95364122</v>
      </c>
      <c r="J241" s="21" t="s">
        <v>393</v>
      </c>
      <c r="K241" s="54">
        <v>6704180</v>
      </c>
      <c r="L241" s="22">
        <v>45796</v>
      </c>
    </row>
    <row r="242" spans="9:12" x14ac:dyDescent="0.25">
      <c r="I242" s="21">
        <v>95364123</v>
      </c>
      <c r="J242" s="21" t="s">
        <v>363</v>
      </c>
      <c r="K242" s="54">
        <v>25000000</v>
      </c>
      <c r="L242" s="22">
        <v>45796</v>
      </c>
    </row>
    <row r="243" spans="9:12" x14ac:dyDescent="0.25">
      <c r="I243" s="21">
        <v>95364124</v>
      </c>
      <c r="J243" s="21" t="s">
        <v>363</v>
      </c>
      <c r="K243" s="54">
        <v>20510797.48</v>
      </c>
      <c r="L243" s="22">
        <v>45797</v>
      </c>
    </row>
    <row r="244" spans="9:12" x14ac:dyDescent="0.25">
      <c r="I244" s="21">
        <v>95364125</v>
      </c>
      <c r="J244" s="21" t="s">
        <v>87</v>
      </c>
      <c r="K244" s="54">
        <v>5136343.62</v>
      </c>
      <c r="L244" s="22">
        <v>45796</v>
      </c>
    </row>
    <row r="245" spans="9:12" x14ac:dyDescent="0.25">
      <c r="I245" s="21">
        <v>95364126</v>
      </c>
      <c r="J245" s="21" t="s">
        <v>72</v>
      </c>
      <c r="K245" s="54">
        <v>2299013.4</v>
      </c>
      <c r="L245" s="22">
        <v>45796</v>
      </c>
    </row>
    <row r="246" spans="9:12" x14ac:dyDescent="0.25">
      <c r="I246" s="21">
        <v>95364127</v>
      </c>
      <c r="J246" s="21" t="s">
        <v>361</v>
      </c>
      <c r="K246" s="54">
        <v>15700000</v>
      </c>
      <c r="L246" s="22">
        <v>45796</v>
      </c>
    </row>
    <row r="247" spans="9:12" x14ac:dyDescent="0.25">
      <c r="I247" s="21">
        <v>95364128</v>
      </c>
      <c r="J247" s="21" t="s">
        <v>361</v>
      </c>
      <c r="K247" s="54">
        <v>102000000</v>
      </c>
      <c r="L247" s="22">
        <v>45824</v>
      </c>
    </row>
    <row r="248" spans="9:12" x14ac:dyDescent="0.25">
      <c r="I248" s="21">
        <v>95364129</v>
      </c>
      <c r="J248" s="21" t="s">
        <v>361</v>
      </c>
      <c r="K248" s="54">
        <v>137413210.44</v>
      </c>
      <c r="L248" s="22">
        <v>45853</v>
      </c>
    </row>
    <row r="249" spans="9:12" x14ac:dyDescent="0.25">
      <c r="I249" s="21">
        <v>95364130</v>
      </c>
      <c r="J249" s="21" t="s">
        <v>401</v>
      </c>
      <c r="K249" s="54">
        <v>42202130.850000001</v>
      </c>
      <c r="L249" s="22">
        <v>45821</v>
      </c>
    </row>
    <row r="250" spans="9:12" x14ac:dyDescent="0.25">
      <c r="I250" s="21">
        <v>95364131</v>
      </c>
      <c r="J250" s="21" t="s">
        <v>390</v>
      </c>
      <c r="K250" s="54">
        <v>14031177.779999999</v>
      </c>
      <c r="L250" s="22">
        <v>45797</v>
      </c>
    </row>
    <row r="251" spans="9:12" x14ac:dyDescent="0.25">
      <c r="I251" s="21">
        <v>94462924</v>
      </c>
      <c r="J251" s="21" t="s">
        <v>25</v>
      </c>
      <c r="K251" s="20">
        <v>2160810</v>
      </c>
      <c r="L251" s="22">
        <v>45798</v>
      </c>
    </row>
    <row r="252" spans="9:12" x14ac:dyDescent="0.25">
      <c r="I252" s="21">
        <v>95364132</v>
      </c>
      <c r="J252" s="21" t="s">
        <v>415</v>
      </c>
      <c r="K252" s="20">
        <v>38500000</v>
      </c>
      <c r="L252" s="22">
        <v>45805</v>
      </c>
    </row>
    <row r="253" spans="9:12" x14ac:dyDescent="0.25">
      <c r="I253" s="21">
        <v>95364133</v>
      </c>
      <c r="J253" s="21" t="s">
        <v>415</v>
      </c>
      <c r="K253" s="20">
        <v>125775218.01000001</v>
      </c>
      <c r="L253" s="22">
        <v>45910</v>
      </c>
    </row>
    <row r="254" spans="9:12" x14ac:dyDescent="0.25">
      <c r="I254" s="21">
        <v>95364134</v>
      </c>
      <c r="J254" s="21" t="s">
        <v>399</v>
      </c>
      <c r="K254" s="20">
        <v>2819680.42</v>
      </c>
      <c r="L254" s="22">
        <v>45803</v>
      </c>
    </row>
    <row r="255" spans="9:12" x14ac:dyDescent="0.25">
      <c r="I255" s="21">
        <v>95364135</v>
      </c>
      <c r="J255" s="21" t="s">
        <v>30</v>
      </c>
      <c r="K255" s="20">
        <v>1750858.12</v>
      </c>
      <c r="L255" s="22">
        <v>45803</v>
      </c>
    </row>
    <row r="256" spans="9:12" x14ac:dyDescent="0.25">
      <c r="I256" s="21">
        <v>95364136</v>
      </c>
      <c r="J256" s="21" t="s">
        <v>416</v>
      </c>
      <c r="K256" s="20">
        <v>4490515.08</v>
      </c>
      <c r="L256" s="22">
        <v>45803</v>
      </c>
    </row>
    <row r="257" spans="9:12" x14ac:dyDescent="0.25">
      <c r="I257" s="21">
        <v>95364137</v>
      </c>
      <c r="J257" s="21" t="s">
        <v>406</v>
      </c>
      <c r="K257" s="20">
        <v>4365000</v>
      </c>
      <c r="L257" s="22">
        <v>45803</v>
      </c>
    </row>
    <row r="258" spans="9:12" x14ac:dyDescent="0.25">
      <c r="I258" s="21">
        <v>95364138</v>
      </c>
      <c r="J258" s="21" t="s">
        <v>69</v>
      </c>
      <c r="K258" s="20">
        <v>6698750</v>
      </c>
      <c r="L258" s="22">
        <v>45803</v>
      </c>
    </row>
    <row r="259" spans="9:12" x14ac:dyDescent="0.25">
      <c r="I259" s="21">
        <v>95364139</v>
      </c>
      <c r="J259" s="21" t="s">
        <v>359</v>
      </c>
      <c r="K259" s="20">
        <v>5000000</v>
      </c>
      <c r="L259" s="22">
        <v>45803</v>
      </c>
    </row>
    <row r="260" spans="9:12" x14ac:dyDescent="0.25">
      <c r="I260" s="21">
        <v>95364140</v>
      </c>
      <c r="J260" s="21" t="s">
        <v>359</v>
      </c>
      <c r="K260" s="20">
        <v>4997155</v>
      </c>
      <c r="L260" s="22">
        <v>45804</v>
      </c>
    </row>
    <row r="261" spans="9:12" x14ac:dyDescent="0.25">
      <c r="I261" s="21">
        <v>95364141</v>
      </c>
      <c r="J261" s="21" t="s">
        <v>355</v>
      </c>
      <c r="K261" s="20">
        <v>7000000</v>
      </c>
      <c r="L261" s="22">
        <v>45803</v>
      </c>
    </row>
    <row r="262" spans="9:12" x14ac:dyDescent="0.25">
      <c r="I262" s="21">
        <v>95364142</v>
      </c>
      <c r="J262" s="21" t="s">
        <v>355</v>
      </c>
      <c r="K262" s="20">
        <v>6337313.5599999996</v>
      </c>
      <c r="L262" s="22">
        <v>45804</v>
      </c>
    </row>
    <row r="263" spans="9:12" x14ac:dyDescent="0.25">
      <c r="I263" s="21">
        <v>95364143</v>
      </c>
      <c r="J263" s="21" t="s">
        <v>358</v>
      </c>
      <c r="K263" s="20">
        <v>7000000</v>
      </c>
      <c r="L263" s="22">
        <v>45803</v>
      </c>
    </row>
    <row r="264" spans="9:12" x14ac:dyDescent="0.25">
      <c r="I264" s="21">
        <v>95364144</v>
      </c>
      <c r="J264" s="21" t="s">
        <v>358</v>
      </c>
      <c r="K264" s="20">
        <v>7871718.2400000002</v>
      </c>
      <c r="L264" s="22">
        <v>45804</v>
      </c>
    </row>
    <row r="265" spans="9:12" x14ac:dyDescent="0.25">
      <c r="I265" s="21">
        <v>95364145</v>
      </c>
      <c r="J265" s="21" t="s">
        <v>373</v>
      </c>
      <c r="K265" s="20">
        <v>20000000</v>
      </c>
      <c r="L265" s="22">
        <v>45803</v>
      </c>
    </row>
    <row r="266" spans="9:12" x14ac:dyDescent="0.25">
      <c r="I266" s="21">
        <v>95364146</v>
      </c>
      <c r="J266" s="21" t="s">
        <v>373</v>
      </c>
      <c r="K266" s="20">
        <v>15808349.4</v>
      </c>
      <c r="L266" s="22">
        <v>45804</v>
      </c>
    </row>
    <row r="267" spans="9:12" x14ac:dyDescent="0.25">
      <c r="I267" s="21">
        <v>95364147</v>
      </c>
      <c r="J267" s="21" t="s">
        <v>367</v>
      </c>
      <c r="K267" s="20">
        <v>7000000</v>
      </c>
      <c r="L267" s="22">
        <v>45803</v>
      </c>
    </row>
    <row r="268" spans="9:12" x14ac:dyDescent="0.25">
      <c r="I268" s="21">
        <v>95364148</v>
      </c>
      <c r="J268" s="21" t="s">
        <v>367</v>
      </c>
      <c r="K268" s="20">
        <v>7664434.75</v>
      </c>
      <c r="L268" s="22">
        <v>45804</v>
      </c>
    </row>
    <row r="269" spans="9:12" x14ac:dyDescent="0.25">
      <c r="I269" s="21">
        <v>95364149</v>
      </c>
      <c r="J269" s="21" t="s">
        <v>353</v>
      </c>
      <c r="K269" s="20">
        <v>6000000</v>
      </c>
      <c r="L269" s="22">
        <v>45803</v>
      </c>
    </row>
    <row r="270" spans="9:12" x14ac:dyDescent="0.25">
      <c r="I270" s="21">
        <v>95364150</v>
      </c>
      <c r="J270" s="21" t="s">
        <v>353</v>
      </c>
      <c r="K270" s="20">
        <v>5800193.4000000004</v>
      </c>
      <c r="L270" s="22">
        <v>45804</v>
      </c>
    </row>
    <row r="271" spans="9:12" x14ac:dyDescent="0.25">
      <c r="I271">
        <v>95364151</v>
      </c>
      <c r="J271" t="s">
        <v>417</v>
      </c>
      <c r="K271" s="50">
        <v>8737601.8100000005</v>
      </c>
      <c r="L271" s="3">
        <v>45807</v>
      </c>
    </row>
    <row r="272" spans="9:12" x14ac:dyDescent="0.25">
      <c r="I272">
        <v>95364152</v>
      </c>
      <c r="J272" t="s">
        <v>417</v>
      </c>
      <c r="K272" s="50">
        <v>10110000</v>
      </c>
      <c r="L272" s="3">
        <v>45838</v>
      </c>
    </row>
    <row r="273" spans="9:12" x14ac:dyDescent="0.25">
      <c r="I273">
        <v>95364153</v>
      </c>
      <c r="J273" t="s">
        <v>417</v>
      </c>
      <c r="K273" s="50">
        <v>10110000</v>
      </c>
      <c r="L273" s="3">
        <v>45868</v>
      </c>
    </row>
    <row r="274" spans="9:12" x14ac:dyDescent="0.25">
      <c r="I274">
        <v>95364154</v>
      </c>
      <c r="J274" t="s">
        <v>417</v>
      </c>
      <c r="K274" s="50">
        <v>10110000</v>
      </c>
      <c r="L274" s="3">
        <v>45898</v>
      </c>
    </row>
    <row r="275" spans="9:12" x14ac:dyDescent="0.25">
      <c r="I275">
        <v>95364155</v>
      </c>
      <c r="J275" t="s">
        <v>417</v>
      </c>
      <c r="K275" s="50">
        <v>10110000.01</v>
      </c>
      <c r="L275" s="3">
        <v>45930</v>
      </c>
    </row>
    <row r="276" spans="9:12" x14ac:dyDescent="0.25">
      <c r="I276">
        <v>95364156</v>
      </c>
      <c r="J276" t="s">
        <v>74</v>
      </c>
      <c r="K276" s="50">
        <v>5075769.18</v>
      </c>
      <c r="L276" s="3">
        <v>45807</v>
      </c>
    </row>
    <row r="277" spans="9:12" x14ac:dyDescent="0.25">
      <c r="I277">
        <v>95364157</v>
      </c>
      <c r="J277" t="s">
        <v>29</v>
      </c>
      <c r="K277" s="50">
        <v>9432621.9299999997</v>
      </c>
      <c r="L277" s="3">
        <v>45807</v>
      </c>
    </row>
    <row r="278" spans="9:12" x14ac:dyDescent="0.25">
      <c r="I278">
        <v>95364158</v>
      </c>
      <c r="J278" t="s">
        <v>376</v>
      </c>
      <c r="K278" s="50">
        <v>4011393.5</v>
      </c>
      <c r="L278" s="3">
        <v>45807</v>
      </c>
    </row>
    <row r="279" spans="9:12" x14ac:dyDescent="0.25">
      <c r="I279">
        <v>95364159</v>
      </c>
      <c r="J279" t="s">
        <v>67</v>
      </c>
      <c r="K279" s="50">
        <v>6000000</v>
      </c>
      <c r="L279" s="3">
        <v>45807</v>
      </c>
    </row>
    <row r="280" spans="9:12" x14ac:dyDescent="0.25">
      <c r="I280">
        <v>95364160</v>
      </c>
      <c r="J280" t="s">
        <v>67</v>
      </c>
      <c r="K280" s="50">
        <v>5233603.25</v>
      </c>
      <c r="L280" s="3">
        <v>45810</v>
      </c>
    </row>
    <row r="281" spans="9:12" x14ac:dyDescent="0.25">
      <c r="I281">
        <v>95364161</v>
      </c>
      <c r="J281" t="s">
        <v>356</v>
      </c>
      <c r="K281" s="50">
        <v>16614281.42</v>
      </c>
      <c r="L281" s="3">
        <v>45810</v>
      </c>
    </row>
    <row r="282" spans="9:12" x14ac:dyDescent="0.25">
      <c r="I282" s="21">
        <v>95364162</v>
      </c>
      <c r="J282" s="21" t="s">
        <v>362</v>
      </c>
      <c r="K282" s="20">
        <v>187130000</v>
      </c>
      <c r="L282" s="22">
        <v>45817</v>
      </c>
    </row>
    <row r="283" spans="9:12" x14ac:dyDescent="0.25">
      <c r="I283" s="21">
        <v>95364163</v>
      </c>
      <c r="J283" s="21" t="s">
        <v>362</v>
      </c>
      <c r="K283" s="20">
        <v>250420000</v>
      </c>
      <c r="L283" s="22">
        <v>45835</v>
      </c>
    </row>
    <row r="284" spans="9:12" x14ac:dyDescent="0.25">
      <c r="I284" s="21">
        <v>95364164</v>
      </c>
      <c r="J284" s="21" t="s">
        <v>362</v>
      </c>
      <c r="K284" s="20">
        <v>80960000</v>
      </c>
      <c r="L284" s="22">
        <v>45841</v>
      </c>
    </row>
    <row r="285" spans="9:12" x14ac:dyDescent="0.25">
      <c r="I285" s="21">
        <v>95364165</v>
      </c>
      <c r="J285" s="21" t="s">
        <v>362</v>
      </c>
      <c r="K285" s="20">
        <v>250500000</v>
      </c>
      <c r="L285" s="22">
        <v>45865</v>
      </c>
    </row>
    <row r="286" spans="9:12" x14ac:dyDescent="0.25">
      <c r="I286" s="21">
        <v>95364166</v>
      </c>
      <c r="J286" s="21" t="s">
        <v>362</v>
      </c>
      <c r="K286" s="20">
        <v>80952112.590000004</v>
      </c>
      <c r="L286" s="22">
        <v>45871</v>
      </c>
    </row>
    <row r="287" spans="9:12" x14ac:dyDescent="0.25">
      <c r="I287" s="21">
        <v>95364167</v>
      </c>
      <c r="J287" s="21" t="s">
        <v>361</v>
      </c>
      <c r="K287" s="20">
        <v>150389280</v>
      </c>
      <c r="L287" s="22">
        <v>45819</v>
      </c>
    </row>
    <row r="288" spans="9:12" x14ac:dyDescent="0.25">
      <c r="I288" s="21">
        <v>95364168</v>
      </c>
      <c r="J288" s="21" t="s">
        <v>361</v>
      </c>
      <c r="K288" s="20">
        <v>40568040</v>
      </c>
      <c r="L288" s="22">
        <v>45836</v>
      </c>
    </row>
    <row r="289" spans="9:12" x14ac:dyDescent="0.25">
      <c r="I289" s="21">
        <v>95364169</v>
      </c>
      <c r="J289" s="21" t="s">
        <v>361</v>
      </c>
      <c r="K289" s="20">
        <v>150389280</v>
      </c>
      <c r="L289" s="22">
        <v>45849</v>
      </c>
    </row>
    <row r="290" spans="9:12" x14ac:dyDescent="0.25">
      <c r="I290" s="21">
        <v>95364170</v>
      </c>
      <c r="J290" s="21" t="s">
        <v>361</v>
      </c>
      <c r="K290" s="20">
        <v>150389280</v>
      </c>
      <c r="L290" s="22">
        <v>45880</v>
      </c>
    </row>
    <row r="291" spans="9:12" x14ac:dyDescent="0.25">
      <c r="I291" s="21">
        <v>95364171</v>
      </c>
      <c r="J291" s="21" t="s">
        <v>361</v>
      </c>
      <c r="K291" s="20">
        <v>150389280</v>
      </c>
      <c r="L291" s="22">
        <v>45909</v>
      </c>
    </row>
    <row r="292" spans="9:12" x14ac:dyDescent="0.25">
      <c r="I292" s="21">
        <v>95364172</v>
      </c>
      <c r="J292" s="21" t="s">
        <v>358</v>
      </c>
      <c r="K292" s="20">
        <v>6000000</v>
      </c>
      <c r="L292" s="22">
        <v>45813</v>
      </c>
    </row>
    <row r="293" spans="9:12" x14ac:dyDescent="0.25">
      <c r="I293" s="21">
        <v>95364173</v>
      </c>
      <c r="J293" s="21" t="s">
        <v>358</v>
      </c>
      <c r="K293" s="20">
        <v>5060694.82</v>
      </c>
      <c r="L293" s="22">
        <v>45814</v>
      </c>
    </row>
    <row r="294" spans="9:12" x14ac:dyDescent="0.25">
      <c r="I294" s="21">
        <v>95364174</v>
      </c>
      <c r="J294" s="21" t="s">
        <v>40</v>
      </c>
      <c r="K294" s="20">
        <v>3878580.76</v>
      </c>
      <c r="L294" s="22">
        <v>45813</v>
      </c>
    </row>
    <row r="295" spans="9:12" x14ac:dyDescent="0.25">
      <c r="I295" s="21">
        <v>95364175</v>
      </c>
      <c r="J295" s="21" t="s">
        <v>69</v>
      </c>
      <c r="K295" s="20">
        <v>6703230</v>
      </c>
      <c r="L295" s="22">
        <v>45813</v>
      </c>
    </row>
    <row r="296" spans="9:12" x14ac:dyDescent="0.25">
      <c r="I296" s="21">
        <v>95364176</v>
      </c>
      <c r="J296" s="21" t="s">
        <v>90</v>
      </c>
      <c r="K296" s="20">
        <v>6000000</v>
      </c>
      <c r="L296" s="22">
        <v>45813</v>
      </c>
    </row>
    <row r="297" spans="9:12" x14ac:dyDescent="0.25">
      <c r="I297" s="21">
        <v>95364177</v>
      </c>
      <c r="J297" s="21" t="s">
        <v>90</v>
      </c>
      <c r="K297" s="20">
        <v>6212599.2199999997</v>
      </c>
      <c r="L297" s="22">
        <v>45814</v>
      </c>
    </row>
    <row r="298" spans="9:12" x14ac:dyDescent="0.25">
      <c r="I298" s="21">
        <v>95364178</v>
      </c>
      <c r="J298" s="21" t="s">
        <v>370</v>
      </c>
      <c r="K298" s="20">
        <v>10000000</v>
      </c>
      <c r="L298" s="22">
        <v>45813</v>
      </c>
    </row>
    <row r="299" spans="9:12" x14ac:dyDescent="0.25">
      <c r="I299" s="21">
        <v>95364179</v>
      </c>
      <c r="J299" s="21" t="s">
        <v>370</v>
      </c>
      <c r="K299" s="20">
        <v>9234768</v>
      </c>
      <c r="L299" s="22">
        <v>45814</v>
      </c>
    </row>
    <row r="300" spans="9:12" x14ac:dyDescent="0.25">
      <c r="I300" s="21">
        <v>95364180</v>
      </c>
      <c r="J300" s="21" t="s">
        <v>389</v>
      </c>
      <c r="K300" s="20">
        <v>7732493.6699999999</v>
      </c>
      <c r="L300" s="22">
        <v>45813</v>
      </c>
    </row>
    <row r="301" spans="9:12" x14ac:dyDescent="0.25">
      <c r="I301" s="21">
        <v>94462925</v>
      </c>
      <c r="J301" s="21" t="s">
        <v>25</v>
      </c>
      <c r="K301" s="20">
        <v>36706588.799999997</v>
      </c>
      <c r="L301" s="22">
        <v>45813</v>
      </c>
    </row>
    <row r="302" spans="9:12" x14ac:dyDescent="0.25">
      <c r="I302" s="21">
        <v>95364181</v>
      </c>
      <c r="J302" s="21" t="s">
        <v>399</v>
      </c>
      <c r="K302" s="20">
        <v>4374101.4000000004</v>
      </c>
      <c r="L302" s="22">
        <v>45817</v>
      </c>
    </row>
    <row r="303" spans="9:12" x14ac:dyDescent="0.25">
      <c r="I303" s="21">
        <v>95364182</v>
      </c>
      <c r="J303" s="21" t="s">
        <v>368</v>
      </c>
      <c r="K303" s="20">
        <v>80049220</v>
      </c>
      <c r="L303" s="22">
        <v>45841</v>
      </c>
    </row>
    <row r="304" spans="9:12" x14ac:dyDescent="0.25">
      <c r="I304" s="21">
        <v>95364183</v>
      </c>
      <c r="J304" s="21" t="s">
        <v>368</v>
      </c>
      <c r="K304" s="20">
        <v>80049220</v>
      </c>
      <c r="L304" s="22">
        <v>45873</v>
      </c>
    </row>
    <row r="305" spans="9:12" x14ac:dyDescent="0.25">
      <c r="I305" s="21">
        <v>95364184</v>
      </c>
      <c r="J305" s="21" t="s">
        <v>368</v>
      </c>
      <c r="K305" s="20">
        <v>80049220</v>
      </c>
      <c r="L305" s="22">
        <v>45903</v>
      </c>
    </row>
    <row r="306" spans="9:12" x14ac:dyDescent="0.25">
      <c r="I306" s="21">
        <v>95364185</v>
      </c>
      <c r="J306" s="21" t="s">
        <v>368</v>
      </c>
      <c r="K306" s="20">
        <v>80049220</v>
      </c>
      <c r="L306" s="22">
        <v>45933</v>
      </c>
    </row>
    <row r="307" spans="9:12" x14ac:dyDescent="0.25">
      <c r="I307" s="21">
        <v>95364186</v>
      </c>
      <c r="J307" s="21" t="s">
        <v>368</v>
      </c>
      <c r="K307" s="20">
        <v>79767145.640000001</v>
      </c>
      <c r="L307" s="22">
        <v>45964</v>
      </c>
    </row>
    <row r="308" spans="9:12" x14ac:dyDescent="0.25">
      <c r="I308" s="21">
        <v>95364187</v>
      </c>
      <c r="J308" s="21" t="s">
        <v>418</v>
      </c>
      <c r="K308" s="20">
        <v>2809899.57</v>
      </c>
      <c r="L308" s="22">
        <v>45826</v>
      </c>
    </row>
    <row r="309" spans="9:12" x14ac:dyDescent="0.25">
      <c r="I309" s="21">
        <v>99267932</v>
      </c>
      <c r="J309" s="21" t="s">
        <v>31</v>
      </c>
      <c r="K309" s="20">
        <v>4168422.88</v>
      </c>
      <c r="L309" s="22">
        <v>45826</v>
      </c>
    </row>
    <row r="310" spans="9:12" x14ac:dyDescent="0.25">
      <c r="I310" s="21">
        <v>99267933</v>
      </c>
      <c r="J310" s="21" t="s">
        <v>419</v>
      </c>
      <c r="K310" s="20">
        <v>3226243.4</v>
      </c>
      <c r="L310" s="22">
        <v>45826</v>
      </c>
    </row>
    <row r="311" spans="9:12" x14ac:dyDescent="0.25">
      <c r="I311" s="21">
        <v>99267934</v>
      </c>
      <c r="J311" s="21" t="s">
        <v>211</v>
      </c>
      <c r="K311" s="20">
        <v>7875103.5</v>
      </c>
      <c r="L311" s="22">
        <v>45827</v>
      </c>
    </row>
    <row r="312" spans="9:12" x14ac:dyDescent="0.25">
      <c r="I312" s="21">
        <v>99267935</v>
      </c>
      <c r="J312" s="21" t="s">
        <v>420</v>
      </c>
      <c r="K312" s="20">
        <v>3933863.85</v>
      </c>
      <c r="L312" s="22">
        <v>45826</v>
      </c>
    </row>
    <row r="313" spans="9:12" x14ac:dyDescent="0.25">
      <c r="I313" s="21">
        <v>99267936</v>
      </c>
      <c r="J313" s="21" t="s">
        <v>355</v>
      </c>
      <c r="K313" s="20">
        <v>11000000</v>
      </c>
      <c r="L313" s="22">
        <v>45826</v>
      </c>
    </row>
    <row r="314" spans="9:12" x14ac:dyDescent="0.25">
      <c r="I314" s="21">
        <v>99267937</v>
      </c>
      <c r="J314" s="21" t="s">
        <v>355</v>
      </c>
      <c r="K314" s="20">
        <v>10480950.449999999</v>
      </c>
      <c r="L314" s="22">
        <v>45827</v>
      </c>
    </row>
    <row r="315" spans="9:12" x14ac:dyDescent="0.25">
      <c r="I315" s="21">
        <v>99267938</v>
      </c>
      <c r="J315" s="21" t="s">
        <v>38</v>
      </c>
      <c r="K315" s="20">
        <v>8000000</v>
      </c>
      <c r="L315" s="22">
        <v>45826</v>
      </c>
    </row>
    <row r="316" spans="9:12" x14ac:dyDescent="0.25">
      <c r="I316" s="21">
        <v>99267939</v>
      </c>
      <c r="J316" s="21" t="s">
        <v>38</v>
      </c>
      <c r="K316" s="20">
        <v>7657473.4500000002</v>
      </c>
      <c r="L316" s="22">
        <v>45827</v>
      </c>
    </row>
    <row r="317" spans="9:12" x14ac:dyDescent="0.25">
      <c r="I317" s="21">
        <v>99267940</v>
      </c>
      <c r="J317" s="21" t="s">
        <v>29</v>
      </c>
      <c r="K317" s="20">
        <v>7916402.8200000003</v>
      </c>
      <c r="L317" s="22">
        <v>45827</v>
      </c>
    </row>
    <row r="318" spans="9:12" x14ac:dyDescent="0.25">
      <c r="I318" s="21">
        <v>94462927</v>
      </c>
      <c r="J318" s="21" t="s">
        <v>25</v>
      </c>
      <c r="K318" s="20">
        <v>2417110</v>
      </c>
      <c r="L318" s="3">
        <v>45821</v>
      </c>
    </row>
    <row r="319" spans="9:12" x14ac:dyDescent="0.25">
      <c r="I319" s="21">
        <v>99267941</v>
      </c>
      <c r="J319" s="21" t="s">
        <v>362</v>
      </c>
      <c r="K319" s="20">
        <v>64731166.649999999</v>
      </c>
      <c r="L319" s="22">
        <v>45838</v>
      </c>
    </row>
    <row r="320" spans="9:12" x14ac:dyDescent="0.25">
      <c r="I320" s="21">
        <v>99267942</v>
      </c>
      <c r="J320" s="21" t="s">
        <v>362</v>
      </c>
      <c r="K320" s="20">
        <v>140456467.28999999</v>
      </c>
      <c r="L320" s="22">
        <v>45846</v>
      </c>
    </row>
    <row r="321" spans="9:12" x14ac:dyDescent="0.25">
      <c r="I321" s="21">
        <v>99267943</v>
      </c>
      <c r="J321" s="21" t="s">
        <v>368</v>
      </c>
      <c r="K321" s="20">
        <v>109000000</v>
      </c>
      <c r="L321" s="22">
        <v>45838</v>
      </c>
    </row>
    <row r="322" spans="9:12" x14ac:dyDescent="0.25">
      <c r="I322" s="21">
        <v>99267944</v>
      </c>
      <c r="J322" s="21" t="s">
        <v>368</v>
      </c>
      <c r="K322" s="20">
        <v>109000000</v>
      </c>
      <c r="L322" s="22">
        <v>45868</v>
      </c>
    </row>
    <row r="323" spans="9:12" x14ac:dyDescent="0.25">
      <c r="I323" s="21">
        <v>99267945</v>
      </c>
      <c r="J323" s="21" t="s">
        <v>368</v>
      </c>
      <c r="K323" s="20">
        <v>109000000</v>
      </c>
      <c r="L323" s="22">
        <v>45898</v>
      </c>
    </row>
    <row r="324" spans="9:12" x14ac:dyDescent="0.25">
      <c r="I324" s="21">
        <v>99267946</v>
      </c>
      <c r="J324" s="21" t="s">
        <v>368</v>
      </c>
      <c r="K324" s="20">
        <v>109000000</v>
      </c>
      <c r="L324" s="22">
        <v>45929</v>
      </c>
    </row>
    <row r="325" spans="9:12" x14ac:dyDescent="0.25">
      <c r="I325" s="21">
        <v>99267947</v>
      </c>
      <c r="J325" s="21" t="s">
        <v>368</v>
      </c>
      <c r="K325" s="20">
        <v>108940960</v>
      </c>
      <c r="L325" s="22">
        <v>45959</v>
      </c>
    </row>
    <row r="326" spans="9:12" x14ac:dyDescent="0.25">
      <c r="I326" s="21">
        <v>99267948</v>
      </c>
      <c r="J326" s="21" t="s">
        <v>352</v>
      </c>
      <c r="K326" s="20">
        <v>6386679.1699999999</v>
      </c>
      <c r="L326" s="22">
        <v>45835</v>
      </c>
    </row>
    <row r="327" spans="9:12" x14ac:dyDescent="0.25">
      <c r="I327" s="21">
        <v>99267949</v>
      </c>
      <c r="J327" s="21" t="s">
        <v>421</v>
      </c>
      <c r="K327" s="20">
        <v>4189335.92</v>
      </c>
      <c r="L327" s="22">
        <v>45835</v>
      </c>
    </row>
    <row r="328" spans="9:12" x14ac:dyDescent="0.25">
      <c r="I328" s="21">
        <v>99267950</v>
      </c>
      <c r="J328" s="21" t="s">
        <v>163</v>
      </c>
      <c r="K328" s="20">
        <v>25000000</v>
      </c>
      <c r="L328" s="22">
        <v>45835</v>
      </c>
    </row>
    <row r="329" spans="9:12" x14ac:dyDescent="0.25">
      <c r="I329" s="21">
        <v>99267951</v>
      </c>
      <c r="J329" s="21" t="s">
        <v>163</v>
      </c>
      <c r="K329" s="20">
        <v>23874532.73</v>
      </c>
      <c r="L329" s="22">
        <v>45838</v>
      </c>
    </row>
    <row r="330" spans="9:12" x14ac:dyDescent="0.25">
      <c r="I330" s="21">
        <v>99267952</v>
      </c>
      <c r="J330" s="21" t="s">
        <v>422</v>
      </c>
      <c r="K330" s="20">
        <v>7242880</v>
      </c>
      <c r="L330" s="22">
        <v>45835</v>
      </c>
    </row>
    <row r="331" spans="9:12" x14ac:dyDescent="0.25">
      <c r="I331" s="21">
        <v>99267953</v>
      </c>
      <c r="J331" s="21" t="s">
        <v>397</v>
      </c>
      <c r="K331" s="20">
        <v>4317188.4000000004</v>
      </c>
      <c r="L331" s="22">
        <v>45835</v>
      </c>
    </row>
    <row r="332" spans="9:12" x14ac:dyDescent="0.25">
      <c r="I332" s="21">
        <v>99267954</v>
      </c>
      <c r="J332" s="21" t="s">
        <v>396</v>
      </c>
      <c r="K332" s="20">
        <v>3129430.95</v>
      </c>
      <c r="L332" s="22">
        <v>45835</v>
      </c>
    </row>
    <row r="333" spans="9:12" x14ac:dyDescent="0.25">
      <c r="I333" s="21">
        <v>99267955</v>
      </c>
      <c r="J333" s="21" t="s">
        <v>390</v>
      </c>
      <c r="K333" s="20">
        <v>17000000</v>
      </c>
      <c r="L333" s="22">
        <v>45835</v>
      </c>
    </row>
    <row r="334" spans="9:12" x14ac:dyDescent="0.25">
      <c r="I334" s="21">
        <v>99267956</v>
      </c>
      <c r="J334" s="21" t="s">
        <v>390</v>
      </c>
      <c r="K334" s="20">
        <v>17082000.449999999</v>
      </c>
      <c r="L334" s="22">
        <v>45838</v>
      </c>
    </row>
    <row r="335" spans="9:12" x14ac:dyDescent="0.25">
      <c r="I335" s="21">
        <v>99267957</v>
      </c>
      <c r="J335" s="21" t="s">
        <v>87</v>
      </c>
      <c r="K335" s="20">
        <v>13000000</v>
      </c>
      <c r="L335" s="22">
        <v>45835</v>
      </c>
    </row>
    <row r="336" spans="9:12" x14ac:dyDescent="0.25">
      <c r="I336" s="21">
        <v>99267958</v>
      </c>
      <c r="J336" s="21" t="s">
        <v>87</v>
      </c>
      <c r="K336" s="20">
        <v>10951482.449999999</v>
      </c>
      <c r="L336" s="22">
        <v>45838</v>
      </c>
    </row>
    <row r="337" spans="9:12" x14ac:dyDescent="0.25">
      <c r="I337" s="21">
        <v>99267959</v>
      </c>
      <c r="J337" s="21" t="s">
        <v>376</v>
      </c>
      <c r="K337" s="20">
        <v>2896589.13</v>
      </c>
      <c r="L337" s="22">
        <v>45835</v>
      </c>
    </row>
    <row r="338" spans="9:12" x14ac:dyDescent="0.25">
      <c r="I338">
        <v>99267960</v>
      </c>
      <c r="J338" t="s">
        <v>67</v>
      </c>
      <c r="K338" s="50">
        <v>13434799.9</v>
      </c>
      <c r="L338" s="3">
        <v>45840</v>
      </c>
    </row>
    <row r="339" spans="9:12" x14ac:dyDescent="0.25">
      <c r="I339">
        <v>99267961</v>
      </c>
      <c r="J339" t="s">
        <v>370</v>
      </c>
      <c r="K339" s="50">
        <v>11755469</v>
      </c>
      <c r="L339" s="3">
        <v>45841</v>
      </c>
    </row>
    <row r="340" spans="9:12" x14ac:dyDescent="0.25">
      <c r="I340">
        <v>99267962</v>
      </c>
      <c r="J340" t="s">
        <v>423</v>
      </c>
      <c r="K340" s="50">
        <v>3053181.45</v>
      </c>
      <c r="L340" s="3">
        <v>45841</v>
      </c>
    </row>
    <row r="341" spans="9:12" x14ac:dyDescent="0.25">
      <c r="I341" s="21">
        <v>99267963</v>
      </c>
      <c r="J341" s="21" t="s">
        <v>362</v>
      </c>
      <c r="K341" s="20">
        <v>67300000</v>
      </c>
      <c r="L341" s="22">
        <v>45852</v>
      </c>
    </row>
    <row r="342" spans="9:12" x14ac:dyDescent="0.25">
      <c r="I342" s="21">
        <v>99267964</v>
      </c>
      <c r="J342" s="21" t="s">
        <v>362</v>
      </c>
      <c r="K342" s="20">
        <v>28678828.32</v>
      </c>
      <c r="L342" s="22">
        <v>45887</v>
      </c>
    </row>
    <row r="343" spans="9:12" x14ac:dyDescent="0.25">
      <c r="I343" s="21">
        <v>99267965</v>
      </c>
      <c r="J343" s="21" t="s">
        <v>362</v>
      </c>
      <c r="K343" s="20">
        <v>122000000</v>
      </c>
      <c r="L343" s="22">
        <v>45866</v>
      </c>
    </row>
    <row r="344" spans="9:12" x14ac:dyDescent="0.25">
      <c r="I344" s="21">
        <v>99267966</v>
      </c>
      <c r="J344" s="21" t="s">
        <v>362</v>
      </c>
      <c r="K344" s="20">
        <v>122000000</v>
      </c>
      <c r="L344" s="22">
        <v>45896</v>
      </c>
    </row>
    <row r="345" spans="9:12" x14ac:dyDescent="0.25">
      <c r="I345" s="21">
        <v>99267967</v>
      </c>
      <c r="J345" s="21" t="s">
        <v>362</v>
      </c>
      <c r="K345" s="20">
        <v>23393104.960000001</v>
      </c>
      <c r="L345" s="22">
        <v>45926</v>
      </c>
    </row>
    <row r="346" spans="9:12" x14ac:dyDescent="0.25">
      <c r="I346" s="21">
        <v>99267968</v>
      </c>
      <c r="J346" s="21" t="s">
        <v>373</v>
      </c>
      <c r="K346" s="20">
        <v>3405489.9</v>
      </c>
      <c r="L346" s="22">
        <v>45848</v>
      </c>
    </row>
    <row r="347" spans="9:12" x14ac:dyDescent="0.25">
      <c r="I347" s="21">
        <v>99267969</v>
      </c>
      <c r="J347" s="21" t="s">
        <v>424</v>
      </c>
      <c r="K347" s="20">
        <v>1230429.3</v>
      </c>
      <c r="L347" s="22">
        <v>45848</v>
      </c>
    </row>
    <row r="348" spans="9:12" x14ac:dyDescent="0.25">
      <c r="I348" s="21">
        <v>99267970</v>
      </c>
      <c r="J348" s="21" t="s">
        <v>425</v>
      </c>
      <c r="K348" s="20">
        <v>1189331.77</v>
      </c>
      <c r="L348" s="22">
        <v>45848</v>
      </c>
    </row>
    <row r="349" spans="9:12" x14ac:dyDescent="0.25">
      <c r="I349" s="21">
        <v>99267971</v>
      </c>
      <c r="J349" s="21" t="s">
        <v>38</v>
      </c>
      <c r="K349" s="20">
        <v>15863843.4</v>
      </c>
      <c r="L349" s="22">
        <v>45852</v>
      </c>
    </row>
    <row r="350" spans="9:12" x14ac:dyDescent="0.25">
      <c r="I350" s="21">
        <v>99267972</v>
      </c>
      <c r="J350" s="21" t="s">
        <v>182</v>
      </c>
      <c r="K350" s="20">
        <v>4296018.4000000004</v>
      </c>
      <c r="L350" s="22">
        <v>45852</v>
      </c>
    </row>
    <row r="351" spans="9:12" x14ac:dyDescent="0.25">
      <c r="I351" s="21">
        <v>99267973</v>
      </c>
      <c r="J351" s="21" t="s">
        <v>426</v>
      </c>
      <c r="K351" s="20">
        <v>4960343.4000000004</v>
      </c>
      <c r="L351" s="22">
        <v>45852</v>
      </c>
    </row>
    <row r="352" spans="9:12" x14ac:dyDescent="0.25">
      <c r="I352" s="21">
        <v>99267974</v>
      </c>
      <c r="J352" s="21" t="s">
        <v>427</v>
      </c>
      <c r="K352" s="20">
        <v>10250372.109999999</v>
      </c>
      <c r="L352" s="22">
        <v>45852</v>
      </c>
    </row>
    <row r="353" spans="9:12" x14ac:dyDescent="0.25">
      <c r="I353" s="21">
        <v>99267975</v>
      </c>
      <c r="J353" s="21" t="s">
        <v>39</v>
      </c>
      <c r="K353" s="20">
        <v>9481268.4000000004</v>
      </c>
      <c r="L353" s="22">
        <v>45852</v>
      </c>
    </row>
    <row r="354" spans="9:12" x14ac:dyDescent="0.25">
      <c r="I354" s="21">
        <v>99267976</v>
      </c>
      <c r="J354" s="21" t="s">
        <v>373</v>
      </c>
      <c r="K354" s="20">
        <v>8243749.5700000003</v>
      </c>
      <c r="L354" s="22">
        <v>45853</v>
      </c>
    </row>
    <row r="355" spans="9:12" x14ac:dyDescent="0.25">
      <c r="I355" s="21">
        <v>99267977</v>
      </c>
      <c r="J355" s="21" t="s">
        <v>389</v>
      </c>
      <c r="K355" s="20">
        <v>10000000</v>
      </c>
      <c r="L355" s="22">
        <v>45853</v>
      </c>
    </row>
    <row r="356" spans="9:12" x14ac:dyDescent="0.25">
      <c r="I356" s="21">
        <v>99267978</v>
      </c>
      <c r="J356" s="21" t="s">
        <v>389</v>
      </c>
      <c r="K356" s="20">
        <v>7134592.9199999999</v>
      </c>
      <c r="L356" s="22">
        <v>45854</v>
      </c>
    </row>
    <row r="357" spans="9:12" x14ac:dyDescent="0.25">
      <c r="I357" s="21">
        <v>99267979</v>
      </c>
      <c r="J357" s="21" t="s">
        <v>428</v>
      </c>
      <c r="K357" s="20">
        <v>14298347.92</v>
      </c>
      <c r="L357" s="22">
        <v>45853</v>
      </c>
    </row>
    <row r="358" spans="9:12" x14ac:dyDescent="0.25">
      <c r="I358" s="21">
        <v>99267980</v>
      </c>
      <c r="J358" s="21" t="s">
        <v>17</v>
      </c>
      <c r="K358" s="20">
        <v>8928715.5199999996</v>
      </c>
      <c r="L358" s="22">
        <v>45853</v>
      </c>
    </row>
    <row r="359" spans="9:12" x14ac:dyDescent="0.25">
      <c r="I359" s="21">
        <v>99267981</v>
      </c>
      <c r="J359" s="21" t="s">
        <v>31</v>
      </c>
      <c r="K359" s="20">
        <v>10599425.130000001</v>
      </c>
      <c r="L359" s="22">
        <v>45853</v>
      </c>
    </row>
    <row r="360" spans="9:12" x14ac:dyDescent="0.25">
      <c r="I360" s="21">
        <v>55259930</v>
      </c>
      <c r="J360" s="21" t="s">
        <v>25</v>
      </c>
      <c r="K360" s="20">
        <v>2544640</v>
      </c>
      <c r="L360" s="22">
        <v>45852</v>
      </c>
    </row>
    <row r="361" spans="9:12" x14ac:dyDescent="0.25">
      <c r="I361" s="21">
        <v>99267982</v>
      </c>
      <c r="J361" s="21" t="s">
        <v>352</v>
      </c>
      <c r="K361" s="20">
        <v>9111666.2799999993</v>
      </c>
      <c r="L361" s="22">
        <v>45855</v>
      </c>
    </row>
    <row r="362" spans="9:12" x14ac:dyDescent="0.25">
      <c r="I362" s="21">
        <v>99267983</v>
      </c>
      <c r="J362" s="21" t="s">
        <v>67</v>
      </c>
      <c r="K362" s="20">
        <v>15000000</v>
      </c>
      <c r="L362" s="22">
        <v>45855</v>
      </c>
    </row>
    <row r="363" spans="9:12" x14ac:dyDescent="0.25">
      <c r="I363" s="21">
        <v>99267984</v>
      </c>
      <c r="J363" s="21" t="s">
        <v>67</v>
      </c>
      <c r="K363" s="20">
        <v>10208383.970000001</v>
      </c>
      <c r="L363" s="22">
        <v>45856</v>
      </c>
    </row>
    <row r="364" spans="9:12" x14ac:dyDescent="0.25">
      <c r="I364" s="21">
        <v>99267985</v>
      </c>
      <c r="J364" s="21" t="s">
        <v>33</v>
      </c>
      <c r="K364" s="20">
        <v>4010234.73</v>
      </c>
      <c r="L364" s="22">
        <v>45855</v>
      </c>
    </row>
    <row r="365" spans="9:12" x14ac:dyDescent="0.25">
      <c r="I365" s="21">
        <v>99267986</v>
      </c>
      <c r="J365" s="21" t="s">
        <v>388</v>
      </c>
      <c r="K365" s="20">
        <v>14151000</v>
      </c>
      <c r="L365" s="22">
        <v>45855</v>
      </c>
    </row>
    <row r="366" spans="9:12" x14ac:dyDescent="0.25">
      <c r="I366" s="21">
        <v>99267987</v>
      </c>
      <c r="J366" s="21" t="s">
        <v>388</v>
      </c>
      <c r="K366" s="20">
        <v>14151006.699999999</v>
      </c>
      <c r="L366" s="22">
        <v>45883</v>
      </c>
    </row>
    <row r="367" spans="9:12" x14ac:dyDescent="0.25">
      <c r="I367" s="21">
        <v>99267988</v>
      </c>
      <c r="J367" s="21" t="s">
        <v>395</v>
      </c>
      <c r="K367" s="20">
        <v>5184738.5999999996</v>
      </c>
      <c r="L367" s="22">
        <v>45855</v>
      </c>
    </row>
    <row r="368" spans="9:12" x14ac:dyDescent="0.25">
      <c r="I368" s="21">
        <v>99267989</v>
      </c>
      <c r="J368" s="21" t="s">
        <v>429</v>
      </c>
      <c r="K368" s="20">
        <v>5185488</v>
      </c>
      <c r="L368" s="22">
        <v>45856</v>
      </c>
    </row>
    <row r="369" spans="9:12" x14ac:dyDescent="0.25">
      <c r="I369">
        <v>99267990</v>
      </c>
      <c r="J369" s="21" t="s">
        <v>430</v>
      </c>
      <c r="K369" s="50">
        <v>20600000</v>
      </c>
      <c r="L369" s="22">
        <v>45856</v>
      </c>
    </row>
    <row r="370" spans="9:12" x14ac:dyDescent="0.25">
      <c r="I370">
        <v>99267991</v>
      </c>
      <c r="J370" s="21" t="s">
        <v>430</v>
      </c>
      <c r="K370" s="50">
        <v>20638835.039999999</v>
      </c>
      <c r="L370" s="22">
        <v>45887</v>
      </c>
    </row>
    <row r="371" spans="9:12" x14ac:dyDescent="0.25">
      <c r="I371" s="21">
        <v>99267992</v>
      </c>
      <c r="J371" s="21" t="s">
        <v>73</v>
      </c>
      <c r="K371" s="20">
        <v>27973381.93</v>
      </c>
      <c r="L371" s="22">
        <v>45863</v>
      </c>
    </row>
    <row r="372" spans="9:12" x14ac:dyDescent="0.25">
      <c r="I372" s="21">
        <v>99267993</v>
      </c>
      <c r="J372" s="21" t="s">
        <v>429</v>
      </c>
      <c r="K372" s="20">
        <v>5053820.8</v>
      </c>
      <c r="L372" s="22">
        <v>45862</v>
      </c>
    </row>
    <row r="373" spans="9:12" x14ac:dyDescent="0.25">
      <c r="I373" s="21">
        <v>99267994</v>
      </c>
      <c r="J373" s="21" t="s">
        <v>29</v>
      </c>
      <c r="K373" s="20">
        <v>5119219.0599999996</v>
      </c>
      <c r="L373" s="22">
        <v>45862</v>
      </c>
    </row>
    <row r="374" spans="9:12" x14ac:dyDescent="0.25">
      <c r="I374" s="21">
        <v>99267995</v>
      </c>
      <c r="J374" s="21" t="s">
        <v>87</v>
      </c>
      <c r="K374" s="20">
        <v>28975178.550000001</v>
      </c>
      <c r="L374" s="22">
        <v>45863</v>
      </c>
    </row>
    <row r="375" spans="9:12" x14ac:dyDescent="0.25">
      <c r="I375" s="21">
        <v>99267996</v>
      </c>
      <c r="J375" s="21" t="s">
        <v>86</v>
      </c>
      <c r="K375" s="20">
        <v>9488463.3900000006</v>
      </c>
      <c r="L375" s="22">
        <v>45862</v>
      </c>
    </row>
    <row r="376" spans="9:12" x14ac:dyDescent="0.25">
      <c r="I376" s="21">
        <v>99267997</v>
      </c>
      <c r="J376" s="21" t="s">
        <v>389</v>
      </c>
      <c r="K376" s="20">
        <v>7141080.5</v>
      </c>
      <c r="L376" s="22">
        <v>45862</v>
      </c>
    </row>
    <row r="377" spans="9:12" x14ac:dyDescent="0.25">
      <c r="I377" s="21">
        <v>99267998</v>
      </c>
      <c r="J377" s="21" t="s">
        <v>373</v>
      </c>
      <c r="K377" s="20">
        <v>13866484.949999999</v>
      </c>
      <c r="L377" s="22">
        <v>45863</v>
      </c>
    </row>
    <row r="378" spans="9:12" x14ac:dyDescent="0.25">
      <c r="I378" s="21">
        <v>55259931</v>
      </c>
      <c r="J378" s="21" t="s">
        <v>88</v>
      </c>
      <c r="K378" s="20">
        <v>707769.95</v>
      </c>
      <c r="L378" s="22">
        <v>45867</v>
      </c>
    </row>
    <row r="379" spans="9:12" x14ac:dyDescent="0.25">
      <c r="I379" s="21">
        <v>99267999</v>
      </c>
      <c r="J379" s="21" t="s">
        <v>386</v>
      </c>
      <c r="K379" s="20">
        <v>755267.5</v>
      </c>
      <c r="L379" s="22">
        <v>45868</v>
      </c>
    </row>
    <row r="380" spans="9:12" x14ac:dyDescent="0.25">
      <c r="I380" s="21">
        <v>99268000</v>
      </c>
      <c r="J380" s="21" t="s">
        <v>386</v>
      </c>
      <c r="K380" s="20">
        <v>500000</v>
      </c>
      <c r="L380" s="22">
        <v>45868</v>
      </c>
    </row>
    <row r="381" spans="9:12" x14ac:dyDescent="0.25">
      <c r="I381" s="21">
        <v>99268001</v>
      </c>
      <c r="J381" s="21" t="s">
        <v>386</v>
      </c>
      <c r="K381" s="20">
        <v>500000</v>
      </c>
      <c r="L381" s="22">
        <v>45868</v>
      </c>
    </row>
    <row r="382" spans="9:12" x14ac:dyDescent="0.25">
      <c r="I382" s="21">
        <v>99268002</v>
      </c>
      <c r="J382" s="21" t="s">
        <v>386</v>
      </c>
      <c r="K382" s="20">
        <v>500000</v>
      </c>
      <c r="L382" s="22">
        <v>45868</v>
      </c>
    </row>
    <row r="383" spans="9:12" x14ac:dyDescent="0.25">
      <c r="I383" s="21">
        <v>99268003</v>
      </c>
      <c r="J383" s="21" t="s">
        <v>386</v>
      </c>
      <c r="K383" s="20">
        <v>500000</v>
      </c>
      <c r="L383" s="22">
        <v>45868</v>
      </c>
    </row>
    <row r="384" spans="9:12" x14ac:dyDescent="0.25">
      <c r="I384" s="21">
        <v>99268004</v>
      </c>
      <c r="J384" s="21" t="s">
        <v>386</v>
      </c>
      <c r="K384" s="20">
        <v>3800732.5</v>
      </c>
      <c r="L384" s="22">
        <v>45869</v>
      </c>
    </row>
    <row r="385" spans="9:12" x14ac:dyDescent="0.25">
      <c r="I385" s="21">
        <v>99268005</v>
      </c>
      <c r="J385" s="21" t="s">
        <v>352</v>
      </c>
      <c r="K385" s="20">
        <v>6653108.2699999996</v>
      </c>
      <c r="L385" s="22">
        <v>45868</v>
      </c>
    </row>
    <row r="386" spans="9:12" x14ac:dyDescent="0.25">
      <c r="I386" s="21">
        <v>99268006</v>
      </c>
      <c r="J386" s="21" t="s">
        <v>368</v>
      </c>
      <c r="K386" s="20">
        <v>26856312</v>
      </c>
      <c r="L386" s="22">
        <v>45868</v>
      </c>
    </row>
    <row r="387" spans="9:12" x14ac:dyDescent="0.25">
      <c r="I387" s="21">
        <v>99268007</v>
      </c>
      <c r="J387" s="21" t="s">
        <v>368</v>
      </c>
      <c r="K387" s="20">
        <v>9975201</v>
      </c>
      <c r="L387" s="22">
        <v>45898</v>
      </c>
    </row>
    <row r="388" spans="9:12" x14ac:dyDescent="0.25">
      <c r="I388" s="21">
        <v>99268008</v>
      </c>
      <c r="J388" s="21" t="s">
        <v>368</v>
      </c>
      <c r="K388" s="20">
        <v>9975201</v>
      </c>
      <c r="L388" s="22">
        <v>45929</v>
      </c>
    </row>
    <row r="389" spans="9:12" x14ac:dyDescent="0.25">
      <c r="I389" s="21">
        <v>99268009</v>
      </c>
      <c r="J389" s="21" t="s">
        <v>368</v>
      </c>
      <c r="K389" s="20">
        <v>9975201</v>
      </c>
      <c r="L389" s="22">
        <v>45959</v>
      </c>
    </row>
    <row r="390" spans="9:12" x14ac:dyDescent="0.25">
      <c r="I390" s="21">
        <v>99268010</v>
      </c>
      <c r="J390" s="21" t="s">
        <v>368</v>
      </c>
      <c r="K390" s="20">
        <v>9975201</v>
      </c>
      <c r="L390" s="22">
        <v>45989</v>
      </c>
    </row>
    <row r="391" spans="9:12" x14ac:dyDescent="0.25">
      <c r="I391" s="21">
        <v>99268011</v>
      </c>
      <c r="J391" s="21" t="s">
        <v>368</v>
      </c>
      <c r="K391" s="20">
        <v>9975204</v>
      </c>
      <c r="L391" s="22">
        <v>46020</v>
      </c>
    </row>
    <row r="392" spans="9:12" x14ac:dyDescent="0.25">
      <c r="I392" s="21">
        <v>99268012</v>
      </c>
      <c r="J392" s="21" t="s">
        <v>70</v>
      </c>
      <c r="K392" s="20">
        <v>11344245.85</v>
      </c>
      <c r="L392" s="22">
        <v>45868</v>
      </c>
    </row>
    <row r="393" spans="9:12" x14ac:dyDescent="0.25">
      <c r="I393" s="21">
        <v>99268013</v>
      </c>
      <c r="J393" s="21" t="s">
        <v>431</v>
      </c>
      <c r="K393" s="20">
        <v>1250000</v>
      </c>
      <c r="L393" s="22">
        <v>45868</v>
      </c>
    </row>
    <row r="394" spans="9:12" x14ac:dyDescent="0.25">
      <c r="I394" s="21">
        <v>99268014</v>
      </c>
      <c r="J394" s="21" t="s">
        <v>431</v>
      </c>
      <c r="K394" s="20">
        <v>1250000</v>
      </c>
      <c r="L394" s="22">
        <v>45882</v>
      </c>
    </row>
    <row r="395" spans="9:12" x14ac:dyDescent="0.25">
      <c r="I395" s="21">
        <v>99268015</v>
      </c>
      <c r="J395" s="21" t="s">
        <v>431</v>
      </c>
      <c r="K395" s="20">
        <v>1250000</v>
      </c>
      <c r="L395" s="22">
        <v>45912</v>
      </c>
    </row>
    <row r="396" spans="9:12" x14ac:dyDescent="0.25">
      <c r="I396" s="21">
        <v>99268016</v>
      </c>
      <c r="J396" s="21" t="s">
        <v>431</v>
      </c>
      <c r="K396" s="20">
        <v>1359984.13</v>
      </c>
      <c r="L396" s="22">
        <v>45943</v>
      </c>
    </row>
    <row r="397" spans="9:12" x14ac:dyDescent="0.25">
      <c r="I397" s="21">
        <v>99268017</v>
      </c>
      <c r="J397" s="21" t="s">
        <v>90</v>
      </c>
      <c r="K397" s="20">
        <v>5014440.7300000004</v>
      </c>
      <c r="L397" s="22">
        <v>45868</v>
      </c>
    </row>
    <row r="398" spans="9:12" x14ac:dyDescent="0.25">
      <c r="I398" s="21">
        <v>99268018</v>
      </c>
      <c r="J398" s="21" t="s">
        <v>381</v>
      </c>
      <c r="K398" s="20">
        <v>4430486.68</v>
      </c>
      <c r="L398" s="22">
        <v>45868</v>
      </c>
    </row>
    <row r="399" spans="9:12" x14ac:dyDescent="0.25">
      <c r="I399" s="21">
        <v>99268019</v>
      </c>
      <c r="J399" s="21" t="s">
        <v>432</v>
      </c>
      <c r="K399" s="20">
        <v>7000000</v>
      </c>
      <c r="L399" s="22">
        <v>45894</v>
      </c>
    </row>
    <row r="400" spans="9:12" x14ac:dyDescent="0.25">
      <c r="I400" s="21">
        <v>99268020</v>
      </c>
      <c r="J400" s="21" t="s">
        <v>432</v>
      </c>
      <c r="K400" s="20">
        <v>6403080.1500000004</v>
      </c>
      <c r="L400" s="22">
        <v>45909</v>
      </c>
    </row>
    <row r="401" spans="9:12" x14ac:dyDescent="0.25">
      <c r="I401" s="21">
        <v>99268021</v>
      </c>
      <c r="J401" s="21" t="s">
        <v>431</v>
      </c>
      <c r="K401" s="20">
        <v>6000000</v>
      </c>
      <c r="L401" s="22">
        <v>45875</v>
      </c>
    </row>
    <row r="402" spans="9:12" x14ac:dyDescent="0.25">
      <c r="I402" s="21">
        <v>99268022</v>
      </c>
      <c r="J402" s="21" t="s">
        <v>431</v>
      </c>
      <c r="K402" s="20">
        <v>6000000</v>
      </c>
      <c r="L402" s="22">
        <v>45891</v>
      </c>
    </row>
    <row r="403" spans="9:12" x14ac:dyDescent="0.25">
      <c r="I403" s="21">
        <v>99268023</v>
      </c>
      <c r="J403" s="21" t="s">
        <v>431</v>
      </c>
      <c r="K403" s="20">
        <v>6000000</v>
      </c>
      <c r="L403" s="22">
        <v>45922</v>
      </c>
    </row>
    <row r="404" spans="9:12" x14ac:dyDescent="0.25">
      <c r="I404" s="21">
        <v>99268024</v>
      </c>
      <c r="J404" s="21" t="s">
        <v>431</v>
      </c>
      <c r="K404" s="20">
        <v>6000000</v>
      </c>
      <c r="L404" s="22">
        <v>45952</v>
      </c>
    </row>
    <row r="405" spans="9:12" x14ac:dyDescent="0.25">
      <c r="I405" s="21">
        <v>99268025</v>
      </c>
      <c r="J405" s="21" t="s">
        <v>431</v>
      </c>
      <c r="K405" s="20">
        <v>6473570.9100000001</v>
      </c>
      <c r="L405" s="22">
        <v>45921</v>
      </c>
    </row>
    <row r="406" spans="9:12" x14ac:dyDescent="0.25">
      <c r="I406" s="21">
        <v>99268026</v>
      </c>
      <c r="J406" s="21" t="s">
        <v>433</v>
      </c>
      <c r="K406" s="20">
        <v>15309835</v>
      </c>
      <c r="L406" s="22">
        <v>45875</v>
      </c>
    </row>
    <row r="407" spans="9:12" x14ac:dyDescent="0.25">
      <c r="I407" s="21">
        <v>99268027</v>
      </c>
      <c r="J407" s="21" t="s">
        <v>33</v>
      </c>
      <c r="K407" s="20">
        <v>5001900.38</v>
      </c>
      <c r="L407" s="22">
        <v>45875</v>
      </c>
    </row>
    <row r="408" spans="9:12" x14ac:dyDescent="0.25">
      <c r="I408" s="21">
        <v>99268028</v>
      </c>
      <c r="J408" s="21" t="s">
        <v>434</v>
      </c>
      <c r="K408" s="20">
        <v>7513475.2000000002</v>
      </c>
      <c r="L408" s="22">
        <v>45875</v>
      </c>
    </row>
    <row r="409" spans="9:12" x14ac:dyDescent="0.25">
      <c r="I409" s="21">
        <v>99268029</v>
      </c>
      <c r="J409" s="21" t="s">
        <v>380</v>
      </c>
      <c r="K409" s="20">
        <v>7775647.7999999998</v>
      </c>
      <c r="L409" s="22">
        <v>45875</v>
      </c>
    </row>
    <row r="410" spans="9:12" x14ac:dyDescent="0.25">
      <c r="I410" s="21">
        <v>99268030</v>
      </c>
      <c r="J410" s="21" t="s">
        <v>435</v>
      </c>
      <c r="K410" s="20">
        <v>5129108.09</v>
      </c>
      <c r="L410" s="22">
        <v>45875</v>
      </c>
    </row>
    <row r="411" spans="9:12" x14ac:dyDescent="0.25">
      <c r="I411" s="21">
        <v>99268031</v>
      </c>
      <c r="J411" s="21" t="s">
        <v>29</v>
      </c>
      <c r="K411" s="20">
        <v>21390534.09</v>
      </c>
      <c r="L411" s="22">
        <v>45875</v>
      </c>
    </row>
    <row r="412" spans="9:12" x14ac:dyDescent="0.25">
      <c r="I412" s="21">
        <v>99268032</v>
      </c>
      <c r="J412" s="21" t="s">
        <v>42</v>
      </c>
      <c r="K412" s="20">
        <v>19237372.899999999</v>
      </c>
      <c r="L412" s="22">
        <v>45875</v>
      </c>
    </row>
    <row r="413" spans="9:12" x14ac:dyDescent="0.25">
      <c r="I413" s="21">
        <v>99268033</v>
      </c>
      <c r="J413" s="21" t="s">
        <v>436</v>
      </c>
      <c r="K413" s="20">
        <v>5106443.4000000004</v>
      </c>
      <c r="L413" s="22">
        <v>45876</v>
      </c>
    </row>
    <row r="414" spans="9:12" x14ac:dyDescent="0.25">
      <c r="I414" s="21">
        <v>99268034</v>
      </c>
      <c r="J414" s="21" t="s">
        <v>395</v>
      </c>
      <c r="K414" s="20">
        <v>10124697.84</v>
      </c>
      <c r="L414" s="22">
        <v>45877</v>
      </c>
    </row>
    <row r="415" spans="9:12" x14ac:dyDescent="0.25">
      <c r="I415" s="21">
        <v>99268035</v>
      </c>
      <c r="J415" s="21" t="s">
        <v>437</v>
      </c>
      <c r="K415" s="20">
        <v>3916157.8</v>
      </c>
      <c r="L415" s="22">
        <v>45877</v>
      </c>
    </row>
    <row r="416" spans="9:12" x14ac:dyDescent="0.25">
      <c r="I416" s="21">
        <v>99268036</v>
      </c>
      <c r="J416" s="21" t="s">
        <v>437</v>
      </c>
      <c r="K416" s="20">
        <v>3731103.9</v>
      </c>
      <c r="L416" s="22">
        <v>45877</v>
      </c>
    </row>
    <row r="417" spans="9:12" x14ac:dyDescent="0.25">
      <c r="I417" s="21">
        <v>99268037</v>
      </c>
      <c r="J417" s="21" t="s">
        <v>437</v>
      </c>
      <c r="K417" s="20">
        <v>10852623.4</v>
      </c>
      <c r="L417" s="22">
        <v>45877</v>
      </c>
    </row>
    <row r="418" spans="9:12" x14ac:dyDescent="0.25">
      <c r="I418" s="21">
        <v>99268038</v>
      </c>
      <c r="J418" s="21" t="s">
        <v>437</v>
      </c>
      <c r="K418" s="20">
        <v>14377463.199999999</v>
      </c>
      <c r="L418" s="22">
        <v>45877</v>
      </c>
    </row>
    <row r="419" spans="9:12" x14ac:dyDescent="0.25">
      <c r="I419" s="21">
        <v>99268039</v>
      </c>
      <c r="J419" s="21" t="s">
        <v>437</v>
      </c>
      <c r="K419" s="20">
        <v>9878343.4000000004</v>
      </c>
      <c r="L419" s="22">
        <v>45877</v>
      </c>
    </row>
    <row r="420" spans="9:12" x14ac:dyDescent="0.25">
      <c r="I420" s="21">
        <v>99268040</v>
      </c>
      <c r="J420" s="21" t="s">
        <v>437</v>
      </c>
      <c r="K420" s="20">
        <v>13298832.15</v>
      </c>
      <c r="L420" s="22">
        <v>45877</v>
      </c>
    </row>
    <row r="421" spans="9:12" x14ac:dyDescent="0.25">
      <c r="I421" s="21">
        <v>99268041</v>
      </c>
      <c r="J421" s="21" t="s">
        <v>437</v>
      </c>
      <c r="K421" s="20">
        <v>32501343.399999999</v>
      </c>
      <c r="L421" s="22">
        <v>45877</v>
      </c>
    </row>
    <row r="422" spans="9:12" x14ac:dyDescent="0.25">
      <c r="I422" s="21">
        <v>99268042</v>
      </c>
      <c r="J422" s="21" t="s">
        <v>437</v>
      </c>
      <c r="K422" s="20">
        <v>24187157.73</v>
      </c>
      <c r="L422" s="22">
        <v>45877</v>
      </c>
    </row>
    <row r="423" spans="9:12" x14ac:dyDescent="0.25">
      <c r="I423" s="21">
        <v>99268043</v>
      </c>
      <c r="J423" s="21" t="s">
        <v>437</v>
      </c>
      <c r="K423" s="20">
        <v>3070103.89</v>
      </c>
      <c r="L423" s="22">
        <v>45877</v>
      </c>
    </row>
    <row r="424" spans="9:12" x14ac:dyDescent="0.25">
      <c r="I424" s="21">
        <v>99268044</v>
      </c>
      <c r="J424" s="21" t="s">
        <v>437</v>
      </c>
      <c r="K424" s="20">
        <v>3445032.76</v>
      </c>
      <c r="L424" s="22">
        <v>45877</v>
      </c>
    </row>
    <row r="425" spans="9:12" x14ac:dyDescent="0.25">
      <c r="I425">
        <v>99268050</v>
      </c>
      <c r="J425" t="s">
        <v>363</v>
      </c>
      <c r="K425" s="50">
        <v>10029844.960000001</v>
      </c>
      <c r="L425" s="3">
        <v>45888</v>
      </c>
    </row>
    <row r="426" spans="9:12" x14ac:dyDescent="0.25">
      <c r="I426">
        <v>99268051</v>
      </c>
      <c r="J426" t="s">
        <v>90</v>
      </c>
      <c r="K426" s="50">
        <v>9687494.7699999996</v>
      </c>
      <c r="L426" s="3">
        <v>45887</v>
      </c>
    </row>
    <row r="427" spans="9:12" x14ac:dyDescent="0.25">
      <c r="I427">
        <v>99268052</v>
      </c>
      <c r="J427" t="s">
        <v>370</v>
      </c>
      <c r="K427" s="50">
        <v>13000000</v>
      </c>
      <c r="L427" s="3">
        <v>45887</v>
      </c>
    </row>
    <row r="428" spans="9:12" x14ac:dyDescent="0.25">
      <c r="I428">
        <v>99268053</v>
      </c>
      <c r="J428" t="s">
        <v>370</v>
      </c>
      <c r="K428" s="50">
        <v>10650317.6</v>
      </c>
      <c r="L428" s="3">
        <v>45888</v>
      </c>
    </row>
    <row r="429" spans="9:12" x14ac:dyDescent="0.25">
      <c r="I429">
        <v>99268054</v>
      </c>
      <c r="J429" t="s">
        <v>406</v>
      </c>
      <c r="K429" s="50">
        <v>5092500</v>
      </c>
      <c r="L429" s="3">
        <v>45887</v>
      </c>
    </row>
    <row r="430" spans="9:12" x14ac:dyDescent="0.25">
      <c r="I430">
        <v>99268055</v>
      </c>
      <c r="J430" t="s">
        <v>366</v>
      </c>
      <c r="K430" s="50">
        <v>13000000</v>
      </c>
      <c r="L430" s="3">
        <v>45887</v>
      </c>
    </row>
    <row r="431" spans="9:12" x14ac:dyDescent="0.25">
      <c r="I431">
        <v>99268056</v>
      </c>
      <c r="J431" t="s">
        <v>366</v>
      </c>
      <c r="K431" s="50">
        <v>10311948.76</v>
      </c>
      <c r="L431" s="3">
        <v>45888</v>
      </c>
    </row>
    <row r="432" spans="9:12" x14ac:dyDescent="0.25">
      <c r="I432">
        <v>99268057</v>
      </c>
      <c r="J432" t="s">
        <v>438</v>
      </c>
      <c r="K432" s="50">
        <v>9747450.3699999992</v>
      </c>
      <c r="L432" s="3">
        <v>45887</v>
      </c>
    </row>
    <row r="433" spans="9:12" x14ac:dyDescent="0.25">
      <c r="I433">
        <v>99268058</v>
      </c>
      <c r="J433" t="s">
        <v>439</v>
      </c>
      <c r="K433" s="50">
        <v>6119714.1299999999</v>
      </c>
      <c r="L433" s="3">
        <v>45887</v>
      </c>
    </row>
    <row r="434" spans="9:12" x14ac:dyDescent="0.25">
      <c r="I434">
        <v>99268045</v>
      </c>
      <c r="J434" t="s">
        <v>440</v>
      </c>
      <c r="K434" s="50">
        <v>2246923.8199999998</v>
      </c>
      <c r="L434" s="3">
        <v>45887</v>
      </c>
    </row>
    <row r="435" spans="9:12" x14ac:dyDescent="0.25">
      <c r="I435">
        <v>99268046</v>
      </c>
      <c r="J435" t="s">
        <v>427</v>
      </c>
      <c r="K435" s="50">
        <v>10375840</v>
      </c>
      <c r="L435" s="3">
        <v>45887</v>
      </c>
    </row>
    <row r="436" spans="9:12" x14ac:dyDescent="0.25">
      <c r="I436">
        <v>99268047</v>
      </c>
      <c r="J436" t="s">
        <v>355</v>
      </c>
      <c r="K436" s="50">
        <v>6845297.75</v>
      </c>
      <c r="L436" s="3">
        <v>45887</v>
      </c>
    </row>
    <row r="437" spans="9:12" x14ac:dyDescent="0.25">
      <c r="I437">
        <v>99268048</v>
      </c>
      <c r="J437" t="s">
        <v>77</v>
      </c>
      <c r="K437" s="50">
        <v>701075.2</v>
      </c>
      <c r="L437" s="3">
        <v>45887</v>
      </c>
    </row>
    <row r="438" spans="9:12" x14ac:dyDescent="0.25">
      <c r="I438">
        <v>99268049</v>
      </c>
      <c r="J438" t="s">
        <v>363</v>
      </c>
      <c r="K438" s="50">
        <v>13000000</v>
      </c>
      <c r="L438" s="3">
        <v>45887</v>
      </c>
    </row>
    <row r="439" spans="9:12" x14ac:dyDescent="0.25">
      <c r="I439">
        <v>99268059</v>
      </c>
      <c r="J439" t="s">
        <v>441</v>
      </c>
      <c r="K439" s="50">
        <v>84500000</v>
      </c>
      <c r="L439" s="3">
        <v>45894</v>
      </c>
    </row>
    <row r="440" spans="9:12" x14ac:dyDescent="0.25">
      <c r="I440">
        <v>99268060</v>
      </c>
      <c r="J440" t="s">
        <v>441</v>
      </c>
      <c r="K440" s="50">
        <v>84500000</v>
      </c>
      <c r="L440" s="3">
        <v>45922</v>
      </c>
    </row>
    <row r="441" spans="9:12" x14ac:dyDescent="0.25">
      <c r="I441">
        <v>99268061</v>
      </c>
      <c r="J441" t="s">
        <v>441</v>
      </c>
      <c r="K441" s="50">
        <v>84719995.150000006</v>
      </c>
      <c r="L441" s="3">
        <v>45951</v>
      </c>
    </row>
    <row r="442" spans="9:12" x14ac:dyDescent="0.25">
      <c r="I442">
        <v>55259932</v>
      </c>
      <c r="J442" t="s">
        <v>25</v>
      </c>
      <c r="K442" s="50">
        <v>2348080</v>
      </c>
      <c r="L442" s="3">
        <v>45883</v>
      </c>
    </row>
    <row r="443" spans="9:12" x14ac:dyDescent="0.25">
      <c r="I443" s="21">
        <v>99268062</v>
      </c>
      <c r="J443" s="21" t="s">
        <v>394</v>
      </c>
      <c r="K443" s="20">
        <v>3518622.05</v>
      </c>
      <c r="L443" s="22">
        <v>45889</v>
      </c>
    </row>
    <row r="444" spans="9:12" x14ac:dyDescent="0.25">
      <c r="I444" s="21">
        <v>99268063</v>
      </c>
      <c r="J444" s="21" t="s">
        <v>366</v>
      </c>
      <c r="K444" s="20">
        <v>14383140.77</v>
      </c>
      <c r="L444" s="22">
        <v>45890</v>
      </c>
    </row>
    <row r="445" spans="9:12" x14ac:dyDescent="0.25">
      <c r="I445" s="21">
        <v>99268064</v>
      </c>
      <c r="J445" s="21" t="s">
        <v>395</v>
      </c>
      <c r="K445" s="20">
        <v>10393699.609999999</v>
      </c>
      <c r="L445" s="22">
        <v>45891</v>
      </c>
    </row>
    <row r="446" spans="9:12" x14ac:dyDescent="0.25">
      <c r="I446" s="21">
        <v>99268065</v>
      </c>
      <c r="J446" s="21" t="s">
        <v>43</v>
      </c>
      <c r="K446" s="20">
        <v>11763997.210000001</v>
      </c>
      <c r="L446" s="22">
        <v>45891</v>
      </c>
    </row>
    <row r="447" spans="9:12" x14ac:dyDescent="0.25">
      <c r="I447" s="21">
        <v>99268066</v>
      </c>
      <c r="J447" s="21" t="s">
        <v>100</v>
      </c>
      <c r="K447" s="20">
        <v>64361992.170000002</v>
      </c>
      <c r="L447" s="22">
        <v>45891</v>
      </c>
    </row>
    <row r="448" spans="9:12" x14ac:dyDescent="0.25">
      <c r="I448" s="21">
        <v>99268067</v>
      </c>
      <c r="J448" s="21" t="s">
        <v>100</v>
      </c>
      <c r="K448" s="20">
        <v>55655894.009999998</v>
      </c>
      <c r="L448" s="22">
        <v>45891</v>
      </c>
    </row>
    <row r="449" spans="9:12" x14ac:dyDescent="0.25">
      <c r="I449">
        <v>99268068</v>
      </c>
      <c r="J449" t="s">
        <v>442</v>
      </c>
      <c r="K449" s="50">
        <v>26565280</v>
      </c>
      <c r="L449" s="22">
        <v>45901</v>
      </c>
    </row>
    <row r="450" spans="9:12" x14ac:dyDescent="0.25">
      <c r="I450" s="21">
        <v>99268069</v>
      </c>
      <c r="J450" s="21" t="s">
        <v>90</v>
      </c>
      <c r="K450" s="20">
        <v>5463593.0099999998</v>
      </c>
      <c r="L450" s="22">
        <v>45904</v>
      </c>
    </row>
    <row r="451" spans="9:12" x14ac:dyDescent="0.25">
      <c r="I451" s="21">
        <v>99268070</v>
      </c>
      <c r="J451" s="21" t="s">
        <v>443</v>
      </c>
      <c r="K451" s="20">
        <v>2444929.46</v>
      </c>
      <c r="L451" s="22">
        <v>45904</v>
      </c>
    </row>
    <row r="452" spans="9:12" x14ac:dyDescent="0.25">
      <c r="I452" s="21">
        <v>99268071</v>
      </c>
      <c r="J452" s="21" t="s">
        <v>36</v>
      </c>
      <c r="K452" s="20">
        <v>3064929.38</v>
      </c>
      <c r="L452" s="22">
        <v>45904</v>
      </c>
    </row>
    <row r="453" spans="9:12" x14ac:dyDescent="0.25">
      <c r="I453" s="21">
        <v>99268072</v>
      </c>
      <c r="J453" s="21" t="s">
        <v>444</v>
      </c>
      <c r="K453" s="20">
        <v>2221533.4</v>
      </c>
      <c r="L453" s="22">
        <v>45904</v>
      </c>
    </row>
    <row r="454" spans="9:12" x14ac:dyDescent="0.25">
      <c r="I454" s="21">
        <v>99268073</v>
      </c>
      <c r="J454" s="21" t="s">
        <v>69</v>
      </c>
      <c r="K454" s="20">
        <v>2621250</v>
      </c>
      <c r="L454" s="22">
        <v>45904</v>
      </c>
    </row>
    <row r="455" spans="9:12" x14ac:dyDescent="0.25">
      <c r="I455" s="21">
        <v>99268074</v>
      </c>
      <c r="J455" s="21" t="s">
        <v>445</v>
      </c>
      <c r="K455" s="20">
        <v>3383589</v>
      </c>
      <c r="L455" s="22">
        <v>45904</v>
      </c>
    </row>
    <row r="456" spans="9:12" x14ac:dyDescent="0.25">
      <c r="I456" s="21">
        <v>99268075</v>
      </c>
      <c r="J456" s="21" t="s">
        <v>446</v>
      </c>
      <c r="K456" s="20">
        <v>1192667.92</v>
      </c>
      <c r="L456" s="22">
        <v>45904</v>
      </c>
    </row>
    <row r="457" spans="9:12" x14ac:dyDescent="0.25">
      <c r="I457" s="21">
        <v>99268076</v>
      </c>
      <c r="J457" s="21" t="s">
        <v>447</v>
      </c>
      <c r="K457" s="20">
        <v>896792.92</v>
      </c>
      <c r="L457" s="22">
        <v>45904</v>
      </c>
    </row>
    <row r="458" spans="9:12" x14ac:dyDescent="0.25">
      <c r="I458" s="21">
        <v>99268077</v>
      </c>
      <c r="J458" s="21" t="s">
        <v>31</v>
      </c>
      <c r="K458" s="20">
        <v>2813572.57</v>
      </c>
      <c r="L458" s="22">
        <v>45904</v>
      </c>
    </row>
    <row r="459" spans="9:12" x14ac:dyDescent="0.25">
      <c r="I459" s="21">
        <v>99268078</v>
      </c>
      <c r="J459" s="21" t="s">
        <v>29</v>
      </c>
      <c r="K459" s="20">
        <v>10895985.27</v>
      </c>
      <c r="L459" s="22">
        <v>45904</v>
      </c>
    </row>
    <row r="460" spans="9:12" x14ac:dyDescent="0.25">
      <c r="I460" s="21">
        <v>99268079</v>
      </c>
      <c r="J460" s="21" t="s">
        <v>448</v>
      </c>
      <c r="K460" s="20">
        <v>2224458.61</v>
      </c>
      <c r="L460" s="22">
        <v>45904</v>
      </c>
    </row>
    <row r="461" spans="9:12" x14ac:dyDescent="0.25">
      <c r="I461" s="21">
        <v>99268080</v>
      </c>
      <c r="J461" s="21" t="s">
        <v>396</v>
      </c>
      <c r="K461" s="20">
        <v>3805442.2</v>
      </c>
      <c r="L461" s="22">
        <v>45904</v>
      </c>
    </row>
    <row r="462" spans="9:12" x14ac:dyDescent="0.25">
      <c r="I462" s="21">
        <v>99268081</v>
      </c>
      <c r="J462" s="21" t="s">
        <v>449</v>
      </c>
      <c r="K462" s="20">
        <v>5795585</v>
      </c>
      <c r="L462" s="22">
        <v>45904</v>
      </c>
    </row>
    <row r="463" spans="9:12" x14ac:dyDescent="0.25">
      <c r="I463" s="21">
        <v>99268082</v>
      </c>
      <c r="J463" s="21" t="s">
        <v>397</v>
      </c>
      <c r="K463" s="20">
        <v>7072700</v>
      </c>
      <c r="L463" s="22">
        <v>45904</v>
      </c>
    </row>
    <row r="464" spans="9:12" x14ac:dyDescent="0.25">
      <c r="I464" s="21">
        <v>99268083</v>
      </c>
      <c r="J464" s="21" t="s">
        <v>17</v>
      </c>
      <c r="K464" s="20">
        <v>5387371.0300000003</v>
      </c>
      <c r="L464" s="22">
        <v>45904</v>
      </c>
    </row>
    <row r="465" spans="9:12" x14ac:dyDescent="0.25">
      <c r="I465" s="21">
        <v>99268084</v>
      </c>
      <c r="J465" s="21" t="s">
        <v>355</v>
      </c>
      <c r="K465" s="20">
        <v>2114996.19</v>
      </c>
      <c r="L465" s="22">
        <v>45904</v>
      </c>
    </row>
    <row r="466" spans="9:12" x14ac:dyDescent="0.25">
      <c r="I466" s="21">
        <v>99268085</v>
      </c>
      <c r="J466" s="21" t="s">
        <v>356</v>
      </c>
      <c r="K466" s="20">
        <v>16032494.83</v>
      </c>
      <c r="L466" s="22">
        <v>45904</v>
      </c>
    </row>
    <row r="467" spans="9:12" x14ac:dyDescent="0.25">
      <c r="I467" s="21">
        <v>99268086</v>
      </c>
      <c r="J467" s="21" t="s">
        <v>450</v>
      </c>
      <c r="K467" s="20">
        <v>3334346.07</v>
      </c>
      <c r="L467" s="22">
        <v>45904</v>
      </c>
    </row>
    <row r="468" spans="9:12" x14ac:dyDescent="0.25">
      <c r="I468" s="21">
        <v>99268087</v>
      </c>
      <c r="J468" s="21" t="s">
        <v>451</v>
      </c>
      <c r="K468" s="20">
        <v>4150343.54</v>
      </c>
      <c r="L468" s="22">
        <v>45904</v>
      </c>
    </row>
    <row r="469" spans="9:12" x14ac:dyDescent="0.25">
      <c r="I469" s="21">
        <v>99268088</v>
      </c>
      <c r="J469" s="21" t="s">
        <v>452</v>
      </c>
      <c r="K469" s="20">
        <v>8099481.5099999998</v>
      </c>
      <c r="L469" s="22">
        <v>45904</v>
      </c>
    </row>
    <row r="470" spans="9:12" x14ac:dyDescent="0.25">
      <c r="I470" s="21">
        <v>99268089</v>
      </c>
      <c r="J470" s="21" t="s">
        <v>358</v>
      </c>
      <c r="K470" s="20">
        <v>42114303</v>
      </c>
      <c r="L470" s="22">
        <v>45904</v>
      </c>
    </row>
    <row r="471" spans="9:12" x14ac:dyDescent="0.25">
      <c r="I471" s="21">
        <v>99268090</v>
      </c>
      <c r="J471" s="21" t="s">
        <v>90</v>
      </c>
      <c r="K471" s="20">
        <v>15449550.880000001</v>
      </c>
      <c r="L471" s="3">
        <v>45906</v>
      </c>
    </row>
    <row r="472" spans="9:12" x14ac:dyDescent="0.25">
      <c r="I472" s="21">
        <v>99268091</v>
      </c>
      <c r="J472" s="21" t="s">
        <v>453</v>
      </c>
      <c r="K472" s="50">
        <v>20028315.030000001</v>
      </c>
      <c r="L472" s="3">
        <v>45909</v>
      </c>
    </row>
    <row r="473" spans="9:12" x14ac:dyDescent="0.25">
      <c r="I473" s="21">
        <v>99268092</v>
      </c>
      <c r="J473" s="21" t="s">
        <v>388</v>
      </c>
      <c r="K473" s="20">
        <v>14000000</v>
      </c>
      <c r="L473" s="22">
        <v>45925</v>
      </c>
    </row>
    <row r="474" spans="9:12" x14ac:dyDescent="0.25">
      <c r="I474" s="21">
        <v>99268093</v>
      </c>
      <c r="J474" s="21" t="s">
        <v>388</v>
      </c>
      <c r="K474" s="20">
        <v>14302006.699999999</v>
      </c>
      <c r="L474" s="22">
        <v>45954</v>
      </c>
    </row>
    <row r="475" spans="9:12" x14ac:dyDescent="0.25">
      <c r="I475" s="21">
        <v>99268094</v>
      </c>
      <c r="J475" s="21" t="s">
        <v>454</v>
      </c>
      <c r="K475" s="20">
        <v>1772365</v>
      </c>
      <c r="L475" s="22">
        <v>45925</v>
      </c>
    </row>
    <row r="476" spans="9:12" x14ac:dyDescent="0.25">
      <c r="I476" s="21">
        <v>99268095</v>
      </c>
      <c r="J476" s="21" t="s">
        <v>454</v>
      </c>
      <c r="K476" s="20">
        <v>1772365</v>
      </c>
      <c r="L476" s="22">
        <v>45954</v>
      </c>
    </row>
    <row r="477" spans="9:12" x14ac:dyDescent="0.25">
      <c r="I477" s="21">
        <v>99268096</v>
      </c>
      <c r="J477" s="21" t="s">
        <v>358</v>
      </c>
      <c r="K477" s="20">
        <v>9159392.5600000005</v>
      </c>
      <c r="L477" s="22">
        <v>45911</v>
      </c>
    </row>
    <row r="478" spans="9:12" x14ac:dyDescent="0.25">
      <c r="I478" s="21">
        <v>99268097</v>
      </c>
      <c r="J478" s="21" t="s">
        <v>447</v>
      </c>
      <c r="K478" s="20">
        <v>1146652.42</v>
      </c>
      <c r="L478" s="22">
        <v>45911</v>
      </c>
    </row>
    <row r="479" spans="9:12" x14ac:dyDescent="0.25">
      <c r="I479" s="21">
        <v>99268098</v>
      </c>
      <c r="J479" s="21" t="s">
        <v>455</v>
      </c>
      <c r="K479" s="20">
        <v>2369318.7999999998</v>
      </c>
      <c r="L479" s="22">
        <v>45911</v>
      </c>
    </row>
    <row r="480" spans="9:12" x14ac:dyDescent="0.25">
      <c r="I480" s="21">
        <v>99268099</v>
      </c>
      <c r="J480" s="21" t="s">
        <v>355</v>
      </c>
      <c r="K480" s="20">
        <v>11093785.289999999</v>
      </c>
      <c r="L480" s="22">
        <v>45911</v>
      </c>
    </row>
    <row r="481" spans="9:12" x14ac:dyDescent="0.25">
      <c r="I481" s="21">
        <v>99268100</v>
      </c>
      <c r="J481" s="21" t="s">
        <v>384</v>
      </c>
      <c r="K481" s="20">
        <v>13093370.630000001</v>
      </c>
      <c r="L481" s="22">
        <v>45911</v>
      </c>
    </row>
    <row r="482" spans="9:12" x14ac:dyDescent="0.25">
      <c r="I482" s="21">
        <v>99268101</v>
      </c>
      <c r="J482" s="21" t="s">
        <v>87</v>
      </c>
      <c r="K482" s="20">
        <v>10257930.810000001</v>
      </c>
      <c r="L482" s="22">
        <v>45911</v>
      </c>
    </row>
    <row r="483" spans="9:12" x14ac:dyDescent="0.25">
      <c r="I483" s="21">
        <v>99268102</v>
      </c>
      <c r="J483" s="21" t="s">
        <v>376</v>
      </c>
      <c r="K483" s="20">
        <v>16928269.079999998</v>
      </c>
      <c r="L483" s="22">
        <v>45911</v>
      </c>
    </row>
    <row r="484" spans="9:12" x14ac:dyDescent="0.25">
      <c r="I484" s="21">
        <v>99268103</v>
      </c>
      <c r="J484" s="21" t="s">
        <v>356</v>
      </c>
      <c r="K484" s="20">
        <v>3212579.88</v>
      </c>
      <c r="L484" s="22">
        <v>45911</v>
      </c>
    </row>
    <row r="485" spans="9:12" x14ac:dyDescent="0.25">
      <c r="I485" s="21">
        <v>99268104</v>
      </c>
      <c r="J485" s="21" t="s">
        <v>426</v>
      </c>
      <c r="K485" s="20">
        <v>6613343.4000000004</v>
      </c>
      <c r="L485" s="22">
        <v>45911</v>
      </c>
    </row>
    <row r="486" spans="9:12" x14ac:dyDescent="0.25">
      <c r="I486" s="21">
        <v>99268105</v>
      </c>
      <c r="J486" s="21" t="s">
        <v>427</v>
      </c>
      <c r="K486" s="20">
        <v>11977920</v>
      </c>
      <c r="L486" s="22">
        <v>45911</v>
      </c>
    </row>
    <row r="487" spans="9:12" x14ac:dyDescent="0.25">
      <c r="I487" s="21">
        <v>99268106</v>
      </c>
      <c r="J487" s="21" t="s">
        <v>456</v>
      </c>
      <c r="K487" s="20">
        <v>10821200</v>
      </c>
      <c r="L487" s="22">
        <v>45911</v>
      </c>
    </row>
    <row r="488" spans="9:12" x14ac:dyDescent="0.25">
      <c r="I488" s="21">
        <v>99268107</v>
      </c>
      <c r="J488" s="21" t="s">
        <v>444</v>
      </c>
      <c r="K488" s="20">
        <v>4377035.9000000004</v>
      </c>
      <c r="L488" s="22">
        <v>45911</v>
      </c>
    </row>
    <row r="489" spans="9:12" x14ac:dyDescent="0.25">
      <c r="I489" s="21">
        <v>99268108</v>
      </c>
      <c r="J489" s="21" t="s">
        <v>457</v>
      </c>
      <c r="K489" s="20">
        <v>20684031.199999999</v>
      </c>
      <c r="L489" s="22">
        <v>45911</v>
      </c>
    </row>
    <row r="490" spans="9:12" x14ac:dyDescent="0.25">
      <c r="I490" s="21">
        <v>99268109</v>
      </c>
      <c r="J490" s="21" t="s">
        <v>395</v>
      </c>
      <c r="K490" s="20">
        <v>8892978.4100000001</v>
      </c>
      <c r="L490" s="22">
        <v>45924</v>
      </c>
    </row>
    <row r="491" spans="9:12" x14ac:dyDescent="0.25">
      <c r="I491" s="21">
        <v>99268110</v>
      </c>
      <c r="J491" s="21" t="s">
        <v>458</v>
      </c>
      <c r="K491" s="20">
        <v>12967659.84</v>
      </c>
      <c r="L491" s="22">
        <v>45925</v>
      </c>
    </row>
    <row r="492" spans="9:12" x14ac:dyDescent="0.25">
      <c r="I492" s="21">
        <v>99268111</v>
      </c>
      <c r="J492" s="21" t="s">
        <v>355</v>
      </c>
      <c r="K492" s="20">
        <v>10997107.810000001</v>
      </c>
      <c r="L492" s="22">
        <v>45925</v>
      </c>
    </row>
    <row r="493" spans="9:12" x14ac:dyDescent="0.25">
      <c r="I493" s="21">
        <v>99268112</v>
      </c>
      <c r="J493" s="21" t="s">
        <v>459</v>
      </c>
      <c r="K493" s="20">
        <v>9098036.5999999996</v>
      </c>
      <c r="L493" s="22">
        <v>45924</v>
      </c>
    </row>
    <row r="494" spans="9:12" x14ac:dyDescent="0.25">
      <c r="I494" s="21">
        <v>99268113</v>
      </c>
      <c r="J494" s="21" t="s">
        <v>69</v>
      </c>
      <c r="K494" s="20">
        <v>17621968.399999999</v>
      </c>
      <c r="L494" s="22">
        <v>45925</v>
      </c>
    </row>
    <row r="495" spans="9:12" x14ac:dyDescent="0.25">
      <c r="I495" s="21">
        <v>99268114</v>
      </c>
      <c r="J495" s="21" t="s">
        <v>40</v>
      </c>
      <c r="K495" s="20">
        <v>3555172.8</v>
      </c>
      <c r="L495" s="22">
        <v>45924</v>
      </c>
    </row>
    <row r="496" spans="9:12" x14ac:dyDescent="0.25">
      <c r="I496" s="21">
        <v>99268115</v>
      </c>
      <c r="J496" s="21" t="s">
        <v>66</v>
      </c>
      <c r="K496" s="20">
        <v>7611407.8099999996</v>
      </c>
      <c r="L496" s="22">
        <v>45924</v>
      </c>
    </row>
    <row r="497" spans="9:12" x14ac:dyDescent="0.25">
      <c r="I497" s="21">
        <v>99268116</v>
      </c>
      <c r="J497" s="21" t="s">
        <v>449</v>
      </c>
      <c r="K497" s="20">
        <v>6295665</v>
      </c>
      <c r="L497" s="22">
        <v>45924</v>
      </c>
    </row>
    <row r="498" spans="9:12" x14ac:dyDescent="0.25">
      <c r="I498" s="21">
        <v>99268117</v>
      </c>
      <c r="J498" s="21" t="s">
        <v>29</v>
      </c>
      <c r="K498" s="20">
        <v>11536058.84</v>
      </c>
      <c r="L498" s="22">
        <v>45925</v>
      </c>
    </row>
    <row r="499" spans="9:12" x14ac:dyDescent="0.25">
      <c r="I499" s="21">
        <v>99268118</v>
      </c>
      <c r="J499" s="21" t="s">
        <v>42</v>
      </c>
      <c r="K499" s="20">
        <v>13056253.449999999</v>
      </c>
      <c r="L499" s="22">
        <v>45925</v>
      </c>
    </row>
    <row r="500" spans="9:12" x14ac:dyDescent="0.25">
      <c r="I500" s="21">
        <v>99268119</v>
      </c>
      <c r="J500" s="21" t="s">
        <v>370</v>
      </c>
      <c r="K500" s="20">
        <v>38921501</v>
      </c>
      <c r="L500" s="22">
        <v>45925</v>
      </c>
    </row>
    <row r="501" spans="9:12" x14ac:dyDescent="0.25">
      <c r="I501" s="21">
        <v>99268120</v>
      </c>
      <c r="J501" s="21" t="s">
        <v>78</v>
      </c>
      <c r="K501" s="20">
        <v>2325736.2000000002</v>
      </c>
      <c r="L501" s="22">
        <v>45924</v>
      </c>
    </row>
    <row r="502" spans="9:12" x14ac:dyDescent="0.25">
      <c r="I502" s="21">
        <v>99268121</v>
      </c>
      <c r="J502" s="21" t="s">
        <v>85</v>
      </c>
      <c r="K502" s="20">
        <v>2095815.51</v>
      </c>
      <c r="L502" s="22">
        <v>45924</v>
      </c>
    </row>
    <row r="503" spans="9:12" x14ac:dyDescent="0.25">
      <c r="I503" s="21">
        <v>99268122</v>
      </c>
      <c r="J503" s="21" t="s">
        <v>460</v>
      </c>
      <c r="K503" s="20">
        <v>796479.76</v>
      </c>
      <c r="L503" s="22">
        <v>45924</v>
      </c>
    </row>
    <row r="504" spans="9:12" x14ac:dyDescent="0.25">
      <c r="I504" s="21">
        <v>99268123</v>
      </c>
      <c r="J504" s="21" t="s">
        <v>373</v>
      </c>
      <c r="K504" s="20">
        <v>1605257.63</v>
      </c>
      <c r="L504" s="22">
        <v>45924</v>
      </c>
    </row>
    <row r="505" spans="9:12" x14ac:dyDescent="0.25">
      <c r="I505" s="21">
        <v>99268124</v>
      </c>
      <c r="J505" s="21" t="s">
        <v>30</v>
      </c>
      <c r="K505" s="20">
        <v>2702284.84</v>
      </c>
      <c r="L505" s="22">
        <v>45924</v>
      </c>
    </row>
    <row r="506" spans="9:12" x14ac:dyDescent="0.25">
      <c r="I506" s="21">
        <v>99268125</v>
      </c>
      <c r="J506" s="21" t="s">
        <v>389</v>
      </c>
      <c r="K506" s="20">
        <v>6385473.3700000001</v>
      </c>
      <c r="L506" s="22">
        <v>45924</v>
      </c>
    </row>
    <row r="507" spans="9:12" x14ac:dyDescent="0.25">
      <c r="I507" s="21">
        <v>99268126</v>
      </c>
      <c r="J507" s="21" t="s">
        <v>461</v>
      </c>
      <c r="K507" s="20">
        <v>1916033.12</v>
      </c>
      <c r="L507" s="22">
        <v>45924</v>
      </c>
    </row>
    <row r="508" spans="9:12" x14ac:dyDescent="0.25">
      <c r="I508" s="21">
        <v>99268127</v>
      </c>
      <c r="J508" s="21" t="s">
        <v>423</v>
      </c>
      <c r="K508" s="20">
        <v>227088</v>
      </c>
      <c r="L508" s="22">
        <v>45924</v>
      </c>
    </row>
    <row r="509" spans="9:12" x14ac:dyDescent="0.25">
      <c r="I509" s="21">
        <v>99268128</v>
      </c>
      <c r="J509" s="21" t="s">
        <v>462</v>
      </c>
      <c r="K509" s="20">
        <v>337750</v>
      </c>
      <c r="L509" s="22">
        <v>45924</v>
      </c>
    </row>
    <row r="510" spans="9:12" x14ac:dyDescent="0.25">
      <c r="I510" s="21">
        <v>99268129</v>
      </c>
      <c r="J510" s="21" t="s">
        <v>463</v>
      </c>
      <c r="K510" s="20">
        <v>618793.4</v>
      </c>
      <c r="L510" s="22">
        <v>45924</v>
      </c>
    </row>
    <row r="511" spans="9:12" x14ac:dyDescent="0.25">
      <c r="I511" s="21">
        <v>99268130</v>
      </c>
      <c r="J511" s="21" t="s">
        <v>464</v>
      </c>
      <c r="K511" s="20">
        <v>883674.67</v>
      </c>
      <c r="L511" s="22">
        <v>45924</v>
      </c>
    </row>
    <row r="512" spans="9:12" x14ac:dyDescent="0.25">
      <c r="I512" s="21">
        <v>99268131</v>
      </c>
      <c r="J512" s="21" t="s">
        <v>465</v>
      </c>
      <c r="K512" s="20">
        <v>202710.75</v>
      </c>
      <c r="L512" s="22">
        <v>45924</v>
      </c>
    </row>
    <row r="513" spans="9:12" x14ac:dyDescent="0.25">
      <c r="I513" s="21">
        <v>71643623</v>
      </c>
      <c r="J513" s="21" t="s">
        <v>36</v>
      </c>
      <c r="K513" s="20">
        <v>50367.77</v>
      </c>
      <c r="L513" s="22">
        <v>45924</v>
      </c>
    </row>
    <row r="514" spans="9:12" x14ac:dyDescent="0.25">
      <c r="I514" s="21">
        <v>71643624</v>
      </c>
      <c r="J514" s="21" t="s">
        <v>176</v>
      </c>
      <c r="K514" s="20">
        <v>571591.31000000006</v>
      </c>
      <c r="L514" s="22">
        <v>45924</v>
      </c>
    </row>
    <row r="515" spans="9:12" x14ac:dyDescent="0.25">
      <c r="I515" s="21">
        <v>71643625</v>
      </c>
      <c r="J515" s="21" t="s">
        <v>466</v>
      </c>
      <c r="K515" s="20">
        <v>21329453.890000001</v>
      </c>
      <c r="L515" s="22">
        <v>45925</v>
      </c>
    </row>
    <row r="516" spans="9:12" x14ac:dyDescent="0.25">
      <c r="I516" s="21">
        <v>71643626</v>
      </c>
      <c r="J516" s="21" t="s">
        <v>467</v>
      </c>
      <c r="K516" s="20">
        <v>46533892.469999999</v>
      </c>
      <c r="L516" s="22">
        <v>45925</v>
      </c>
    </row>
    <row r="517" spans="9:12" x14ac:dyDescent="0.25">
      <c r="I517" s="21">
        <v>71643627</v>
      </c>
      <c r="J517" s="21" t="s">
        <v>468</v>
      </c>
      <c r="K517" s="20">
        <v>31942660.050000001</v>
      </c>
      <c r="L517" s="22">
        <v>45925</v>
      </c>
    </row>
    <row r="518" spans="9:12" x14ac:dyDescent="0.25">
      <c r="I518" s="21">
        <v>71643628</v>
      </c>
      <c r="J518" s="21" t="s">
        <v>81</v>
      </c>
      <c r="K518" s="20">
        <v>15614650.1</v>
      </c>
      <c r="L518" s="22">
        <v>45925</v>
      </c>
    </row>
    <row r="519" spans="9:12" x14ac:dyDescent="0.25">
      <c r="I519" s="21">
        <v>71643629</v>
      </c>
      <c r="J519" s="21" t="s">
        <v>469</v>
      </c>
      <c r="K519" s="20">
        <v>10072624.76</v>
      </c>
      <c r="L519" s="22">
        <v>45925</v>
      </c>
    </row>
    <row r="520" spans="9:12" x14ac:dyDescent="0.25">
      <c r="I520" s="21">
        <v>71643630</v>
      </c>
      <c r="J520" s="21" t="s">
        <v>407</v>
      </c>
      <c r="K520" s="20">
        <v>20285730.100000001</v>
      </c>
      <c r="L520" s="22">
        <v>45925</v>
      </c>
    </row>
    <row r="521" spans="9:12" x14ac:dyDescent="0.25">
      <c r="I521" s="21">
        <v>71643631</v>
      </c>
      <c r="J521" s="21" t="s">
        <v>356</v>
      </c>
      <c r="K521" s="20">
        <v>40927929.329999998</v>
      </c>
      <c r="L521" s="22">
        <v>45925</v>
      </c>
    </row>
    <row r="522" spans="9:12" x14ac:dyDescent="0.25">
      <c r="I522" s="21">
        <v>71643632</v>
      </c>
      <c r="J522" s="21" t="s">
        <v>31</v>
      </c>
      <c r="K522" s="20">
        <v>2251025.98</v>
      </c>
      <c r="L522" s="22">
        <v>45924</v>
      </c>
    </row>
    <row r="523" spans="9:12" x14ac:dyDescent="0.25">
      <c r="I523" s="21">
        <v>71643633</v>
      </c>
      <c r="J523" s="21" t="s">
        <v>25</v>
      </c>
      <c r="K523" s="20">
        <v>2331050</v>
      </c>
      <c r="L523" s="22">
        <v>45912</v>
      </c>
    </row>
    <row r="524" spans="9:12" x14ac:dyDescent="0.25">
      <c r="I524">
        <v>71643634</v>
      </c>
      <c r="J524" t="s">
        <v>358</v>
      </c>
      <c r="K524" s="50">
        <v>14388320.699999999</v>
      </c>
      <c r="L524" s="3">
        <v>45924</v>
      </c>
    </row>
    <row r="525" spans="9:12" x14ac:dyDescent="0.25">
      <c r="I525">
        <v>71643635</v>
      </c>
      <c r="J525" t="s">
        <v>470</v>
      </c>
      <c r="K525" s="50">
        <v>6090000</v>
      </c>
      <c r="L525" s="3">
        <v>45924</v>
      </c>
    </row>
    <row r="526" spans="9:12" x14ac:dyDescent="0.25">
      <c r="I526">
        <v>71643636</v>
      </c>
      <c r="J526" t="s">
        <v>362</v>
      </c>
      <c r="K526" s="50">
        <v>5205557.3</v>
      </c>
      <c r="L526" s="3">
        <v>45924</v>
      </c>
    </row>
    <row r="527" spans="9:12" x14ac:dyDescent="0.25">
      <c r="I527">
        <v>71643637</v>
      </c>
      <c r="J527" t="s">
        <v>362</v>
      </c>
      <c r="K527" s="50">
        <v>12698730</v>
      </c>
      <c r="L527" s="3">
        <v>45964</v>
      </c>
    </row>
    <row r="528" spans="9:12" x14ac:dyDescent="0.25">
      <c r="I528">
        <v>71643638</v>
      </c>
      <c r="J528" t="s">
        <v>362</v>
      </c>
      <c r="K528" s="50">
        <v>12698730</v>
      </c>
      <c r="L528" s="3">
        <v>45993</v>
      </c>
    </row>
    <row r="529" spans="9:12" x14ac:dyDescent="0.25">
      <c r="I529">
        <v>71643639</v>
      </c>
      <c r="J529" t="s">
        <v>362</v>
      </c>
      <c r="K529" s="50">
        <v>12702540</v>
      </c>
      <c r="L529" s="3">
        <v>46024</v>
      </c>
    </row>
    <row r="530" spans="9:12" x14ac:dyDescent="0.25">
      <c r="I530">
        <v>71643640</v>
      </c>
      <c r="J530" t="s">
        <v>355</v>
      </c>
      <c r="K530" s="50">
        <v>18854486.800000001</v>
      </c>
      <c r="L530" s="3">
        <v>45924</v>
      </c>
    </row>
    <row r="531" spans="9:12" x14ac:dyDescent="0.25">
      <c r="I531">
        <v>71643641</v>
      </c>
      <c r="J531" t="s">
        <v>397</v>
      </c>
      <c r="K531" s="50">
        <v>3322246.23</v>
      </c>
      <c r="L531" s="3">
        <v>45924</v>
      </c>
    </row>
    <row r="532" spans="9:12" x14ac:dyDescent="0.25">
      <c r="I532">
        <v>71643642</v>
      </c>
      <c r="J532" t="s">
        <v>365</v>
      </c>
      <c r="K532" s="50">
        <v>4557833.41</v>
      </c>
      <c r="L532" s="3">
        <v>45924</v>
      </c>
    </row>
    <row r="533" spans="9:12" x14ac:dyDescent="0.25">
      <c r="I533">
        <v>71643643</v>
      </c>
      <c r="J533" t="s">
        <v>380</v>
      </c>
      <c r="K533" s="50">
        <v>14147604.34</v>
      </c>
      <c r="L533" s="3">
        <v>45924</v>
      </c>
    </row>
    <row r="534" spans="9:12" x14ac:dyDescent="0.25">
      <c r="I534">
        <v>71643644</v>
      </c>
      <c r="J534" t="s">
        <v>367</v>
      </c>
      <c r="K534" s="50">
        <v>4917989.9000000004</v>
      </c>
      <c r="L534" s="3">
        <v>45924</v>
      </c>
    </row>
    <row r="535" spans="9:12" x14ac:dyDescent="0.25">
      <c r="I535">
        <v>71643645</v>
      </c>
      <c r="J535" t="s">
        <v>396</v>
      </c>
      <c r="K535" s="50">
        <v>3987569.25</v>
      </c>
      <c r="L535" s="3">
        <v>45924</v>
      </c>
    </row>
    <row r="536" spans="9:12" x14ac:dyDescent="0.25">
      <c r="I536">
        <v>71643646</v>
      </c>
      <c r="J536" t="s">
        <v>75</v>
      </c>
      <c r="K536" s="50">
        <v>13419568.699999999</v>
      </c>
      <c r="L536" s="3">
        <v>45924</v>
      </c>
    </row>
    <row r="537" spans="9:12" x14ac:dyDescent="0.25">
      <c r="I537" s="21">
        <v>71643647</v>
      </c>
      <c r="J537" s="21" t="s">
        <v>25</v>
      </c>
      <c r="K537" s="20">
        <v>17902077.329999998</v>
      </c>
      <c r="L537" s="22">
        <v>45925</v>
      </c>
    </row>
    <row r="538" spans="9:12" x14ac:dyDescent="0.25">
      <c r="I538" s="21">
        <v>71643648</v>
      </c>
      <c r="J538" s="21" t="s">
        <v>471</v>
      </c>
      <c r="K538" s="20">
        <v>1165708.1399999999</v>
      </c>
      <c r="L538" s="22">
        <v>45930</v>
      </c>
    </row>
    <row r="539" spans="9:12" x14ac:dyDescent="0.25">
      <c r="I539" s="21">
        <v>71643649</v>
      </c>
      <c r="J539" s="21" t="s">
        <v>472</v>
      </c>
      <c r="K539" s="20">
        <v>9080556.3399999999</v>
      </c>
      <c r="L539" s="22">
        <v>45930</v>
      </c>
    </row>
    <row r="540" spans="9:12" x14ac:dyDescent="0.25">
      <c r="I540" s="21">
        <v>71643650</v>
      </c>
      <c r="J540" s="21" t="s">
        <v>427</v>
      </c>
      <c r="K540" s="20">
        <v>13392000</v>
      </c>
      <c r="L540" s="22">
        <v>45930</v>
      </c>
    </row>
    <row r="541" spans="9:12" x14ac:dyDescent="0.25">
      <c r="I541" s="21">
        <v>71643651</v>
      </c>
      <c r="J541" s="21" t="s">
        <v>415</v>
      </c>
      <c r="K541" s="20">
        <v>4759577.3</v>
      </c>
      <c r="L541" s="22">
        <v>45930</v>
      </c>
    </row>
    <row r="542" spans="9:12" x14ac:dyDescent="0.25">
      <c r="I542" s="21">
        <v>71643652</v>
      </c>
      <c r="J542" s="21" t="s">
        <v>415</v>
      </c>
      <c r="K542" s="20">
        <v>33417000</v>
      </c>
      <c r="L542" s="22">
        <v>46250</v>
      </c>
    </row>
    <row r="543" spans="9:12" x14ac:dyDescent="0.25">
      <c r="I543" s="21">
        <v>71643653</v>
      </c>
      <c r="J543" s="21" t="s">
        <v>355</v>
      </c>
      <c r="K543" s="20">
        <v>7314331.6100000003</v>
      </c>
      <c r="L543" s="22">
        <v>45930</v>
      </c>
    </row>
    <row r="544" spans="9:12" x14ac:dyDescent="0.25">
      <c r="I544" s="21">
        <v>71643654</v>
      </c>
      <c r="J544" s="21" t="s">
        <v>352</v>
      </c>
      <c r="K544" s="20">
        <v>8342833.7199999997</v>
      </c>
      <c r="L544" s="22">
        <v>45930</v>
      </c>
    </row>
    <row r="545" spans="9:12" x14ac:dyDescent="0.25">
      <c r="I545" s="21">
        <v>71643655</v>
      </c>
      <c r="J545" s="21" t="s">
        <v>384</v>
      </c>
      <c r="K545" s="20">
        <v>7913014.54</v>
      </c>
      <c r="L545" s="22">
        <v>45930</v>
      </c>
    </row>
    <row r="546" spans="9:12" x14ac:dyDescent="0.25">
      <c r="I546" s="21">
        <v>71643656</v>
      </c>
      <c r="J546" s="21" t="s">
        <v>395</v>
      </c>
      <c r="K546" s="20">
        <v>5198242.4000000004</v>
      </c>
      <c r="L546" s="22">
        <v>45930</v>
      </c>
    </row>
    <row r="547" spans="9:12" x14ac:dyDescent="0.25">
      <c r="I547" s="21">
        <v>71643657</v>
      </c>
      <c r="J547" s="21" t="s">
        <v>76</v>
      </c>
      <c r="K547" s="20">
        <v>13160485.15</v>
      </c>
      <c r="L547" s="22">
        <v>45930</v>
      </c>
    </row>
    <row r="548" spans="9:12" x14ac:dyDescent="0.25">
      <c r="I548" s="21">
        <v>71643658</v>
      </c>
      <c r="J548" s="21" t="s">
        <v>411</v>
      </c>
      <c r="K548" s="20">
        <v>4625644.08</v>
      </c>
      <c r="L548" s="22">
        <v>45930</v>
      </c>
    </row>
    <row r="549" spans="9:12" x14ac:dyDescent="0.25">
      <c r="I549" s="21">
        <v>71643659</v>
      </c>
      <c r="J549" s="21" t="s">
        <v>473</v>
      </c>
      <c r="K549" s="20">
        <v>19865250</v>
      </c>
      <c r="L549" s="22">
        <v>45930</v>
      </c>
    </row>
    <row r="550" spans="9:12" x14ac:dyDescent="0.25">
      <c r="I550" s="21">
        <v>71643660</v>
      </c>
      <c r="J550" s="21" t="s">
        <v>373</v>
      </c>
      <c r="K550" s="20">
        <v>4322210.7</v>
      </c>
      <c r="L550" s="22">
        <v>45930</v>
      </c>
    </row>
    <row r="551" spans="9:12" x14ac:dyDescent="0.25">
      <c r="I551" s="21">
        <v>71643661</v>
      </c>
      <c r="J551" s="21" t="s">
        <v>30</v>
      </c>
      <c r="K551" s="20">
        <v>4927229.34</v>
      </c>
      <c r="L551" s="22">
        <v>45930</v>
      </c>
    </row>
    <row r="552" spans="9:12" x14ac:dyDescent="0.25">
      <c r="I552" s="21">
        <v>71643662</v>
      </c>
      <c r="J552" s="21" t="s">
        <v>474</v>
      </c>
      <c r="K552" s="20">
        <v>38000000</v>
      </c>
      <c r="L552" s="22">
        <v>45952</v>
      </c>
    </row>
    <row r="553" spans="9:12" x14ac:dyDescent="0.25">
      <c r="I553" s="21">
        <v>71643663</v>
      </c>
      <c r="J553" s="21" t="s">
        <v>474</v>
      </c>
      <c r="K553" s="20">
        <v>38000000</v>
      </c>
      <c r="L553" s="22">
        <v>45985</v>
      </c>
    </row>
    <row r="554" spans="9:12" x14ac:dyDescent="0.25">
      <c r="I554" s="21">
        <v>71643664</v>
      </c>
      <c r="J554" s="21" t="s">
        <v>474</v>
      </c>
      <c r="K554" s="20">
        <v>34890500</v>
      </c>
      <c r="L554" s="22">
        <v>46013</v>
      </c>
    </row>
    <row r="555" spans="9:12" x14ac:dyDescent="0.25">
      <c r="I555" s="21">
        <v>55259933</v>
      </c>
      <c r="J555" s="21" t="s">
        <v>88</v>
      </c>
      <c r="K555" s="20">
        <v>527042.34</v>
      </c>
      <c r="L555" s="22">
        <v>45925</v>
      </c>
    </row>
    <row r="556" spans="9:12" x14ac:dyDescent="0.25">
      <c r="I556" s="21">
        <v>71643665</v>
      </c>
      <c r="J556" s="21" t="s">
        <v>475</v>
      </c>
      <c r="K556" s="20">
        <v>67003.240000000005</v>
      </c>
      <c r="L556" s="22">
        <v>45936</v>
      </c>
    </row>
    <row r="557" spans="9:12" x14ac:dyDescent="0.25">
      <c r="I557" s="21">
        <v>71643666</v>
      </c>
      <c r="J557" s="21" t="s">
        <v>415</v>
      </c>
      <c r="K557" s="20">
        <v>1452655.68</v>
      </c>
      <c r="L557" s="22">
        <v>45937</v>
      </c>
    </row>
    <row r="558" spans="9:12" x14ac:dyDescent="0.25">
      <c r="I558" s="21">
        <v>71643667</v>
      </c>
      <c r="J558" s="21" t="s">
        <v>476</v>
      </c>
      <c r="K558" s="20">
        <v>15218218.75</v>
      </c>
      <c r="L558" s="22">
        <v>45944</v>
      </c>
    </row>
    <row r="559" spans="9:12" x14ac:dyDescent="0.25">
      <c r="I559" s="21">
        <v>71643668</v>
      </c>
      <c r="J559" s="21" t="s">
        <v>43</v>
      </c>
      <c r="K559" s="20">
        <v>4397806.46</v>
      </c>
      <c r="L559" s="22">
        <v>45943</v>
      </c>
    </row>
    <row r="560" spans="9:12" x14ac:dyDescent="0.25">
      <c r="I560" s="21">
        <v>71643669</v>
      </c>
      <c r="J560" s="21" t="s">
        <v>356</v>
      </c>
      <c r="K560" s="20">
        <v>2610070.7599999998</v>
      </c>
      <c r="L560" s="22">
        <v>45943</v>
      </c>
    </row>
    <row r="561" spans="9:12" x14ac:dyDescent="0.25">
      <c r="I561" s="21">
        <v>71643670</v>
      </c>
      <c r="J561" s="21" t="s">
        <v>182</v>
      </c>
      <c r="K561" s="20">
        <v>9591538.4000000004</v>
      </c>
      <c r="L561" s="22">
        <v>45944</v>
      </c>
    </row>
    <row r="562" spans="9:12" x14ac:dyDescent="0.25">
      <c r="I562" s="21">
        <v>71643671</v>
      </c>
      <c r="J562" s="21" t="s">
        <v>29</v>
      </c>
      <c r="K562" s="20">
        <v>12758153.439999999</v>
      </c>
      <c r="L562" s="22">
        <v>45944</v>
      </c>
    </row>
    <row r="563" spans="9:12" x14ac:dyDescent="0.25">
      <c r="I563" s="21">
        <v>71643672</v>
      </c>
      <c r="J563" s="21" t="s">
        <v>362</v>
      </c>
      <c r="K563" s="20">
        <v>9751600</v>
      </c>
      <c r="L563" s="22">
        <v>45943</v>
      </c>
    </row>
    <row r="564" spans="9:12" x14ac:dyDescent="0.25">
      <c r="I564" s="21">
        <v>71643673</v>
      </c>
      <c r="J564" s="21" t="s">
        <v>362</v>
      </c>
      <c r="K564" s="20">
        <v>21531200</v>
      </c>
      <c r="L564" s="22">
        <v>45994</v>
      </c>
    </row>
    <row r="565" spans="9:12" x14ac:dyDescent="0.25">
      <c r="I565" s="21">
        <v>71643674</v>
      </c>
      <c r="J565" s="21" t="s">
        <v>362</v>
      </c>
      <c r="K565" s="20">
        <v>21531200</v>
      </c>
      <c r="L565" s="22">
        <v>46025</v>
      </c>
    </row>
    <row r="566" spans="9:12" x14ac:dyDescent="0.25">
      <c r="I566" s="21">
        <v>71643675</v>
      </c>
      <c r="J566" s="21" t="s">
        <v>362</v>
      </c>
      <c r="K566" s="20">
        <v>21537557.300000001</v>
      </c>
      <c r="L566" s="22">
        <v>46055</v>
      </c>
    </row>
    <row r="567" spans="9:12" x14ac:dyDescent="0.25">
      <c r="I567" s="21">
        <v>71643676</v>
      </c>
      <c r="J567" s="21" t="s">
        <v>90</v>
      </c>
      <c r="K567" s="20">
        <v>5489357.7199999997</v>
      </c>
      <c r="L567" s="22">
        <v>45943</v>
      </c>
    </row>
    <row r="568" spans="9:12" x14ac:dyDescent="0.25">
      <c r="I568" s="21">
        <v>71643677</v>
      </c>
      <c r="J568" s="21" t="s">
        <v>355</v>
      </c>
      <c r="K568" s="20">
        <v>14509574.810000001</v>
      </c>
      <c r="L568" s="22">
        <v>45944</v>
      </c>
    </row>
    <row r="569" spans="9:12" x14ac:dyDescent="0.25">
      <c r="I569" s="21">
        <v>71643678</v>
      </c>
      <c r="J569" s="21" t="s">
        <v>370</v>
      </c>
      <c r="K569" s="20">
        <v>13159083</v>
      </c>
      <c r="L569" s="22">
        <v>45944</v>
      </c>
    </row>
    <row r="570" spans="9:12" x14ac:dyDescent="0.25">
      <c r="I570" s="21">
        <v>71643679</v>
      </c>
      <c r="J570" s="21" t="s">
        <v>66</v>
      </c>
      <c r="K570" s="20">
        <v>5490052.29</v>
      </c>
      <c r="L570" s="22">
        <v>45943</v>
      </c>
    </row>
    <row r="571" spans="9:12" x14ac:dyDescent="0.25">
      <c r="I571" s="21">
        <v>71643680</v>
      </c>
      <c r="J571" s="21" t="s">
        <v>433</v>
      </c>
      <c r="K571" s="20">
        <v>1500000</v>
      </c>
      <c r="L571" s="22">
        <v>45943</v>
      </c>
    </row>
    <row r="572" spans="9:12" x14ac:dyDescent="0.25">
      <c r="I572" s="21">
        <v>71643681</v>
      </c>
      <c r="J572" s="21" t="s">
        <v>433</v>
      </c>
      <c r="K572" s="20">
        <v>1500000</v>
      </c>
      <c r="L572" s="22">
        <v>45964</v>
      </c>
    </row>
    <row r="573" spans="9:12" x14ac:dyDescent="0.25">
      <c r="I573" s="21">
        <v>71643682</v>
      </c>
      <c r="J573" s="21" t="s">
        <v>433</v>
      </c>
      <c r="K573" s="20">
        <v>1402380</v>
      </c>
      <c r="L573" s="22">
        <v>45994</v>
      </c>
    </row>
    <row r="574" spans="9:12" x14ac:dyDescent="0.25">
      <c r="I574" s="21">
        <v>71643683</v>
      </c>
      <c r="J574" s="21" t="s">
        <v>30</v>
      </c>
      <c r="K574" s="20">
        <v>1355769.28</v>
      </c>
      <c r="L574" s="22">
        <v>45943</v>
      </c>
    </row>
    <row r="575" spans="9:12" x14ac:dyDescent="0.25">
      <c r="I575" s="21">
        <v>71643684</v>
      </c>
      <c r="J575" s="21" t="s">
        <v>472</v>
      </c>
      <c r="K575" s="20">
        <v>2781028.55</v>
      </c>
      <c r="L575" s="22">
        <v>45943</v>
      </c>
    </row>
    <row r="576" spans="9:12" x14ac:dyDescent="0.25">
      <c r="I576" s="21">
        <v>71643685</v>
      </c>
      <c r="J576" s="21" t="s">
        <v>446</v>
      </c>
      <c r="K576" s="20">
        <v>2275167.92</v>
      </c>
      <c r="L576" s="22">
        <v>45943</v>
      </c>
    </row>
    <row r="577" spans="9:12" x14ac:dyDescent="0.25">
      <c r="I577" s="21">
        <v>71643686</v>
      </c>
      <c r="J577" s="21" t="s">
        <v>477</v>
      </c>
      <c r="K577" s="20">
        <v>1569917.92</v>
      </c>
      <c r="L577" s="22">
        <v>45943</v>
      </c>
    </row>
    <row r="578" spans="9:12" x14ac:dyDescent="0.25">
      <c r="I578" s="21">
        <v>71643687</v>
      </c>
      <c r="J578" s="21" t="s">
        <v>358</v>
      </c>
      <c r="K578" s="20">
        <v>1761912.41</v>
      </c>
      <c r="L578" s="22">
        <v>45944</v>
      </c>
    </row>
    <row r="579" spans="9:12" x14ac:dyDescent="0.25">
      <c r="I579" s="21">
        <v>55259934</v>
      </c>
      <c r="J579" s="21" t="s">
        <v>25</v>
      </c>
      <c r="K579" s="20">
        <v>2306920</v>
      </c>
      <c r="L579" s="3">
        <v>45944</v>
      </c>
    </row>
    <row r="580" spans="9:12" x14ac:dyDescent="0.25">
      <c r="I580" s="21">
        <v>71643688</v>
      </c>
      <c r="J580" s="21" t="s">
        <v>366</v>
      </c>
      <c r="K580" s="20">
        <v>1370635.2</v>
      </c>
      <c r="L580" s="22">
        <v>45951</v>
      </c>
    </row>
    <row r="581" spans="9:12" x14ac:dyDescent="0.25">
      <c r="I581" s="21">
        <v>71643689</v>
      </c>
      <c r="J581" s="21" t="s">
        <v>363</v>
      </c>
      <c r="K581" s="20">
        <v>1446162.07</v>
      </c>
      <c r="L581" s="22">
        <v>45951</v>
      </c>
    </row>
    <row r="582" spans="9:12" x14ac:dyDescent="0.25">
      <c r="I582" s="21">
        <v>71643690</v>
      </c>
      <c r="J582" s="21" t="s">
        <v>427</v>
      </c>
      <c r="K582" s="20">
        <v>12911220</v>
      </c>
      <c r="L582" s="22">
        <v>45951</v>
      </c>
    </row>
    <row r="583" spans="9:12" x14ac:dyDescent="0.25">
      <c r="I583" s="21">
        <v>71643691</v>
      </c>
      <c r="J583" s="21" t="s">
        <v>355</v>
      </c>
      <c r="K583" s="20">
        <v>10682099.859999999</v>
      </c>
      <c r="L583" s="22">
        <v>45951</v>
      </c>
    </row>
    <row r="584" spans="9:12" x14ac:dyDescent="0.25">
      <c r="I584" s="21">
        <v>71643692</v>
      </c>
      <c r="J584" s="21" t="s">
        <v>370</v>
      </c>
      <c r="K584" s="20">
        <v>13778726.5</v>
      </c>
      <c r="L584" s="22">
        <v>45951</v>
      </c>
    </row>
    <row r="585" spans="9:12" x14ac:dyDescent="0.25">
      <c r="I585" s="21">
        <v>71643693</v>
      </c>
      <c r="J585" s="21" t="s">
        <v>478</v>
      </c>
      <c r="K585" s="20">
        <v>5123366.6399999997</v>
      </c>
      <c r="L585" s="22">
        <v>45951</v>
      </c>
    </row>
    <row r="586" spans="9:12" x14ac:dyDescent="0.25">
      <c r="I586" s="21">
        <v>71643694</v>
      </c>
      <c r="J586" s="21" t="s">
        <v>70</v>
      </c>
      <c r="K586" s="20">
        <v>16021175.33</v>
      </c>
      <c r="L586" s="22">
        <v>45951</v>
      </c>
    </row>
    <row r="587" spans="9:12" x14ac:dyDescent="0.25">
      <c r="I587" s="21">
        <v>71643695</v>
      </c>
      <c r="J587" s="21" t="s">
        <v>395</v>
      </c>
      <c r="K587" s="20">
        <v>5411985.3700000001</v>
      </c>
      <c r="L587" s="22">
        <v>45951</v>
      </c>
    </row>
    <row r="588" spans="9:12" x14ac:dyDescent="0.25">
      <c r="I588" s="21">
        <v>71643696</v>
      </c>
      <c r="J588" s="21" t="s">
        <v>367</v>
      </c>
      <c r="K588" s="20">
        <v>12469973.4</v>
      </c>
      <c r="L588" s="22">
        <v>45951</v>
      </c>
    </row>
    <row r="589" spans="9:12" x14ac:dyDescent="0.25">
      <c r="I589" s="21">
        <v>71643697</v>
      </c>
      <c r="J589" s="21" t="s">
        <v>459</v>
      </c>
      <c r="K589" s="20">
        <v>12222417.300000001</v>
      </c>
      <c r="L589" s="22">
        <v>45951</v>
      </c>
    </row>
    <row r="590" spans="9:12" x14ac:dyDescent="0.25">
      <c r="I590" s="21">
        <v>71643698</v>
      </c>
      <c r="J590" s="21" t="s">
        <v>365</v>
      </c>
      <c r="K590" s="20">
        <v>3717881.54</v>
      </c>
      <c r="L590" s="22">
        <v>45951</v>
      </c>
    </row>
    <row r="591" spans="9:12" x14ac:dyDescent="0.25">
      <c r="I591" s="21">
        <v>71643699</v>
      </c>
      <c r="J591" s="21" t="s">
        <v>388</v>
      </c>
      <c r="K591" s="20">
        <v>11606980</v>
      </c>
      <c r="L591" s="22">
        <v>45951</v>
      </c>
    </row>
    <row r="592" spans="9:12" x14ac:dyDescent="0.25">
      <c r="I592" s="21">
        <v>71643700</v>
      </c>
      <c r="J592" s="21" t="s">
        <v>390</v>
      </c>
      <c r="K592" s="20">
        <v>856061.16</v>
      </c>
      <c r="L592" s="22">
        <v>45951</v>
      </c>
    </row>
    <row r="593" spans="9:12" x14ac:dyDescent="0.25">
      <c r="I593">
        <v>71643701</v>
      </c>
      <c r="J593" t="s">
        <v>479</v>
      </c>
      <c r="K593" s="50">
        <v>7322290.7699999996</v>
      </c>
      <c r="L593" s="3">
        <v>45953</v>
      </c>
    </row>
    <row r="594" spans="9:12" x14ac:dyDescent="0.25">
      <c r="I594">
        <v>71643702</v>
      </c>
      <c r="J594" t="s">
        <v>480</v>
      </c>
      <c r="K594" s="50">
        <v>3052364.37</v>
      </c>
      <c r="L594" s="3">
        <v>45954</v>
      </c>
    </row>
    <row r="595" spans="9:12" x14ac:dyDescent="0.25">
      <c r="I595">
        <v>71643703</v>
      </c>
      <c r="J595" t="s">
        <v>396</v>
      </c>
      <c r="K595" s="50">
        <v>3966900</v>
      </c>
      <c r="L595" s="3">
        <v>45954</v>
      </c>
    </row>
    <row r="596" spans="9:12" x14ac:dyDescent="0.25">
      <c r="I596">
        <v>71643704</v>
      </c>
      <c r="J596" t="s">
        <v>400</v>
      </c>
      <c r="K596" s="50">
        <v>2657580.58</v>
      </c>
      <c r="L596" s="3">
        <v>45954</v>
      </c>
    </row>
    <row r="597" spans="9:12" x14ac:dyDescent="0.25">
      <c r="I597">
        <v>71643705</v>
      </c>
      <c r="J597" t="s">
        <v>373</v>
      </c>
      <c r="K597" s="50">
        <v>9204561.5199999996</v>
      </c>
      <c r="L597" s="3">
        <v>45958</v>
      </c>
    </row>
    <row r="598" spans="9:12" x14ac:dyDescent="0.25">
      <c r="I598">
        <v>71643706</v>
      </c>
      <c r="J598" t="s">
        <v>355</v>
      </c>
      <c r="K598" s="50">
        <v>11172959.609999999</v>
      </c>
      <c r="L598" s="3">
        <v>45958</v>
      </c>
    </row>
    <row r="599" spans="9:12" x14ac:dyDescent="0.25">
      <c r="I599">
        <v>71643707</v>
      </c>
      <c r="J599" t="s">
        <v>29</v>
      </c>
      <c r="K599" s="50">
        <v>15849952.220000001</v>
      </c>
      <c r="L599" s="3">
        <v>45958</v>
      </c>
    </row>
    <row r="600" spans="9:12" x14ac:dyDescent="0.25">
      <c r="I600">
        <v>71643708</v>
      </c>
      <c r="J600" t="s">
        <v>481</v>
      </c>
      <c r="K600" s="50">
        <v>14341343.4</v>
      </c>
      <c r="L600" s="3">
        <v>45958</v>
      </c>
    </row>
    <row r="601" spans="9:12" x14ac:dyDescent="0.25">
      <c r="I601">
        <v>71643709</v>
      </c>
      <c r="J601" t="s">
        <v>389</v>
      </c>
      <c r="K601" s="50">
        <v>15911878.42</v>
      </c>
      <c r="L601" s="3">
        <v>45958</v>
      </c>
    </row>
    <row r="602" spans="9:12" x14ac:dyDescent="0.25">
      <c r="I602" s="21">
        <v>71643701</v>
      </c>
      <c r="J602" s="21" t="s">
        <v>479</v>
      </c>
      <c r="K602" s="20">
        <v>7322290.7699999996</v>
      </c>
      <c r="L602" s="22">
        <v>45953</v>
      </c>
    </row>
    <row r="603" spans="9:12" x14ac:dyDescent="0.25">
      <c r="I603" s="21">
        <v>71643710</v>
      </c>
      <c r="J603" s="21" t="s">
        <v>356</v>
      </c>
      <c r="K603" s="20">
        <v>1687141.31</v>
      </c>
      <c r="L603" s="22">
        <v>45959</v>
      </c>
    </row>
    <row r="604" spans="9:12" x14ac:dyDescent="0.25">
      <c r="I604" s="21">
        <v>71643711</v>
      </c>
      <c r="J604" s="21" t="s">
        <v>362</v>
      </c>
      <c r="K604" s="20">
        <v>146425386.83000001</v>
      </c>
      <c r="L604" s="22">
        <v>45978</v>
      </c>
    </row>
    <row r="605" spans="9:12" x14ac:dyDescent="0.25">
      <c r="I605" s="21">
        <v>71643712</v>
      </c>
      <c r="J605" s="21" t="s">
        <v>38</v>
      </c>
      <c r="K605" s="20">
        <v>9150975</v>
      </c>
      <c r="L605" s="22">
        <v>45961</v>
      </c>
    </row>
    <row r="606" spans="9:12" x14ac:dyDescent="0.25">
      <c r="I606" s="21">
        <v>71643713</v>
      </c>
      <c r="J606" s="21" t="s">
        <v>38</v>
      </c>
      <c r="K606" s="20">
        <v>3775368.4</v>
      </c>
      <c r="L606" s="22">
        <v>45961</v>
      </c>
    </row>
    <row r="607" spans="9:12" x14ac:dyDescent="0.25">
      <c r="I607" s="21">
        <v>71643711</v>
      </c>
      <c r="J607" s="21" t="s">
        <v>362</v>
      </c>
      <c r="K607" s="20">
        <v>146425386.83000001</v>
      </c>
      <c r="L607" s="22">
        <v>45978</v>
      </c>
    </row>
    <row r="608" spans="9:12" x14ac:dyDescent="0.25">
      <c r="I608" s="21">
        <v>71643712</v>
      </c>
      <c r="J608" s="21" t="s">
        <v>38</v>
      </c>
      <c r="K608" s="20">
        <v>9150975</v>
      </c>
      <c r="L608" s="22">
        <v>45961</v>
      </c>
    </row>
    <row r="609" spans="9:12" x14ac:dyDescent="0.25">
      <c r="I609" s="21">
        <v>71643713</v>
      </c>
      <c r="J609" s="21" t="s">
        <v>38</v>
      </c>
      <c r="K609" s="20">
        <v>3775368.4</v>
      </c>
      <c r="L609" s="22">
        <v>45961</v>
      </c>
    </row>
    <row r="610" spans="9:12" x14ac:dyDescent="0.25">
      <c r="I610">
        <v>71643714</v>
      </c>
      <c r="J610" t="s">
        <v>415</v>
      </c>
      <c r="K610" s="50">
        <v>9568804</v>
      </c>
      <c r="L610" s="3">
        <v>45988</v>
      </c>
    </row>
    <row r="611" spans="9:12" x14ac:dyDescent="0.25">
      <c r="I611">
        <v>71643715</v>
      </c>
      <c r="J611" t="s">
        <v>415</v>
      </c>
      <c r="K611" s="50">
        <v>9568804</v>
      </c>
      <c r="L611" s="3">
        <v>46018</v>
      </c>
    </row>
    <row r="612" spans="9:12" x14ac:dyDescent="0.25">
      <c r="I612">
        <v>71643716</v>
      </c>
      <c r="J612" t="s">
        <v>415</v>
      </c>
      <c r="K612" s="50">
        <v>9568804</v>
      </c>
      <c r="L612" s="3">
        <v>46048</v>
      </c>
    </row>
    <row r="613" spans="9:12" x14ac:dyDescent="0.25">
      <c r="I613">
        <v>71643717</v>
      </c>
      <c r="J613" t="s">
        <v>415</v>
      </c>
      <c r="K613" s="50">
        <v>2988804</v>
      </c>
      <c r="L613" s="3">
        <v>46072</v>
      </c>
    </row>
    <row r="614" spans="9:12" x14ac:dyDescent="0.25">
      <c r="I614">
        <v>71643718</v>
      </c>
      <c r="J614" t="s">
        <v>415</v>
      </c>
      <c r="K614" s="50">
        <v>2988804</v>
      </c>
      <c r="L614" s="3">
        <v>46102</v>
      </c>
    </row>
    <row r="615" spans="9:12" x14ac:dyDescent="0.25">
      <c r="I615">
        <v>71643719</v>
      </c>
      <c r="J615" t="s">
        <v>415</v>
      </c>
      <c r="K615" s="50">
        <v>2988804</v>
      </c>
      <c r="L615" s="3">
        <v>46132</v>
      </c>
    </row>
    <row r="616" spans="9:12" x14ac:dyDescent="0.25">
      <c r="I616">
        <v>71643720</v>
      </c>
      <c r="J616" t="s">
        <v>415</v>
      </c>
      <c r="K616" s="50">
        <v>2988804</v>
      </c>
      <c r="L616" s="3">
        <v>46162</v>
      </c>
    </row>
    <row r="617" spans="9:12" x14ac:dyDescent="0.25">
      <c r="I617">
        <v>71643721</v>
      </c>
      <c r="J617" t="s">
        <v>415</v>
      </c>
      <c r="K617" s="50">
        <v>2988804</v>
      </c>
      <c r="L617" s="3">
        <v>46192</v>
      </c>
    </row>
    <row r="618" spans="9:12" x14ac:dyDescent="0.25">
      <c r="I618">
        <v>71643723</v>
      </c>
      <c r="J618" t="s">
        <v>415</v>
      </c>
      <c r="K618" s="50">
        <v>2988804</v>
      </c>
      <c r="L618" s="3">
        <v>46252</v>
      </c>
    </row>
    <row r="619" spans="9:12" x14ac:dyDescent="0.25">
      <c r="I619">
        <v>71643722</v>
      </c>
      <c r="J619" t="s">
        <v>415</v>
      </c>
      <c r="K619" s="50">
        <v>2988804</v>
      </c>
      <c r="L619" s="3">
        <v>46222</v>
      </c>
    </row>
    <row r="620" spans="9:12" x14ac:dyDescent="0.25">
      <c r="I620">
        <v>71643724</v>
      </c>
      <c r="J620" t="s">
        <v>482</v>
      </c>
      <c r="K620" s="50">
        <v>23722448.780000001</v>
      </c>
      <c r="L620" s="3">
        <v>45981</v>
      </c>
    </row>
    <row r="621" spans="9:12" x14ac:dyDescent="0.25">
      <c r="I621">
        <v>71643725</v>
      </c>
      <c r="J621" t="s">
        <v>482</v>
      </c>
      <c r="K621" s="50">
        <v>23722448.77</v>
      </c>
      <c r="L621" s="3">
        <v>46007</v>
      </c>
    </row>
    <row r="622" spans="9:12" x14ac:dyDescent="0.25">
      <c r="I622" s="21">
        <v>71643726</v>
      </c>
      <c r="J622" s="21" t="s">
        <v>256</v>
      </c>
      <c r="K622" s="20">
        <v>2280123.44</v>
      </c>
      <c r="L622" s="22">
        <v>45974</v>
      </c>
    </row>
    <row r="623" spans="9:12" x14ac:dyDescent="0.25">
      <c r="I623" s="21">
        <v>71643727</v>
      </c>
      <c r="J623" s="21" t="s">
        <v>182</v>
      </c>
      <c r="K623" s="20">
        <v>17031649.27</v>
      </c>
      <c r="L623" s="22">
        <v>45971</v>
      </c>
    </row>
    <row r="624" spans="9:12" x14ac:dyDescent="0.25">
      <c r="I624">
        <v>71643728</v>
      </c>
      <c r="J624" t="s">
        <v>362</v>
      </c>
      <c r="K624" s="50">
        <v>3057997.89</v>
      </c>
      <c r="L624" s="22">
        <v>45978</v>
      </c>
    </row>
    <row r="625" spans="9:12" x14ac:dyDescent="0.25">
      <c r="I625">
        <v>71643729</v>
      </c>
      <c r="J625" t="s">
        <v>361</v>
      </c>
      <c r="K625" s="50">
        <v>159381.16</v>
      </c>
      <c r="L625" s="22">
        <v>45978</v>
      </c>
    </row>
    <row r="626" spans="9:12" x14ac:dyDescent="0.25">
      <c r="I626">
        <v>55259935</v>
      </c>
      <c r="J626" t="s">
        <v>25</v>
      </c>
      <c r="K626" s="50">
        <v>2247700</v>
      </c>
      <c r="L626" s="22">
        <v>45975</v>
      </c>
    </row>
    <row r="627" spans="9:12" x14ac:dyDescent="0.25">
      <c r="I627">
        <v>71643730</v>
      </c>
      <c r="J627" t="s">
        <v>483</v>
      </c>
      <c r="K627" s="50">
        <v>24125704.809999999</v>
      </c>
      <c r="L627" s="3">
        <v>45979</v>
      </c>
    </row>
    <row r="628" spans="9:12" x14ac:dyDescent="0.25">
      <c r="I628" s="21">
        <v>71643731</v>
      </c>
      <c r="J628" s="21" t="s">
        <v>362</v>
      </c>
      <c r="K628" s="20">
        <v>1306800.6399999999</v>
      </c>
      <c r="L628" s="22">
        <v>45993</v>
      </c>
    </row>
    <row r="629" spans="9:12" x14ac:dyDescent="0.25">
      <c r="I629" s="21">
        <v>71643732</v>
      </c>
      <c r="J629" s="21" t="s">
        <v>368</v>
      </c>
      <c r="K629" s="20">
        <v>565518.26</v>
      </c>
      <c r="L629" s="22">
        <v>45993</v>
      </c>
    </row>
    <row r="630" spans="9:12" x14ac:dyDescent="0.25">
      <c r="I630" s="21">
        <v>71643733</v>
      </c>
      <c r="J630" s="21" t="s">
        <v>388</v>
      </c>
      <c r="K630" s="20">
        <v>13708856</v>
      </c>
      <c r="L630" s="22">
        <v>46011</v>
      </c>
    </row>
    <row r="631" spans="9:12" x14ac:dyDescent="0.25">
      <c r="I631" s="21">
        <v>71643734</v>
      </c>
      <c r="J631" s="21" t="s">
        <v>388</v>
      </c>
      <c r="K631" s="20">
        <v>13708858.4</v>
      </c>
      <c r="L631" s="22">
        <v>46042</v>
      </c>
    </row>
    <row r="632" spans="9:12" x14ac:dyDescent="0.25">
      <c r="I632" s="21">
        <v>71643735</v>
      </c>
      <c r="J632" s="21" t="s">
        <v>405</v>
      </c>
      <c r="K632" s="20">
        <v>10854080</v>
      </c>
      <c r="L632" s="22">
        <v>45992</v>
      </c>
    </row>
    <row r="633" spans="9:12" x14ac:dyDescent="0.25">
      <c r="I633" s="21">
        <v>71643736</v>
      </c>
      <c r="J633" s="21" t="s">
        <v>90</v>
      </c>
      <c r="K633" s="20">
        <v>13122088.98</v>
      </c>
      <c r="L633" s="22">
        <v>45995</v>
      </c>
    </row>
    <row r="634" spans="9:12" x14ac:dyDescent="0.25">
      <c r="I634" s="21">
        <v>71643737</v>
      </c>
      <c r="J634" s="21" t="s">
        <v>448</v>
      </c>
      <c r="K634" s="20">
        <v>3150447.03</v>
      </c>
      <c r="L634" s="22">
        <v>45995</v>
      </c>
    </row>
    <row r="635" spans="9:12" x14ac:dyDescent="0.25">
      <c r="I635" s="21">
        <v>71643738</v>
      </c>
      <c r="J635" s="21" t="s">
        <v>75</v>
      </c>
      <c r="K635" s="20">
        <v>9407710</v>
      </c>
      <c r="L635" s="22">
        <v>45995</v>
      </c>
    </row>
    <row r="636" spans="9:12" x14ac:dyDescent="0.25">
      <c r="I636" s="21">
        <v>71643739</v>
      </c>
      <c r="J636" s="21" t="s">
        <v>34</v>
      </c>
      <c r="K636" s="20">
        <v>5836601.75</v>
      </c>
      <c r="L636" s="22">
        <v>45995</v>
      </c>
    </row>
    <row r="637" spans="9:12" x14ac:dyDescent="0.25">
      <c r="I637" s="21">
        <v>71643740</v>
      </c>
      <c r="J637" s="21" t="s">
        <v>74</v>
      </c>
      <c r="K637" s="20">
        <v>3134648.4</v>
      </c>
      <c r="L637" s="22">
        <v>45995</v>
      </c>
    </row>
    <row r="638" spans="9:12" x14ac:dyDescent="0.25">
      <c r="I638" s="21">
        <v>71643741</v>
      </c>
      <c r="J638" s="21" t="s">
        <v>482</v>
      </c>
      <c r="K638" s="20">
        <v>51547400.469999999</v>
      </c>
      <c r="L638" s="22">
        <v>45995</v>
      </c>
    </row>
    <row r="639" spans="9:12" x14ac:dyDescent="0.25">
      <c r="I639" s="21">
        <v>71643742</v>
      </c>
      <c r="J639" s="21" t="s">
        <v>390</v>
      </c>
      <c r="K639" s="20">
        <v>22985617.550000001</v>
      </c>
      <c r="L639" s="22">
        <v>45995</v>
      </c>
    </row>
    <row r="640" spans="9:12" x14ac:dyDescent="0.25">
      <c r="I640" s="21">
        <v>71643743</v>
      </c>
      <c r="J640" s="21" t="s">
        <v>395</v>
      </c>
      <c r="K640" s="20">
        <v>13354560.810000001</v>
      </c>
      <c r="L640" s="22">
        <v>45995</v>
      </c>
    </row>
    <row r="641" spans="9:12" x14ac:dyDescent="0.25">
      <c r="I641" s="21">
        <v>71643744</v>
      </c>
      <c r="J641" s="21" t="s">
        <v>355</v>
      </c>
      <c r="K641" s="20">
        <v>15910957.390000001</v>
      </c>
      <c r="L641" s="22">
        <v>45995</v>
      </c>
    </row>
    <row r="642" spans="9:12" x14ac:dyDescent="0.25">
      <c r="I642" s="21">
        <v>55259936</v>
      </c>
      <c r="J642" s="21" t="s">
        <v>484</v>
      </c>
      <c r="K642" s="50">
        <v>0</v>
      </c>
      <c r="L642" s="22">
        <v>45990</v>
      </c>
    </row>
    <row r="643" spans="9:12" x14ac:dyDescent="0.25">
      <c r="I643" s="21">
        <v>55259937</v>
      </c>
      <c r="J643" s="21" t="s">
        <v>484</v>
      </c>
      <c r="K643" s="20">
        <v>990656.6</v>
      </c>
      <c r="L643" s="22">
        <v>45990</v>
      </c>
    </row>
    <row r="644" spans="9:12" x14ac:dyDescent="0.25">
      <c r="I644" s="21">
        <v>71643745</v>
      </c>
      <c r="J644" s="21" t="s">
        <v>485</v>
      </c>
      <c r="K644" s="20">
        <v>216930098</v>
      </c>
      <c r="L644" s="22">
        <v>46021</v>
      </c>
    </row>
    <row r="645" spans="9:12" x14ac:dyDescent="0.25">
      <c r="I645" s="21">
        <v>71643746</v>
      </c>
      <c r="J645" s="21" t="s">
        <v>89</v>
      </c>
      <c r="K645" s="20">
        <v>4102027.25</v>
      </c>
      <c r="L645" s="22">
        <v>46001</v>
      </c>
    </row>
    <row r="646" spans="9:12" x14ac:dyDescent="0.25">
      <c r="I646" s="21">
        <v>71643747</v>
      </c>
      <c r="J646" s="21" t="s">
        <v>358</v>
      </c>
      <c r="K646" s="20">
        <v>1480951.57</v>
      </c>
      <c r="L646" s="22">
        <v>46001</v>
      </c>
    </row>
    <row r="647" spans="9:12" x14ac:dyDescent="0.25">
      <c r="I647" s="21">
        <v>71643748</v>
      </c>
      <c r="J647" s="21" t="s">
        <v>412</v>
      </c>
      <c r="K647" s="20">
        <v>889394.37</v>
      </c>
      <c r="L647" s="22">
        <v>46001</v>
      </c>
    </row>
    <row r="648" spans="9:12" x14ac:dyDescent="0.25">
      <c r="I648" s="21">
        <v>71643749</v>
      </c>
      <c r="J648" s="21" t="s">
        <v>370</v>
      </c>
      <c r="K648" s="20">
        <v>3842872.12</v>
      </c>
      <c r="L648" s="22">
        <v>46002</v>
      </c>
    </row>
    <row r="649" spans="9:12" x14ac:dyDescent="0.25">
      <c r="I649" s="21">
        <v>71643750</v>
      </c>
      <c r="J649" s="21" t="s">
        <v>486</v>
      </c>
      <c r="K649" s="20">
        <v>15177651.970000001</v>
      </c>
      <c r="L649" s="22">
        <v>46001</v>
      </c>
    </row>
    <row r="650" spans="9:12" x14ac:dyDescent="0.25">
      <c r="I650" s="21">
        <v>71643751</v>
      </c>
      <c r="J650" s="21" t="s">
        <v>487</v>
      </c>
      <c r="K650" s="20">
        <v>3120386.12</v>
      </c>
      <c r="L650" s="22">
        <v>46007</v>
      </c>
    </row>
    <row r="651" spans="9:12" x14ac:dyDescent="0.25">
      <c r="I651" s="21">
        <v>71643752</v>
      </c>
      <c r="J651" s="21" t="s">
        <v>71</v>
      </c>
      <c r="K651" s="20">
        <v>8446427.3800000008</v>
      </c>
      <c r="L651" s="22">
        <v>46007</v>
      </c>
    </row>
    <row r="652" spans="9:12" x14ac:dyDescent="0.25">
      <c r="I652" s="21">
        <v>71643753</v>
      </c>
      <c r="J652" s="21" t="s">
        <v>355</v>
      </c>
      <c r="K652" s="20">
        <v>19670321.640000001</v>
      </c>
      <c r="L652" s="22">
        <v>46008</v>
      </c>
    </row>
    <row r="653" spans="9:12" x14ac:dyDescent="0.25">
      <c r="I653" s="21">
        <v>71643754</v>
      </c>
      <c r="J653" s="21" t="s">
        <v>371</v>
      </c>
      <c r="K653" s="20">
        <v>4100000</v>
      </c>
      <c r="L653" s="22">
        <v>46007</v>
      </c>
    </row>
    <row r="654" spans="9:12" x14ac:dyDescent="0.25">
      <c r="I654" s="21">
        <v>71643755</v>
      </c>
      <c r="J654" s="21" t="s">
        <v>239</v>
      </c>
      <c r="K654" s="20">
        <v>2242043.4</v>
      </c>
      <c r="L654" s="22">
        <v>46007</v>
      </c>
    </row>
    <row r="655" spans="9:12" x14ac:dyDescent="0.25">
      <c r="I655" s="21">
        <v>71643756</v>
      </c>
      <c r="J655" s="21" t="s">
        <v>367</v>
      </c>
      <c r="K655" s="20">
        <v>40643510.850000001</v>
      </c>
      <c r="L655" s="22">
        <v>46008</v>
      </c>
    </row>
    <row r="656" spans="9:12" x14ac:dyDescent="0.25">
      <c r="I656" s="21">
        <v>71643757</v>
      </c>
      <c r="J656" s="21" t="s">
        <v>454</v>
      </c>
      <c r="K656" s="20">
        <v>30337580</v>
      </c>
      <c r="L656" s="22">
        <v>46008</v>
      </c>
    </row>
    <row r="657" spans="9:12" x14ac:dyDescent="0.25">
      <c r="I657" s="21">
        <v>71643758</v>
      </c>
      <c r="J657" s="21" t="s">
        <v>87</v>
      </c>
      <c r="K657" s="20">
        <v>11954092.41</v>
      </c>
      <c r="L657" s="22">
        <v>46007</v>
      </c>
    </row>
    <row r="658" spans="9:12" x14ac:dyDescent="0.25">
      <c r="I658" s="21">
        <v>71643759</v>
      </c>
      <c r="J658" s="21" t="s">
        <v>488</v>
      </c>
      <c r="K658" s="20">
        <v>3170420.66</v>
      </c>
      <c r="L658" s="22">
        <v>46007</v>
      </c>
    </row>
    <row r="659" spans="9:12" x14ac:dyDescent="0.25">
      <c r="I659" s="21">
        <v>71643760</v>
      </c>
      <c r="J659" s="21" t="s">
        <v>396</v>
      </c>
      <c r="K659" s="20">
        <v>4279380</v>
      </c>
      <c r="L659" s="22">
        <v>46007</v>
      </c>
    </row>
    <row r="660" spans="9:12" x14ac:dyDescent="0.25">
      <c r="I660" s="21">
        <v>71643761</v>
      </c>
      <c r="J660" s="21" t="s">
        <v>390</v>
      </c>
      <c r="K660" s="20">
        <v>5647532.0999999996</v>
      </c>
      <c r="L660" s="22">
        <v>46008</v>
      </c>
    </row>
    <row r="661" spans="9:12" x14ac:dyDescent="0.25">
      <c r="I661" s="21">
        <v>71643762</v>
      </c>
      <c r="J661" s="21" t="s">
        <v>38</v>
      </c>
      <c r="K661" s="20">
        <v>14351243.039999999</v>
      </c>
      <c r="L661" s="22">
        <v>46009</v>
      </c>
    </row>
    <row r="662" spans="9:12" x14ac:dyDescent="0.25">
      <c r="I662" s="21">
        <v>71643763</v>
      </c>
      <c r="J662" s="21" t="s">
        <v>368</v>
      </c>
      <c r="K662" s="20">
        <v>13998347.470000001</v>
      </c>
      <c r="L662" s="22">
        <v>46009</v>
      </c>
    </row>
    <row r="663" spans="9:12" x14ac:dyDescent="0.25">
      <c r="I663" s="21">
        <v>71643764</v>
      </c>
      <c r="J663" s="21" t="s">
        <v>401</v>
      </c>
      <c r="K663" s="20">
        <v>49656623.700000003</v>
      </c>
      <c r="L663" s="22">
        <v>46031</v>
      </c>
    </row>
    <row r="664" spans="9:12" x14ac:dyDescent="0.25">
      <c r="I664" s="21">
        <v>55259938</v>
      </c>
      <c r="J664" s="21" t="s">
        <v>88</v>
      </c>
      <c r="K664" s="20">
        <v>534755.98</v>
      </c>
      <c r="L664" s="22">
        <v>46001</v>
      </c>
    </row>
    <row r="665" spans="9:12" x14ac:dyDescent="0.25">
      <c r="I665" s="21">
        <v>71643765</v>
      </c>
      <c r="J665" s="21" t="s">
        <v>25</v>
      </c>
      <c r="K665" s="20">
        <v>2281440</v>
      </c>
      <c r="L665" s="22">
        <v>46006</v>
      </c>
    </row>
    <row r="666" spans="9:12" x14ac:dyDescent="0.25">
      <c r="I666" s="21">
        <v>71643766</v>
      </c>
      <c r="J666" s="21" t="s">
        <v>361</v>
      </c>
      <c r="K666" s="20">
        <v>210129487.91999999</v>
      </c>
      <c r="L666" s="22">
        <v>46025</v>
      </c>
    </row>
    <row r="667" spans="9:12" x14ac:dyDescent="0.25">
      <c r="I667" s="21">
        <v>71643767</v>
      </c>
      <c r="J667" s="21" t="s">
        <v>362</v>
      </c>
      <c r="K667" s="20">
        <v>221733994.41</v>
      </c>
      <c r="L667" s="22">
        <v>46034</v>
      </c>
    </row>
    <row r="668" spans="9:12" x14ac:dyDescent="0.25">
      <c r="I668" s="21">
        <v>71643768</v>
      </c>
      <c r="J668" s="21" t="s">
        <v>489</v>
      </c>
      <c r="K668" s="20">
        <v>3767550.31</v>
      </c>
      <c r="L668" s="22">
        <v>46009</v>
      </c>
    </row>
    <row r="669" spans="9:12" x14ac:dyDescent="0.25">
      <c r="I669" s="21">
        <v>71643769</v>
      </c>
      <c r="J669" s="21" t="s">
        <v>355</v>
      </c>
      <c r="K669" s="20">
        <v>8146879.2000000002</v>
      </c>
      <c r="L669" s="22">
        <v>46014</v>
      </c>
    </row>
    <row r="670" spans="9:12" x14ac:dyDescent="0.25">
      <c r="I670" s="21">
        <v>71643770</v>
      </c>
      <c r="J670" s="21" t="s">
        <v>429</v>
      </c>
      <c r="K670" s="20">
        <v>5106931.2</v>
      </c>
      <c r="L670" s="22">
        <v>46014</v>
      </c>
    </row>
    <row r="671" spans="9:12" x14ac:dyDescent="0.25">
      <c r="I671" s="21">
        <v>71643771</v>
      </c>
      <c r="J671" s="21" t="s">
        <v>395</v>
      </c>
      <c r="K671" s="20">
        <v>6382519.4400000004</v>
      </c>
      <c r="L671" s="22">
        <v>46014</v>
      </c>
    </row>
    <row r="672" spans="9:12" x14ac:dyDescent="0.25">
      <c r="I672" s="21">
        <v>71643772</v>
      </c>
      <c r="J672" s="21" t="s">
        <v>366</v>
      </c>
      <c r="K672" s="20">
        <v>3360518.73</v>
      </c>
      <c r="L672" s="22">
        <v>46014</v>
      </c>
    </row>
    <row r="673" spans="9:12" x14ac:dyDescent="0.25">
      <c r="I673" s="21">
        <v>71643773</v>
      </c>
      <c r="J673" s="21" t="s">
        <v>490</v>
      </c>
      <c r="K673" s="20">
        <v>5464081.1200000001</v>
      </c>
      <c r="L673" s="22">
        <v>46014</v>
      </c>
    </row>
    <row r="674" spans="9:12" x14ac:dyDescent="0.25">
      <c r="I674" s="21">
        <v>71643774</v>
      </c>
      <c r="J674" s="21" t="s">
        <v>434</v>
      </c>
      <c r="K674" s="20">
        <v>10016473.6</v>
      </c>
      <c r="L674" s="22">
        <v>46014</v>
      </c>
    </row>
    <row r="675" spans="9:12" x14ac:dyDescent="0.25">
      <c r="I675" s="21">
        <v>71643775</v>
      </c>
      <c r="J675" s="21" t="s">
        <v>68</v>
      </c>
      <c r="K675" s="20">
        <v>2884566.88</v>
      </c>
      <c r="L675" s="22">
        <v>46014</v>
      </c>
    </row>
    <row r="676" spans="9:12" x14ac:dyDescent="0.25">
      <c r="I676" s="21">
        <v>71643776</v>
      </c>
      <c r="J676" s="21" t="s">
        <v>378</v>
      </c>
      <c r="K676" s="20">
        <v>2375583.4</v>
      </c>
      <c r="L676" s="22">
        <v>46030</v>
      </c>
    </row>
    <row r="677" spans="9:12" x14ac:dyDescent="0.25">
      <c r="I677" s="21">
        <v>71643777</v>
      </c>
      <c r="J677" s="21" t="s">
        <v>355</v>
      </c>
      <c r="K677" s="20">
        <v>10000000</v>
      </c>
      <c r="L677" s="22">
        <v>46030</v>
      </c>
    </row>
    <row r="678" spans="9:12" x14ac:dyDescent="0.25">
      <c r="I678" s="21">
        <v>71643778</v>
      </c>
      <c r="J678" s="21" t="s">
        <v>355</v>
      </c>
      <c r="K678" s="20">
        <v>6786855.2000000002</v>
      </c>
      <c r="L678" s="22">
        <v>46031</v>
      </c>
    </row>
    <row r="679" spans="9:12" x14ac:dyDescent="0.25">
      <c r="I679" s="21">
        <v>71643779</v>
      </c>
      <c r="J679" s="21" t="s">
        <v>396</v>
      </c>
      <c r="K679" s="20">
        <v>4865357</v>
      </c>
      <c r="L679" s="22">
        <v>46030</v>
      </c>
    </row>
    <row r="680" spans="9:12" x14ac:dyDescent="0.25">
      <c r="I680" s="21">
        <v>71643780</v>
      </c>
      <c r="J680" s="21" t="s">
        <v>491</v>
      </c>
      <c r="K680" s="20">
        <v>7850998.4000000004</v>
      </c>
      <c r="L680" s="22">
        <v>46030</v>
      </c>
    </row>
    <row r="681" spans="9:12" x14ac:dyDescent="0.25">
      <c r="I681" s="21">
        <v>71643781</v>
      </c>
      <c r="J681" s="21" t="s">
        <v>182</v>
      </c>
      <c r="K681" s="20">
        <v>10000000</v>
      </c>
      <c r="L681" s="22">
        <v>46030</v>
      </c>
    </row>
    <row r="682" spans="9:12" x14ac:dyDescent="0.25">
      <c r="I682" s="21">
        <v>71643782</v>
      </c>
      <c r="J682" s="21" t="s">
        <v>182</v>
      </c>
      <c r="K682" s="20">
        <v>9164943.4000000004</v>
      </c>
      <c r="L682" s="22">
        <v>46031</v>
      </c>
    </row>
    <row r="683" spans="9:12" x14ac:dyDescent="0.25">
      <c r="I683" s="21">
        <v>71643783</v>
      </c>
      <c r="J683" s="21" t="s">
        <v>459</v>
      </c>
      <c r="K683" s="20">
        <v>2300000</v>
      </c>
      <c r="L683" s="22">
        <v>46020</v>
      </c>
    </row>
    <row r="684" spans="9:12" x14ac:dyDescent="0.25">
      <c r="I684" s="21">
        <v>71643784</v>
      </c>
      <c r="J684" s="21" t="s">
        <v>459</v>
      </c>
      <c r="K684" s="20">
        <v>2300000</v>
      </c>
      <c r="L684" s="22">
        <v>46045</v>
      </c>
    </row>
    <row r="685" spans="9:12" x14ac:dyDescent="0.25">
      <c r="I685" s="21">
        <v>71643785</v>
      </c>
      <c r="J685" s="21" t="s">
        <v>459</v>
      </c>
      <c r="K685" s="20">
        <v>2300000</v>
      </c>
      <c r="L685" s="22">
        <v>46076</v>
      </c>
    </row>
    <row r="686" spans="9:12" x14ac:dyDescent="0.25">
      <c r="I686" s="21">
        <v>71643786</v>
      </c>
      <c r="J686" s="21" t="s">
        <v>459</v>
      </c>
      <c r="K686" s="20">
        <v>2307272.65</v>
      </c>
      <c r="L686" s="22">
        <v>46104</v>
      </c>
    </row>
    <row r="687" spans="9:12" x14ac:dyDescent="0.25">
      <c r="I687" s="21">
        <v>71643787</v>
      </c>
      <c r="J687" s="21" t="s">
        <v>363</v>
      </c>
      <c r="K687" s="20">
        <v>10000000</v>
      </c>
      <c r="L687" s="22">
        <v>46030</v>
      </c>
    </row>
    <row r="688" spans="9:12" x14ac:dyDescent="0.25">
      <c r="I688" s="21">
        <v>71643788</v>
      </c>
      <c r="J688" s="21" t="s">
        <v>363</v>
      </c>
      <c r="K688" s="20">
        <v>6047993.9199999999</v>
      </c>
      <c r="L688" s="22">
        <v>46031</v>
      </c>
    </row>
    <row r="689" spans="9:12" x14ac:dyDescent="0.25">
      <c r="I689" s="21">
        <v>71643789</v>
      </c>
      <c r="J689" s="21" t="s">
        <v>395</v>
      </c>
      <c r="K689" s="20">
        <v>5976880.3600000003</v>
      </c>
      <c r="L689" s="22">
        <v>46030</v>
      </c>
    </row>
    <row r="690" spans="9:12" x14ac:dyDescent="0.25">
      <c r="I690" s="21">
        <v>71643790</v>
      </c>
      <c r="J690" s="21" t="s">
        <v>370</v>
      </c>
      <c r="K690" s="20">
        <v>13344069.060000001</v>
      </c>
      <c r="L690" s="22">
        <v>46030</v>
      </c>
    </row>
    <row r="691" spans="9:12" x14ac:dyDescent="0.25">
      <c r="I691" s="21">
        <v>71643791</v>
      </c>
      <c r="J691" s="21" t="s">
        <v>481</v>
      </c>
      <c r="K691" s="20">
        <v>9200000</v>
      </c>
      <c r="L691" s="22">
        <v>46030</v>
      </c>
    </row>
    <row r="692" spans="9:12" x14ac:dyDescent="0.25">
      <c r="I692" s="21">
        <v>71643792</v>
      </c>
      <c r="J692" s="21" t="s">
        <v>374</v>
      </c>
      <c r="K692" s="20">
        <v>4185170.86</v>
      </c>
      <c r="L692" s="22">
        <v>46031</v>
      </c>
    </row>
    <row r="693" spans="9:12" x14ac:dyDescent="0.25">
      <c r="I693" s="21">
        <v>71643793</v>
      </c>
      <c r="J693" s="21" t="s">
        <v>389</v>
      </c>
      <c r="K693" s="20">
        <v>10000000</v>
      </c>
      <c r="L693" s="22">
        <v>46030</v>
      </c>
    </row>
    <row r="694" spans="9:12" x14ac:dyDescent="0.25">
      <c r="I694" s="21">
        <v>71643794</v>
      </c>
      <c r="J694" s="21" t="s">
        <v>389</v>
      </c>
      <c r="K694" s="20">
        <v>8635942.4199999999</v>
      </c>
      <c r="L694" s="22">
        <v>46031</v>
      </c>
    </row>
    <row r="695" spans="9:12" x14ac:dyDescent="0.25">
      <c r="I695" s="21">
        <v>71643795</v>
      </c>
      <c r="J695" s="21" t="s">
        <v>446</v>
      </c>
      <c r="K695" s="20">
        <v>3577500</v>
      </c>
      <c r="L695" s="22">
        <v>46030</v>
      </c>
    </row>
    <row r="696" spans="9:12" x14ac:dyDescent="0.25">
      <c r="I696" s="21">
        <v>71643796</v>
      </c>
      <c r="J696" s="21" t="s">
        <v>358</v>
      </c>
      <c r="K696" s="20">
        <v>10000000</v>
      </c>
      <c r="L696" s="22">
        <v>46030</v>
      </c>
    </row>
    <row r="697" spans="9:12" x14ac:dyDescent="0.25">
      <c r="I697" s="21">
        <v>71643797</v>
      </c>
      <c r="J697" s="21" t="s">
        <v>358</v>
      </c>
      <c r="K697" s="20">
        <v>17129146.699999999</v>
      </c>
      <c r="L697" s="22">
        <v>46031</v>
      </c>
    </row>
    <row r="698" spans="9:12" x14ac:dyDescent="0.25">
      <c r="I698" s="21">
        <v>71643798</v>
      </c>
      <c r="J698" s="21" t="s">
        <v>366</v>
      </c>
      <c r="K698" s="20">
        <v>4872541.9400000004</v>
      </c>
      <c r="L698" s="22">
        <v>46030</v>
      </c>
    </row>
    <row r="699" spans="9:12" x14ac:dyDescent="0.25">
      <c r="I699" s="21">
        <v>71643799</v>
      </c>
      <c r="J699" s="21" t="s">
        <v>367</v>
      </c>
      <c r="K699" s="20">
        <v>1023812.16</v>
      </c>
      <c r="L699" s="22">
        <v>46030</v>
      </c>
    </row>
    <row r="700" spans="9:12" x14ac:dyDescent="0.25">
      <c r="I700" s="21">
        <v>71643800</v>
      </c>
      <c r="J700" s="21" t="s">
        <v>492</v>
      </c>
      <c r="K700" s="20">
        <v>16308386.140000001</v>
      </c>
      <c r="L700" s="22">
        <v>46031</v>
      </c>
    </row>
    <row r="701" spans="9:12" x14ac:dyDescent="0.25">
      <c r="I701" s="21">
        <v>55259939</v>
      </c>
      <c r="J701" s="21" t="s">
        <v>105</v>
      </c>
      <c r="K701" s="20">
        <v>295880</v>
      </c>
      <c r="L701" s="22">
        <v>46017</v>
      </c>
    </row>
    <row r="702" spans="9:12" x14ac:dyDescent="0.25">
      <c r="I702" s="21">
        <v>71643801</v>
      </c>
      <c r="J702" s="21" t="s">
        <v>87</v>
      </c>
      <c r="K702" s="20">
        <v>13000000</v>
      </c>
      <c r="L702" s="22">
        <v>46034</v>
      </c>
    </row>
    <row r="703" spans="9:12" x14ac:dyDescent="0.25">
      <c r="I703" s="21">
        <v>71643802</v>
      </c>
      <c r="J703" s="21" t="s">
        <v>87</v>
      </c>
      <c r="K703" s="20">
        <v>10800000</v>
      </c>
      <c r="L703" s="22">
        <v>46035</v>
      </c>
    </row>
    <row r="704" spans="9:12" x14ac:dyDescent="0.25">
      <c r="I704" s="21">
        <v>71643803</v>
      </c>
      <c r="J704" s="21" t="s">
        <v>73</v>
      </c>
      <c r="K704" s="20">
        <v>12106160.800000001</v>
      </c>
      <c r="L704" s="22">
        <v>46035</v>
      </c>
    </row>
    <row r="705" spans="9:12" x14ac:dyDescent="0.25">
      <c r="I705" s="21">
        <v>71643804</v>
      </c>
      <c r="J705" s="21" t="s">
        <v>363</v>
      </c>
      <c r="K705" s="20">
        <v>4258478.47</v>
      </c>
      <c r="L705" s="22">
        <v>46034</v>
      </c>
    </row>
    <row r="706" spans="9:12" x14ac:dyDescent="0.25">
      <c r="I706" s="21">
        <v>71643805</v>
      </c>
      <c r="J706" s="21" t="s">
        <v>29</v>
      </c>
      <c r="K706" s="20">
        <v>10000000</v>
      </c>
      <c r="L706" s="22">
        <v>46034</v>
      </c>
    </row>
    <row r="707" spans="9:12" x14ac:dyDescent="0.25">
      <c r="I707" s="21">
        <v>71643806</v>
      </c>
      <c r="J707" s="21" t="s">
        <v>29</v>
      </c>
      <c r="K707" s="20">
        <v>5720378.7000000002</v>
      </c>
      <c r="L707" s="22">
        <v>46035</v>
      </c>
    </row>
    <row r="708" spans="9:12" x14ac:dyDescent="0.25">
      <c r="I708" s="21">
        <v>71643807</v>
      </c>
      <c r="J708" s="21" t="s">
        <v>240</v>
      </c>
      <c r="K708" s="20">
        <v>0</v>
      </c>
      <c r="L708" s="22">
        <v>46034</v>
      </c>
    </row>
    <row r="709" spans="9:12" x14ac:dyDescent="0.25">
      <c r="I709" s="21">
        <v>71643808</v>
      </c>
      <c r="J709" s="21" t="s">
        <v>38</v>
      </c>
      <c r="K709" s="20">
        <v>4860000</v>
      </c>
      <c r="L709" s="22">
        <v>46034</v>
      </c>
    </row>
    <row r="710" spans="9:12" x14ac:dyDescent="0.25">
      <c r="I710" s="21">
        <v>71643809</v>
      </c>
      <c r="J710" s="21" t="s">
        <v>370</v>
      </c>
      <c r="K710" s="20">
        <v>10000000</v>
      </c>
      <c r="L710" s="22">
        <v>46034</v>
      </c>
    </row>
    <row r="711" spans="9:12" x14ac:dyDescent="0.25">
      <c r="I711" s="21">
        <v>71643810</v>
      </c>
      <c r="J711" s="21" t="s">
        <v>370</v>
      </c>
      <c r="K711" s="20">
        <v>6388943</v>
      </c>
      <c r="L711" s="22">
        <v>46035</v>
      </c>
    </row>
    <row r="712" spans="9:12" x14ac:dyDescent="0.25">
      <c r="I712" s="21">
        <v>71643811</v>
      </c>
      <c r="J712" s="21" t="s">
        <v>355</v>
      </c>
      <c r="K712" s="20">
        <v>8420023.1999999993</v>
      </c>
      <c r="L712" s="22">
        <v>46035</v>
      </c>
    </row>
    <row r="713" spans="9:12" x14ac:dyDescent="0.25">
      <c r="I713" s="21">
        <v>71643812</v>
      </c>
      <c r="J713" s="21" t="s">
        <v>377</v>
      </c>
      <c r="K713" s="20">
        <v>7800000</v>
      </c>
      <c r="L713" s="22">
        <v>46034</v>
      </c>
    </row>
    <row r="714" spans="9:12" x14ac:dyDescent="0.25">
      <c r="I714" s="21">
        <v>71643813</v>
      </c>
      <c r="J714" s="21" t="s">
        <v>377</v>
      </c>
      <c r="K714" s="20">
        <v>7800000</v>
      </c>
      <c r="L714" s="22">
        <v>46055</v>
      </c>
    </row>
    <row r="715" spans="9:12" x14ac:dyDescent="0.25">
      <c r="I715" s="21">
        <v>71643814</v>
      </c>
      <c r="J715" s="21" t="s">
        <v>377</v>
      </c>
      <c r="K715" s="20">
        <v>7800000</v>
      </c>
      <c r="L715" s="22">
        <v>46083</v>
      </c>
    </row>
    <row r="716" spans="9:12" x14ac:dyDescent="0.25">
      <c r="I716" s="21">
        <v>71643815</v>
      </c>
      <c r="J716" s="21" t="s">
        <v>377</v>
      </c>
      <c r="K716" s="20">
        <v>7802392.0099999998</v>
      </c>
      <c r="L716" s="22">
        <v>46114</v>
      </c>
    </row>
    <row r="717" spans="9:12" x14ac:dyDescent="0.25">
      <c r="I717" s="21">
        <v>71643816</v>
      </c>
      <c r="J717" s="21" t="s">
        <v>38</v>
      </c>
      <c r="K717" s="20">
        <v>7051343.4000000004</v>
      </c>
      <c r="L717" s="22">
        <v>46035</v>
      </c>
    </row>
    <row r="718" spans="9:12" x14ac:dyDescent="0.25">
      <c r="I718" s="21">
        <v>71643817</v>
      </c>
      <c r="J718" s="21" t="s">
        <v>87</v>
      </c>
      <c r="K718" s="20">
        <v>11639358.98</v>
      </c>
      <c r="L718" s="22">
        <v>46035</v>
      </c>
    </row>
    <row r="719" spans="9:12" x14ac:dyDescent="0.25">
      <c r="I719" s="21">
        <v>71643818</v>
      </c>
      <c r="J719" s="21" t="s">
        <v>408</v>
      </c>
      <c r="K719" s="20">
        <v>16189900</v>
      </c>
      <c r="L719" s="22">
        <v>46035</v>
      </c>
    </row>
    <row r="720" spans="9:12" x14ac:dyDescent="0.25">
      <c r="I720" s="21">
        <v>71643819</v>
      </c>
      <c r="J720" s="21" t="s">
        <v>493</v>
      </c>
      <c r="K720" s="20">
        <v>2736000</v>
      </c>
      <c r="L720" s="22">
        <v>46035</v>
      </c>
    </row>
    <row r="721" spans="9:12" x14ac:dyDescent="0.25">
      <c r="I721" s="21">
        <v>71643820</v>
      </c>
      <c r="J721" s="21" t="s">
        <v>29</v>
      </c>
      <c r="K721" s="20">
        <v>5020231.71</v>
      </c>
      <c r="L721" s="22">
        <v>46035</v>
      </c>
    </row>
    <row r="722" spans="9:12" x14ac:dyDescent="0.25">
      <c r="I722" s="21">
        <v>71643821</v>
      </c>
      <c r="J722" s="21" t="s">
        <v>42</v>
      </c>
      <c r="K722" s="20">
        <v>12386619.560000001</v>
      </c>
      <c r="L722" s="22">
        <v>46035</v>
      </c>
    </row>
    <row r="723" spans="9:12" x14ac:dyDescent="0.25">
      <c r="I723" s="21">
        <v>71643822</v>
      </c>
      <c r="J723" s="21" t="s">
        <v>394</v>
      </c>
      <c r="K723" s="20">
        <v>2411093.4</v>
      </c>
      <c r="L723" s="22">
        <v>46035</v>
      </c>
    </row>
    <row r="724" spans="9:12" x14ac:dyDescent="0.25">
      <c r="I724" s="21">
        <v>73815611</v>
      </c>
      <c r="J724" s="21" t="s">
        <v>69</v>
      </c>
      <c r="K724" s="20">
        <v>9760992.5</v>
      </c>
      <c r="L724" s="22">
        <v>46035</v>
      </c>
    </row>
    <row r="725" spans="9:12" x14ac:dyDescent="0.25">
      <c r="I725" s="21">
        <v>73815612</v>
      </c>
      <c r="J725" s="21" t="s">
        <v>494</v>
      </c>
      <c r="K725" s="20">
        <v>3198627.74</v>
      </c>
      <c r="L725" s="22">
        <v>46035</v>
      </c>
    </row>
    <row r="726" spans="9:12" x14ac:dyDescent="0.25">
      <c r="I726" s="21">
        <v>73815613</v>
      </c>
      <c r="J726" s="21" t="s">
        <v>358</v>
      </c>
      <c r="K726" s="20">
        <v>10000000</v>
      </c>
      <c r="L726" s="22">
        <v>46035</v>
      </c>
    </row>
    <row r="727" spans="9:12" x14ac:dyDescent="0.25">
      <c r="I727" s="21">
        <v>73815614</v>
      </c>
      <c r="J727" s="21" t="s">
        <v>358</v>
      </c>
      <c r="K727" s="20">
        <v>7204176.9199999999</v>
      </c>
      <c r="L727" s="22">
        <v>46036</v>
      </c>
    </row>
    <row r="728" spans="9:12" x14ac:dyDescent="0.25">
      <c r="I728" s="21">
        <v>73815615</v>
      </c>
      <c r="J728" s="21" t="s">
        <v>373</v>
      </c>
      <c r="K728" s="20">
        <v>10000000</v>
      </c>
      <c r="L728" s="22">
        <v>46035</v>
      </c>
    </row>
    <row r="729" spans="9:12" x14ac:dyDescent="0.25">
      <c r="I729" s="21">
        <v>73815616</v>
      </c>
      <c r="J729" s="21" t="s">
        <v>373</v>
      </c>
      <c r="K729" s="20">
        <v>6908363.5199999996</v>
      </c>
      <c r="L729" s="22">
        <v>46036</v>
      </c>
    </row>
    <row r="730" spans="9:12" x14ac:dyDescent="0.25">
      <c r="I730" s="21">
        <v>73815617</v>
      </c>
      <c r="J730" s="21" t="s">
        <v>383</v>
      </c>
      <c r="K730" s="20">
        <v>5169031.72</v>
      </c>
      <c r="L730" s="22">
        <v>46035</v>
      </c>
    </row>
    <row r="731" spans="9:12" x14ac:dyDescent="0.25">
      <c r="I731" s="21">
        <v>73815618</v>
      </c>
      <c r="J731" s="21" t="s">
        <v>429</v>
      </c>
      <c r="K731" s="20">
        <v>5054560</v>
      </c>
      <c r="L731" s="22">
        <v>46038</v>
      </c>
    </row>
    <row r="732" spans="9:12" x14ac:dyDescent="0.25">
      <c r="I732" s="21">
        <v>73815619</v>
      </c>
      <c r="J732" s="21" t="s">
        <v>90</v>
      </c>
      <c r="K732" s="20">
        <v>8113131.3799999999</v>
      </c>
      <c r="L732" s="22">
        <v>46038</v>
      </c>
    </row>
    <row r="733" spans="9:12" x14ac:dyDescent="0.25">
      <c r="I733" s="21">
        <v>73815620</v>
      </c>
      <c r="J733" s="21" t="s">
        <v>84</v>
      </c>
      <c r="K733" s="20">
        <v>10207117.51</v>
      </c>
      <c r="L733" s="22">
        <v>46038</v>
      </c>
    </row>
    <row r="734" spans="9:12" x14ac:dyDescent="0.25">
      <c r="I734" s="21">
        <v>73815621</v>
      </c>
      <c r="J734" s="21" t="s">
        <v>495</v>
      </c>
      <c r="K734" s="20">
        <v>1094400</v>
      </c>
      <c r="L734" s="22">
        <v>46038</v>
      </c>
    </row>
    <row r="735" spans="9:12" x14ac:dyDescent="0.25">
      <c r="I735" s="21">
        <v>73815622</v>
      </c>
      <c r="J735" s="21" t="s">
        <v>182</v>
      </c>
      <c r="K735" s="20">
        <v>5487073.4000000004</v>
      </c>
      <c r="L735" s="22">
        <v>46038</v>
      </c>
    </row>
    <row r="736" spans="9:12" x14ac:dyDescent="0.25">
      <c r="I736" s="21">
        <v>73815623</v>
      </c>
      <c r="J736" s="21" t="s">
        <v>496</v>
      </c>
      <c r="K736" s="20">
        <v>486475.42</v>
      </c>
      <c r="L736" s="22">
        <v>46038</v>
      </c>
    </row>
    <row r="737" spans="9:12" x14ac:dyDescent="0.25">
      <c r="I737" s="21">
        <v>73815624</v>
      </c>
      <c r="J737" s="21" t="s">
        <v>438</v>
      </c>
      <c r="K737" s="20">
        <v>3549319.93</v>
      </c>
      <c r="L737" s="22">
        <v>46038</v>
      </c>
    </row>
    <row r="738" spans="9:12" x14ac:dyDescent="0.25">
      <c r="I738" s="21">
        <v>73815625</v>
      </c>
      <c r="J738" s="21" t="s">
        <v>378</v>
      </c>
      <c r="K738" s="20">
        <v>2000000</v>
      </c>
      <c r="L738" s="22">
        <v>46038</v>
      </c>
    </row>
    <row r="739" spans="9:12" x14ac:dyDescent="0.25">
      <c r="I739" s="21">
        <v>73815626</v>
      </c>
      <c r="J739" s="21" t="s">
        <v>378</v>
      </c>
      <c r="K739" s="20">
        <v>2000000</v>
      </c>
      <c r="L739" s="22">
        <v>46038</v>
      </c>
    </row>
    <row r="740" spans="9:12" x14ac:dyDescent="0.25">
      <c r="I740" s="21">
        <v>73815627</v>
      </c>
      <c r="J740" s="21" t="s">
        <v>378</v>
      </c>
      <c r="K740" s="20">
        <v>2396952.4</v>
      </c>
      <c r="L740" s="22">
        <v>46038</v>
      </c>
    </row>
    <row r="741" spans="9:12" x14ac:dyDescent="0.25">
      <c r="I741" s="21">
        <v>73815628</v>
      </c>
      <c r="J741" s="21" t="s">
        <v>497</v>
      </c>
      <c r="K741" s="20">
        <v>11000000</v>
      </c>
      <c r="L741" s="22">
        <v>46038</v>
      </c>
    </row>
    <row r="742" spans="9:12" x14ac:dyDescent="0.25">
      <c r="I742" s="21">
        <v>73815629</v>
      </c>
      <c r="J742" s="21" t="s">
        <v>497</v>
      </c>
      <c r="K742" s="20">
        <v>11168338.85</v>
      </c>
      <c r="L742" s="22">
        <v>46041</v>
      </c>
    </row>
    <row r="743" spans="9:12" x14ac:dyDescent="0.25">
      <c r="I743" s="21">
        <v>73815630</v>
      </c>
      <c r="J743" s="21" t="s">
        <v>380</v>
      </c>
      <c r="K743" s="20">
        <v>8042902.1600000001</v>
      </c>
      <c r="L743" s="22">
        <v>46038</v>
      </c>
    </row>
    <row r="744" spans="9:12" x14ac:dyDescent="0.25">
      <c r="I744" s="21">
        <v>73815631</v>
      </c>
      <c r="J744" s="21" t="s">
        <v>395</v>
      </c>
      <c r="K744" s="20">
        <v>9093518.4900000002</v>
      </c>
      <c r="L744" s="22">
        <v>46038</v>
      </c>
    </row>
    <row r="745" spans="9:12" x14ac:dyDescent="0.25">
      <c r="I745" s="21">
        <v>73815632</v>
      </c>
      <c r="J745" s="21" t="s">
        <v>42</v>
      </c>
      <c r="K745" s="20">
        <v>3197336.78</v>
      </c>
      <c r="L745" s="22">
        <v>46038</v>
      </c>
    </row>
    <row r="746" spans="9:12" x14ac:dyDescent="0.25">
      <c r="I746" s="21">
        <v>73815633</v>
      </c>
      <c r="J746" s="21" t="s">
        <v>365</v>
      </c>
      <c r="K746" s="20">
        <v>9688588.7599999998</v>
      </c>
      <c r="L746" s="22">
        <v>46038</v>
      </c>
    </row>
    <row r="747" spans="9:12" x14ac:dyDescent="0.25">
      <c r="I747" s="21">
        <v>73815634</v>
      </c>
      <c r="J747" s="21" t="s">
        <v>388</v>
      </c>
      <c r="K747" s="20">
        <v>11713667.710000001</v>
      </c>
      <c r="L747" s="22">
        <v>46071</v>
      </c>
    </row>
    <row r="748" spans="9:12" x14ac:dyDescent="0.25">
      <c r="I748" s="21">
        <v>73815635</v>
      </c>
      <c r="J748" s="21" t="s">
        <v>30</v>
      </c>
      <c r="K748" s="20">
        <v>5693155.0599999996</v>
      </c>
      <c r="L748" s="22">
        <v>46038</v>
      </c>
    </row>
    <row r="749" spans="9:12" x14ac:dyDescent="0.25">
      <c r="I749" s="21">
        <v>74835425</v>
      </c>
      <c r="J749" s="21" t="s">
        <v>25</v>
      </c>
      <c r="K749" s="20">
        <v>3093100</v>
      </c>
      <c r="L749" s="22">
        <v>46038</v>
      </c>
    </row>
    <row r="750" spans="9:12" x14ac:dyDescent="0.25">
      <c r="I750">
        <v>73815636</v>
      </c>
      <c r="J750" t="s">
        <v>14</v>
      </c>
      <c r="K750" s="50">
        <v>10299313.76</v>
      </c>
      <c r="L750" s="22">
        <v>46042</v>
      </c>
    </row>
    <row r="751" spans="9:12" x14ac:dyDescent="0.25">
      <c r="I751">
        <v>73815637</v>
      </c>
      <c r="J751" t="s">
        <v>260</v>
      </c>
      <c r="K751" s="50">
        <v>10745263.4</v>
      </c>
      <c r="L751" s="3">
        <v>46048</v>
      </c>
    </row>
    <row r="752" spans="9:12" x14ac:dyDescent="0.25">
      <c r="I752">
        <v>73815638</v>
      </c>
      <c r="J752" t="s">
        <v>370</v>
      </c>
      <c r="K752" s="50">
        <v>15000000</v>
      </c>
      <c r="L752" s="3">
        <v>46048</v>
      </c>
    </row>
    <row r="753" spans="9:12" x14ac:dyDescent="0.25">
      <c r="I753">
        <v>73815639</v>
      </c>
      <c r="J753" t="s">
        <v>370</v>
      </c>
      <c r="K753" s="50">
        <v>14476164</v>
      </c>
      <c r="L753" s="3">
        <v>46049</v>
      </c>
    </row>
    <row r="754" spans="9:12" x14ac:dyDescent="0.25">
      <c r="I754">
        <v>73815640</v>
      </c>
      <c r="J754" t="s">
        <v>498</v>
      </c>
      <c r="K754" s="50">
        <v>5046680</v>
      </c>
      <c r="L754" s="3">
        <v>46048</v>
      </c>
    </row>
    <row r="755" spans="9:12" x14ac:dyDescent="0.25">
      <c r="I755">
        <v>73815641</v>
      </c>
      <c r="J755" t="s">
        <v>499</v>
      </c>
      <c r="K755" s="50">
        <v>9221278.1699999999</v>
      </c>
      <c r="L755" s="3">
        <v>46048</v>
      </c>
    </row>
    <row r="756" spans="9:12" x14ac:dyDescent="0.25">
      <c r="I756">
        <v>73815642</v>
      </c>
      <c r="J756" t="s">
        <v>500</v>
      </c>
      <c r="K756" s="50">
        <v>7289820.4400000004</v>
      </c>
      <c r="L756" s="3">
        <v>46048</v>
      </c>
    </row>
    <row r="757" spans="9:12" x14ac:dyDescent="0.25">
      <c r="I757">
        <v>73815643</v>
      </c>
      <c r="J757" t="s">
        <v>501</v>
      </c>
      <c r="K757" s="50">
        <v>3726911.4</v>
      </c>
      <c r="L757" s="3">
        <v>46048</v>
      </c>
    </row>
    <row r="758" spans="9:12" x14ac:dyDescent="0.25">
      <c r="I758">
        <v>73815644</v>
      </c>
      <c r="J758" t="s">
        <v>100</v>
      </c>
      <c r="K758" s="50">
        <v>7527433.1299999999</v>
      </c>
      <c r="L758" s="3">
        <v>46048</v>
      </c>
    </row>
    <row r="759" spans="9:12" x14ac:dyDescent="0.25">
      <c r="I759">
        <v>73815645</v>
      </c>
      <c r="J759" t="s">
        <v>39</v>
      </c>
      <c r="K759" s="50">
        <v>2886990.9</v>
      </c>
      <c r="L759" s="3">
        <v>46048</v>
      </c>
    </row>
    <row r="760" spans="9:12" x14ac:dyDescent="0.25">
      <c r="I760">
        <v>73815646</v>
      </c>
      <c r="J760" t="s">
        <v>502</v>
      </c>
      <c r="K760" s="50">
        <v>2832000</v>
      </c>
      <c r="L760" s="3">
        <v>46048</v>
      </c>
    </row>
    <row r="761" spans="9:12" x14ac:dyDescent="0.25">
      <c r="I761">
        <v>73815647</v>
      </c>
      <c r="J761" t="s">
        <v>355</v>
      </c>
      <c r="K761" s="50">
        <v>20000000</v>
      </c>
      <c r="L761" s="3">
        <v>46048</v>
      </c>
    </row>
    <row r="762" spans="9:12" x14ac:dyDescent="0.25">
      <c r="I762">
        <v>73815648</v>
      </c>
      <c r="J762" t="s">
        <v>355</v>
      </c>
      <c r="K762" s="50">
        <v>14064680</v>
      </c>
      <c r="L762" s="3">
        <v>46049</v>
      </c>
    </row>
    <row r="763" spans="9:12" x14ac:dyDescent="0.25">
      <c r="I763">
        <v>73815649</v>
      </c>
      <c r="J763" t="s">
        <v>33</v>
      </c>
      <c r="K763" s="50">
        <v>10188617.210000001</v>
      </c>
      <c r="L763" s="3">
        <v>46048</v>
      </c>
    </row>
    <row r="764" spans="9:12" x14ac:dyDescent="0.25">
      <c r="I764">
        <v>73815650</v>
      </c>
      <c r="J764" t="s">
        <v>380</v>
      </c>
      <c r="K764" s="50">
        <v>6430737.7199999997</v>
      </c>
      <c r="L764" s="3">
        <v>46048</v>
      </c>
    </row>
    <row r="765" spans="9:12" x14ac:dyDescent="0.25">
      <c r="I765">
        <v>73815651</v>
      </c>
      <c r="J765" t="s">
        <v>45</v>
      </c>
      <c r="K765" s="50">
        <v>11007577</v>
      </c>
      <c r="L765" s="3">
        <v>46048</v>
      </c>
    </row>
    <row r="766" spans="9:12" x14ac:dyDescent="0.25">
      <c r="I766">
        <v>73815652</v>
      </c>
      <c r="J766" t="s">
        <v>400</v>
      </c>
      <c r="K766" s="50">
        <v>3884843.75</v>
      </c>
      <c r="L766" s="3">
        <v>46048</v>
      </c>
    </row>
    <row r="767" spans="9:12" x14ac:dyDescent="0.25">
      <c r="I767">
        <v>73815653</v>
      </c>
      <c r="J767" t="s">
        <v>87</v>
      </c>
      <c r="K767" s="50">
        <v>23263573.399999999</v>
      </c>
      <c r="L767" s="3">
        <v>46048</v>
      </c>
    </row>
    <row r="768" spans="9:12" x14ac:dyDescent="0.25">
      <c r="I768">
        <v>73815654</v>
      </c>
      <c r="J768" t="s">
        <v>87</v>
      </c>
      <c r="K768" s="50">
        <v>9131641.3100000005</v>
      </c>
      <c r="L768" s="3">
        <v>46049</v>
      </c>
    </row>
    <row r="769" spans="9:12" x14ac:dyDescent="0.25">
      <c r="I769">
        <v>73815655</v>
      </c>
      <c r="J769" t="s">
        <v>503</v>
      </c>
      <c r="K769" s="20">
        <v>2578738.3199999998</v>
      </c>
      <c r="L769" s="3">
        <v>46056</v>
      </c>
    </row>
    <row r="770" spans="9:12" x14ac:dyDescent="0.25">
      <c r="I770">
        <v>73815656</v>
      </c>
      <c r="J770" t="s">
        <v>504</v>
      </c>
      <c r="K770" s="20">
        <v>3444283.38</v>
      </c>
      <c r="L770" s="3">
        <v>46056</v>
      </c>
    </row>
    <row r="771" spans="9:12" x14ac:dyDescent="0.25">
      <c r="I771">
        <v>73815657</v>
      </c>
      <c r="J771" t="s">
        <v>505</v>
      </c>
      <c r="K771" s="20">
        <v>1860710.39</v>
      </c>
      <c r="L771" s="3">
        <v>46056</v>
      </c>
    </row>
    <row r="772" spans="9:12" x14ac:dyDescent="0.25">
      <c r="I772">
        <v>73815658</v>
      </c>
      <c r="J772" t="s">
        <v>506</v>
      </c>
      <c r="K772" s="20">
        <v>7297187.4400000004</v>
      </c>
      <c r="L772" s="3">
        <v>46056</v>
      </c>
    </row>
    <row r="773" spans="9:12" x14ac:dyDescent="0.25">
      <c r="I773">
        <v>73815659</v>
      </c>
      <c r="J773" t="s">
        <v>507</v>
      </c>
      <c r="K773" s="20">
        <v>2161695</v>
      </c>
      <c r="L773" s="3">
        <v>46056</v>
      </c>
    </row>
    <row r="774" spans="9:12" x14ac:dyDescent="0.25">
      <c r="I774">
        <v>73815660</v>
      </c>
      <c r="J774" t="s">
        <v>508</v>
      </c>
      <c r="K774" s="20">
        <v>3718267</v>
      </c>
      <c r="L774" s="3">
        <v>46056</v>
      </c>
    </row>
    <row r="775" spans="9:12" x14ac:dyDescent="0.25">
      <c r="I775">
        <v>73815661</v>
      </c>
      <c r="J775" t="s">
        <v>509</v>
      </c>
      <c r="K775" s="20">
        <v>3029519.14</v>
      </c>
      <c r="L775" s="3">
        <v>46056</v>
      </c>
    </row>
    <row r="776" spans="9:12" x14ac:dyDescent="0.25">
      <c r="I776">
        <v>73815662</v>
      </c>
      <c r="J776" t="s">
        <v>510</v>
      </c>
      <c r="K776" s="20">
        <v>4858201.72</v>
      </c>
      <c r="L776" s="3">
        <v>46056</v>
      </c>
    </row>
    <row r="777" spans="9:12" x14ac:dyDescent="0.25">
      <c r="I777">
        <v>73815663</v>
      </c>
      <c r="J777" t="s">
        <v>511</v>
      </c>
      <c r="K777" s="20">
        <v>4196777.92</v>
      </c>
      <c r="L777" s="3">
        <v>46056</v>
      </c>
    </row>
    <row r="778" spans="9:12" x14ac:dyDescent="0.25">
      <c r="I778">
        <v>73815664</v>
      </c>
      <c r="J778" t="s">
        <v>512</v>
      </c>
      <c r="K778" s="20">
        <v>3241578.75</v>
      </c>
      <c r="L778" s="3">
        <v>46056</v>
      </c>
    </row>
    <row r="779" spans="9:12" x14ac:dyDescent="0.25">
      <c r="I779">
        <v>73815665</v>
      </c>
      <c r="J779" t="s">
        <v>513</v>
      </c>
      <c r="K779" s="20">
        <v>17059896.800000001</v>
      </c>
      <c r="L779" s="3">
        <v>46056</v>
      </c>
    </row>
    <row r="780" spans="9:12" x14ac:dyDescent="0.25">
      <c r="I780">
        <v>73815666</v>
      </c>
      <c r="J780" t="s">
        <v>514</v>
      </c>
      <c r="K780" s="20">
        <v>1686016</v>
      </c>
      <c r="L780" s="3">
        <v>46056</v>
      </c>
    </row>
    <row r="781" spans="9:12" x14ac:dyDescent="0.25">
      <c r="I781">
        <v>73815667</v>
      </c>
      <c r="J781" t="s">
        <v>515</v>
      </c>
      <c r="K781" s="20">
        <v>15000000</v>
      </c>
      <c r="L781" s="3">
        <v>46056</v>
      </c>
    </row>
    <row r="782" spans="9:12" x14ac:dyDescent="0.25">
      <c r="I782">
        <v>73815668</v>
      </c>
      <c r="J782" t="s">
        <v>515</v>
      </c>
      <c r="K782" s="20">
        <v>17364471.809999999</v>
      </c>
      <c r="L782" s="3">
        <v>46057</v>
      </c>
    </row>
    <row r="783" spans="9:12" x14ac:dyDescent="0.25">
      <c r="I783">
        <v>73815669</v>
      </c>
      <c r="J783" t="s">
        <v>516</v>
      </c>
      <c r="K783" s="20">
        <v>1655619.85</v>
      </c>
      <c r="L783" s="3">
        <v>46056</v>
      </c>
    </row>
    <row r="784" spans="9:12" x14ac:dyDescent="0.25">
      <c r="I784">
        <v>73815670</v>
      </c>
      <c r="J784" t="s">
        <v>517</v>
      </c>
      <c r="K784" s="20">
        <v>9822880</v>
      </c>
      <c r="L784" s="3">
        <v>46056</v>
      </c>
    </row>
    <row r="785" spans="9:12" x14ac:dyDescent="0.25">
      <c r="I785">
        <v>73815671</v>
      </c>
      <c r="J785" t="s">
        <v>518</v>
      </c>
      <c r="K785" s="20">
        <v>14851525.369999999</v>
      </c>
      <c r="L785" s="3">
        <v>46056</v>
      </c>
    </row>
    <row r="786" spans="9:12" x14ac:dyDescent="0.25">
      <c r="I786">
        <v>73815672</v>
      </c>
      <c r="J786" t="s">
        <v>519</v>
      </c>
      <c r="K786" s="20">
        <v>6898343.4000000004</v>
      </c>
      <c r="L786" s="3">
        <v>46056</v>
      </c>
    </row>
    <row r="787" spans="9:12" x14ac:dyDescent="0.25">
      <c r="I787">
        <v>73815673</v>
      </c>
      <c r="J787" t="s">
        <v>520</v>
      </c>
      <c r="K787" s="20">
        <v>5000000</v>
      </c>
      <c r="L787" s="3">
        <v>46056</v>
      </c>
    </row>
    <row r="788" spans="9:12" x14ac:dyDescent="0.25">
      <c r="I788">
        <v>73815674</v>
      </c>
      <c r="J788" t="s">
        <v>520</v>
      </c>
      <c r="K788" s="20">
        <v>5070963.4000000004</v>
      </c>
      <c r="L788" s="3">
        <v>46056</v>
      </c>
    </row>
    <row r="789" spans="9:12" x14ac:dyDescent="0.25">
      <c r="I789">
        <v>73815675</v>
      </c>
      <c r="J789" t="s">
        <v>521</v>
      </c>
      <c r="K789" s="20">
        <v>300000</v>
      </c>
      <c r="L789" s="3">
        <v>46056</v>
      </c>
    </row>
    <row r="790" spans="9:12" x14ac:dyDescent="0.25">
      <c r="I790">
        <v>73815676</v>
      </c>
      <c r="J790" t="s">
        <v>521</v>
      </c>
      <c r="K790" s="20">
        <v>300000</v>
      </c>
      <c r="L790" s="3">
        <v>46070</v>
      </c>
    </row>
    <row r="791" spans="9:12" x14ac:dyDescent="0.25">
      <c r="I791">
        <v>73815677</v>
      </c>
      <c r="J791" t="s">
        <v>521</v>
      </c>
      <c r="K791" s="20">
        <v>434242.88</v>
      </c>
      <c r="L791" s="3">
        <v>46098</v>
      </c>
    </row>
    <row r="792" spans="9:12" x14ac:dyDescent="0.25">
      <c r="I792">
        <v>73815678</v>
      </c>
      <c r="J792" t="s">
        <v>522</v>
      </c>
      <c r="K792" s="20">
        <v>8400000</v>
      </c>
      <c r="L792" s="3">
        <v>46052</v>
      </c>
    </row>
    <row r="793" spans="9:12" x14ac:dyDescent="0.25">
      <c r="I793">
        <v>73815679</v>
      </c>
      <c r="J793" t="s">
        <v>522</v>
      </c>
      <c r="K793" s="20">
        <v>8400000</v>
      </c>
      <c r="L793" s="3">
        <v>46060</v>
      </c>
    </row>
    <row r="794" spans="9:12" x14ac:dyDescent="0.25">
      <c r="I794">
        <v>73815680</v>
      </c>
      <c r="J794" t="s">
        <v>522</v>
      </c>
      <c r="K794" s="20">
        <v>8400000</v>
      </c>
      <c r="L794" s="3">
        <v>46091</v>
      </c>
    </row>
    <row r="795" spans="9:12" x14ac:dyDescent="0.25">
      <c r="I795">
        <v>73815681</v>
      </c>
      <c r="J795" t="s">
        <v>522</v>
      </c>
      <c r="K795" s="20">
        <v>8400000</v>
      </c>
      <c r="L795" s="3">
        <v>46121</v>
      </c>
    </row>
    <row r="796" spans="9:12" x14ac:dyDescent="0.25">
      <c r="I796">
        <v>73815682</v>
      </c>
      <c r="J796" t="s">
        <v>522</v>
      </c>
      <c r="K796" s="20">
        <v>8400000</v>
      </c>
      <c r="L796" s="3">
        <v>46150</v>
      </c>
    </row>
    <row r="797" spans="9:12" x14ac:dyDescent="0.25">
      <c r="I797">
        <v>73815683</v>
      </c>
      <c r="J797" t="s">
        <v>522</v>
      </c>
      <c r="K797" s="20">
        <v>8400000</v>
      </c>
      <c r="L797" s="3">
        <v>46181</v>
      </c>
    </row>
    <row r="798" spans="9:12" x14ac:dyDescent="0.25">
      <c r="I798">
        <v>73815684</v>
      </c>
      <c r="J798" t="s">
        <v>522</v>
      </c>
      <c r="K798" s="20">
        <v>8630830</v>
      </c>
      <c r="L798" s="3">
        <v>46211</v>
      </c>
    </row>
    <row r="799" spans="9:12" x14ac:dyDescent="0.25">
      <c r="I799" s="21">
        <v>73815685</v>
      </c>
      <c r="J799" s="21" t="s">
        <v>456</v>
      </c>
      <c r="K799" s="20">
        <v>4934800</v>
      </c>
      <c r="L799" s="22">
        <v>46059</v>
      </c>
    </row>
    <row r="800" spans="9:12" x14ac:dyDescent="0.25">
      <c r="I800" s="21">
        <v>73815686</v>
      </c>
      <c r="J800" s="21" t="s">
        <v>370</v>
      </c>
      <c r="K800" s="20">
        <v>14215292</v>
      </c>
      <c r="L800" s="22">
        <v>46062</v>
      </c>
    </row>
    <row r="801" spans="9:12" x14ac:dyDescent="0.25">
      <c r="I801" s="21">
        <v>73815687</v>
      </c>
      <c r="J801" s="21" t="s">
        <v>480</v>
      </c>
      <c r="K801" s="20">
        <v>5851451.9900000002</v>
      </c>
      <c r="L801" s="22">
        <v>46059</v>
      </c>
    </row>
    <row r="802" spans="9:12" x14ac:dyDescent="0.25">
      <c r="I802" s="21">
        <v>73815688</v>
      </c>
      <c r="J802" s="21" t="s">
        <v>402</v>
      </c>
      <c r="K802" s="20">
        <v>6223951.0599999996</v>
      </c>
      <c r="L802" s="22">
        <v>46059</v>
      </c>
    </row>
    <row r="803" spans="9:12" x14ac:dyDescent="0.25">
      <c r="I803" s="21">
        <v>73815689</v>
      </c>
      <c r="J803" s="21" t="s">
        <v>67</v>
      </c>
      <c r="K803" s="20">
        <v>15318050.5</v>
      </c>
      <c r="L803" s="22">
        <v>46063</v>
      </c>
    </row>
    <row r="804" spans="9:12" x14ac:dyDescent="0.25">
      <c r="I804" s="21">
        <v>73815690</v>
      </c>
      <c r="J804" s="21" t="s">
        <v>87</v>
      </c>
      <c r="K804" s="20">
        <v>12170933.029999999</v>
      </c>
      <c r="L804" s="22">
        <v>46063</v>
      </c>
    </row>
    <row r="805" spans="9:12" x14ac:dyDescent="0.25">
      <c r="I805" s="21">
        <v>73815691</v>
      </c>
      <c r="J805" s="21" t="s">
        <v>182</v>
      </c>
      <c r="K805" s="20">
        <v>8292593.4000000004</v>
      </c>
      <c r="L805" s="22">
        <v>46062</v>
      </c>
    </row>
    <row r="806" spans="9:12" x14ac:dyDescent="0.25">
      <c r="I806" s="21">
        <v>73815692</v>
      </c>
      <c r="J806" s="21" t="s">
        <v>378</v>
      </c>
      <c r="K806" s="20">
        <v>4490140.9000000004</v>
      </c>
      <c r="L806" s="22">
        <v>46059</v>
      </c>
    </row>
    <row r="807" spans="9:12" x14ac:dyDescent="0.25">
      <c r="I807" s="21">
        <v>73815693</v>
      </c>
      <c r="J807" s="21" t="s">
        <v>294</v>
      </c>
      <c r="K807" s="20">
        <v>11980000</v>
      </c>
      <c r="L807" s="22">
        <v>46059</v>
      </c>
    </row>
    <row r="808" spans="9:12" x14ac:dyDescent="0.25">
      <c r="I808" s="21">
        <v>73815694</v>
      </c>
      <c r="J808" s="21" t="s">
        <v>294</v>
      </c>
      <c r="K808" s="20">
        <v>5325000</v>
      </c>
      <c r="L808" s="22">
        <v>46078</v>
      </c>
    </row>
    <row r="809" spans="9:12" x14ac:dyDescent="0.25">
      <c r="I809" s="21">
        <v>73815695</v>
      </c>
      <c r="J809" s="21" t="s">
        <v>294</v>
      </c>
      <c r="K809" s="20">
        <v>5325000</v>
      </c>
      <c r="L809" s="22">
        <v>46108</v>
      </c>
    </row>
    <row r="810" spans="9:12" x14ac:dyDescent="0.25">
      <c r="I810" s="21">
        <v>73815696</v>
      </c>
      <c r="J810" s="21" t="s">
        <v>294</v>
      </c>
      <c r="K810" s="20">
        <v>5325000</v>
      </c>
      <c r="L810" s="22">
        <v>46138</v>
      </c>
    </row>
    <row r="811" spans="9:12" x14ac:dyDescent="0.25">
      <c r="I811" s="21">
        <v>73815697</v>
      </c>
      <c r="J811" s="21" t="s">
        <v>294</v>
      </c>
      <c r="K811" s="20">
        <v>5325000</v>
      </c>
      <c r="L811" s="22">
        <v>46168</v>
      </c>
    </row>
    <row r="812" spans="9:12" x14ac:dyDescent="0.25">
      <c r="I812" s="21">
        <v>73815698</v>
      </c>
      <c r="J812" s="21" t="s">
        <v>294</v>
      </c>
      <c r="K812" s="20">
        <v>5325000</v>
      </c>
      <c r="L812" s="22">
        <v>46198</v>
      </c>
    </row>
    <row r="813" spans="9:12" x14ac:dyDescent="0.25">
      <c r="I813" s="21">
        <v>73815699</v>
      </c>
      <c r="J813" s="21" t="s">
        <v>294</v>
      </c>
      <c r="K813" s="20">
        <v>5325000</v>
      </c>
      <c r="L813" s="22">
        <v>46228</v>
      </c>
    </row>
    <row r="814" spans="9:12" x14ac:dyDescent="0.25">
      <c r="I814" s="21">
        <v>73815700</v>
      </c>
      <c r="J814" s="21" t="s">
        <v>294</v>
      </c>
      <c r="K814" s="20">
        <v>5325000</v>
      </c>
      <c r="L814" s="22">
        <v>46258</v>
      </c>
    </row>
    <row r="815" spans="9:12" x14ac:dyDescent="0.25">
      <c r="I815" s="21">
        <v>73815701</v>
      </c>
      <c r="J815" s="21" t="s">
        <v>294</v>
      </c>
      <c r="K815" s="20">
        <v>5325000</v>
      </c>
      <c r="L815" s="22">
        <v>46288</v>
      </c>
    </row>
    <row r="816" spans="9:12" x14ac:dyDescent="0.25">
      <c r="I816" s="21">
        <v>73815702</v>
      </c>
      <c r="J816" s="21" t="s">
        <v>294</v>
      </c>
      <c r="K816" s="20">
        <v>5320407.59</v>
      </c>
      <c r="L816" s="22">
        <v>46318</v>
      </c>
    </row>
    <row r="817" spans="9:12" x14ac:dyDescent="0.25">
      <c r="I817" s="21">
        <v>73815703</v>
      </c>
      <c r="J817" s="21" t="s">
        <v>523</v>
      </c>
      <c r="K817" s="20">
        <v>5813556.8600000003</v>
      </c>
      <c r="L817" s="22">
        <v>46059</v>
      </c>
    </row>
    <row r="818" spans="9:12" x14ac:dyDescent="0.25">
      <c r="I818" s="21">
        <v>73815704</v>
      </c>
      <c r="J818" s="21" t="s">
        <v>373</v>
      </c>
      <c r="K818" s="20">
        <v>33415309.620000001</v>
      </c>
      <c r="L818" s="22">
        <v>46063</v>
      </c>
    </row>
    <row r="819" spans="9:12" x14ac:dyDescent="0.25">
      <c r="I819" s="21">
        <v>73815705</v>
      </c>
      <c r="J819" s="21" t="s">
        <v>524</v>
      </c>
      <c r="K819" s="20">
        <v>341500000</v>
      </c>
      <c r="L819" s="22">
        <v>46070</v>
      </c>
    </row>
    <row r="820" spans="9:12" x14ac:dyDescent="0.25">
      <c r="I820" s="21">
        <v>73815706</v>
      </c>
      <c r="J820" s="21" t="s">
        <v>524</v>
      </c>
      <c r="K820" s="20">
        <v>247100000</v>
      </c>
      <c r="L820" s="22">
        <v>46100</v>
      </c>
    </row>
    <row r="821" spans="9:12" x14ac:dyDescent="0.25">
      <c r="I821" s="21">
        <v>73815707</v>
      </c>
      <c r="J821" s="21" t="s">
        <v>524</v>
      </c>
      <c r="K821" s="20">
        <v>29474715.059999999</v>
      </c>
      <c r="L821" s="22">
        <v>46130</v>
      </c>
    </row>
    <row r="822" spans="9:12" x14ac:dyDescent="0.25">
      <c r="I822">
        <v>73815708</v>
      </c>
      <c r="J822" t="s">
        <v>525</v>
      </c>
      <c r="K822" s="50">
        <v>4018362.97</v>
      </c>
      <c r="L822" s="3">
        <v>46071</v>
      </c>
    </row>
    <row r="823" spans="9:12" x14ac:dyDescent="0.25">
      <c r="I823">
        <v>73815709</v>
      </c>
      <c r="J823" t="s">
        <v>358</v>
      </c>
      <c r="K823" s="50">
        <v>10330483.42</v>
      </c>
      <c r="L823" s="3">
        <v>46072</v>
      </c>
    </row>
    <row r="824" spans="9:12" x14ac:dyDescent="0.25">
      <c r="I824">
        <v>73815710</v>
      </c>
      <c r="J824" t="s">
        <v>526</v>
      </c>
      <c r="K824" s="50">
        <v>4601230.42</v>
      </c>
      <c r="L824" s="3">
        <v>46071</v>
      </c>
    </row>
    <row r="825" spans="9:12" x14ac:dyDescent="0.25">
      <c r="I825">
        <v>73815711</v>
      </c>
      <c r="J825" t="s">
        <v>367</v>
      </c>
      <c r="K825" s="50">
        <v>4000949.4</v>
      </c>
      <c r="L825" s="3">
        <v>46071</v>
      </c>
    </row>
    <row r="826" spans="9:12" x14ac:dyDescent="0.25">
      <c r="I826">
        <v>73815712</v>
      </c>
      <c r="J826" t="s">
        <v>90</v>
      </c>
      <c r="K826" s="50">
        <v>3529153.72</v>
      </c>
      <c r="L826" s="3">
        <v>46071</v>
      </c>
    </row>
    <row r="827" spans="9:12" x14ac:dyDescent="0.25">
      <c r="I827">
        <v>73815713</v>
      </c>
      <c r="J827" t="s">
        <v>163</v>
      </c>
      <c r="K827" s="50">
        <v>4935561.4000000004</v>
      </c>
      <c r="L827" s="3">
        <v>46072</v>
      </c>
    </row>
    <row r="828" spans="9:12" x14ac:dyDescent="0.25">
      <c r="I828">
        <v>73815714</v>
      </c>
      <c r="J828" t="s">
        <v>527</v>
      </c>
      <c r="K828" s="50">
        <v>21101343.399999999</v>
      </c>
      <c r="L828" s="3">
        <v>46072</v>
      </c>
    </row>
    <row r="829" spans="9:12" x14ac:dyDescent="0.25">
      <c r="I829">
        <v>73815715</v>
      </c>
      <c r="J829" t="s">
        <v>390</v>
      </c>
      <c r="K829" s="50">
        <v>24260916.399999999</v>
      </c>
      <c r="L829" s="3">
        <v>46072</v>
      </c>
    </row>
    <row r="830" spans="9:12" x14ac:dyDescent="0.25">
      <c r="I830">
        <v>73815716</v>
      </c>
      <c r="J830" t="s">
        <v>38</v>
      </c>
      <c r="K830" s="50">
        <v>6610718.4000000004</v>
      </c>
      <c r="L830" s="3">
        <v>46072</v>
      </c>
    </row>
    <row r="831" spans="9:12" x14ac:dyDescent="0.25">
      <c r="I831">
        <v>73815717</v>
      </c>
      <c r="J831" t="s">
        <v>528</v>
      </c>
      <c r="K831" s="50">
        <v>3980703.4</v>
      </c>
      <c r="L831" s="3">
        <v>46071</v>
      </c>
    </row>
    <row r="832" spans="9:12" x14ac:dyDescent="0.25">
      <c r="I832">
        <v>73815718</v>
      </c>
      <c r="J832" t="s">
        <v>529</v>
      </c>
      <c r="K832" s="50">
        <v>3087744</v>
      </c>
      <c r="L832" s="3">
        <v>46071</v>
      </c>
    </row>
    <row r="833" spans="9:12" x14ac:dyDescent="0.25">
      <c r="I833">
        <v>73815719</v>
      </c>
      <c r="J833" t="s">
        <v>297</v>
      </c>
      <c r="K833" s="50">
        <v>3562396.25</v>
      </c>
      <c r="L833" s="3">
        <v>46072</v>
      </c>
    </row>
    <row r="834" spans="9:12" x14ac:dyDescent="0.25">
      <c r="I834">
        <v>73815720</v>
      </c>
      <c r="J834" t="s">
        <v>30</v>
      </c>
      <c r="K834" s="50">
        <v>5040969.76</v>
      </c>
      <c r="L834" s="3">
        <v>46073</v>
      </c>
    </row>
    <row r="835" spans="9:12" x14ac:dyDescent="0.25">
      <c r="I835">
        <v>73815721</v>
      </c>
      <c r="J835" t="s">
        <v>438</v>
      </c>
      <c r="K835" s="50">
        <v>2521309.5</v>
      </c>
      <c r="L835" s="3">
        <v>46072</v>
      </c>
    </row>
    <row r="836" spans="9:12" x14ac:dyDescent="0.25">
      <c r="I836">
        <v>73815722</v>
      </c>
      <c r="J836" t="s">
        <v>446</v>
      </c>
      <c r="K836" s="50">
        <v>2501417.92</v>
      </c>
      <c r="L836" s="3">
        <v>46072</v>
      </c>
    </row>
    <row r="837" spans="9:12" x14ac:dyDescent="0.25">
      <c r="I837">
        <v>73815723</v>
      </c>
      <c r="J837" t="s">
        <v>362</v>
      </c>
      <c r="K837" s="50">
        <v>77000000</v>
      </c>
      <c r="L837" s="3">
        <v>46073</v>
      </c>
    </row>
    <row r="838" spans="9:12" x14ac:dyDescent="0.25">
      <c r="I838">
        <v>73815724</v>
      </c>
      <c r="J838" t="s">
        <v>362</v>
      </c>
      <c r="K838" s="50">
        <v>77042194.680000007</v>
      </c>
      <c r="L838" s="3">
        <v>46077</v>
      </c>
    </row>
    <row r="839" spans="9:12" x14ac:dyDescent="0.25">
      <c r="I839" s="21">
        <v>74835426</v>
      </c>
      <c r="J839" s="21" t="s">
        <v>25</v>
      </c>
      <c r="K839" s="20">
        <v>3789870</v>
      </c>
      <c r="L839" s="22">
        <v>46071</v>
      </c>
    </row>
    <row r="840" spans="9:12" x14ac:dyDescent="0.25">
      <c r="I840" s="21">
        <v>75259940</v>
      </c>
      <c r="J840" s="21" t="s">
        <v>530</v>
      </c>
      <c r="K840" s="20">
        <v>732980</v>
      </c>
      <c r="L840" s="22">
        <v>46073</v>
      </c>
    </row>
    <row r="841" spans="9:12" x14ac:dyDescent="0.25">
      <c r="I841" s="21">
        <v>73815725</v>
      </c>
      <c r="J841" s="21" t="s">
        <v>395</v>
      </c>
      <c r="K841" s="20">
        <v>4894341.57</v>
      </c>
      <c r="L841" s="22">
        <v>46076</v>
      </c>
    </row>
    <row r="842" spans="9:12" x14ac:dyDescent="0.25">
      <c r="I842" s="21">
        <v>73815726</v>
      </c>
      <c r="J842" s="21" t="s">
        <v>372</v>
      </c>
      <c r="K842" s="20">
        <v>7768112.9699999997</v>
      </c>
      <c r="L842" s="22">
        <v>46076</v>
      </c>
    </row>
    <row r="843" spans="9:12" x14ac:dyDescent="0.25">
      <c r="I843" s="21">
        <v>73815727</v>
      </c>
      <c r="J843" s="21" t="s">
        <v>488</v>
      </c>
      <c r="K843" s="20">
        <v>3193069.34</v>
      </c>
      <c r="L843" s="22">
        <v>46076</v>
      </c>
    </row>
    <row r="844" spans="9:12" x14ac:dyDescent="0.25">
      <c r="I844" s="21">
        <v>73815728</v>
      </c>
      <c r="J844" s="21" t="s">
        <v>396</v>
      </c>
      <c r="K844" s="20">
        <v>5741688.75</v>
      </c>
      <c r="L844" s="22">
        <v>46076</v>
      </c>
    </row>
    <row r="845" spans="9:12" x14ac:dyDescent="0.25">
      <c r="I845" s="21">
        <v>73815729</v>
      </c>
      <c r="J845" s="21" t="s">
        <v>370</v>
      </c>
      <c r="K845" s="20">
        <v>3516282</v>
      </c>
      <c r="L845" s="22">
        <v>46076</v>
      </c>
    </row>
    <row r="846" spans="9:12" x14ac:dyDescent="0.25">
      <c r="I846" s="21">
        <v>73815730</v>
      </c>
      <c r="J846" s="21" t="s">
        <v>469</v>
      </c>
      <c r="K846" s="20">
        <v>43770000</v>
      </c>
      <c r="L846" s="22">
        <v>46077</v>
      </c>
    </row>
    <row r="847" spans="9:12" x14ac:dyDescent="0.25">
      <c r="I847" s="21">
        <v>73815731</v>
      </c>
      <c r="J847" s="21" t="s">
        <v>469</v>
      </c>
      <c r="K847" s="20">
        <v>43770000</v>
      </c>
      <c r="L847" s="22">
        <v>46099</v>
      </c>
    </row>
    <row r="848" spans="9:12" x14ac:dyDescent="0.25">
      <c r="I848" s="21">
        <v>73815732</v>
      </c>
      <c r="J848" s="21" t="s">
        <v>469</v>
      </c>
      <c r="K848" s="20">
        <v>43770000</v>
      </c>
      <c r="L848" s="22">
        <v>46130</v>
      </c>
    </row>
    <row r="849" spans="9:12" x14ac:dyDescent="0.25">
      <c r="I849" s="21">
        <v>73815733</v>
      </c>
      <c r="J849" s="21" t="s">
        <v>469</v>
      </c>
      <c r="K849" s="20">
        <v>43770000</v>
      </c>
      <c r="L849" s="22">
        <v>46160</v>
      </c>
    </row>
    <row r="850" spans="9:12" x14ac:dyDescent="0.25">
      <c r="I850" s="21">
        <v>73815734</v>
      </c>
      <c r="J850" s="21" t="s">
        <v>469</v>
      </c>
      <c r="K850" s="20">
        <v>43770000</v>
      </c>
      <c r="L850" s="22">
        <v>46191</v>
      </c>
    </row>
    <row r="851" spans="9:12" x14ac:dyDescent="0.25">
      <c r="I851" s="21">
        <v>73815735</v>
      </c>
      <c r="J851" s="21" t="s">
        <v>469</v>
      </c>
      <c r="K851" s="20">
        <v>43785619.75</v>
      </c>
      <c r="L851" s="22">
        <v>46221</v>
      </c>
    </row>
    <row r="852" spans="9:12" x14ac:dyDescent="0.25">
      <c r="I852" s="21">
        <v>73815736</v>
      </c>
      <c r="J852" s="21" t="s">
        <v>492</v>
      </c>
      <c r="K852" s="20">
        <v>20000000</v>
      </c>
      <c r="L852" s="22">
        <v>46077</v>
      </c>
    </row>
    <row r="853" spans="9:12" x14ac:dyDescent="0.25">
      <c r="I853" s="21">
        <v>73815737</v>
      </c>
      <c r="J853" s="21" t="s">
        <v>492</v>
      </c>
      <c r="K853" s="20">
        <v>19815843.399999999</v>
      </c>
      <c r="L853" s="22">
        <v>46078</v>
      </c>
    </row>
    <row r="854" spans="9:12" x14ac:dyDescent="0.25">
      <c r="I854" s="21">
        <v>73815738</v>
      </c>
      <c r="J854" s="21" t="s">
        <v>100</v>
      </c>
      <c r="K854" s="20">
        <v>17894180.920000002</v>
      </c>
      <c r="L854" s="22">
        <v>46077</v>
      </c>
    </row>
    <row r="855" spans="9:12" x14ac:dyDescent="0.25">
      <c r="I855" s="21">
        <v>73815739</v>
      </c>
      <c r="J855" s="21" t="s">
        <v>29</v>
      </c>
      <c r="K855" s="20">
        <v>7047231.5599999996</v>
      </c>
      <c r="L855" s="22">
        <v>46076</v>
      </c>
    </row>
    <row r="856" spans="9:12" x14ac:dyDescent="0.25">
      <c r="I856" s="21">
        <v>73815740</v>
      </c>
      <c r="J856" s="21" t="s">
        <v>446</v>
      </c>
      <c r="K856" s="20">
        <v>1554317.92</v>
      </c>
      <c r="L856" s="22">
        <v>46087</v>
      </c>
    </row>
    <row r="857" spans="9:12" x14ac:dyDescent="0.25">
      <c r="I857" s="21">
        <v>73815741</v>
      </c>
      <c r="J857" s="21" t="s">
        <v>389</v>
      </c>
      <c r="K857" s="20">
        <v>2192472.92</v>
      </c>
      <c r="L857" s="22">
        <v>46087</v>
      </c>
    </row>
    <row r="858" spans="9:12" x14ac:dyDescent="0.25">
      <c r="I858" s="21">
        <v>73815742</v>
      </c>
      <c r="J858" s="21" t="s">
        <v>356</v>
      </c>
      <c r="K858" s="20">
        <v>6749718.7000000002</v>
      </c>
      <c r="L858" s="22">
        <v>46087</v>
      </c>
    </row>
    <row r="859" spans="9:12" x14ac:dyDescent="0.25">
      <c r="I859" s="21">
        <v>73815743</v>
      </c>
      <c r="J859" s="21" t="s">
        <v>42</v>
      </c>
      <c r="K859" s="20">
        <v>3450350.78</v>
      </c>
      <c r="L859" s="22">
        <v>46087</v>
      </c>
    </row>
    <row r="860" spans="9:12" x14ac:dyDescent="0.25">
      <c r="I860" s="21">
        <v>73815744</v>
      </c>
      <c r="J860" s="21" t="s">
        <v>531</v>
      </c>
      <c r="K860" s="20">
        <v>3067324.02</v>
      </c>
      <c r="L860" s="22">
        <v>46087</v>
      </c>
    </row>
    <row r="861" spans="9:12" x14ac:dyDescent="0.25">
      <c r="I861" s="21">
        <v>73815745</v>
      </c>
      <c r="J861" s="21" t="s">
        <v>532</v>
      </c>
      <c r="K861" s="20">
        <v>9796045</v>
      </c>
      <c r="L861" s="22">
        <v>46087</v>
      </c>
    </row>
    <row r="862" spans="9:12" x14ac:dyDescent="0.25">
      <c r="I862" s="21">
        <v>73815746</v>
      </c>
      <c r="J862" s="21" t="s">
        <v>533</v>
      </c>
      <c r="K862" s="20">
        <v>3519145</v>
      </c>
      <c r="L862" s="22">
        <v>46087</v>
      </c>
    </row>
    <row r="863" spans="9:12" x14ac:dyDescent="0.25">
      <c r="I863" s="21">
        <v>73815747</v>
      </c>
      <c r="J863" s="21" t="s">
        <v>497</v>
      </c>
      <c r="K863" s="20">
        <v>7551193.4000000004</v>
      </c>
      <c r="L863" s="22">
        <v>46087</v>
      </c>
    </row>
    <row r="864" spans="9:12" x14ac:dyDescent="0.25">
      <c r="I864" s="21">
        <v>73815748</v>
      </c>
      <c r="J864" s="21" t="s">
        <v>355</v>
      </c>
      <c r="K864" s="20">
        <v>17976501.170000002</v>
      </c>
      <c r="L864" s="22">
        <v>46090</v>
      </c>
    </row>
    <row r="865" spans="9:12" x14ac:dyDescent="0.25">
      <c r="I865" s="21">
        <v>73815749</v>
      </c>
      <c r="J865" s="21" t="s">
        <v>358</v>
      </c>
      <c r="K865" s="20">
        <v>11774566.92</v>
      </c>
      <c r="L865" s="22">
        <v>46090</v>
      </c>
    </row>
    <row r="866" spans="9:12" x14ac:dyDescent="0.25">
      <c r="I866" s="21">
        <v>73815750</v>
      </c>
      <c r="J866" s="21" t="s">
        <v>70</v>
      </c>
      <c r="K866" s="20">
        <v>18535434.940000001</v>
      </c>
      <c r="L866" s="22">
        <v>46090</v>
      </c>
    </row>
    <row r="867" spans="9:12" x14ac:dyDescent="0.25">
      <c r="I867" s="21">
        <v>73815751</v>
      </c>
      <c r="J867" s="21" t="s">
        <v>370</v>
      </c>
      <c r="K867" s="20">
        <v>29704150</v>
      </c>
      <c r="L867" s="22">
        <v>46090</v>
      </c>
    </row>
    <row r="868" spans="9:12" x14ac:dyDescent="0.25">
      <c r="I868" s="21">
        <v>73815752</v>
      </c>
      <c r="J868" s="21" t="s">
        <v>90</v>
      </c>
      <c r="K868" s="20">
        <v>14181526.310000001</v>
      </c>
      <c r="L868" s="22">
        <v>46090</v>
      </c>
    </row>
    <row r="869" spans="9:12" x14ac:dyDescent="0.25">
      <c r="I869" s="21">
        <v>73815753</v>
      </c>
      <c r="J869" s="21" t="s">
        <v>534</v>
      </c>
      <c r="K869" s="20">
        <v>23396904.43</v>
      </c>
      <c r="L869" s="22">
        <v>46090</v>
      </c>
    </row>
    <row r="870" spans="9:12" x14ac:dyDescent="0.25">
      <c r="I870" s="21">
        <v>73815754</v>
      </c>
      <c r="J870" s="21" t="s">
        <v>38</v>
      </c>
      <c r="K870" s="20">
        <v>379468.4</v>
      </c>
      <c r="L870" s="22">
        <v>46087</v>
      </c>
    </row>
    <row r="871" spans="9:12" x14ac:dyDescent="0.25">
      <c r="I871" s="21">
        <v>73815755</v>
      </c>
      <c r="J871" s="21" t="s">
        <v>540</v>
      </c>
      <c r="K871" s="20">
        <v>2450510.35</v>
      </c>
      <c r="L871" s="22">
        <v>46098</v>
      </c>
    </row>
    <row r="872" spans="9:12" x14ac:dyDescent="0.25">
      <c r="I872" s="21">
        <v>73815756</v>
      </c>
      <c r="J872" s="21" t="s">
        <v>373</v>
      </c>
      <c r="K872" s="20">
        <v>681813.65</v>
      </c>
      <c r="L872" s="22">
        <v>46099</v>
      </c>
    </row>
    <row r="873" spans="9:12" x14ac:dyDescent="0.25">
      <c r="I873" s="21">
        <v>73815757</v>
      </c>
      <c r="J873" s="21" t="s">
        <v>541</v>
      </c>
      <c r="K873" s="20">
        <v>2425905.2799999998</v>
      </c>
      <c r="L873" s="22">
        <v>46099</v>
      </c>
    </row>
    <row r="874" spans="9:12" x14ac:dyDescent="0.25">
      <c r="I874" s="21">
        <v>73815758</v>
      </c>
      <c r="J874" s="21" t="s">
        <v>370</v>
      </c>
      <c r="K874" s="20">
        <v>2417460.4900000002</v>
      </c>
      <c r="L874" s="22">
        <v>46099</v>
      </c>
    </row>
    <row r="875" spans="9:12" x14ac:dyDescent="0.25">
      <c r="I875" s="21">
        <v>73815759</v>
      </c>
      <c r="J875" s="21" t="s">
        <v>542</v>
      </c>
      <c r="K875" s="20">
        <v>13015960.15</v>
      </c>
      <c r="L875" s="22">
        <v>46094</v>
      </c>
    </row>
    <row r="876" spans="9:12" x14ac:dyDescent="0.25">
      <c r="I876" s="21">
        <v>73815760</v>
      </c>
      <c r="J876" s="21" t="s">
        <v>400</v>
      </c>
      <c r="K876" s="20">
        <v>3072889.77</v>
      </c>
      <c r="L876" s="22">
        <v>46099</v>
      </c>
    </row>
    <row r="877" spans="9:12" x14ac:dyDescent="0.25">
      <c r="I877" s="21">
        <v>73815761</v>
      </c>
      <c r="J877" s="21" t="s">
        <v>523</v>
      </c>
      <c r="K877" s="20">
        <v>8521938.4100000001</v>
      </c>
      <c r="L877" s="22">
        <v>46099</v>
      </c>
    </row>
    <row r="878" spans="9:12" x14ac:dyDescent="0.25">
      <c r="I878" s="21">
        <v>73815762</v>
      </c>
      <c r="J878" s="21" t="s">
        <v>543</v>
      </c>
      <c r="K878" s="20">
        <v>15730265.4</v>
      </c>
      <c r="L878" s="22">
        <v>46099</v>
      </c>
    </row>
    <row r="879" spans="9:12" x14ac:dyDescent="0.25">
      <c r="I879" s="21">
        <v>73815763</v>
      </c>
      <c r="J879" s="21" t="s">
        <v>390</v>
      </c>
      <c r="K879" s="20">
        <v>20313208.309999999</v>
      </c>
      <c r="L879" s="22">
        <v>46099</v>
      </c>
    </row>
    <row r="880" spans="9:12" x14ac:dyDescent="0.25">
      <c r="I880" s="21">
        <v>73815764</v>
      </c>
      <c r="J880" s="21" t="s">
        <v>412</v>
      </c>
      <c r="K880" s="20">
        <v>3178480</v>
      </c>
      <c r="L880" s="22">
        <v>46098</v>
      </c>
    </row>
    <row r="881" spans="9:12" x14ac:dyDescent="0.25">
      <c r="I881" s="21">
        <v>73815765</v>
      </c>
      <c r="J881" s="21" t="s">
        <v>501</v>
      </c>
      <c r="K881" s="20">
        <v>3726911.4</v>
      </c>
      <c r="L881" s="22">
        <v>46099</v>
      </c>
    </row>
    <row r="882" spans="9:12" x14ac:dyDescent="0.25">
      <c r="I882" s="21">
        <v>74835427</v>
      </c>
      <c r="J882" s="21" t="s">
        <v>25</v>
      </c>
      <c r="K882" s="20">
        <v>2365100</v>
      </c>
      <c r="L882" s="22">
        <v>46097</v>
      </c>
    </row>
    <row r="883" spans="9:12" x14ac:dyDescent="0.25">
      <c r="I883" s="21">
        <v>73815766</v>
      </c>
      <c r="J883" s="21" t="s">
        <v>358</v>
      </c>
      <c r="K883" s="20">
        <v>6001410</v>
      </c>
      <c r="L883" s="22">
        <v>46106</v>
      </c>
    </row>
    <row r="884" spans="9:12" x14ac:dyDescent="0.25">
      <c r="I884" s="21">
        <v>73815767</v>
      </c>
      <c r="J884" s="21" t="s">
        <v>477</v>
      </c>
      <c r="K884" s="20">
        <v>7543705.5099999998</v>
      </c>
      <c r="L884" s="22">
        <v>46106</v>
      </c>
    </row>
    <row r="885" spans="9:12" x14ac:dyDescent="0.25">
      <c r="I885" s="21">
        <v>73815768</v>
      </c>
      <c r="J885" s="21" t="s">
        <v>438</v>
      </c>
      <c r="K885" s="20">
        <v>3083158.33</v>
      </c>
      <c r="L885" s="22">
        <v>46106</v>
      </c>
    </row>
    <row r="886" spans="9:12" x14ac:dyDescent="0.25">
      <c r="I886" s="21">
        <v>73815769</v>
      </c>
      <c r="J886" s="21" t="s">
        <v>41</v>
      </c>
      <c r="K886" s="20">
        <v>17797419.859999999</v>
      </c>
      <c r="L886" s="22">
        <v>46106</v>
      </c>
    </row>
    <row r="887" spans="9:12" x14ac:dyDescent="0.25">
      <c r="I887" s="21">
        <v>73815770</v>
      </c>
      <c r="J887" s="21" t="s">
        <v>395</v>
      </c>
      <c r="K887" s="20">
        <v>4897828.33</v>
      </c>
      <c r="L887" s="22">
        <v>46106</v>
      </c>
    </row>
    <row r="888" spans="9:12" x14ac:dyDescent="0.25">
      <c r="I888" s="21">
        <v>73815771</v>
      </c>
      <c r="J888" s="21" t="s">
        <v>355</v>
      </c>
      <c r="K888" s="20">
        <v>9421178.5099999998</v>
      </c>
      <c r="L888" s="22">
        <v>46106</v>
      </c>
    </row>
    <row r="889" spans="9:12" x14ac:dyDescent="0.25">
      <c r="I889" s="21">
        <v>73815772</v>
      </c>
      <c r="J889" s="21" t="s">
        <v>389</v>
      </c>
      <c r="K889" s="20">
        <v>4583468.5</v>
      </c>
      <c r="L889" s="22">
        <v>46111</v>
      </c>
    </row>
    <row r="890" spans="9:12" x14ac:dyDescent="0.25">
      <c r="I890" s="21">
        <v>73815773</v>
      </c>
      <c r="J890" s="21" t="s">
        <v>100</v>
      </c>
      <c r="K890" s="20">
        <v>19791685.550000001</v>
      </c>
      <c r="L890" s="22">
        <v>46113</v>
      </c>
    </row>
    <row r="891" spans="9:12" x14ac:dyDescent="0.25">
      <c r="I891" s="21">
        <v>73815774</v>
      </c>
      <c r="J891" s="21" t="s">
        <v>469</v>
      </c>
      <c r="K891" s="20">
        <v>1400000</v>
      </c>
      <c r="L891" s="22">
        <v>46128</v>
      </c>
    </row>
    <row r="892" spans="9:12" x14ac:dyDescent="0.25">
      <c r="I892" s="21">
        <v>73815775</v>
      </c>
      <c r="J892" s="21" t="s">
        <v>469</v>
      </c>
      <c r="K892" s="20">
        <v>1400000</v>
      </c>
      <c r="L892" s="22">
        <v>46157</v>
      </c>
    </row>
    <row r="893" spans="9:12" x14ac:dyDescent="0.25">
      <c r="I893" s="21">
        <v>73815776</v>
      </c>
      <c r="J893" s="21" t="s">
        <v>469</v>
      </c>
      <c r="K893" s="20">
        <v>1400000</v>
      </c>
      <c r="L893" s="22">
        <v>46188</v>
      </c>
    </row>
    <row r="894" spans="9:12" x14ac:dyDescent="0.25">
      <c r="I894" s="21">
        <v>73815777</v>
      </c>
      <c r="J894" s="21" t="s">
        <v>469</v>
      </c>
      <c r="K894" s="20">
        <v>1401568</v>
      </c>
      <c r="L894" s="22">
        <v>46218</v>
      </c>
    </row>
    <row r="895" spans="9:12" x14ac:dyDescent="0.25">
      <c r="I895" s="21">
        <v>73815778</v>
      </c>
      <c r="J895" s="21" t="s">
        <v>493</v>
      </c>
      <c r="K895" s="20">
        <v>3135000</v>
      </c>
      <c r="L895" s="22">
        <v>46111</v>
      </c>
    </row>
    <row r="896" spans="9:12" x14ac:dyDescent="0.25">
      <c r="I896" s="21">
        <v>73815779</v>
      </c>
      <c r="J896" s="21" t="s">
        <v>554</v>
      </c>
      <c r="K896" s="20">
        <v>7825760.2300000004</v>
      </c>
      <c r="L896" s="22">
        <v>46112</v>
      </c>
    </row>
    <row r="897" spans="9:12" x14ac:dyDescent="0.25">
      <c r="I897" s="21">
        <v>73815780</v>
      </c>
      <c r="J897" s="21" t="s">
        <v>464</v>
      </c>
      <c r="K897" s="20">
        <v>4010004.37</v>
      </c>
      <c r="L897" s="22">
        <v>46111</v>
      </c>
    </row>
    <row r="898" spans="9:12" x14ac:dyDescent="0.25">
      <c r="I898" s="21">
        <v>73815781</v>
      </c>
      <c r="J898" s="21" t="s">
        <v>396</v>
      </c>
      <c r="K898" s="20">
        <v>5890723.4000000004</v>
      </c>
      <c r="L898" s="22">
        <v>46112</v>
      </c>
    </row>
    <row r="899" spans="9:12" x14ac:dyDescent="0.25">
      <c r="I899" s="21">
        <v>73815782</v>
      </c>
      <c r="J899" s="21" t="s">
        <v>488</v>
      </c>
      <c r="K899" s="20">
        <v>3390820.68</v>
      </c>
      <c r="L899" s="22">
        <v>46111</v>
      </c>
    </row>
    <row r="900" spans="9:12" x14ac:dyDescent="0.25">
      <c r="I900" s="21">
        <v>73815783</v>
      </c>
      <c r="J900" s="21" t="s">
        <v>376</v>
      </c>
      <c r="K900" s="20">
        <v>14446591.810000001</v>
      </c>
      <c r="L900" s="22">
        <v>46113</v>
      </c>
    </row>
    <row r="901" spans="9:12" x14ac:dyDescent="0.25">
      <c r="I901" s="21">
        <v>73815784</v>
      </c>
      <c r="J901" s="21" t="s">
        <v>367</v>
      </c>
      <c r="K901" s="20">
        <v>14863244.75</v>
      </c>
      <c r="L901" s="22">
        <v>46112</v>
      </c>
    </row>
    <row r="902" spans="9:12" x14ac:dyDescent="0.25">
      <c r="I902" s="21">
        <v>73815785</v>
      </c>
      <c r="J902" s="21" t="s">
        <v>355</v>
      </c>
      <c r="K902" s="20">
        <v>9227920.0899999999</v>
      </c>
      <c r="L902" s="22">
        <v>46112</v>
      </c>
    </row>
    <row r="903" spans="9:12" x14ac:dyDescent="0.25">
      <c r="I903" s="21">
        <v>73815786</v>
      </c>
      <c r="J903" s="21" t="s">
        <v>390</v>
      </c>
      <c r="K903" s="20">
        <v>5028032.75</v>
      </c>
      <c r="L903" s="22">
        <v>46111</v>
      </c>
    </row>
    <row r="904" spans="9:12" x14ac:dyDescent="0.25">
      <c r="I904" s="21">
        <v>73815787</v>
      </c>
      <c r="J904" s="21" t="s">
        <v>378</v>
      </c>
      <c r="K904" s="20">
        <v>1181043.8999999999</v>
      </c>
      <c r="L904" s="22">
        <v>46111</v>
      </c>
    </row>
    <row r="905" spans="9:12" x14ac:dyDescent="0.25">
      <c r="I905" s="21">
        <v>73815788</v>
      </c>
      <c r="J905" s="21" t="s">
        <v>29</v>
      </c>
      <c r="K905" s="20">
        <v>12300004.439999999</v>
      </c>
      <c r="L905" s="22">
        <v>46112</v>
      </c>
    </row>
    <row r="906" spans="9:12" x14ac:dyDescent="0.25">
      <c r="I906" s="21">
        <v>73815789</v>
      </c>
      <c r="J906" s="21" t="s">
        <v>555</v>
      </c>
      <c r="K906" s="20">
        <v>6486668.3300000001</v>
      </c>
      <c r="L906" s="22">
        <v>46111</v>
      </c>
    </row>
    <row r="907" spans="9:12" x14ac:dyDescent="0.25">
      <c r="I907" s="21">
        <v>73815790</v>
      </c>
      <c r="J907" s="21" t="s">
        <v>556</v>
      </c>
      <c r="K907" s="20">
        <v>10042675.199999999</v>
      </c>
      <c r="L907" s="22">
        <v>46112</v>
      </c>
    </row>
    <row r="908" spans="9:12" x14ac:dyDescent="0.25">
      <c r="I908" s="21">
        <v>73815791</v>
      </c>
      <c r="J908" s="21" t="s">
        <v>492</v>
      </c>
      <c r="K908" s="20">
        <v>9815843.4000000004</v>
      </c>
      <c r="L908" s="22">
        <v>46112</v>
      </c>
    </row>
    <row r="909" spans="9:12" x14ac:dyDescent="0.25">
      <c r="I909" s="21">
        <v>73815792</v>
      </c>
      <c r="J909" s="21" t="s">
        <v>30</v>
      </c>
      <c r="K909" s="20">
        <v>1285199.07</v>
      </c>
      <c r="L909" s="22">
        <v>46119</v>
      </c>
    </row>
    <row r="910" spans="9:12" x14ac:dyDescent="0.25">
      <c r="I910" s="21">
        <v>73815793</v>
      </c>
      <c r="J910" s="21" t="s">
        <v>373</v>
      </c>
      <c r="K910" s="20">
        <v>3366049.8</v>
      </c>
      <c r="L910" s="22">
        <v>46119</v>
      </c>
    </row>
    <row r="911" spans="9:12" x14ac:dyDescent="0.25">
      <c r="I911" s="21">
        <v>73815794</v>
      </c>
      <c r="J911" s="21" t="s">
        <v>390</v>
      </c>
      <c r="K911" s="20">
        <v>9456251.6999999993</v>
      </c>
      <c r="L911" s="22">
        <v>46119</v>
      </c>
    </row>
    <row r="912" spans="9:12" x14ac:dyDescent="0.25">
      <c r="I912" s="21">
        <v>73815795</v>
      </c>
      <c r="J912" s="21" t="s">
        <v>384</v>
      </c>
      <c r="K912" s="20">
        <v>14112822.99</v>
      </c>
      <c r="L912" s="22">
        <v>46119</v>
      </c>
    </row>
    <row r="913" spans="9:12" x14ac:dyDescent="0.25">
      <c r="I913" s="21">
        <v>73815796</v>
      </c>
      <c r="J913" s="21" t="s">
        <v>408</v>
      </c>
      <c r="K913" s="20">
        <v>1073500</v>
      </c>
      <c r="L913" s="22">
        <v>46119</v>
      </c>
    </row>
    <row r="914" spans="9:12" x14ac:dyDescent="0.25">
      <c r="I914" s="21">
        <v>73815797</v>
      </c>
      <c r="J914" s="21" t="s">
        <v>459</v>
      </c>
      <c r="K914" s="20">
        <v>4873807.92</v>
      </c>
      <c r="L914" s="22">
        <v>46119</v>
      </c>
    </row>
    <row r="915" spans="9:12" x14ac:dyDescent="0.25">
      <c r="I915" s="21">
        <v>73815798</v>
      </c>
      <c r="J915" s="21" t="s">
        <v>448</v>
      </c>
      <c r="K915" s="20">
        <v>5896898.3099999996</v>
      </c>
      <c r="L915" s="22">
        <v>46119</v>
      </c>
    </row>
    <row r="916" spans="9:12" x14ac:dyDescent="0.25">
      <c r="I916" s="21">
        <v>73815799</v>
      </c>
      <c r="J916" s="21" t="s">
        <v>480</v>
      </c>
      <c r="K916" s="20">
        <v>2321760.94</v>
      </c>
      <c r="L916" s="22">
        <v>46119</v>
      </c>
    </row>
    <row r="917" spans="9:12" x14ac:dyDescent="0.25">
      <c r="I917" s="21">
        <v>73815800</v>
      </c>
      <c r="J917" s="21" t="s">
        <v>561</v>
      </c>
      <c r="K917" s="20">
        <v>1891500</v>
      </c>
      <c r="L917" s="22">
        <v>46119</v>
      </c>
    </row>
    <row r="918" spans="9:12" x14ac:dyDescent="0.25">
      <c r="I918" s="21">
        <v>73815801</v>
      </c>
      <c r="J918" s="21" t="s">
        <v>562</v>
      </c>
      <c r="K918" s="20">
        <v>2807828.8</v>
      </c>
      <c r="L918" s="22">
        <v>46119</v>
      </c>
    </row>
    <row r="919" spans="9:12" x14ac:dyDescent="0.25">
      <c r="I919" s="21">
        <v>73815802</v>
      </c>
      <c r="J919" s="21" t="s">
        <v>563</v>
      </c>
      <c r="K919" s="20">
        <v>1649311.8</v>
      </c>
      <c r="L919" s="22">
        <v>46120</v>
      </c>
    </row>
    <row r="920" spans="9:12" x14ac:dyDescent="0.25">
      <c r="I920" s="21">
        <v>73815803</v>
      </c>
      <c r="J920" s="21" t="s">
        <v>471</v>
      </c>
      <c r="K920" s="20">
        <v>1292742.52</v>
      </c>
      <c r="L920" s="22">
        <v>46120</v>
      </c>
    </row>
    <row r="921" spans="9:12" x14ac:dyDescent="0.25">
      <c r="I921" s="21">
        <v>73815804</v>
      </c>
      <c r="J921" s="21" t="s">
        <v>438</v>
      </c>
      <c r="K921" s="20">
        <v>971247.75</v>
      </c>
      <c r="L921" s="22">
        <v>46120</v>
      </c>
    </row>
    <row r="922" spans="9:12" x14ac:dyDescent="0.25">
      <c r="I922" s="21">
        <v>73815805</v>
      </c>
      <c r="J922" s="21" t="s">
        <v>363</v>
      </c>
      <c r="K922" s="20">
        <v>21859841.620000001</v>
      </c>
      <c r="L922" s="22">
        <v>46120</v>
      </c>
    </row>
    <row r="923" spans="9:12" x14ac:dyDescent="0.25">
      <c r="I923"/>
      <c r="J923"/>
      <c r="K923" s="4"/>
      <c r="L923" s="3"/>
    </row>
    <row r="924" spans="9:12" x14ac:dyDescent="0.25">
      <c r="I924"/>
      <c r="J924"/>
      <c r="K924" s="4"/>
      <c r="L924" s="3"/>
    </row>
    <row r="925" spans="9:12" x14ac:dyDescent="0.25">
      <c r="I925"/>
      <c r="J925"/>
      <c r="K925" s="4"/>
      <c r="L925" s="3"/>
    </row>
    <row r="926" spans="9:12" x14ac:dyDescent="0.25">
      <c r="I926"/>
      <c r="J926"/>
      <c r="K926" s="4"/>
      <c r="L926" s="3"/>
    </row>
    <row r="927" spans="9:12" x14ac:dyDescent="0.25">
      <c r="I927"/>
      <c r="J927"/>
      <c r="K927" s="4"/>
      <c r="L927" s="3"/>
    </row>
    <row r="928" spans="9:12" x14ac:dyDescent="0.25">
      <c r="I928"/>
      <c r="J928"/>
      <c r="K928" s="4"/>
      <c r="L928" s="3"/>
    </row>
    <row r="929" spans="9:12" x14ac:dyDescent="0.25">
      <c r="I929"/>
      <c r="J929"/>
      <c r="K929" s="4"/>
      <c r="L929" s="3"/>
    </row>
    <row r="930" spans="9:12" x14ac:dyDescent="0.25">
      <c r="I930"/>
      <c r="J930"/>
      <c r="K930" s="4"/>
      <c r="L930" s="3"/>
    </row>
    <row r="931" spans="9:12" x14ac:dyDescent="0.25">
      <c r="I931"/>
      <c r="J931"/>
      <c r="K931" s="4"/>
      <c r="L931" s="3"/>
    </row>
    <row r="932" spans="9:12" x14ac:dyDescent="0.25">
      <c r="I932"/>
      <c r="J932"/>
      <c r="K932" s="4"/>
      <c r="L932" s="3"/>
    </row>
    <row r="933" spans="9:12" x14ac:dyDescent="0.25">
      <c r="I933"/>
      <c r="J933"/>
      <c r="K933" s="4"/>
      <c r="L933" s="3"/>
    </row>
    <row r="934" spans="9:12" x14ac:dyDescent="0.25">
      <c r="I934"/>
      <c r="J934"/>
      <c r="K934" s="4"/>
      <c r="L934" s="3"/>
    </row>
    <row r="935" spans="9:12" x14ac:dyDescent="0.25">
      <c r="I935"/>
      <c r="J935"/>
      <c r="K935" s="4"/>
      <c r="L935" s="3"/>
    </row>
    <row r="936" spans="9:12" x14ac:dyDescent="0.25">
      <c r="I936"/>
      <c r="J936"/>
      <c r="K936" s="4"/>
      <c r="L936" s="3"/>
    </row>
    <row r="937" spans="9:12" x14ac:dyDescent="0.25">
      <c r="I937"/>
      <c r="J937"/>
      <c r="K937" s="4"/>
      <c r="L937" s="3"/>
    </row>
    <row r="938" spans="9:12" x14ac:dyDescent="0.25">
      <c r="I938"/>
      <c r="J938"/>
      <c r="K938" s="4"/>
      <c r="L938" s="3"/>
    </row>
    <row r="939" spans="9:12" x14ac:dyDescent="0.25">
      <c r="I939"/>
      <c r="J939"/>
      <c r="K939" s="4"/>
      <c r="L939" s="3"/>
    </row>
    <row r="940" spans="9:12" x14ac:dyDescent="0.25">
      <c r="I940"/>
      <c r="J940"/>
      <c r="K940" s="4"/>
      <c r="L940" s="3"/>
    </row>
    <row r="941" spans="9:12" x14ac:dyDescent="0.25">
      <c r="I941"/>
      <c r="J941"/>
      <c r="K941" s="4"/>
      <c r="L941" s="3"/>
    </row>
    <row r="942" spans="9:12" x14ac:dyDescent="0.25">
      <c r="I942"/>
      <c r="J942"/>
      <c r="K942" s="4"/>
      <c r="L942" s="3"/>
    </row>
    <row r="943" spans="9:12" x14ac:dyDescent="0.25">
      <c r="I943"/>
      <c r="J943"/>
      <c r="K943" s="4"/>
      <c r="L943" s="3"/>
    </row>
    <row r="944" spans="9:12" x14ac:dyDescent="0.25">
      <c r="I944"/>
      <c r="J944"/>
      <c r="K944" s="4"/>
      <c r="L944" s="3"/>
    </row>
    <row r="945" spans="9:12" x14ac:dyDescent="0.25">
      <c r="I945"/>
      <c r="J945"/>
      <c r="K945" s="4"/>
      <c r="L945" s="3"/>
    </row>
    <row r="946" spans="9:12" x14ac:dyDescent="0.25">
      <c r="I946" s="21"/>
      <c r="J946" s="21"/>
      <c r="K946" s="20"/>
      <c r="L946" s="22"/>
    </row>
    <row r="947" spans="9:12" x14ac:dyDescent="0.25">
      <c r="I947" s="21"/>
      <c r="J947" s="21"/>
      <c r="K947" s="20"/>
      <c r="L947" s="22"/>
    </row>
    <row r="948" spans="9:12" x14ac:dyDescent="0.25">
      <c r="I948" s="21"/>
      <c r="J948" s="21"/>
      <c r="K948" s="20"/>
      <c r="L948" s="22"/>
    </row>
    <row r="949" spans="9:12" x14ac:dyDescent="0.25">
      <c r="I949" s="21"/>
      <c r="J949" s="21"/>
      <c r="K949" s="20"/>
      <c r="L949" s="22"/>
    </row>
    <row r="950" spans="9:12" x14ac:dyDescent="0.25">
      <c r="I950" s="21"/>
      <c r="J950" s="21"/>
      <c r="K950" s="20"/>
      <c r="L950" s="22"/>
    </row>
    <row r="951" spans="9:12" x14ac:dyDescent="0.25">
      <c r="I951" s="21"/>
      <c r="J951" s="21"/>
      <c r="K951" s="20"/>
      <c r="L951" s="22"/>
    </row>
    <row r="952" spans="9:12" x14ac:dyDescent="0.25">
      <c r="I952" s="21"/>
      <c r="J952" s="21"/>
      <c r="K952" s="20"/>
      <c r="L952" s="22"/>
    </row>
    <row r="953" spans="9:12" x14ac:dyDescent="0.25">
      <c r="I953" s="21"/>
      <c r="J953" s="21"/>
      <c r="K953" s="20"/>
      <c r="L953" s="22"/>
    </row>
    <row r="954" spans="9:12" x14ac:dyDescent="0.25">
      <c r="I954" s="21"/>
      <c r="J954" s="21"/>
      <c r="K954" s="20"/>
      <c r="L954" s="22"/>
    </row>
    <row r="955" spans="9:12" x14ac:dyDescent="0.25">
      <c r="I955" s="21"/>
      <c r="J955" s="21"/>
      <c r="K955" s="20"/>
      <c r="L955" s="22"/>
    </row>
    <row r="956" spans="9:12" x14ac:dyDescent="0.25">
      <c r="I956" s="21"/>
      <c r="J956" s="21"/>
      <c r="K956" s="20"/>
      <c r="L956" s="22"/>
    </row>
    <row r="957" spans="9:12" x14ac:dyDescent="0.25">
      <c r="I957" s="21"/>
      <c r="J957" s="21"/>
      <c r="K957" s="20"/>
      <c r="L957" s="22"/>
    </row>
    <row r="958" spans="9:12" x14ac:dyDescent="0.25">
      <c r="I958" s="21"/>
      <c r="J958" s="21"/>
      <c r="K958" s="20"/>
      <c r="L958" s="22"/>
    </row>
    <row r="959" spans="9:12" x14ac:dyDescent="0.25">
      <c r="I959" s="21"/>
      <c r="J959" s="21"/>
      <c r="K959" s="20"/>
      <c r="L959" s="22"/>
    </row>
    <row r="960" spans="9:12" x14ac:dyDescent="0.25">
      <c r="I960" s="21"/>
      <c r="J960" s="21"/>
      <c r="K960" s="20"/>
      <c r="L960" s="22"/>
    </row>
    <row r="961" spans="9:12" x14ac:dyDescent="0.25">
      <c r="I961" s="21"/>
      <c r="J961" s="21"/>
      <c r="K961" s="20"/>
      <c r="L961" s="22"/>
    </row>
    <row r="962" spans="9:12" x14ac:dyDescent="0.25">
      <c r="I962" s="21"/>
      <c r="J962" s="21"/>
      <c r="K962" s="20"/>
      <c r="L962" s="22"/>
    </row>
    <row r="963" spans="9:12" x14ac:dyDescent="0.25">
      <c r="I963" s="21"/>
      <c r="J963" s="21"/>
      <c r="K963" s="20"/>
      <c r="L963" s="22"/>
    </row>
    <row r="964" spans="9:12" x14ac:dyDescent="0.25">
      <c r="I964" s="21"/>
      <c r="J964" s="21"/>
      <c r="K964" s="20"/>
      <c r="L964" s="22"/>
    </row>
    <row r="965" spans="9:12" x14ac:dyDescent="0.25">
      <c r="I965" s="21"/>
      <c r="J965" s="21"/>
      <c r="K965" s="20"/>
      <c r="L965" s="22"/>
    </row>
    <row r="966" spans="9:12" x14ac:dyDescent="0.25">
      <c r="I966" s="21"/>
      <c r="J966" s="21"/>
      <c r="K966" s="20"/>
      <c r="L966" s="22"/>
    </row>
    <row r="967" spans="9:12" x14ac:dyDescent="0.25">
      <c r="I967" s="21"/>
      <c r="J967" s="21"/>
      <c r="K967" s="20"/>
      <c r="L967" s="22"/>
    </row>
    <row r="968" spans="9:12" x14ac:dyDescent="0.25">
      <c r="I968" s="21"/>
      <c r="J968" s="21"/>
      <c r="K968" s="20"/>
      <c r="L968" s="22"/>
    </row>
    <row r="969" spans="9:12" x14ac:dyDescent="0.25">
      <c r="I969" s="21"/>
      <c r="J969" s="21"/>
      <c r="K969" s="20"/>
      <c r="L969" s="22"/>
    </row>
    <row r="970" spans="9:12" x14ac:dyDescent="0.25">
      <c r="I970" s="21"/>
      <c r="J970" s="21"/>
      <c r="K970" s="20"/>
      <c r="L970" s="22"/>
    </row>
    <row r="971" spans="9:12" x14ac:dyDescent="0.25">
      <c r="I971" s="21"/>
      <c r="J971" s="21"/>
      <c r="K971" s="20"/>
      <c r="L971" s="22"/>
    </row>
    <row r="972" spans="9:12" x14ac:dyDescent="0.25">
      <c r="I972" s="21"/>
      <c r="J972" s="21"/>
      <c r="K972" s="20"/>
      <c r="L972" s="22"/>
    </row>
    <row r="973" spans="9:12" x14ac:dyDescent="0.25">
      <c r="I973" s="21"/>
      <c r="J973" s="21"/>
      <c r="K973" s="20"/>
      <c r="L973" s="22"/>
    </row>
    <row r="974" spans="9:12" x14ac:dyDescent="0.25">
      <c r="I974" s="21"/>
      <c r="J974" s="21"/>
      <c r="K974" s="20"/>
      <c r="L974" s="22"/>
    </row>
    <row r="975" spans="9:12" x14ac:dyDescent="0.25">
      <c r="I975" s="21"/>
      <c r="J975" s="21"/>
      <c r="K975" s="20"/>
      <c r="L975" s="22"/>
    </row>
    <row r="976" spans="9:12" x14ac:dyDescent="0.25">
      <c r="I976" s="21"/>
      <c r="J976" s="21"/>
      <c r="K976" s="20"/>
      <c r="L976" s="22"/>
    </row>
    <row r="977" spans="9:12" x14ac:dyDescent="0.25">
      <c r="I977" s="21"/>
      <c r="J977" s="21"/>
      <c r="K977" s="20"/>
      <c r="L977" s="22"/>
    </row>
    <row r="978" spans="9:12" x14ac:dyDescent="0.25">
      <c r="I978" s="21"/>
      <c r="J978" s="21"/>
      <c r="K978" s="20"/>
      <c r="L978" s="22"/>
    </row>
    <row r="979" spans="9:12" x14ac:dyDescent="0.25">
      <c r="I979" s="21"/>
      <c r="J979" s="21"/>
      <c r="K979" s="20"/>
      <c r="L979" s="22"/>
    </row>
    <row r="980" spans="9:12" x14ac:dyDescent="0.25">
      <c r="I980" s="21"/>
      <c r="J980" s="21"/>
      <c r="K980" s="20"/>
      <c r="L980" s="22"/>
    </row>
    <row r="981" spans="9:12" x14ac:dyDescent="0.25">
      <c r="I981" s="21"/>
      <c r="J981" s="21"/>
      <c r="K981" s="20"/>
      <c r="L981" s="22"/>
    </row>
    <row r="982" spans="9:12" x14ac:dyDescent="0.25">
      <c r="I982" s="21"/>
      <c r="J982" s="21"/>
      <c r="K982" s="20"/>
      <c r="L982" s="22"/>
    </row>
    <row r="983" spans="9:12" x14ac:dyDescent="0.25">
      <c r="I983" s="21"/>
      <c r="J983" s="21"/>
      <c r="K983" s="20"/>
      <c r="L983" s="22"/>
    </row>
    <row r="984" spans="9:12" x14ac:dyDescent="0.25">
      <c r="I984" s="21"/>
      <c r="J984" s="21"/>
      <c r="K984" s="20"/>
      <c r="L984" s="22"/>
    </row>
    <row r="985" spans="9:12" x14ac:dyDescent="0.25">
      <c r="I985" s="21"/>
      <c r="J985" s="21"/>
      <c r="K985" s="20"/>
      <c r="L985" s="22"/>
    </row>
    <row r="986" spans="9:12" x14ac:dyDescent="0.25">
      <c r="I986" s="21"/>
      <c r="J986" s="21"/>
      <c r="K986" s="20"/>
      <c r="L986" s="22"/>
    </row>
    <row r="987" spans="9:12" x14ac:dyDescent="0.25">
      <c r="I987" s="21"/>
      <c r="J987" s="21"/>
      <c r="K987" s="20"/>
      <c r="L987" s="22"/>
    </row>
    <row r="988" spans="9:12" x14ac:dyDescent="0.25">
      <c r="I988" s="21"/>
      <c r="J988" s="21"/>
      <c r="K988" s="20"/>
      <c r="L988" s="22"/>
    </row>
    <row r="989" spans="9:12" x14ac:dyDescent="0.25">
      <c r="I989" s="21"/>
      <c r="J989" s="21"/>
      <c r="K989" s="20"/>
      <c r="L989" s="22"/>
    </row>
    <row r="990" spans="9:12" x14ac:dyDescent="0.25">
      <c r="I990" s="21"/>
      <c r="J990" s="21"/>
      <c r="K990" s="20"/>
      <c r="L990" s="22"/>
    </row>
    <row r="991" spans="9:12" x14ac:dyDescent="0.25">
      <c r="I991" s="21"/>
      <c r="J991" s="21"/>
      <c r="K991" s="20"/>
      <c r="L991" s="22"/>
    </row>
    <row r="992" spans="9:12" x14ac:dyDescent="0.25">
      <c r="I992" s="21"/>
      <c r="J992" s="21"/>
      <c r="K992" s="20"/>
      <c r="L992" s="22"/>
    </row>
    <row r="993" spans="9:12" x14ac:dyDescent="0.25">
      <c r="I993" s="21"/>
      <c r="J993" s="21"/>
      <c r="K993" s="20"/>
      <c r="L993" s="22"/>
    </row>
    <row r="994" spans="9:12" x14ac:dyDescent="0.25">
      <c r="I994" s="21"/>
      <c r="J994" s="21"/>
      <c r="K994" s="20"/>
      <c r="L994" s="22"/>
    </row>
    <row r="995" spans="9:12" x14ac:dyDescent="0.25">
      <c r="I995" s="21"/>
      <c r="J995" s="21"/>
      <c r="K995" s="20"/>
      <c r="L995" s="22"/>
    </row>
    <row r="996" spans="9:12" x14ac:dyDescent="0.25">
      <c r="I996" s="21"/>
      <c r="J996" s="21"/>
      <c r="K996" s="20"/>
      <c r="L996" s="22"/>
    </row>
    <row r="997" spans="9:12" x14ac:dyDescent="0.25">
      <c r="I997" s="21"/>
      <c r="J997" s="21"/>
      <c r="K997" s="20"/>
      <c r="L997" s="22"/>
    </row>
    <row r="998" spans="9:12" x14ac:dyDescent="0.25">
      <c r="I998" s="21"/>
      <c r="J998" s="21"/>
      <c r="K998" s="20"/>
      <c r="L998" s="22"/>
    </row>
    <row r="999" spans="9:12" x14ac:dyDescent="0.25">
      <c r="I999" s="21"/>
      <c r="J999" s="21"/>
      <c r="K999" s="20"/>
      <c r="L999" s="22"/>
    </row>
    <row r="1000" spans="9:12" x14ac:dyDescent="0.25">
      <c r="I1000" s="21"/>
      <c r="J1000" s="21"/>
      <c r="K1000" s="20"/>
      <c r="L1000" s="22"/>
    </row>
    <row r="1001" spans="9:12" x14ac:dyDescent="0.25">
      <c r="I1001" s="21"/>
      <c r="J1001" s="21"/>
      <c r="K1001" s="20"/>
      <c r="L1001" s="22"/>
    </row>
    <row r="1002" spans="9:12" x14ac:dyDescent="0.25">
      <c r="I1002" s="21"/>
      <c r="J1002" s="21"/>
      <c r="K1002" s="20"/>
      <c r="L1002" s="22"/>
    </row>
    <row r="1003" spans="9:12" x14ac:dyDescent="0.25">
      <c r="I1003" s="21"/>
      <c r="J1003" s="21"/>
      <c r="K1003" s="20"/>
      <c r="L1003" s="22"/>
    </row>
    <row r="1004" spans="9:12" x14ac:dyDescent="0.25">
      <c r="I1004" s="21"/>
      <c r="J1004" s="21"/>
      <c r="K1004" s="20"/>
      <c r="L1004" s="22"/>
    </row>
    <row r="1005" spans="9:12" x14ac:dyDescent="0.25">
      <c r="I1005" s="21"/>
      <c r="J1005" s="21"/>
      <c r="K1005" s="20"/>
      <c r="L1005" s="22"/>
    </row>
    <row r="1006" spans="9:12" x14ac:dyDescent="0.25">
      <c r="I1006" s="21"/>
      <c r="J1006" s="21"/>
      <c r="K1006" s="20"/>
      <c r="L1006" s="22"/>
    </row>
    <row r="1007" spans="9:12" x14ac:dyDescent="0.25">
      <c r="I1007" s="21"/>
      <c r="J1007" s="21"/>
      <c r="K1007" s="20"/>
      <c r="L1007" s="22"/>
    </row>
    <row r="1008" spans="9:12" x14ac:dyDescent="0.25">
      <c r="I1008" s="21"/>
      <c r="J1008" s="21"/>
      <c r="K1008" s="20"/>
      <c r="L1008" s="22"/>
    </row>
    <row r="1009" spans="9:12" x14ac:dyDescent="0.25">
      <c r="I1009" s="21"/>
      <c r="J1009" s="21"/>
      <c r="K1009" s="20"/>
      <c r="L1009" s="22"/>
    </row>
    <row r="1010" spans="9:12" x14ac:dyDescent="0.25">
      <c r="I1010" s="21"/>
      <c r="J1010" s="21"/>
      <c r="K1010" s="20"/>
      <c r="L1010" s="22"/>
    </row>
    <row r="1011" spans="9:12" x14ac:dyDescent="0.25">
      <c r="I1011" s="21"/>
      <c r="J1011" s="21"/>
      <c r="K1011" s="20"/>
      <c r="L1011" s="22"/>
    </row>
    <row r="1012" spans="9:12" x14ac:dyDescent="0.25">
      <c r="I1012" s="21"/>
      <c r="J1012" s="21"/>
      <c r="K1012" s="20"/>
      <c r="L1012" s="22"/>
    </row>
    <row r="1013" spans="9:12" x14ac:dyDescent="0.25">
      <c r="I1013" s="21"/>
      <c r="J1013" s="21"/>
      <c r="K1013" s="20"/>
      <c r="L1013" s="22"/>
    </row>
    <row r="1014" spans="9:12" x14ac:dyDescent="0.25">
      <c r="I1014" s="21"/>
      <c r="J1014" s="21"/>
      <c r="K1014" s="20"/>
      <c r="L1014" s="22"/>
    </row>
    <row r="1015" spans="9:12" x14ac:dyDescent="0.25">
      <c r="I1015" s="21"/>
      <c r="J1015" s="21"/>
      <c r="K1015" s="20"/>
      <c r="L1015" s="22"/>
    </row>
    <row r="1016" spans="9:12" x14ac:dyDescent="0.25">
      <c r="I1016" s="21"/>
      <c r="J1016" s="21"/>
      <c r="K1016" s="20"/>
      <c r="L1016" s="22"/>
    </row>
    <row r="1017" spans="9:12" x14ac:dyDescent="0.25">
      <c r="I1017" s="21"/>
      <c r="J1017" s="21"/>
      <c r="K1017" s="20"/>
      <c r="L1017" s="22"/>
    </row>
    <row r="1018" spans="9:12" x14ac:dyDescent="0.25">
      <c r="I1018" s="21"/>
      <c r="J1018" s="21"/>
      <c r="K1018" s="20"/>
      <c r="L1018" s="22"/>
    </row>
    <row r="1019" spans="9:12" x14ac:dyDescent="0.25">
      <c r="I1019" s="21"/>
      <c r="J1019" s="21"/>
      <c r="K1019" s="20"/>
      <c r="L1019" s="22"/>
    </row>
    <row r="1020" spans="9:12" x14ac:dyDescent="0.25">
      <c r="I1020" s="21"/>
      <c r="J1020" s="21"/>
      <c r="K1020" s="20"/>
      <c r="L1020" s="22"/>
    </row>
    <row r="1021" spans="9:12" x14ac:dyDescent="0.25">
      <c r="I1021" s="21"/>
      <c r="J1021" s="21"/>
      <c r="K1021" s="20"/>
      <c r="L1021" s="22"/>
    </row>
    <row r="1022" spans="9:12" x14ac:dyDescent="0.25">
      <c r="I1022" s="21"/>
      <c r="J1022" s="21"/>
      <c r="K1022" s="20"/>
      <c r="L1022" s="22"/>
    </row>
    <row r="1023" spans="9:12" x14ac:dyDescent="0.25">
      <c r="I1023" s="21"/>
      <c r="J1023" s="21"/>
      <c r="K1023" s="20"/>
      <c r="L1023" s="22"/>
    </row>
    <row r="1024" spans="9:12" x14ac:dyDescent="0.25">
      <c r="I1024" s="21"/>
      <c r="J1024" s="21"/>
      <c r="K1024" s="20"/>
      <c r="L1024" s="22"/>
    </row>
    <row r="1025" spans="9:12" x14ac:dyDescent="0.25">
      <c r="I1025" s="21"/>
      <c r="J1025" s="21"/>
      <c r="K1025" s="20"/>
      <c r="L1025" s="22"/>
    </row>
    <row r="1026" spans="9:12" x14ac:dyDescent="0.25">
      <c r="I1026" s="21"/>
      <c r="J1026" s="21"/>
      <c r="K1026" s="20"/>
      <c r="L1026" s="22"/>
    </row>
    <row r="1027" spans="9:12" x14ac:dyDescent="0.25">
      <c r="I1027" s="21"/>
      <c r="J1027" s="21"/>
      <c r="K1027" s="20"/>
      <c r="L1027" s="22"/>
    </row>
    <row r="1028" spans="9:12" x14ac:dyDescent="0.25">
      <c r="I1028" s="21"/>
      <c r="J1028" s="21"/>
      <c r="K1028" s="20"/>
      <c r="L1028" s="22"/>
    </row>
    <row r="1029" spans="9:12" x14ac:dyDescent="0.25">
      <c r="I1029" s="21"/>
      <c r="J1029" s="21"/>
      <c r="K1029" s="20"/>
      <c r="L1029" s="22"/>
    </row>
    <row r="1030" spans="9:12" x14ac:dyDescent="0.25">
      <c r="I1030" s="21"/>
      <c r="J1030" s="21"/>
      <c r="K1030" s="20"/>
      <c r="L1030" s="22"/>
    </row>
    <row r="1031" spans="9:12" x14ac:dyDescent="0.25">
      <c r="I1031" s="21"/>
      <c r="J1031" s="21"/>
      <c r="K1031" s="20"/>
      <c r="L1031" s="22"/>
    </row>
    <row r="1032" spans="9:12" x14ac:dyDescent="0.25">
      <c r="I1032" s="21"/>
      <c r="J1032" s="21"/>
      <c r="K1032" s="20"/>
      <c r="L1032" s="22"/>
    </row>
    <row r="1033" spans="9:12" x14ac:dyDescent="0.25">
      <c r="I1033" s="21"/>
      <c r="J1033" s="21"/>
      <c r="K1033" s="20"/>
      <c r="L1033" s="22"/>
    </row>
    <row r="1034" spans="9:12" x14ac:dyDescent="0.25">
      <c r="I1034" s="21"/>
      <c r="J1034" s="21"/>
      <c r="K1034" s="20"/>
      <c r="L1034" s="22"/>
    </row>
    <row r="1035" spans="9:12" x14ac:dyDescent="0.25">
      <c r="I1035" s="21"/>
      <c r="J1035" s="21"/>
      <c r="K1035" s="20"/>
      <c r="L1035" s="22"/>
    </row>
    <row r="1036" spans="9:12" x14ac:dyDescent="0.25">
      <c r="I1036" s="21"/>
      <c r="J1036" s="21"/>
      <c r="K1036" s="20"/>
      <c r="L1036" s="22"/>
    </row>
    <row r="1037" spans="9:12" x14ac:dyDescent="0.25">
      <c r="I1037" s="21"/>
      <c r="J1037" s="21"/>
      <c r="K1037" s="20"/>
      <c r="L1037" s="22"/>
    </row>
    <row r="1038" spans="9:12" x14ac:dyDescent="0.25">
      <c r="I1038" s="21"/>
      <c r="J1038" s="21"/>
      <c r="K1038" s="20"/>
      <c r="L1038" s="22"/>
    </row>
    <row r="1039" spans="9:12" x14ac:dyDescent="0.25">
      <c r="I1039" s="21"/>
      <c r="J1039" s="21"/>
      <c r="K1039" s="20"/>
      <c r="L1039" s="22"/>
    </row>
    <row r="1040" spans="9:12" x14ac:dyDescent="0.25">
      <c r="I1040" s="21"/>
      <c r="J1040" s="21"/>
      <c r="K1040" s="20"/>
      <c r="L1040" s="22"/>
    </row>
    <row r="1041" spans="9:12" x14ac:dyDescent="0.25">
      <c r="I1041" s="21"/>
      <c r="J1041" s="21"/>
      <c r="K1041" s="20"/>
      <c r="L1041" s="22"/>
    </row>
    <row r="1042" spans="9:12" x14ac:dyDescent="0.25">
      <c r="I1042" s="21"/>
      <c r="J1042" s="21"/>
      <c r="K1042" s="20"/>
      <c r="L1042" s="22"/>
    </row>
    <row r="1043" spans="9:12" x14ac:dyDescent="0.25">
      <c r="I1043" s="21"/>
      <c r="J1043" s="21"/>
      <c r="K1043" s="20"/>
      <c r="L1043" s="22"/>
    </row>
    <row r="1044" spans="9:12" x14ac:dyDescent="0.25">
      <c r="I1044" s="21"/>
      <c r="J1044" s="21"/>
      <c r="K1044" s="20"/>
      <c r="L1044" s="22"/>
    </row>
    <row r="1045" spans="9:12" x14ac:dyDescent="0.25">
      <c r="I1045" s="21"/>
      <c r="J1045" s="21"/>
      <c r="K1045" s="20"/>
      <c r="L1045" s="22"/>
    </row>
    <row r="1046" spans="9:12" x14ac:dyDescent="0.25">
      <c r="I1046" s="21"/>
      <c r="J1046" s="21"/>
      <c r="K1046" s="20"/>
      <c r="L1046" s="22"/>
    </row>
    <row r="1047" spans="9:12" x14ac:dyDescent="0.25">
      <c r="I1047" s="21"/>
      <c r="J1047" s="21"/>
      <c r="K1047" s="20"/>
      <c r="L1047" s="22"/>
    </row>
    <row r="1048" spans="9:12" x14ac:dyDescent="0.25">
      <c r="I1048" s="21"/>
      <c r="J1048" s="21"/>
      <c r="K1048" s="20"/>
      <c r="L1048" s="22"/>
    </row>
    <row r="1049" spans="9:12" x14ac:dyDescent="0.25">
      <c r="I1049" s="21"/>
      <c r="J1049" s="21"/>
      <c r="K1049" s="20"/>
      <c r="L1049" s="22"/>
    </row>
    <row r="1050" spans="9:12" x14ac:dyDescent="0.25">
      <c r="I1050" s="21"/>
      <c r="J1050" s="21"/>
      <c r="K1050" s="20"/>
      <c r="L1050" s="22"/>
    </row>
    <row r="1051" spans="9:12" x14ac:dyDescent="0.25">
      <c r="I1051" s="21"/>
      <c r="J1051" s="21"/>
      <c r="K1051" s="20"/>
      <c r="L1051" s="22"/>
    </row>
    <row r="1052" spans="9:12" x14ac:dyDescent="0.25">
      <c r="I1052" s="21"/>
      <c r="J1052" s="21"/>
      <c r="K1052" s="20"/>
      <c r="L1052" s="22"/>
    </row>
    <row r="1053" spans="9:12" x14ac:dyDescent="0.25">
      <c r="I1053" s="21"/>
      <c r="J1053" s="21"/>
      <c r="K1053" s="20"/>
      <c r="L1053" s="22"/>
    </row>
    <row r="1054" spans="9:12" x14ac:dyDescent="0.25">
      <c r="I1054" s="21"/>
      <c r="J1054" s="21"/>
      <c r="K1054" s="20"/>
      <c r="L1054" s="22"/>
    </row>
    <row r="1055" spans="9:12" x14ac:dyDescent="0.25">
      <c r="I1055" s="21"/>
      <c r="J1055" s="21"/>
      <c r="K1055" s="20"/>
      <c r="L1055" s="22"/>
    </row>
    <row r="1056" spans="9:12" x14ac:dyDescent="0.25">
      <c r="I1056" s="21"/>
      <c r="J1056" s="21"/>
      <c r="K1056" s="20"/>
      <c r="L1056" s="22"/>
    </row>
    <row r="1057" spans="9:12" x14ac:dyDescent="0.25">
      <c r="I1057" s="21"/>
      <c r="J1057" s="21"/>
      <c r="K1057" s="20"/>
      <c r="L1057" s="22"/>
    </row>
    <row r="1058" spans="9:12" x14ac:dyDescent="0.25">
      <c r="I1058" s="21"/>
      <c r="J1058" s="21"/>
      <c r="K1058" s="20"/>
      <c r="L1058" s="22"/>
    </row>
    <row r="1059" spans="9:12" x14ac:dyDescent="0.25">
      <c r="I1059" s="21"/>
      <c r="J1059" s="21"/>
      <c r="K1059" s="20"/>
      <c r="L1059" s="22"/>
    </row>
    <row r="1060" spans="9:12" x14ac:dyDescent="0.25">
      <c r="I1060" s="21"/>
      <c r="J1060" s="21"/>
      <c r="K1060" s="20"/>
      <c r="L1060" s="22"/>
    </row>
    <row r="1061" spans="9:12" x14ac:dyDescent="0.25">
      <c r="I1061" s="21"/>
      <c r="J1061" s="21"/>
      <c r="K1061" s="20"/>
      <c r="L1061" s="22"/>
    </row>
    <row r="1062" spans="9:12" x14ac:dyDescent="0.25">
      <c r="I1062" s="21"/>
      <c r="J1062" s="21"/>
      <c r="K1062" s="20"/>
      <c r="L1062" s="22"/>
    </row>
    <row r="1063" spans="9:12" x14ac:dyDescent="0.25">
      <c r="I1063" s="21"/>
      <c r="J1063" s="21"/>
      <c r="K1063" s="20"/>
      <c r="L1063" s="22"/>
    </row>
    <row r="1064" spans="9:12" x14ac:dyDescent="0.25">
      <c r="I1064" s="21"/>
      <c r="J1064" s="21"/>
      <c r="K1064" s="20"/>
      <c r="L1064" s="22"/>
    </row>
    <row r="1065" spans="9:12" x14ac:dyDescent="0.25">
      <c r="I1065" s="21"/>
      <c r="J1065" s="21"/>
      <c r="K1065" s="20"/>
      <c r="L1065" s="22"/>
    </row>
    <row r="1066" spans="9:12" x14ac:dyDescent="0.25">
      <c r="I1066" s="21"/>
      <c r="J1066" s="21"/>
      <c r="K1066" s="20"/>
      <c r="L1066" s="22"/>
    </row>
    <row r="1067" spans="9:12" x14ac:dyDescent="0.25">
      <c r="I1067" s="21"/>
      <c r="J1067" s="21"/>
      <c r="K1067" s="20"/>
      <c r="L1067" s="22"/>
    </row>
    <row r="1068" spans="9:12" x14ac:dyDescent="0.25">
      <c r="I1068" s="21"/>
      <c r="J1068" s="21"/>
      <c r="K1068" s="20"/>
      <c r="L1068" s="22"/>
    </row>
    <row r="1069" spans="9:12" x14ac:dyDescent="0.25">
      <c r="I1069" s="21"/>
      <c r="J1069" s="21"/>
      <c r="K1069" s="20"/>
      <c r="L1069" s="22"/>
    </row>
    <row r="1070" spans="9:12" x14ac:dyDescent="0.25">
      <c r="I1070" s="21"/>
      <c r="J1070" s="21"/>
      <c r="K1070" s="20"/>
      <c r="L1070" s="22"/>
    </row>
    <row r="1071" spans="9:12" x14ac:dyDescent="0.25">
      <c r="I1071" s="21"/>
      <c r="J1071" s="21"/>
      <c r="K1071" s="20"/>
      <c r="L1071" s="22"/>
    </row>
    <row r="1072" spans="9:12" x14ac:dyDescent="0.25">
      <c r="I1072" s="21"/>
      <c r="J1072" s="21"/>
      <c r="K1072" s="20"/>
      <c r="L1072" s="22"/>
    </row>
    <row r="1073" spans="9:12" x14ac:dyDescent="0.25">
      <c r="I1073" s="21"/>
      <c r="J1073" s="21"/>
      <c r="K1073" s="20"/>
      <c r="L1073" s="22"/>
    </row>
    <row r="1074" spans="9:12" x14ac:dyDescent="0.25">
      <c r="I1074" s="21"/>
      <c r="J1074" s="21"/>
      <c r="K1074" s="20"/>
      <c r="L1074" s="22"/>
    </row>
    <row r="1075" spans="9:12" x14ac:dyDescent="0.25">
      <c r="I1075" s="21"/>
      <c r="J1075" s="21"/>
      <c r="K1075" s="20"/>
      <c r="L1075" s="22"/>
    </row>
    <row r="1076" spans="9:12" x14ac:dyDescent="0.25">
      <c r="I1076" s="21"/>
      <c r="J1076" s="21"/>
      <c r="K1076" s="20"/>
      <c r="L1076" s="22"/>
    </row>
    <row r="1077" spans="9:12" x14ac:dyDescent="0.25">
      <c r="I1077" s="21"/>
      <c r="J1077" s="21"/>
      <c r="K1077" s="20"/>
      <c r="L1077" s="22"/>
    </row>
    <row r="1078" spans="9:12" x14ac:dyDescent="0.25">
      <c r="I1078" s="21"/>
      <c r="J1078" s="21"/>
      <c r="K1078" s="20"/>
      <c r="L1078" s="22"/>
    </row>
    <row r="1079" spans="9:12" x14ac:dyDescent="0.25">
      <c r="I1079" s="21"/>
      <c r="J1079" s="21"/>
      <c r="K1079" s="20"/>
      <c r="L1079" s="22"/>
    </row>
    <row r="1080" spans="9:12" x14ac:dyDescent="0.25">
      <c r="I1080" s="21"/>
      <c r="J1080" s="21"/>
      <c r="K1080" s="20"/>
      <c r="L1080" s="22"/>
    </row>
    <row r="1081" spans="9:12" x14ac:dyDescent="0.25">
      <c r="I1081" s="21"/>
      <c r="J1081" s="21"/>
      <c r="K1081" s="20"/>
      <c r="L1081" s="22"/>
    </row>
    <row r="1082" spans="9:12" x14ac:dyDescent="0.25">
      <c r="I1082" s="21"/>
      <c r="J1082" s="21"/>
      <c r="K1082" s="20"/>
      <c r="L1082" s="22"/>
    </row>
    <row r="1083" spans="9:12" x14ac:dyDescent="0.25">
      <c r="I1083" s="21"/>
      <c r="J1083" s="21"/>
      <c r="K1083" s="20"/>
      <c r="L1083" s="22"/>
    </row>
    <row r="1084" spans="9:12" x14ac:dyDescent="0.25">
      <c r="I1084" s="21"/>
      <c r="J1084" s="21"/>
      <c r="K1084" s="20"/>
      <c r="L1084" s="22"/>
    </row>
    <row r="1085" spans="9:12" x14ac:dyDescent="0.25">
      <c r="I1085" s="21"/>
      <c r="J1085" s="21"/>
      <c r="K1085" s="20"/>
      <c r="L1085" s="22"/>
    </row>
    <row r="1086" spans="9:12" x14ac:dyDescent="0.25">
      <c r="I1086" s="21"/>
      <c r="J1086" s="21"/>
      <c r="K1086" s="20"/>
      <c r="L1086" s="22"/>
    </row>
    <row r="1087" spans="9:12" x14ac:dyDescent="0.25">
      <c r="I1087" s="21"/>
      <c r="J1087" s="21"/>
      <c r="K1087" s="20"/>
      <c r="L1087" s="22"/>
    </row>
    <row r="1088" spans="9:12" x14ac:dyDescent="0.25">
      <c r="I1088" s="21"/>
      <c r="J1088" s="21"/>
      <c r="K1088" s="20"/>
      <c r="L1088" s="22"/>
    </row>
    <row r="1089" spans="9:12" x14ac:dyDescent="0.25">
      <c r="I1089" s="21"/>
      <c r="J1089" s="21"/>
      <c r="K1089" s="20"/>
      <c r="L1089" s="22"/>
    </row>
    <row r="1090" spans="9:12" x14ac:dyDescent="0.25">
      <c r="I1090" s="21"/>
      <c r="J1090" s="21"/>
      <c r="K1090" s="20"/>
      <c r="L1090" s="22"/>
    </row>
    <row r="1091" spans="9:12" x14ac:dyDescent="0.25">
      <c r="I1091" s="21"/>
      <c r="J1091" s="21"/>
      <c r="K1091" s="20"/>
      <c r="L1091" s="22"/>
    </row>
    <row r="1092" spans="9:12" x14ac:dyDescent="0.25">
      <c r="I1092" s="21"/>
      <c r="J1092" s="21"/>
      <c r="K1092" s="20"/>
      <c r="L1092" s="22"/>
    </row>
    <row r="1093" spans="9:12" x14ac:dyDescent="0.25">
      <c r="I1093" s="21"/>
      <c r="J1093" s="21"/>
      <c r="K1093" s="20"/>
      <c r="L1093" s="22"/>
    </row>
    <row r="1094" spans="9:12" x14ac:dyDescent="0.25">
      <c r="I1094" s="21"/>
      <c r="J1094" s="21"/>
      <c r="K1094" s="20"/>
      <c r="L1094" s="22"/>
    </row>
    <row r="1095" spans="9:12" x14ac:dyDescent="0.25">
      <c r="I1095" s="21"/>
      <c r="J1095" s="21"/>
      <c r="K1095" s="20"/>
      <c r="L1095" s="22"/>
    </row>
    <row r="1096" spans="9:12" x14ac:dyDescent="0.25">
      <c r="I1096" s="21"/>
      <c r="J1096" s="21"/>
      <c r="K1096" s="20"/>
      <c r="L1096" s="22"/>
    </row>
    <row r="1097" spans="9:12" x14ac:dyDescent="0.25">
      <c r="I1097" s="21"/>
      <c r="J1097" s="21"/>
      <c r="K1097" s="20"/>
      <c r="L1097" s="22"/>
    </row>
    <row r="1098" spans="9:12" x14ac:dyDescent="0.25">
      <c r="I1098" s="21"/>
      <c r="J1098" s="21"/>
      <c r="K1098" s="20"/>
      <c r="L1098" s="22"/>
    </row>
    <row r="1099" spans="9:12" x14ac:dyDescent="0.25">
      <c r="I1099" s="21"/>
      <c r="J1099" s="21"/>
      <c r="K1099" s="20"/>
      <c r="L1099" s="22"/>
    </row>
    <row r="1100" spans="9:12" x14ac:dyDescent="0.25">
      <c r="I1100" s="21"/>
      <c r="J1100" s="21"/>
      <c r="K1100" s="20"/>
      <c r="L1100" s="22"/>
    </row>
    <row r="1101" spans="9:12" x14ac:dyDescent="0.25">
      <c r="I1101" s="21"/>
      <c r="J1101" s="21"/>
      <c r="K1101" s="20"/>
      <c r="L1101" s="22"/>
    </row>
    <row r="1102" spans="9:12" x14ac:dyDescent="0.25">
      <c r="I1102" s="21"/>
      <c r="J1102" s="21"/>
      <c r="K1102" s="20"/>
      <c r="L1102" s="22"/>
    </row>
    <row r="1103" spans="9:12" x14ac:dyDescent="0.25">
      <c r="I1103" s="21"/>
      <c r="J1103" s="21"/>
      <c r="K1103" s="20"/>
      <c r="L1103" s="22"/>
    </row>
    <row r="1104" spans="9:12" x14ac:dyDescent="0.25">
      <c r="I1104" s="21"/>
      <c r="J1104" s="21"/>
      <c r="K1104" s="20"/>
      <c r="L1104" s="22"/>
    </row>
    <row r="1105" spans="9:12" x14ac:dyDescent="0.25">
      <c r="I1105" s="21"/>
      <c r="J1105" s="21"/>
      <c r="K1105" s="20"/>
      <c r="L1105" s="22"/>
    </row>
    <row r="1106" spans="9:12" x14ac:dyDescent="0.25">
      <c r="I1106" s="21"/>
      <c r="J1106" s="21"/>
      <c r="K1106" s="20"/>
      <c r="L1106" s="22"/>
    </row>
    <row r="1107" spans="9:12" x14ac:dyDescent="0.25">
      <c r="I1107" s="21"/>
      <c r="J1107" s="21"/>
      <c r="K1107" s="20"/>
      <c r="L1107" s="22"/>
    </row>
    <row r="1108" spans="9:12" x14ac:dyDescent="0.25">
      <c r="I1108" s="21"/>
      <c r="J1108" s="21"/>
      <c r="K1108" s="20"/>
      <c r="L1108" s="22"/>
    </row>
    <row r="1109" spans="9:12" x14ac:dyDescent="0.25">
      <c r="I1109" s="21"/>
      <c r="J1109" s="21"/>
      <c r="K1109" s="20"/>
      <c r="L1109" s="22"/>
    </row>
    <row r="1110" spans="9:12" x14ac:dyDescent="0.25">
      <c r="I1110" s="21"/>
      <c r="J1110" s="21"/>
      <c r="K1110" s="20"/>
      <c r="L1110" s="22"/>
    </row>
    <row r="1111" spans="9:12" x14ac:dyDescent="0.25">
      <c r="I1111" s="21"/>
      <c r="J1111" s="21"/>
      <c r="K1111" s="20"/>
      <c r="L1111" s="22"/>
    </row>
    <row r="1112" spans="9:12" x14ac:dyDescent="0.25">
      <c r="I1112" s="21"/>
      <c r="J1112" s="21"/>
      <c r="K1112" s="20"/>
      <c r="L1112" s="22"/>
    </row>
    <row r="1113" spans="9:12" x14ac:dyDescent="0.25">
      <c r="I1113" s="21"/>
      <c r="J1113" s="21"/>
      <c r="K1113" s="20"/>
      <c r="L1113" s="22"/>
    </row>
    <row r="1114" spans="9:12" x14ac:dyDescent="0.25">
      <c r="I1114" s="21"/>
      <c r="J1114" s="21"/>
      <c r="K1114" s="20"/>
      <c r="L1114" s="22"/>
    </row>
    <row r="1115" spans="9:12" x14ac:dyDescent="0.25">
      <c r="I1115" s="21"/>
      <c r="J1115" s="21"/>
      <c r="K1115" s="20"/>
      <c r="L1115" s="22"/>
    </row>
    <row r="1116" spans="9:12" x14ac:dyDescent="0.25">
      <c r="I1116" s="21"/>
      <c r="J1116" s="21"/>
      <c r="K1116" s="20"/>
      <c r="L1116" s="22"/>
    </row>
    <row r="1117" spans="9:12" x14ac:dyDescent="0.25">
      <c r="I1117" s="21"/>
      <c r="J1117" s="21"/>
      <c r="K1117" s="20"/>
      <c r="L1117" s="22"/>
    </row>
    <row r="1118" spans="9:12" x14ac:dyDescent="0.25">
      <c r="I1118" s="21"/>
      <c r="J1118" s="21"/>
      <c r="K1118" s="20"/>
      <c r="L1118" s="22"/>
    </row>
    <row r="1119" spans="9:12" x14ac:dyDescent="0.25">
      <c r="I1119" s="21"/>
      <c r="J1119" s="21"/>
      <c r="K1119" s="20"/>
      <c r="L1119" s="22"/>
    </row>
    <row r="1120" spans="9:12" x14ac:dyDescent="0.25">
      <c r="I1120" s="21"/>
      <c r="J1120" s="21"/>
      <c r="K1120" s="20"/>
      <c r="L1120" s="22"/>
    </row>
    <row r="1121" spans="9:12" x14ac:dyDescent="0.25">
      <c r="I1121" s="21"/>
      <c r="J1121" s="21"/>
      <c r="K1121" s="20"/>
      <c r="L1121" s="22"/>
    </row>
    <row r="1122" spans="9:12" x14ac:dyDescent="0.25">
      <c r="I1122" s="21"/>
      <c r="J1122" s="21"/>
      <c r="K1122" s="20"/>
      <c r="L1122" s="22"/>
    </row>
    <row r="1123" spans="9:12" x14ac:dyDescent="0.25">
      <c r="I1123" s="21"/>
      <c r="J1123" s="21"/>
      <c r="K1123" s="20"/>
      <c r="L1123" s="22"/>
    </row>
    <row r="1124" spans="9:12" x14ac:dyDescent="0.25">
      <c r="I1124" s="21"/>
      <c r="J1124" s="21"/>
      <c r="K1124" s="20"/>
      <c r="L1124" s="22"/>
    </row>
    <row r="1125" spans="9:12" x14ac:dyDescent="0.25">
      <c r="I1125" s="21"/>
      <c r="J1125" s="21"/>
      <c r="K1125" s="20"/>
      <c r="L1125" s="22"/>
    </row>
    <row r="1126" spans="9:12" x14ac:dyDescent="0.25">
      <c r="I1126" s="21"/>
      <c r="J1126" s="21"/>
      <c r="K1126" s="20"/>
      <c r="L1126" s="22"/>
    </row>
    <row r="1127" spans="9:12" x14ac:dyDescent="0.25">
      <c r="I1127" s="21"/>
      <c r="J1127" s="21"/>
      <c r="K1127" s="20"/>
      <c r="L1127" s="22"/>
    </row>
    <row r="1128" spans="9:12" x14ac:dyDescent="0.25">
      <c r="I1128" s="21"/>
      <c r="J1128" s="21"/>
      <c r="K1128" s="20"/>
      <c r="L1128" s="22"/>
    </row>
    <row r="1129" spans="9:12" x14ac:dyDescent="0.25">
      <c r="I1129" s="21"/>
      <c r="J1129" s="21"/>
      <c r="K1129" s="20"/>
      <c r="L1129" s="22"/>
    </row>
    <row r="1130" spans="9:12" x14ac:dyDescent="0.25">
      <c r="I1130" s="21"/>
      <c r="J1130" s="21"/>
      <c r="K1130" s="20"/>
      <c r="L1130" s="22"/>
    </row>
    <row r="1131" spans="9:12" x14ac:dyDescent="0.25">
      <c r="I1131" s="21"/>
      <c r="J1131" s="21"/>
      <c r="K1131" s="20"/>
      <c r="L1131" s="22"/>
    </row>
    <row r="1132" spans="9:12" x14ac:dyDescent="0.25">
      <c r="I1132" s="21"/>
      <c r="J1132" s="21"/>
      <c r="K1132" s="20"/>
      <c r="L1132" s="22"/>
    </row>
    <row r="1133" spans="9:12" x14ac:dyDescent="0.25">
      <c r="I1133" s="21"/>
      <c r="J1133" s="21"/>
      <c r="K1133" s="20"/>
      <c r="L1133" s="22"/>
    </row>
    <row r="1134" spans="9:12" x14ac:dyDescent="0.25">
      <c r="I1134" s="21"/>
      <c r="J1134" s="21"/>
      <c r="K1134" s="20"/>
      <c r="L1134" s="22"/>
    </row>
    <row r="1135" spans="9:12" x14ac:dyDescent="0.25">
      <c r="I1135" s="21"/>
      <c r="J1135" s="21"/>
      <c r="K1135" s="20"/>
      <c r="L1135" s="22"/>
    </row>
    <row r="1136" spans="9:12" x14ac:dyDescent="0.25">
      <c r="I1136" s="21"/>
      <c r="J1136" s="21"/>
      <c r="K1136" s="20"/>
      <c r="L1136" s="22"/>
    </row>
    <row r="1137" spans="9:12" x14ac:dyDescent="0.25">
      <c r="I1137" s="21"/>
      <c r="J1137" s="21"/>
      <c r="K1137" s="20"/>
      <c r="L1137" s="22"/>
    </row>
    <row r="1138" spans="9:12" x14ac:dyDescent="0.25">
      <c r="I1138" s="21"/>
      <c r="J1138" s="21"/>
      <c r="K1138" s="20"/>
      <c r="L1138" s="22"/>
    </row>
    <row r="1139" spans="9:12" x14ac:dyDescent="0.25">
      <c r="I1139" s="21"/>
      <c r="J1139" s="21"/>
      <c r="K1139" s="20"/>
      <c r="L1139" s="22"/>
    </row>
    <row r="1140" spans="9:12" x14ac:dyDescent="0.25">
      <c r="I1140" s="21"/>
      <c r="J1140" s="21"/>
      <c r="K1140" s="20"/>
      <c r="L1140" s="22"/>
    </row>
    <row r="1141" spans="9:12" x14ac:dyDescent="0.25">
      <c r="I1141" s="21"/>
      <c r="J1141" s="21"/>
      <c r="K1141" s="20"/>
      <c r="L1141" s="22"/>
    </row>
    <row r="1142" spans="9:12" x14ac:dyDescent="0.25">
      <c r="I1142" s="21"/>
      <c r="J1142" s="21"/>
      <c r="K1142" s="20"/>
      <c r="L1142" s="22"/>
    </row>
    <row r="1143" spans="9:12" x14ac:dyDescent="0.25">
      <c r="I1143" s="21"/>
      <c r="J1143" s="21"/>
      <c r="K1143" s="20"/>
      <c r="L1143" s="22"/>
    </row>
    <row r="1144" spans="9:12" x14ac:dyDescent="0.25">
      <c r="I1144" s="21"/>
      <c r="J1144" s="21"/>
      <c r="K1144" s="20"/>
      <c r="L1144" s="22"/>
    </row>
    <row r="1145" spans="9:12" x14ac:dyDescent="0.25">
      <c r="I1145" s="21"/>
      <c r="J1145" s="21"/>
      <c r="K1145" s="20"/>
      <c r="L1145" s="22"/>
    </row>
    <row r="1146" spans="9:12" x14ac:dyDescent="0.25">
      <c r="I1146" s="21"/>
      <c r="J1146" s="21"/>
      <c r="K1146" s="20"/>
      <c r="L1146" s="22"/>
    </row>
    <row r="1147" spans="9:12" x14ac:dyDescent="0.25">
      <c r="I1147" s="21"/>
      <c r="J1147" s="21"/>
      <c r="K1147" s="20"/>
      <c r="L1147" s="22"/>
    </row>
    <row r="1148" spans="9:12" x14ac:dyDescent="0.25">
      <c r="I1148" s="21"/>
      <c r="J1148" s="21"/>
      <c r="K1148" s="20"/>
      <c r="L1148" s="22"/>
    </row>
    <row r="1149" spans="9:12" x14ac:dyDescent="0.25">
      <c r="I1149" s="21"/>
      <c r="J1149" s="21"/>
      <c r="K1149" s="20"/>
      <c r="L1149" s="22"/>
    </row>
    <row r="1150" spans="9:12" x14ac:dyDescent="0.25">
      <c r="I1150" s="21"/>
      <c r="J1150" s="21"/>
      <c r="K1150" s="20"/>
      <c r="L1150" s="22"/>
    </row>
    <row r="1151" spans="9:12" x14ac:dyDescent="0.25">
      <c r="I1151" s="21"/>
      <c r="J1151" s="21"/>
      <c r="K1151" s="20"/>
      <c r="L1151" s="22"/>
    </row>
    <row r="1152" spans="9:12" x14ac:dyDescent="0.25">
      <c r="I1152" s="21"/>
      <c r="J1152" s="21"/>
      <c r="K1152" s="20"/>
      <c r="L1152" s="22"/>
    </row>
    <row r="1153" spans="9:12" x14ac:dyDescent="0.25">
      <c r="I1153" s="21"/>
      <c r="J1153" s="21"/>
      <c r="K1153" s="20"/>
      <c r="L1153" s="22"/>
    </row>
    <row r="1154" spans="9:12" x14ac:dyDescent="0.25">
      <c r="I1154" s="21"/>
      <c r="J1154" s="21"/>
      <c r="K1154" s="20"/>
      <c r="L1154" s="22"/>
    </row>
    <row r="1155" spans="9:12" x14ac:dyDescent="0.25">
      <c r="I1155" s="21"/>
      <c r="J1155" s="21"/>
      <c r="K1155" s="20"/>
      <c r="L1155" s="22"/>
    </row>
    <row r="1156" spans="9:12" x14ac:dyDescent="0.25">
      <c r="I1156" s="21"/>
      <c r="J1156" s="21"/>
      <c r="K1156" s="20"/>
      <c r="L1156" s="22"/>
    </row>
    <row r="1157" spans="9:12" x14ac:dyDescent="0.25">
      <c r="I1157" s="21"/>
      <c r="J1157" s="21"/>
      <c r="K1157" s="20"/>
      <c r="L1157" s="22"/>
    </row>
    <row r="1158" spans="9:12" x14ac:dyDescent="0.25">
      <c r="I1158" s="21"/>
      <c r="J1158" s="21"/>
      <c r="K1158" s="20"/>
      <c r="L1158" s="22"/>
    </row>
    <row r="1159" spans="9:12" x14ac:dyDescent="0.25">
      <c r="I1159" s="21"/>
      <c r="J1159" s="21"/>
      <c r="K1159" s="20"/>
      <c r="L1159" s="22"/>
    </row>
    <row r="1160" spans="9:12" x14ac:dyDescent="0.25">
      <c r="I1160" s="21"/>
      <c r="J1160" s="21"/>
      <c r="K1160" s="20"/>
      <c r="L1160" s="22"/>
    </row>
    <row r="1161" spans="9:12" x14ac:dyDescent="0.25">
      <c r="I1161" s="21"/>
      <c r="J1161" s="21"/>
      <c r="K1161" s="20"/>
      <c r="L1161" s="22"/>
    </row>
    <row r="1162" spans="9:12" x14ac:dyDescent="0.25">
      <c r="I1162" s="21"/>
      <c r="J1162" s="21"/>
      <c r="K1162" s="20"/>
      <c r="L1162" s="22"/>
    </row>
    <row r="1163" spans="9:12" x14ac:dyDescent="0.25">
      <c r="I1163" s="21"/>
      <c r="J1163" s="21"/>
      <c r="K1163" s="20"/>
      <c r="L1163" s="22"/>
    </row>
    <row r="1164" spans="9:12" x14ac:dyDescent="0.25">
      <c r="I1164" s="21"/>
      <c r="J1164" s="21"/>
      <c r="K1164" s="20"/>
      <c r="L1164" s="22"/>
    </row>
    <row r="1165" spans="9:12" x14ac:dyDescent="0.25">
      <c r="I1165" s="21"/>
      <c r="J1165" s="21"/>
      <c r="K1165" s="20"/>
      <c r="L1165" s="22"/>
    </row>
    <row r="1166" spans="9:12" x14ac:dyDescent="0.25">
      <c r="I1166" s="21"/>
      <c r="J1166" s="21"/>
      <c r="K1166" s="20"/>
      <c r="L1166" s="22"/>
    </row>
    <row r="1167" spans="9:12" x14ac:dyDescent="0.25">
      <c r="I1167" s="21"/>
      <c r="J1167" s="21"/>
      <c r="K1167" s="20"/>
      <c r="L1167" s="22"/>
    </row>
    <row r="1168" spans="9:12" x14ac:dyDescent="0.25">
      <c r="I1168" s="21"/>
      <c r="J1168" s="21"/>
      <c r="K1168" s="20"/>
      <c r="L1168" s="22"/>
    </row>
    <row r="1169" spans="9:12" x14ac:dyDescent="0.25">
      <c r="I1169" s="21"/>
      <c r="J1169" s="21"/>
      <c r="K1169" s="20"/>
      <c r="L1169" s="22"/>
    </row>
    <row r="1170" spans="9:12" x14ac:dyDescent="0.25">
      <c r="I1170" s="21"/>
      <c r="J1170" s="21"/>
      <c r="K1170" s="20"/>
      <c r="L1170" s="22"/>
    </row>
    <row r="1171" spans="9:12" x14ac:dyDescent="0.25">
      <c r="I1171" s="21"/>
      <c r="J1171" s="21"/>
      <c r="K1171" s="20"/>
      <c r="L1171" s="22"/>
    </row>
    <row r="1172" spans="9:12" x14ac:dyDescent="0.25">
      <c r="I1172" s="21"/>
      <c r="J1172" s="21"/>
      <c r="K1172" s="20"/>
      <c r="L1172" s="22"/>
    </row>
    <row r="1173" spans="9:12" x14ac:dyDescent="0.25">
      <c r="I1173" s="21"/>
      <c r="J1173" s="21"/>
      <c r="K1173" s="20"/>
      <c r="L1173" s="22"/>
    </row>
    <row r="1174" spans="9:12" x14ac:dyDescent="0.25">
      <c r="I1174" s="21"/>
      <c r="J1174" s="21"/>
      <c r="K1174" s="20"/>
      <c r="L1174" s="22"/>
    </row>
    <row r="1175" spans="9:12" x14ac:dyDescent="0.25">
      <c r="I1175" s="21"/>
      <c r="J1175" s="21"/>
      <c r="K1175" s="20"/>
      <c r="L1175" s="22"/>
    </row>
    <row r="1176" spans="9:12" x14ac:dyDescent="0.25">
      <c r="I1176" s="21"/>
      <c r="J1176" s="21"/>
      <c r="K1176" s="20"/>
      <c r="L1176" s="22"/>
    </row>
    <row r="1177" spans="9:12" x14ac:dyDescent="0.25">
      <c r="I1177" s="21"/>
      <c r="J1177" s="21"/>
      <c r="K1177" s="20"/>
      <c r="L1177" s="22"/>
    </row>
    <row r="1178" spans="9:12" x14ac:dyDescent="0.25">
      <c r="I1178" s="21"/>
      <c r="J1178" s="21"/>
      <c r="K1178" s="20"/>
      <c r="L1178" s="22"/>
    </row>
    <row r="1179" spans="9:12" x14ac:dyDescent="0.25">
      <c r="I1179" s="21"/>
      <c r="J1179" s="21"/>
      <c r="K1179" s="20"/>
      <c r="L1179" s="22"/>
    </row>
    <row r="1180" spans="9:12" x14ac:dyDescent="0.25">
      <c r="I1180" s="21"/>
      <c r="J1180" s="21"/>
      <c r="K1180" s="20"/>
      <c r="L1180" s="22"/>
    </row>
    <row r="1181" spans="9:12" x14ac:dyDescent="0.25">
      <c r="I1181" s="21"/>
      <c r="J1181" s="21"/>
      <c r="K1181" s="20"/>
      <c r="L1181" s="22"/>
    </row>
    <row r="1182" spans="9:12" x14ac:dyDescent="0.25">
      <c r="I1182" s="21"/>
      <c r="J1182" s="21"/>
      <c r="K1182" s="20"/>
      <c r="L1182" s="22"/>
    </row>
    <row r="1183" spans="9:12" x14ac:dyDescent="0.25">
      <c r="I1183" s="21"/>
      <c r="J1183" s="21"/>
      <c r="K1183" s="20"/>
      <c r="L1183" s="22"/>
    </row>
    <row r="1184" spans="9:12" x14ac:dyDescent="0.25">
      <c r="I1184" s="21"/>
      <c r="J1184" s="21"/>
      <c r="K1184" s="20"/>
      <c r="L1184" s="22"/>
    </row>
    <row r="1185" spans="9:12" x14ac:dyDescent="0.25">
      <c r="I1185" s="21"/>
      <c r="J1185" s="21"/>
      <c r="K1185" s="20"/>
      <c r="L1185" s="22"/>
    </row>
    <row r="1186" spans="9:12" x14ac:dyDescent="0.25">
      <c r="I1186" s="21"/>
      <c r="J1186" s="21"/>
      <c r="K1186" s="20"/>
      <c r="L1186" s="22"/>
    </row>
    <row r="1187" spans="9:12" x14ac:dyDescent="0.25">
      <c r="I1187" s="21"/>
      <c r="J1187" s="21"/>
      <c r="K1187" s="20"/>
      <c r="L1187" s="22"/>
    </row>
    <row r="1188" spans="9:12" x14ac:dyDescent="0.25">
      <c r="I1188" s="21"/>
      <c r="J1188" s="21"/>
      <c r="K1188" s="20"/>
      <c r="L1188" s="22"/>
    </row>
    <row r="1189" spans="9:12" x14ac:dyDescent="0.25">
      <c r="I1189" s="21"/>
      <c r="J1189" s="21"/>
      <c r="K1189" s="20"/>
      <c r="L1189" s="22"/>
    </row>
    <row r="1190" spans="9:12" x14ac:dyDescent="0.25">
      <c r="I1190" s="21"/>
      <c r="J1190" s="21"/>
      <c r="K1190" s="20"/>
      <c r="L1190" s="22"/>
    </row>
    <row r="1191" spans="9:12" x14ac:dyDescent="0.25">
      <c r="I1191" s="21"/>
      <c r="J1191" s="21"/>
      <c r="K1191" s="20"/>
      <c r="L1191" s="22"/>
    </row>
    <row r="1192" spans="9:12" x14ac:dyDescent="0.25">
      <c r="I1192" s="21"/>
      <c r="J1192" s="21"/>
      <c r="K1192" s="20"/>
      <c r="L1192" s="22"/>
    </row>
    <row r="1193" spans="9:12" x14ac:dyDescent="0.25">
      <c r="I1193" s="21"/>
      <c r="J1193" s="21"/>
      <c r="K1193" s="20"/>
      <c r="L1193" s="22"/>
    </row>
    <row r="1194" spans="9:12" x14ac:dyDescent="0.25">
      <c r="I1194" s="21"/>
      <c r="J1194" s="21"/>
      <c r="K1194" s="20"/>
      <c r="L1194" s="22"/>
    </row>
    <row r="1195" spans="9:12" x14ac:dyDescent="0.25">
      <c r="I1195" s="21"/>
      <c r="J1195" s="21"/>
      <c r="K1195" s="20"/>
      <c r="L1195" s="22"/>
    </row>
    <row r="1196" spans="9:12" x14ac:dyDescent="0.25">
      <c r="I1196" s="21"/>
      <c r="J1196" s="21"/>
      <c r="K1196" s="20"/>
      <c r="L1196" s="22"/>
    </row>
    <row r="1197" spans="9:12" x14ac:dyDescent="0.25">
      <c r="I1197" s="21"/>
      <c r="J1197" s="21"/>
      <c r="K1197" s="20"/>
      <c r="L1197" s="22"/>
    </row>
    <row r="1198" spans="9:12" x14ac:dyDescent="0.25">
      <c r="I1198" s="21"/>
      <c r="J1198" s="21"/>
      <c r="K1198" s="20"/>
      <c r="L1198" s="22"/>
    </row>
    <row r="1199" spans="9:12" x14ac:dyDescent="0.25">
      <c r="I1199" s="21"/>
      <c r="J1199" s="21"/>
      <c r="K1199" s="20"/>
      <c r="L1199" s="22"/>
    </row>
    <row r="1200" spans="9:12" x14ac:dyDescent="0.25">
      <c r="I1200" s="21"/>
      <c r="J1200" s="21"/>
      <c r="K1200" s="20"/>
      <c r="L1200" s="22"/>
    </row>
    <row r="1201" spans="9:12" x14ac:dyDescent="0.25">
      <c r="I1201" s="21"/>
      <c r="J1201" s="21"/>
      <c r="K1201" s="20"/>
      <c r="L1201" s="22"/>
    </row>
    <row r="1202" spans="9:12" x14ac:dyDescent="0.25">
      <c r="I1202" s="21"/>
      <c r="J1202" s="21"/>
      <c r="K1202" s="20"/>
      <c r="L1202" s="22"/>
    </row>
    <row r="1203" spans="9:12" x14ac:dyDescent="0.25">
      <c r="I1203" s="21"/>
      <c r="J1203" s="21"/>
      <c r="K1203" s="20"/>
      <c r="L1203" s="22"/>
    </row>
    <row r="1204" spans="9:12" x14ac:dyDescent="0.25">
      <c r="I1204" s="21"/>
      <c r="J1204" s="21"/>
      <c r="K1204" s="20"/>
      <c r="L1204" s="22"/>
    </row>
    <row r="1205" spans="9:12" x14ac:dyDescent="0.25">
      <c r="I1205" s="21"/>
      <c r="J1205" s="21"/>
      <c r="K1205" s="20"/>
      <c r="L1205" s="22"/>
    </row>
    <row r="1206" spans="9:12" x14ac:dyDescent="0.25">
      <c r="I1206" s="21"/>
      <c r="J1206" s="21"/>
      <c r="K1206" s="20"/>
      <c r="L1206" s="22"/>
    </row>
    <row r="1207" spans="9:12" x14ac:dyDescent="0.25">
      <c r="I1207" s="21"/>
      <c r="J1207" s="21"/>
      <c r="K1207" s="20"/>
      <c r="L1207" s="22"/>
    </row>
    <row r="1208" spans="9:12" x14ac:dyDescent="0.25">
      <c r="I1208" s="21"/>
      <c r="J1208" s="21"/>
      <c r="K1208" s="20"/>
      <c r="L1208" s="22"/>
    </row>
    <row r="1209" spans="9:12" x14ac:dyDescent="0.25">
      <c r="I1209" s="21"/>
      <c r="J1209" s="21"/>
      <c r="K1209" s="20"/>
      <c r="L1209" s="22"/>
    </row>
    <row r="1210" spans="9:12" x14ac:dyDescent="0.25">
      <c r="I1210" s="21"/>
      <c r="J1210" s="21"/>
      <c r="K1210" s="20"/>
      <c r="L1210" s="22"/>
    </row>
    <row r="1211" spans="9:12" x14ac:dyDescent="0.25">
      <c r="I1211" s="21"/>
      <c r="J1211" s="21"/>
      <c r="K1211" s="20"/>
      <c r="L1211" s="22"/>
    </row>
    <row r="1212" spans="9:12" x14ac:dyDescent="0.25">
      <c r="I1212" s="21"/>
      <c r="J1212" s="21"/>
      <c r="K1212" s="20"/>
      <c r="L1212" s="22"/>
    </row>
    <row r="1213" spans="9:12" x14ac:dyDescent="0.25">
      <c r="I1213" s="21"/>
      <c r="J1213" s="21"/>
      <c r="K1213" s="20"/>
      <c r="L1213" s="22"/>
    </row>
    <row r="1214" spans="9:12" x14ac:dyDescent="0.25">
      <c r="I1214" s="21"/>
      <c r="J1214" s="21"/>
      <c r="K1214" s="20"/>
      <c r="L1214" s="22"/>
    </row>
    <row r="1215" spans="9:12" x14ac:dyDescent="0.25">
      <c r="I1215" s="21"/>
      <c r="J1215" s="21"/>
      <c r="K1215" s="20"/>
      <c r="L1215" s="22"/>
    </row>
    <row r="1216" spans="9:12" x14ac:dyDescent="0.25">
      <c r="I1216" s="21"/>
      <c r="J1216" s="21"/>
      <c r="K1216" s="20"/>
      <c r="L1216" s="22"/>
    </row>
    <row r="1217" spans="9:12" x14ac:dyDescent="0.25">
      <c r="I1217" s="21"/>
      <c r="J1217" s="21"/>
      <c r="K1217" s="20"/>
      <c r="L1217" s="22"/>
    </row>
    <row r="1218" spans="9:12" x14ac:dyDescent="0.25">
      <c r="I1218" s="21"/>
      <c r="J1218" s="21"/>
      <c r="K1218" s="20"/>
      <c r="L1218" s="22"/>
    </row>
    <row r="1219" spans="9:12" x14ac:dyDescent="0.25">
      <c r="I1219" s="21"/>
      <c r="J1219" s="21"/>
      <c r="K1219" s="20"/>
      <c r="L1219" s="22"/>
    </row>
    <row r="1220" spans="9:12" x14ac:dyDescent="0.25">
      <c r="I1220" s="21"/>
      <c r="J1220" s="21"/>
      <c r="K1220" s="20"/>
      <c r="L1220" s="22"/>
    </row>
    <row r="1221" spans="9:12" x14ac:dyDescent="0.25">
      <c r="I1221" s="21"/>
      <c r="J1221" s="21"/>
      <c r="K1221" s="20"/>
      <c r="L1221" s="22"/>
    </row>
    <row r="1222" spans="9:12" x14ac:dyDescent="0.25">
      <c r="I1222" s="21"/>
      <c r="J1222" s="21"/>
      <c r="K1222" s="20"/>
      <c r="L1222" s="22"/>
    </row>
    <row r="1223" spans="9:12" x14ac:dyDescent="0.25">
      <c r="I1223" s="21"/>
      <c r="J1223" s="21"/>
      <c r="K1223" s="20"/>
      <c r="L1223" s="22"/>
    </row>
    <row r="1224" spans="9:12" x14ac:dyDescent="0.25">
      <c r="I1224" s="21"/>
      <c r="J1224" s="21"/>
      <c r="K1224" s="20"/>
      <c r="L1224" s="22"/>
    </row>
    <row r="1225" spans="9:12" x14ac:dyDescent="0.25">
      <c r="I1225" s="21"/>
      <c r="J1225" s="21"/>
      <c r="K1225" s="20"/>
      <c r="L1225" s="22"/>
    </row>
    <row r="1226" spans="9:12" x14ac:dyDescent="0.25">
      <c r="I1226" s="21"/>
      <c r="J1226" s="21"/>
      <c r="K1226" s="20"/>
      <c r="L1226" s="22"/>
    </row>
    <row r="1227" spans="9:12" x14ac:dyDescent="0.25">
      <c r="I1227" s="21"/>
      <c r="J1227" s="21"/>
      <c r="K1227" s="20"/>
      <c r="L1227" s="22"/>
    </row>
    <row r="1228" spans="9:12" x14ac:dyDescent="0.25">
      <c r="I1228" s="21"/>
      <c r="J1228" s="21"/>
      <c r="K1228" s="20"/>
      <c r="L1228" s="22"/>
    </row>
    <row r="1229" spans="9:12" x14ac:dyDescent="0.25">
      <c r="I1229" s="21"/>
      <c r="J1229" s="21"/>
      <c r="K1229" s="20"/>
      <c r="L1229" s="22"/>
    </row>
    <row r="1230" spans="9:12" x14ac:dyDescent="0.25">
      <c r="I1230" s="21"/>
      <c r="J1230" s="21"/>
      <c r="K1230" s="20"/>
      <c r="L1230" s="22"/>
    </row>
    <row r="1231" spans="9:12" x14ac:dyDescent="0.25">
      <c r="I1231" s="21"/>
      <c r="J1231" s="21"/>
      <c r="K1231" s="20"/>
      <c r="L1231" s="22"/>
    </row>
    <row r="1232" spans="9:12" x14ac:dyDescent="0.25">
      <c r="I1232" s="21"/>
      <c r="J1232" s="21"/>
      <c r="K1232" s="20"/>
      <c r="L1232" s="22"/>
    </row>
    <row r="1233" spans="9:12" x14ac:dyDescent="0.25">
      <c r="I1233" s="21"/>
      <c r="J1233" s="21"/>
      <c r="K1233" s="20"/>
      <c r="L1233" s="22"/>
    </row>
    <row r="1234" spans="9:12" x14ac:dyDescent="0.25">
      <c r="I1234" s="21"/>
      <c r="J1234" s="21"/>
      <c r="K1234" s="20"/>
      <c r="L1234" s="22"/>
    </row>
    <row r="1235" spans="9:12" x14ac:dyDescent="0.25">
      <c r="I1235" s="21"/>
      <c r="J1235" s="21"/>
      <c r="K1235" s="20"/>
      <c r="L1235" s="22"/>
    </row>
    <row r="1236" spans="9:12" x14ac:dyDescent="0.25">
      <c r="I1236" s="21"/>
      <c r="J1236" s="21"/>
      <c r="K1236" s="20"/>
      <c r="L1236" s="22"/>
    </row>
    <row r="1237" spans="9:12" x14ac:dyDescent="0.25">
      <c r="I1237" s="21"/>
      <c r="J1237" s="21"/>
      <c r="K1237" s="20"/>
      <c r="L1237" s="22"/>
    </row>
    <row r="1238" spans="9:12" x14ac:dyDescent="0.25">
      <c r="I1238" s="56"/>
      <c r="J1238" s="56"/>
      <c r="K1238" s="55"/>
      <c r="L1238" s="57"/>
    </row>
    <row r="1239" spans="9:12" x14ac:dyDescent="0.25">
      <c r="I1239" s="21"/>
      <c r="J1239" s="21"/>
      <c r="K1239" s="20"/>
      <c r="L1239" s="22"/>
    </row>
    <row r="1240" spans="9:12" x14ac:dyDescent="0.25">
      <c r="I1240" s="21"/>
      <c r="J1240" s="21"/>
      <c r="K1240" s="20"/>
      <c r="L1240" s="22"/>
    </row>
    <row r="1241" spans="9:12" x14ac:dyDescent="0.25">
      <c r="I1241" s="21"/>
      <c r="J1241" s="21"/>
      <c r="K1241" s="20"/>
      <c r="L1241" s="22"/>
    </row>
    <row r="1242" spans="9:12" x14ac:dyDescent="0.25">
      <c r="I1242" s="21"/>
      <c r="J1242" s="21"/>
      <c r="K1242" s="20"/>
      <c r="L1242" s="22"/>
    </row>
    <row r="1243" spans="9:12" x14ac:dyDescent="0.25">
      <c r="I1243" s="21"/>
      <c r="J1243" s="21"/>
      <c r="K1243" s="20"/>
      <c r="L1243" s="22"/>
    </row>
    <row r="1244" spans="9:12" x14ac:dyDescent="0.25">
      <c r="I1244" s="21"/>
      <c r="J1244" s="21"/>
      <c r="K1244" s="20"/>
      <c r="L1244" s="22"/>
    </row>
    <row r="1245" spans="9:12" x14ac:dyDescent="0.25">
      <c r="I1245" s="21"/>
      <c r="J1245" s="21"/>
      <c r="K1245" s="20"/>
      <c r="L1245" s="22"/>
    </row>
    <row r="1246" spans="9:12" x14ac:dyDescent="0.25">
      <c r="I1246" s="21"/>
      <c r="J1246" s="21"/>
      <c r="K1246" s="20"/>
      <c r="L1246" s="22"/>
    </row>
    <row r="1247" spans="9:12" x14ac:dyDescent="0.25">
      <c r="I1247" s="21"/>
      <c r="J1247" s="21"/>
      <c r="K1247" s="20"/>
      <c r="L1247" s="22"/>
    </row>
    <row r="1248" spans="9:12" x14ac:dyDescent="0.25">
      <c r="I1248" s="21"/>
      <c r="J1248" s="21"/>
      <c r="K1248" s="20"/>
      <c r="L1248" s="22"/>
    </row>
    <row r="1249" spans="9:12" x14ac:dyDescent="0.25">
      <c r="I1249" s="21"/>
      <c r="J1249" s="21"/>
      <c r="K1249" s="20"/>
      <c r="L1249" s="22"/>
    </row>
    <row r="1250" spans="9:12" x14ac:dyDescent="0.25">
      <c r="I1250" s="21"/>
      <c r="J1250" s="21"/>
      <c r="K1250" s="20"/>
      <c r="L1250" s="22"/>
    </row>
    <row r="1251" spans="9:12" x14ac:dyDescent="0.25">
      <c r="I1251" s="21"/>
      <c r="J1251" s="21"/>
      <c r="K1251" s="20"/>
      <c r="L1251" s="22"/>
    </row>
    <row r="1252" spans="9:12" x14ac:dyDescent="0.25">
      <c r="I1252" s="21"/>
      <c r="J1252" s="21"/>
      <c r="K1252" s="20"/>
      <c r="L1252" s="22"/>
    </row>
    <row r="1253" spans="9:12" x14ac:dyDescent="0.25">
      <c r="I1253" s="21"/>
      <c r="J1253" s="21"/>
      <c r="K1253" s="20"/>
      <c r="L1253" s="22"/>
    </row>
    <row r="1254" spans="9:12" x14ac:dyDescent="0.25">
      <c r="I1254" s="21"/>
      <c r="J1254" s="21"/>
      <c r="K1254" s="20"/>
      <c r="L1254" s="22"/>
    </row>
    <row r="1255" spans="9:12" x14ac:dyDescent="0.25">
      <c r="I1255" s="21"/>
      <c r="J1255" s="21"/>
      <c r="K1255" s="20"/>
      <c r="L1255" s="22"/>
    </row>
    <row r="1256" spans="9:12" x14ac:dyDescent="0.25">
      <c r="I1256" s="21"/>
      <c r="J1256" s="21"/>
      <c r="K1256" s="20"/>
      <c r="L1256" s="22"/>
    </row>
    <row r="1257" spans="9:12" x14ac:dyDescent="0.25">
      <c r="I1257" s="21"/>
      <c r="J1257" s="21"/>
      <c r="K1257" s="20"/>
      <c r="L1257" s="22"/>
    </row>
    <row r="1258" spans="9:12" x14ac:dyDescent="0.25">
      <c r="I1258" s="21"/>
      <c r="J1258" s="21"/>
      <c r="K1258" s="20"/>
      <c r="L1258" s="22"/>
    </row>
    <row r="1259" spans="9:12" x14ac:dyDescent="0.25">
      <c r="I1259" s="21"/>
      <c r="J1259" s="21"/>
      <c r="K1259" s="20"/>
      <c r="L1259" s="22"/>
    </row>
    <row r="1260" spans="9:12" x14ac:dyDescent="0.25">
      <c r="I1260" s="21"/>
      <c r="J1260" s="21"/>
      <c r="K1260" s="20"/>
      <c r="L1260" s="22"/>
    </row>
    <row r="1261" spans="9:12" x14ac:dyDescent="0.25">
      <c r="I1261" s="21"/>
      <c r="J1261" s="21"/>
      <c r="K1261" s="20"/>
      <c r="L1261" s="22"/>
    </row>
    <row r="1262" spans="9:12" x14ac:dyDescent="0.25">
      <c r="I1262" s="21"/>
      <c r="J1262" s="21"/>
      <c r="K1262" s="20"/>
      <c r="L1262" s="22"/>
    </row>
    <row r="1263" spans="9:12" x14ac:dyDescent="0.25">
      <c r="I1263" s="21"/>
      <c r="J1263" s="21"/>
      <c r="K1263" s="20"/>
      <c r="L1263" s="22"/>
    </row>
    <row r="1264" spans="9:12" x14ac:dyDescent="0.25">
      <c r="I1264" s="21"/>
      <c r="J1264" s="21"/>
      <c r="K1264" s="20"/>
      <c r="L1264" s="22"/>
    </row>
    <row r="1265" spans="9:12" x14ac:dyDescent="0.25">
      <c r="I1265" s="21"/>
      <c r="J1265" s="21"/>
      <c r="K1265" s="20"/>
      <c r="L1265" s="22"/>
    </row>
    <row r="1266" spans="9:12" x14ac:dyDescent="0.25">
      <c r="I1266" s="21"/>
      <c r="J1266" s="21"/>
      <c r="K1266" s="20"/>
      <c r="L1266" s="22"/>
    </row>
    <row r="1267" spans="9:12" x14ac:dyDescent="0.25">
      <c r="I1267" s="21"/>
      <c r="J1267" s="21"/>
      <c r="K1267" s="20"/>
      <c r="L1267" s="22"/>
    </row>
    <row r="1268" spans="9:12" x14ac:dyDescent="0.25">
      <c r="I1268" s="21"/>
      <c r="J1268" s="21"/>
      <c r="K1268" s="20"/>
      <c r="L1268" s="22"/>
    </row>
    <row r="1269" spans="9:12" x14ac:dyDescent="0.25">
      <c r="I1269" s="21"/>
      <c r="J1269" s="21"/>
      <c r="K1269" s="20"/>
      <c r="L1269" s="22"/>
    </row>
    <row r="1270" spans="9:12" x14ac:dyDescent="0.25">
      <c r="I1270" s="21"/>
      <c r="J1270" s="21"/>
      <c r="K1270" s="20"/>
      <c r="L1270" s="22"/>
    </row>
    <row r="1271" spans="9:12" x14ac:dyDescent="0.25">
      <c r="I1271" s="21"/>
      <c r="J1271" s="21"/>
      <c r="K1271" s="20"/>
      <c r="L1271" s="22"/>
    </row>
    <row r="1272" spans="9:12" x14ac:dyDescent="0.25">
      <c r="I1272" s="21"/>
      <c r="J1272" s="21"/>
      <c r="K1272" s="20"/>
      <c r="L1272" s="22"/>
    </row>
    <row r="1273" spans="9:12" x14ac:dyDescent="0.25">
      <c r="I1273" s="21"/>
      <c r="J1273" s="21"/>
      <c r="K1273" s="20"/>
      <c r="L1273" s="22"/>
    </row>
    <row r="1274" spans="9:12" x14ac:dyDescent="0.25">
      <c r="I1274" s="21"/>
      <c r="J1274" s="21"/>
      <c r="K1274" s="20"/>
      <c r="L1274" s="22"/>
    </row>
    <row r="1275" spans="9:12" x14ac:dyDescent="0.25">
      <c r="I1275" s="21"/>
      <c r="J1275" s="21"/>
      <c r="K1275" s="20"/>
      <c r="L1275" s="22"/>
    </row>
    <row r="1276" spans="9:12" x14ac:dyDescent="0.25">
      <c r="I1276" s="21"/>
      <c r="J1276" s="21"/>
      <c r="K1276" s="20"/>
      <c r="L1276" s="22"/>
    </row>
    <row r="1277" spans="9:12" x14ac:dyDescent="0.25">
      <c r="I1277" s="21"/>
      <c r="J1277" s="21"/>
      <c r="K1277" s="20"/>
      <c r="L1277" s="22"/>
    </row>
    <row r="1278" spans="9:12" x14ac:dyDescent="0.25">
      <c r="I1278" s="21"/>
      <c r="J1278" s="21"/>
      <c r="K1278" s="20"/>
      <c r="L1278" s="22"/>
    </row>
    <row r="1279" spans="9:12" x14ac:dyDescent="0.25">
      <c r="I1279" s="21"/>
      <c r="J1279" s="21"/>
      <c r="K1279" s="20"/>
      <c r="L1279" s="22"/>
    </row>
    <row r="1280" spans="9:12" x14ac:dyDescent="0.25">
      <c r="I1280" s="21"/>
      <c r="J1280" s="21"/>
      <c r="K1280" s="20"/>
      <c r="L1280" s="22"/>
    </row>
    <row r="1281" spans="9:12" x14ac:dyDescent="0.25">
      <c r="I1281" s="21"/>
      <c r="J1281" s="21"/>
      <c r="K1281" s="20"/>
      <c r="L1281" s="22"/>
    </row>
    <row r="1282" spans="9:12" x14ac:dyDescent="0.25">
      <c r="I1282" s="21"/>
      <c r="J1282" s="21"/>
      <c r="K1282" s="20"/>
      <c r="L1282" s="22"/>
    </row>
    <row r="1283" spans="9:12" x14ac:dyDescent="0.25">
      <c r="I1283" s="21"/>
      <c r="J1283" s="21"/>
      <c r="K1283" s="20"/>
      <c r="L1283" s="22"/>
    </row>
    <row r="1284" spans="9:12" x14ac:dyDescent="0.25">
      <c r="I1284" s="21"/>
      <c r="J1284" s="21"/>
      <c r="K1284" s="20"/>
      <c r="L1284" s="22"/>
    </row>
    <row r="1285" spans="9:12" x14ac:dyDescent="0.25">
      <c r="I1285" s="21"/>
      <c r="J1285" s="21"/>
      <c r="K1285" s="20"/>
      <c r="L1285" s="22"/>
    </row>
    <row r="1286" spans="9:12" x14ac:dyDescent="0.25">
      <c r="I1286" s="21"/>
      <c r="J1286" s="21"/>
      <c r="K1286" s="20"/>
      <c r="L1286" s="22"/>
    </row>
    <row r="1287" spans="9:12" x14ac:dyDescent="0.25">
      <c r="I1287" s="21"/>
      <c r="J1287" s="21"/>
      <c r="K1287" s="20"/>
      <c r="L1287" s="22"/>
    </row>
    <row r="1288" spans="9:12" x14ac:dyDescent="0.25">
      <c r="I1288" s="21"/>
      <c r="J1288" s="21"/>
      <c r="K1288" s="20"/>
      <c r="L1288" s="22"/>
    </row>
    <row r="1289" spans="9:12" x14ac:dyDescent="0.25">
      <c r="I1289" s="21"/>
      <c r="J1289" s="21"/>
      <c r="K1289" s="20"/>
      <c r="L1289" s="22"/>
    </row>
    <row r="1290" spans="9:12" x14ac:dyDescent="0.25">
      <c r="I1290" s="21"/>
      <c r="J1290" s="21"/>
      <c r="K1290" s="20"/>
      <c r="L1290" s="22"/>
    </row>
    <row r="1291" spans="9:12" x14ac:dyDescent="0.25">
      <c r="I1291" s="21"/>
      <c r="J1291" s="21"/>
      <c r="K1291" s="20"/>
      <c r="L1291" s="22"/>
    </row>
    <row r="1292" spans="9:12" x14ac:dyDescent="0.25">
      <c r="I1292" s="21"/>
      <c r="J1292" s="21"/>
      <c r="K1292" s="20"/>
      <c r="L1292" s="22"/>
    </row>
    <row r="1293" spans="9:12" x14ac:dyDescent="0.25">
      <c r="I1293" s="21"/>
      <c r="J1293" s="21"/>
      <c r="K1293" s="20"/>
      <c r="L1293" s="22"/>
    </row>
    <row r="1294" spans="9:12" x14ac:dyDescent="0.25">
      <c r="I1294" s="21"/>
      <c r="J1294" s="21"/>
      <c r="K1294" s="20"/>
      <c r="L1294" s="22"/>
    </row>
    <row r="1295" spans="9:12" x14ac:dyDescent="0.25">
      <c r="I1295" s="21"/>
      <c r="J1295" s="21"/>
      <c r="K1295" s="20"/>
      <c r="L1295" s="22"/>
    </row>
    <row r="1296" spans="9:12" x14ac:dyDescent="0.25">
      <c r="I1296" s="21"/>
      <c r="J1296" s="21"/>
      <c r="K1296" s="20"/>
      <c r="L1296" s="22"/>
    </row>
    <row r="1297" spans="9:12" x14ac:dyDescent="0.25">
      <c r="I1297" s="21"/>
      <c r="J1297" s="21"/>
      <c r="K1297" s="20"/>
      <c r="L1297" s="22"/>
    </row>
    <row r="1298" spans="9:12" x14ac:dyDescent="0.25">
      <c r="I1298" s="21"/>
      <c r="J1298" s="21"/>
      <c r="K1298" s="20"/>
      <c r="L1298" s="22"/>
    </row>
    <row r="1299" spans="9:12" x14ac:dyDescent="0.25">
      <c r="I1299" s="21"/>
      <c r="J1299" s="21"/>
      <c r="K1299" s="20"/>
      <c r="L1299" s="22"/>
    </row>
    <row r="1300" spans="9:12" x14ac:dyDescent="0.25">
      <c r="I1300" s="21"/>
      <c r="J1300" s="21"/>
      <c r="K1300" s="20"/>
      <c r="L1300" s="22"/>
    </row>
    <row r="1301" spans="9:12" x14ac:dyDescent="0.25">
      <c r="I1301" s="21"/>
      <c r="J1301" s="21"/>
      <c r="K1301" s="20"/>
      <c r="L1301" s="22"/>
    </row>
    <row r="1302" spans="9:12" x14ac:dyDescent="0.25">
      <c r="I1302" s="21"/>
      <c r="J1302" s="21"/>
      <c r="K1302" s="20"/>
      <c r="L1302" s="22"/>
    </row>
    <row r="1303" spans="9:12" x14ac:dyDescent="0.25">
      <c r="I1303" s="21"/>
      <c r="J1303" s="21"/>
      <c r="K1303" s="20"/>
      <c r="L1303" s="22"/>
    </row>
    <row r="1304" spans="9:12" x14ac:dyDescent="0.25">
      <c r="I1304" s="21"/>
      <c r="J1304" s="21"/>
      <c r="K1304" s="20"/>
      <c r="L1304" s="22"/>
    </row>
    <row r="1305" spans="9:12" x14ac:dyDescent="0.25">
      <c r="I1305" s="21"/>
      <c r="J1305" s="21"/>
      <c r="K1305" s="20"/>
      <c r="L1305" s="22"/>
    </row>
    <row r="1306" spans="9:12" x14ac:dyDescent="0.25">
      <c r="I1306" s="21"/>
      <c r="J1306" s="21"/>
      <c r="K1306" s="20"/>
      <c r="L1306" s="22"/>
    </row>
    <row r="1307" spans="9:12" x14ac:dyDescent="0.25">
      <c r="I1307" s="21"/>
      <c r="J1307" s="21"/>
      <c r="K1307" s="20"/>
      <c r="L1307" s="22"/>
    </row>
    <row r="1308" spans="9:12" x14ac:dyDescent="0.25">
      <c r="I1308" s="21"/>
      <c r="J1308" s="21"/>
      <c r="K1308" s="20"/>
      <c r="L1308" s="22"/>
    </row>
    <row r="1309" spans="9:12" x14ac:dyDescent="0.25">
      <c r="I1309" s="21"/>
      <c r="J1309" s="21"/>
      <c r="K1309" s="20"/>
      <c r="L1309" s="22"/>
    </row>
    <row r="1310" spans="9:12" x14ac:dyDescent="0.25">
      <c r="I1310" s="21"/>
      <c r="J1310" s="21"/>
      <c r="K1310" s="20"/>
      <c r="L1310" s="22"/>
    </row>
    <row r="1311" spans="9:12" x14ac:dyDescent="0.25">
      <c r="I1311" s="21"/>
      <c r="J1311" s="21"/>
      <c r="K1311" s="20"/>
      <c r="L1311" s="22"/>
    </row>
    <row r="1312" spans="9:12" x14ac:dyDescent="0.25">
      <c r="I1312" s="21"/>
      <c r="J1312" s="21"/>
      <c r="K1312" s="20"/>
      <c r="L1312" s="22"/>
    </row>
    <row r="1313" spans="9:12" x14ac:dyDescent="0.25">
      <c r="I1313" s="21"/>
      <c r="J1313" s="21"/>
      <c r="K1313" s="20"/>
      <c r="L1313" s="22"/>
    </row>
    <row r="1314" spans="9:12" x14ac:dyDescent="0.25">
      <c r="I1314" s="21"/>
      <c r="J1314" s="21"/>
      <c r="K1314" s="20"/>
      <c r="L1314" s="22"/>
    </row>
    <row r="1315" spans="9:12" x14ac:dyDescent="0.25">
      <c r="I1315" s="21"/>
      <c r="J1315" s="21"/>
      <c r="K1315" s="20"/>
      <c r="L1315" s="22"/>
    </row>
    <row r="1316" spans="9:12" x14ac:dyDescent="0.25">
      <c r="I1316" s="21"/>
      <c r="J1316" s="21"/>
      <c r="K1316" s="20"/>
      <c r="L1316" s="22"/>
    </row>
    <row r="1317" spans="9:12" x14ac:dyDescent="0.25">
      <c r="I1317" s="21"/>
      <c r="J1317" s="21"/>
      <c r="K1317" s="20"/>
      <c r="L1317" s="22"/>
    </row>
    <row r="1318" spans="9:12" x14ac:dyDescent="0.25">
      <c r="I1318" s="21"/>
      <c r="J1318" s="21"/>
      <c r="K1318" s="20"/>
      <c r="L1318" s="22"/>
    </row>
    <row r="1319" spans="9:12" x14ac:dyDescent="0.25">
      <c r="I1319" s="21"/>
      <c r="J1319" s="21"/>
      <c r="K1319" s="20"/>
      <c r="L1319" s="22"/>
    </row>
    <row r="1320" spans="9:12" x14ac:dyDescent="0.25">
      <c r="I1320" s="21"/>
      <c r="J1320" s="21"/>
      <c r="K1320" s="20"/>
      <c r="L1320" s="22"/>
    </row>
    <row r="1321" spans="9:12" x14ac:dyDescent="0.25">
      <c r="I1321" s="21"/>
      <c r="J1321" s="21"/>
      <c r="K1321" s="20"/>
      <c r="L1321" s="22"/>
    </row>
    <row r="1322" spans="9:12" x14ac:dyDescent="0.25">
      <c r="I1322" s="21"/>
      <c r="J1322" s="21"/>
      <c r="K1322" s="20"/>
      <c r="L1322" s="22"/>
    </row>
    <row r="1323" spans="9:12" x14ac:dyDescent="0.25">
      <c r="I1323" s="21"/>
      <c r="J1323" s="21"/>
      <c r="K1323" s="20"/>
      <c r="L1323" s="22"/>
    </row>
    <row r="1324" spans="9:12" x14ac:dyDescent="0.25">
      <c r="I1324" s="21"/>
      <c r="J1324" s="21"/>
      <c r="K1324" s="20"/>
      <c r="L1324" s="22"/>
    </row>
    <row r="1325" spans="9:12" x14ac:dyDescent="0.25">
      <c r="I1325" s="21"/>
      <c r="J1325" s="21"/>
      <c r="K1325" s="20"/>
      <c r="L1325" s="22"/>
    </row>
    <row r="1326" spans="9:12" x14ac:dyDescent="0.25">
      <c r="I1326" s="21"/>
      <c r="J1326" s="21"/>
      <c r="K1326" s="20"/>
      <c r="L1326" s="22"/>
    </row>
    <row r="1327" spans="9:12" x14ac:dyDescent="0.25">
      <c r="I1327" s="21"/>
      <c r="J1327" s="21"/>
      <c r="K1327" s="20"/>
      <c r="L1327" s="22"/>
    </row>
    <row r="1328" spans="9:12" x14ac:dyDescent="0.25">
      <c r="I1328" s="21"/>
      <c r="J1328" s="21"/>
      <c r="K1328" s="20"/>
      <c r="L1328" s="22"/>
    </row>
    <row r="1329" spans="9:12" x14ac:dyDescent="0.25">
      <c r="I1329" s="21"/>
      <c r="J1329" s="21"/>
      <c r="K1329" s="20"/>
      <c r="L1329" s="22"/>
    </row>
    <row r="1330" spans="9:12" x14ac:dyDescent="0.25">
      <c r="I1330" s="21"/>
      <c r="J1330" s="21"/>
      <c r="K1330" s="20"/>
      <c r="L1330" s="22"/>
    </row>
    <row r="1331" spans="9:12" x14ac:dyDescent="0.25">
      <c r="I1331" s="21"/>
      <c r="J1331" s="21"/>
      <c r="K1331" s="20"/>
      <c r="L1331" s="22"/>
    </row>
    <row r="1332" spans="9:12" x14ac:dyDescent="0.25">
      <c r="I1332" s="21"/>
      <c r="J1332" s="21"/>
      <c r="K1332" s="20"/>
      <c r="L1332" s="22"/>
    </row>
    <row r="1333" spans="9:12" x14ac:dyDescent="0.25">
      <c r="I1333" s="21"/>
      <c r="J1333" s="21"/>
      <c r="K1333" s="20"/>
      <c r="L1333" s="22"/>
    </row>
    <row r="1334" spans="9:12" x14ac:dyDescent="0.25">
      <c r="I1334" s="21"/>
      <c r="J1334" s="21"/>
      <c r="K1334" s="20"/>
      <c r="L1334" s="22"/>
    </row>
    <row r="1335" spans="9:12" x14ac:dyDescent="0.25">
      <c r="I1335" s="21"/>
      <c r="J1335" s="21"/>
      <c r="K1335" s="20"/>
      <c r="L1335" s="22"/>
    </row>
    <row r="1336" spans="9:12" x14ac:dyDescent="0.25">
      <c r="I1336" s="21"/>
      <c r="J1336" s="21"/>
      <c r="K1336" s="20"/>
      <c r="L1336" s="22"/>
    </row>
    <row r="1337" spans="9:12" x14ac:dyDescent="0.25">
      <c r="I1337" s="21"/>
      <c r="J1337" s="21"/>
      <c r="K1337" s="20"/>
      <c r="L1337" s="22"/>
    </row>
    <row r="1338" spans="9:12" x14ac:dyDescent="0.25">
      <c r="I1338" s="21"/>
      <c r="J1338" s="21"/>
      <c r="K1338" s="20"/>
      <c r="L1338" s="22"/>
    </row>
    <row r="1339" spans="9:12" x14ac:dyDescent="0.25">
      <c r="I1339" s="21"/>
      <c r="J1339" s="21"/>
      <c r="K1339" s="20"/>
      <c r="L1339" s="22"/>
    </row>
    <row r="1340" spans="9:12" x14ac:dyDescent="0.25">
      <c r="I1340" s="21"/>
      <c r="J1340" s="21"/>
      <c r="K1340" s="20"/>
      <c r="L1340" s="22"/>
    </row>
    <row r="1341" spans="9:12" x14ac:dyDescent="0.25">
      <c r="I1341" s="21"/>
      <c r="J1341" s="21"/>
      <c r="K1341" s="20"/>
      <c r="L1341" s="22"/>
    </row>
    <row r="1342" spans="9:12" x14ac:dyDescent="0.25">
      <c r="I1342" s="21"/>
      <c r="J1342" s="21"/>
      <c r="K1342" s="20"/>
      <c r="L1342" s="22"/>
    </row>
    <row r="1343" spans="9:12" x14ac:dyDescent="0.25">
      <c r="I1343" s="21"/>
      <c r="J1343" s="21"/>
      <c r="K1343" s="20"/>
      <c r="L1343" s="22"/>
    </row>
    <row r="1344" spans="9:12" x14ac:dyDescent="0.25">
      <c r="I1344" s="21"/>
      <c r="J1344" s="21"/>
      <c r="K1344" s="20"/>
      <c r="L1344" s="22"/>
    </row>
    <row r="1345" spans="9:12" x14ac:dyDescent="0.25">
      <c r="I1345" s="21"/>
      <c r="J1345" s="21"/>
      <c r="K1345" s="20"/>
      <c r="L1345" s="22"/>
    </row>
    <row r="1346" spans="9:12" x14ac:dyDescent="0.25">
      <c r="I1346" s="21"/>
      <c r="J1346" s="21"/>
      <c r="K1346" s="20"/>
      <c r="L1346" s="22"/>
    </row>
    <row r="1347" spans="9:12" x14ac:dyDescent="0.25">
      <c r="I1347" s="21"/>
      <c r="J1347" s="21"/>
      <c r="K1347" s="20"/>
      <c r="L1347" s="22"/>
    </row>
    <row r="1348" spans="9:12" x14ac:dyDescent="0.25">
      <c r="I1348" s="21"/>
      <c r="J1348" s="21"/>
      <c r="K1348" s="20"/>
      <c r="L1348" s="22"/>
    </row>
    <row r="1349" spans="9:12" x14ac:dyDescent="0.25">
      <c r="I1349" s="21"/>
      <c r="J1349" s="21"/>
      <c r="K1349" s="20"/>
      <c r="L1349" s="22"/>
    </row>
    <row r="1350" spans="9:12" x14ac:dyDescent="0.25">
      <c r="I1350" s="21"/>
      <c r="J1350" s="21"/>
      <c r="K1350" s="20"/>
      <c r="L1350" s="22"/>
    </row>
    <row r="1351" spans="9:12" x14ac:dyDescent="0.25">
      <c r="I1351" s="21"/>
      <c r="J1351" s="21"/>
      <c r="K1351" s="20"/>
      <c r="L1351" s="22"/>
    </row>
    <row r="1352" spans="9:12" x14ac:dyDescent="0.25">
      <c r="I1352" s="21"/>
      <c r="J1352" s="21"/>
      <c r="K1352" s="20"/>
      <c r="L1352" s="22"/>
    </row>
    <row r="1353" spans="9:12" x14ac:dyDescent="0.25">
      <c r="I1353" s="21"/>
      <c r="J1353" s="21"/>
      <c r="K1353" s="20"/>
      <c r="L1353" s="22"/>
    </row>
    <row r="1354" spans="9:12" x14ac:dyDescent="0.25">
      <c r="I1354" s="21"/>
      <c r="J1354" s="21"/>
      <c r="K1354" s="20"/>
      <c r="L1354" s="22"/>
    </row>
    <row r="1355" spans="9:12" x14ac:dyDescent="0.25">
      <c r="I1355" s="21"/>
      <c r="J1355" s="21"/>
      <c r="K1355" s="20"/>
      <c r="L1355" s="22"/>
    </row>
    <row r="1356" spans="9:12" x14ac:dyDescent="0.25">
      <c r="I1356" s="21"/>
      <c r="J1356" s="21"/>
      <c r="K1356" s="20"/>
      <c r="L1356" s="22"/>
    </row>
    <row r="1357" spans="9:12" x14ac:dyDescent="0.25">
      <c r="I1357" s="21"/>
      <c r="J1357" s="21"/>
      <c r="K1357" s="20"/>
      <c r="L1357" s="22"/>
    </row>
    <row r="1358" spans="9:12" x14ac:dyDescent="0.25">
      <c r="I1358" s="21"/>
      <c r="J1358" s="21"/>
      <c r="K1358" s="20"/>
      <c r="L1358" s="22"/>
    </row>
    <row r="1359" spans="9:12" x14ac:dyDescent="0.25">
      <c r="I1359" s="21"/>
      <c r="J1359" s="21"/>
      <c r="K1359" s="20"/>
      <c r="L1359" s="22"/>
    </row>
    <row r="1360" spans="9:12" x14ac:dyDescent="0.25">
      <c r="I1360" s="21"/>
      <c r="J1360" s="21"/>
      <c r="K1360" s="20"/>
      <c r="L1360" s="22"/>
    </row>
    <row r="1361" spans="9:12" x14ac:dyDescent="0.25">
      <c r="I1361" s="21"/>
      <c r="J1361" s="21"/>
      <c r="K1361" s="20"/>
      <c r="L1361" s="22"/>
    </row>
    <row r="1362" spans="9:12" x14ac:dyDescent="0.25">
      <c r="I1362" s="21"/>
      <c r="J1362" s="21"/>
      <c r="K1362" s="20"/>
      <c r="L1362" s="22"/>
    </row>
    <row r="1363" spans="9:12" x14ac:dyDescent="0.25">
      <c r="I1363" s="21"/>
      <c r="J1363" s="21"/>
      <c r="K1363" s="20"/>
      <c r="L1363" s="22"/>
    </row>
    <row r="1364" spans="9:12" x14ac:dyDescent="0.25">
      <c r="I1364" s="21"/>
      <c r="J1364" s="21"/>
      <c r="K1364" s="20"/>
      <c r="L1364" s="22"/>
    </row>
    <row r="1365" spans="9:12" x14ac:dyDescent="0.25">
      <c r="I1365" s="21"/>
      <c r="J1365" s="21"/>
      <c r="K1365" s="20"/>
      <c r="L1365" s="22"/>
    </row>
    <row r="1366" spans="9:12" x14ac:dyDescent="0.25">
      <c r="I1366" s="21"/>
      <c r="J1366" s="21"/>
      <c r="K1366" s="20"/>
      <c r="L1366" s="22"/>
    </row>
    <row r="1367" spans="9:12" x14ac:dyDescent="0.25">
      <c r="I1367" s="21"/>
      <c r="J1367" s="21"/>
      <c r="K1367" s="20"/>
      <c r="L1367" s="22"/>
    </row>
    <row r="1368" spans="9:12" x14ac:dyDescent="0.25">
      <c r="I1368" s="21"/>
      <c r="J1368" s="21"/>
      <c r="K1368" s="20"/>
      <c r="L1368" s="22"/>
    </row>
    <row r="1369" spans="9:12" x14ac:dyDescent="0.25">
      <c r="I1369" s="21"/>
      <c r="J1369" s="21"/>
      <c r="K1369" s="20"/>
      <c r="L1369" s="22"/>
    </row>
    <row r="1370" spans="9:12" x14ac:dyDescent="0.25">
      <c r="I1370" s="21"/>
      <c r="J1370" s="21"/>
      <c r="K1370" s="20"/>
      <c r="L1370" s="22"/>
    </row>
    <row r="1371" spans="9:12" x14ac:dyDescent="0.25">
      <c r="I1371" s="21"/>
      <c r="J1371" s="21"/>
      <c r="K1371" s="20"/>
      <c r="L1371" s="22"/>
    </row>
    <row r="1372" spans="9:12" x14ac:dyDescent="0.25">
      <c r="I1372" s="21"/>
      <c r="J1372" s="21"/>
      <c r="K1372" s="20"/>
      <c r="L1372" s="22"/>
    </row>
    <row r="1373" spans="9:12" x14ac:dyDescent="0.25">
      <c r="I1373" s="21"/>
      <c r="J1373" s="21"/>
      <c r="K1373" s="20"/>
      <c r="L1373" s="22"/>
    </row>
    <row r="1374" spans="9:12" x14ac:dyDescent="0.25">
      <c r="I1374" s="21"/>
      <c r="J1374" s="21"/>
      <c r="K1374" s="20"/>
      <c r="L1374" s="22"/>
    </row>
    <row r="1375" spans="9:12" x14ac:dyDescent="0.25">
      <c r="I1375" s="21"/>
      <c r="J1375" s="21"/>
      <c r="K1375" s="20"/>
      <c r="L1375" s="22"/>
    </row>
    <row r="1376" spans="9:12" x14ac:dyDescent="0.25">
      <c r="I1376" s="21"/>
      <c r="J1376" s="21"/>
      <c r="K1376" s="20"/>
      <c r="L1376" s="22"/>
    </row>
    <row r="1377" spans="9:12" x14ac:dyDescent="0.25">
      <c r="I1377" s="21"/>
      <c r="J1377" s="21"/>
      <c r="K1377" s="20"/>
      <c r="L1377" s="22"/>
    </row>
    <row r="1378" spans="9:12" x14ac:dyDescent="0.25">
      <c r="I1378" s="21"/>
      <c r="J1378" s="21"/>
      <c r="K1378" s="20"/>
      <c r="L1378" s="22"/>
    </row>
    <row r="1379" spans="9:12" x14ac:dyDescent="0.25">
      <c r="I1379" s="21"/>
      <c r="J1379" s="21"/>
      <c r="K1379" s="20"/>
      <c r="L1379" s="22"/>
    </row>
    <row r="1380" spans="9:12" x14ac:dyDescent="0.25">
      <c r="I1380" s="21"/>
      <c r="J1380" s="21"/>
      <c r="K1380" s="20"/>
      <c r="L1380" s="22"/>
    </row>
    <row r="1381" spans="9:12" x14ac:dyDescent="0.25">
      <c r="I1381" s="21"/>
      <c r="J1381" s="21"/>
      <c r="K1381" s="20"/>
      <c r="L1381" s="22"/>
    </row>
    <row r="1382" spans="9:12" x14ac:dyDescent="0.25">
      <c r="I1382" s="21"/>
      <c r="J1382" s="21"/>
      <c r="K1382" s="20"/>
      <c r="L1382" s="22"/>
    </row>
    <row r="1383" spans="9:12" x14ac:dyDescent="0.25">
      <c r="I1383" s="21"/>
      <c r="J1383" s="21"/>
      <c r="K1383" s="20"/>
      <c r="L1383" s="22"/>
    </row>
    <row r="1384" spans="9:12" x14ac:dyDescent="0.25">
      <c r="I1384"/>
      <c r="J1384"/>
      <c r="K1384" s="4"/>
      <c r="L1384" s="3"/>
    </row>
    <row r="1385" spans="9:12" x14ac:dyDescent="0.25">
      <c r="I1385"/>
      <c r="J1385"/>
      <c r="K1385" s="4"/>
      <c r="L1385" s="3"/>
    </row>
    <row r="1386" spans="9:12" x14ac:dyDescent="0.25">
      <c r="I1386"/>
      <c r="J1386"/>
      <c r="K1386" s="4"/>
      <c r="L1386" s="3"/>
    </row>
    <row r="1387" spans="9:12" x14ac:dyDescent="0.25">
      <c r="I1387"/>
      <c r="J1387"/>
      <c r="K1387" s="4"/>
      <c r="L1387" s="3"/>
    </row>
    <row r="1388" spans="9:12" x14ac:dyDescent="0.25">
      <c r="I1388"/>
      <c r="J1388"/>
      <c r="K1388" s="4"/>
      <c r="L1388" s="3"/>
    </row>
    <row r="1389" spans="9:12" x14ac:dyDescent="0.25">
      <c r="I1389"/>
      <c r="J1389"/>
      <c r="K1389" s="4"/>
      <c r="L1389" s="3"/>
    </row>
    <row r="1390" spans="9:12" x14ac:dyDescent="0.25">
      <c r="I1390"/>
      <c r="J1390"/>
      <c r="K1390" s="4"/>
      <c r="L1390" s="3"/>
    </row>
    <row r="1391" spans="9:12" x14ac:dyDescent="0.25">
      <c r="I1391"/>
      <c r="J1391"/>
      <c r="K1391" s="4"/>
      <c r="L1391" s="3"/>
    </row>
    <row r="1392" spans="9:12" x14ac:dyDescent="0.25">
      <c r="I1392"/>
      <c r="J1392"/>
      <c r="K1392" s="4"/>
      <c r="L1392" s="3"/>
    </row>
    <row r="1393" spans="9:12" x14ac:dyDescent="0.25">
      <c r="I1393"/>
      <c r="J1393"/>
      <c r="K1393" s="4"/>
      <c r="L1393" s="3"/>
    </row>
    <row r="1394" spans="9:12" x14ac:dyDescent="0.25">
      <c r="I1394"/>
      <c r="J1394"/>
      <c r="K1394" s="4"/>
      <c r="L1394" s="3"/>
    </row>
    <row r="1395" spans="9:12" x14ac:dyDescent="0.25">
      <c r="I1395"/>
      <c r="J1395"/>
      <c r="K1395" s="4"/>
      <c r="L1395" s="3"/>
    </row>
    <row r="1396" spans="9:12" x14ac:dyDescent="0.25">
      <c r="I1396"/>
      <c r="J1396"/>
      <c r="K1396" s="4"/>
      <c r="L1396" s="3"/>
    </row>
    <row r="1397" spans="9:12" x14ac:dyDescent="0.25">
      <c r="I1397"/>
      <c r="J1397"/>
      <c r="K1397" s="4"/>
      <c r="L1397" s="3"/>
    </row>
    <row r="1398" spans="9:12" x14ac:dyDescent="0.25">
      <c r="I1398"/>
      <c r="J1398"/>
      <c r="K1398" s="4"/>
      <c r="L1398" s="3"/>
    </row>
    <row r="1399" spans="9:12" x14ac:dyDescent="0.25">
      <c r="I1399" s="21"/>
      <c r="J1399" s="21"/>
      <c r="K1399" s="20"/>
      <c r="L1399" s="22"/>
    </row>
    <row r="1400" spans="9:12" x14ac:dyDescent="0.25">
      <c r="I1400" s="21"/>
      <c r="J1400" s="21"/>
      <c r="K1400" s="20"/>
      <c r="L1400" s="22"/>
    </row>
    <row r="1401" spans="9:12" x14ac:dyDescent="0.25">
      <c r="I1401" s="21"/>
      <c r="J1401" s="21"/>
      <c r="K1401" s="20"/>
      <c r="L1401" s="22"/>
    </row>
    <row r="1402" spans="9:12" x14ac:dyDescent="0.25">
      <c r="I1402" s="21"/>
      <c r="J1402" s="21"/>
      <c r="K1402" s="20"/>
      <c r="L1402" s="22"/>
    </row>
    <row r="1403" spans="9:12" x14ac:dyDescent="0.25">
      <c r="I1403" s="21"/>
      <c r="J1403" s="21"/>
      <c r="K1403" s="20"/>
      <c r="L1403" s="22"/>
    </row>
    <row r="1404" spans="9:12" x14ac:dyDescent="0.25">
      <c r="I1404" s="21"/>
      <c r="J1404" s="21"/>
      <c r="K1404" s="20"/>
      <c r="L1404" s="22"/>
    </row>
    <row r="1405" spans="9:12" x14ac:dyDescent="0.25">
      <c r="I1405" s="21"/>
      <c r="J1405" s="21"/>
      <c r="K1405" s="20"/>
      <c r="L1405" s="22"/>
    </row>
    <row r="1406" spans="9:12" x14ac:dyDescent="0.25">
      <c r="I1406" s="21"/>
      <c r="J1406" s="21"/>
      <c r="K1406" s="20"/>
      <c r="L1406" s="22"/>
    </row>
    <row r="1407" spans="9:12" x14ac:dyDescent="0.25">
      <c r="I1407" s="21"/>
      <c r="J1407" s="21"/>
      <c r="K1407" s="20"/>
      <c r="L1407" s="22"/>
    </row>
    <row r="1408" spans="9:12" x14ac:dyDescent="0.25">
      <c r="I1408" s="21"/>
      <c r="J1408" s="21"/>
      <c r="K1408" s="20"/>
      <c r="L1408" s="22"/>
    </row>
    <row r="1409" spans="9:12" x14ac:dyDescent="0.25">
      <c r="I1409" s="21"/>
      <c r="J1409" s="21"/>
      <c r="K1409" s="20"/>
      <c r="L1409" s="22"/>
    </row>
    <row r="1410" spans="9:12" x14ac:dyDescent="0.25">
      <c r="I1410" s="21"/>
      <c r="J1410" s="21"/>
      <c r="K1410" s="20"/>
      <c r="L1410" s="22"/>
    </row>
    <row r="1411" spans="9:12" x14ac:dyDescent="0.25">
      <c r="I1411" s="21"/>
      <c r="J1411" s="21"/>
      <c r="K1411" s="20"/>
      <c r="L1411" s="22"/>
    </row>
    <row r="1412" spans="9:12" x14ac:dyDescent="0.25">
      <c r="I1412" s="21"/>
      <c r="J1412" s="21"/>
      <c r="K1412" s="20"/>
      <c r="L1412" s="22"/>
    </row>
    <row r="1413" spans="9:12" x14ac:dyDescent="0.25">
      <c r="I1413" s="21"/>
      <c r="J1413" s="21"/>
      <c r="K1413" s="20"/>
      <c r="L1413" s="22"/>
    </row>
    <row r="1414" spans="9:12" x14ac:dyDescent="0.25">
      <c r="I1414" s="21"/>
      <c r="J1414" s="21"/>
      <c r="K1414" s="20"/>
      <c r="L1414" s="22"/>
    </row>
    <row r="1415" spans="9:12" x14ac:dyDescent="0.25">
      <c r="I1415" s="56"/>
      <c r="J1415" s="56"/>
      <c r="K1415" s="55"/>
      <c r="L1415" s="57"/>
    </row>
    <row r="1416" spans="9:12" x14ac:dyDescent="0.25">
      <c r="I1416" s="56"/>
      <c r="J1416" s="56"/>
      <c r="K1416" s="55"/>
      <c r="L1416" s="57"/>
    </row>
    <row r="1417" spans="9:12" x14ac:dyDescent="0.25">
      <c r="I1417" s="56"/>
      <c r="J1417" s="56"/>
      <c r="K1417" s="55"/>
      <c r="L1417" s="57"/>
    </row>
    <row r="1418" spans="9:12" x14ac:dyDescent="0.25">
      <c r="I1418" s="56"/>
      <c r="J1418" s="56"/>
      <c r="K1418" s="55"/>
      <c r="L1418" s="57"/>
    </row>
    <row r="1419" spans="9:12" x14ac:dyDescent="0.25">
      <c r="I1419" s="56"/>
      <c r="J1419" s="56"/>
      <c r="K1419" s="55"/>
      <c r="L1419" s="57"/>
    </row>
    <row r="1420" spans="9:12" x14ac:dyDescent="0.25">
      <c r="I1420" s="21"/>
      <c r="J1420" s="21"/>
      <c r="K1420" s="20"/>
      <c r="L1420" s="22"/>
    </row>
    <row r="1421" spans="9:12" x14ac:dyDescent="0.25">
      <c r="I1421" s="21"/>
      <c r="J1421" s="21"/>
      <c r="K1421" s="20"/>
      <c r="L1421" s="22"/>
    </row>
    <row r="1422" spans="9:12" x14ac:dyDescent="0.25">
      <c r="I1422" s="21"/>
      <c r="J1422" s="21"/>
      <c r="K1422" s="20"/>
      <c r="L1422" s="22"/>
    </row>
    <row r="1423" spans="9:12" x14ac:dyDescent="0.25">
      <c r="I1423" s="21"/>
      <c r="J1423" s="21"/>
      <c r="K1423" s="20"/>
      <c r="L1423" s="22"/>
    </row>
    <row r="1424" spans="9:12" x14ac:dyDescent="0.25">
      <c r="I1424" s="21"/>
      <c r="J1424" s="21"/>
      <c r="K1424" s="20"/>
      <c r="L1424" s="22"/>
    </row>
    <row r="1425" spans="9:12" x14ac:dyDescent="0.25">
      <c r="I1425" s="21"/>
      <c r="J1425" s="21"/>
      <c r="K1425" s="20"/>
      <c r="L1425" s="22"/>
    </row>
    <row r="1426" spans="9:12" x14ac:dyDescent="0.25">
      <c r="I1426" s="21"/>
      <c r="J1426" s="21"/>
      <c r="K1426" s="20"/>
      <c r="L1426" s="22"/>
    </row>
    <row r="1427" spans="9:12" x14ac:dyDescent="0.25">
      <c r="I1427" s="21"/>
      <c r="J1427" s="21"/>
      <c r="K1427" s="20"/>
      <c r="L1427" s="22"/>
    </row>
    <row r="1428" spans="9:12" x14ac:dyDescent="0.25">
      <c r="I1428" s="21"/>
      <c r="J1428" s="21"/>
      <c r="K1428" s="20"/>
      <c r="L1428" s="22"/>
    </row>
    <row r="1429" spans="9:12" x14ac:dyDescent="0.25">
      <c r="I1429" s="21"/>
      <c r="J1429" s="21"/>
      <c r="K1429" s="20"/>
      <c r="L1429" s="22"/>
    </row>
    <row r="1430" spans="9:12" x14ac:dyDescent="0.25">
      <c r="I1430" s="21"/>
      <c r="J1430" s="21"/>
      <c r="K1430" s="20"/>
      <c r="L1430" s="22"/>
    </row>
    <row r="1431" spans="9:12" x14ac:dyDescent="0.25">
      <c r="I1431"/>
      <c r="J1431"/>
      <c r="K1431" s="55"/>
      <c r="L1431" s="3"/>
    </row>
    <row r="1432" spans="9:12" x14ac:dyDescent="0.25">
      <c r="I1432"/>
      <c r="J1432"/>
      <c r="K1432" s="55"/>
      <c r="L1432" s="3"/>
    </row>
    <row r="1433" spans="9:12" x14ac:dyDescent="0.25">
      <c r="I1433"/>
      <c r="J1433"/>
      <c r="K1433" s="55"/>
      <c r="L1433" s="3"/>
    </row>
    <row r="1434" spans="9:12" x14ac:dyDescent="0.25">
      <c r="I1434"/>
      <c r="J1434"/>
      <c r="K1434" s="55"/>
      <c r="L1434" s="3"/>
    </row>
    <row r="1435" spans="9:12" x14ac:dyDescent="0.25">
      <c r="I1435"/>
      <c r="J1435"/>
      <c r="K1435" s="55"/>
      <c r="L1435" s="3"/>
    </row>
    <row r="1436" spans="9:12" x14ac:dyDescent="0.25">
      <c r="I1436"/>
      <c r="J1436"/>
      <c r="K1436" s="55"/>
      <c r="L1436" s="3"/>
    </row>
    <row r="1437" spans="9:12" x14ac:dyDescent="0.25">
      <c r="I1437"/>
      <c r="J1437"/>
      <c r="K1437" s="55"/>
      <c r="L1437" s="3"/>
    </row>
    <row r="1438" spans="9:12" x14ac:dyDescent="0.25">
      <c r="I1438"/>
      <c r="J1438"/>
      <c r="K1438" s="55"/>
      <c r="L1438" s="3"/>
    </row>
    <row r="1439" spans="9:12" x14ac:dyDescent="0.25">
      <c r="I1439"/>
      <c r="J1439"/>
      <c r="K1439" s="55"/>
      <c r="L1439" s="3"/>
    </row>
    <row r="1440" spans="9:12" x14ac:dyDescent="0.25">
      <c r="I1440"/>
      <c r="J1440"/>
      <c r="K1440" s="55"/>
      <c r="L1440" s="3"/>
    </row>
    <row r="1441" spans="9:12" x14ac:dyDescent="0.25">
      <c r="I1441"/>
      <c r="J1441"/>
      <c r="K1441" s="55"/>
      <c r="L1441" s="3"/>
    </row>
    <row r="1442" spans="9:12" x14ac:dyDescent="0.25">
      <c r="I1442"/>
      <c r="J1442"/>
      <c r="K1442" s="55"/>
      <c r="L1442" s="3"/>
    </row>
    <row r="1443" spans="9:12" x14ac:dyDescent="0.25">
      <c r="I1443"/>
      <c r="J1443"/>
      <c r="K1443" s="55"/>
      <c r="L1443" s="3"/>
    </row>
    <row r="1444" spans="9:12" x14ac:dyDescent="0.25">
      <c r="I1444"/>
      <c r="J1444"/>
      <c r="K1444" s="55"/>
      <c r="L1444" s="3"/>
    </row>
    <row r="1445" spans="9:12" x14ac:dyDescent="0.25">
      <c r="I1445"/>
      <c r="J1445"/>
      <c r="K1445" s="55"/>
      <c r="L1445" s="3"/>
    </row>
    <row r="1446" spans="9:12" x14ac:dyDescent="0.25">
      <c r="I1446"/>
      <c r="J1446"/>
      <c r="K1446" s="55"/>
      <c r="L1446" s="3"/>
    </row>
    <row r="1447" spans="9:12" x14ac:dyDescent="0.25">
      <c r="I1447"/>
      <c r="J1447"/>
      <c r="K1447" s="55"/>
      <c r="L1447" s="3"/>
    </row>
    <row r="1448" spans="9:12" x14ac:dyDescent="0.25">
      <c r="I1448"/>
      <c r="J1448"/>
      <c r="K1448" s="55"/>
      <c r="L1448" s="3"/>
    </row>
    <row r="1449" spans="9:12" x14ac:dyDescent="0.25">
      <c r="I1449"/>
      <c r="J1449"/>
      <c r="K1449" s="55"/>
      <c r="L1449" s="3"/>
    </row>
    <row r="1450" spans="9:12" x14ac:dyDescent="0.25">
      <c r="I1450"/>
      <c r="J1450"/>
      <c r="K1450" s="55"/>
      <c r="L1450" s="3"/>
    </row>
    <row r="1451" spans="9:12" x14ac:dyDescent="0.25">
      <c r="I1451"/>
      <c r="J1451"/>
      <c r="K1451" s="55"/>
      <c r="L1451" s="3"/>
    </row>
    <row r="1452" spans="9:12" x14ac:dyDescent="0.25">
      <c r="I1452"/>
      <c r="J1452"/>
      <c r="K1452" s="55"/>
      <c r="L1452" s="3"/>
    </row>
    <row r="1453" spans="9:12" x14ac:dyDescent="0.25">
      <c r="I1453"/>
      <c r="J1453"/>
      <c r="K1453" s="55"/>
      <c r="L1453" s="3"/>
    </row>
    <row r="1454" spans="9:12" x14ac:dyDescent="0.25">
      <c r="I1454"/>
      <c r="J1454"/>
      <c r="K1454" s="55"/>
      <c r="L1454" s="3"/>
    </row>
    <row r="1455" spans="9:12" x14ac:dyDescent="0.25">
      <c r="I1455"/>
      <c r="J1455"/>
      <c r="K1455" s="55"/>
      <c r="L1455" s="3"/>
    </row>
    <row r="1456" spans="9:12" x14ac:dyDescent="0.25">
      <c r="I1456"/>
      <c r="J1456"/>
      <c r="K1456" s="55"/>
      <c r="L1456" s="3"/>
    </row>
    <row r="1457" spans="9:12" x14ac:dyDescent="0.25">
      <c r="I1457"/>
      <c r="J1457"/>
      <c r="K1457" s="55"/>
      <c r="L1457" s="3"/>
    </row>
    <row r="1458" spans="9:12" x14ac:dyDescent="0.25">
      <c r="I1458"/>
      <c r="J1458"/>
      <c r="K1458" s="55"/>
      <c r="L1458" s="3"/>
    </row>
    <row r="1459" spans="9:12" x14ac:dyDescent="0.25">
      <c r="I1459"/>
      <c r="J1459"/>
      <c r="K1459" s="55"/>
      <c r="L1459" s="3"/>
    </row>
    <row r="1460" spans="9:12" x14ac:dyDescent="0.25">
      <c r="I1460"/>
      <c r="J1460"/>
      <c r="K1460" s="55"/>
      <c r="L1460" s="3"/>
    </row>
    <row r="1461" spans="9:12" x14ac:dyDescent="0.25">
      <c r="I1461"/>
      <c r="J1461"/>
      <c r="K1461" s="55"/>
      <c r="L1461" s="3"/>
    </row>
    <row r="1462" spans="9:12" x14ac:dyDescent="0.25">
      <c r="I1462"/>
      <c r="J1462"/>
      <c r="K1462" s="55"/>
      <c r="L1462" s="3"/>
    </row>
    <row r="1463" spans="9:12" x14ac:dyDescent="0.25">
      <c r="I1463"/>
      <c r="J1463"/>
      <c r="K1463" s="55"/>
      <c r="L1463" s="3"/>
    </row>
    <row r="1464" spans="9:12" x14ac:dyDescent="0.25">
      <c r="I1464"/>
      <c r="J1464"/>
      <c r="K1464" s="55"/>
      <c r="L1464" s="3"/>
    </row>
    <row r="1465" spans="9:12" x14ac:dyDescent="0.25">
      <c r="I1465"/>
      <c r="J1465"/>
      <c r="K1465" s="55"/>
      <c r="L1465" s="3"/>
    </row>
    <row r="1466" spans="9:12" x14ac:dyDescent="0.25">
      <c r="I1466"/>
      <c r="J1466"/>
      <c r="K1466" s="55"/>
      <c r="L1466" s="3"/>
    </row>
    <row r="1467" spans="9:12" x14ac:dyDescent="0.25">
      <c r="I1467"/>
      <c r="J1467"/>
      <c r="K1467" s="55"/>
      <c r="L1467" s="3"/>
    </row>
    <row r="1468" spans="9:12" x14ac:dyDescent="0.25">
      <c r="I1468"/>
      <c r="J1468"/>
      <c r="K1468" s="55"/>
      <c r="L1468" s="3"/>
    </row>
    <row r="1469" spans="9:12" x14ac:dyDescent="0.25">
      <c r="I1469"/>
      <c r="J1469"/>
      <c r="K1469" s="55"/>
      <c r="L1469" s="3"/>
    </row>
    <row r="1470" spans="9:12" x14ac:dyDescent="0.25">
      <c r="I1470"/>
      <c r="J1470"/>
      <c r="K1470" s="55"/>
      <c r="L1470" s="3"/>
    </row>
    <row r="1471" spans="9:12" x14ac:dyDescent="0.25">
      <c r="I1471"/>
      <c r="J1471"/>
      <c r="K1471" s="55"/>
      <c r="L1471" s="3"/>
    </row>
    <row r="1472" spans="9:12" x14ac:dyDescent="0.25">
      <c r="I1472" s="21"/>
      <c r="J1472" s="21"/>
      <c r="K1472" s="20"/>
      <c r="L1472" s="22"/>
    </row>
    <row r="1473" spans="9:12" x14ac:dyDescent="0.25">
      <c r="I1473" s="21"/>
      <c r="J1473" s="21"/>
      <c r="K1473" s="20"/>
      <c r="L1473" s="22"/>
    </row>
    <row r="1474" spans="9:12" x14ac:dyDescent="0.25">
      <c r="I1474" s="21"/>
      <c r="J1474" s="21"/>
      <c r="K1474" s="20"/>
      <c r="L1474" s="22"/>
    </row>
    <row r="1475" spans="9:12" x14ac:dyDescent="0.25">
      <c r="I1475" s="21"/>
      <c r="J1475" s="21"/>
      <c r="K1475" s="20"/>
      <c r="L1475" s="22"/>
    </row>
    <row r="1476" spans="9:12" x14ac:dyDescent="0.25">
      <c r="I1476" s="21"/>
      <c r="J1476" s="21"/>
      <c r="K1476" s="20"/>
      <c r="L1476" s="22"/>
    </row>
    <row r="1477" spans="9:12" x14ac:dyDescent="0.25">
      <c r="I1477" s="21"/>
      <c r="J1477" s="21"/>
      <c r="K1477" s="20"/>
      <c r="L1477" s="22"/>
    </row>
    <row r="1478" spans="9:12" x14ac:dyDescent="0.25">
      <c r="I1478" s="21"/>
      <c r="J1478" s="21"/>
      <c r="K1478" s="20"/>
      <c r="L1478" s="22"/>
    </row>
    <row r="1479" spans="9:12" x14ac:dyDescent="0.25">
      <c r="I1479" s="21"/>
      <c r="J1479" s="21"/>
      <c r="K1479" s="20"/>
      <c r="L1479" s="22"/>
    </row>
    <row r="1480" spans="9:12" x14ac:dyDescent="0.25">
      <c r="I1480" s="21"/>
      <c r="J1480" s="21"/>
      <c r="K1480" s="20"/>
      <c r="L1480" s="22"/>
    </row>
    <row r="1481" spans="9:12" x14ac:dyDescent="0.25">
      <c r="I1481" s="21"/>
      <c r="J1481" s="21"/>
      <c r="K1481" s="20"/>
      <c r="L1481" s="22"/>
    </row>
    <row r="1482" spans="9:12" x14ac:dyDescent="0.25">
      <c r="I1482" s="21"/>
      <c r="J1482" s="21"/>
      <c r="K1482" s="20"/>
      <c r="L1482" s="22"/>
    </row>
    <row r="1483" spans="9:12" x14ac:dyDescent="0.25">
      <c r="I1483" s="21"/>
      <c r="J1483" s="21"/>
      <c r="K1483" s="20"/>
      <c r="L1483" s="22"/>
    </row>
    <row r="1484" spans="9:12" x14ac:dyDescent="0.25">
      <c r="I1484" s="21"/>
      <c r="J1484" s="21"/>
      <c r="K1484" s="20"/>
      <c r="L1484" s="22"/>
    </row>
    <row r="1485" spans="9:12" x14ac:dyDescent="0.25">
      <c r="I1485" s="21"/>
      <c r="J1485" s="21"/>
      <c r="K1485" s="20"/>
      <c r="L1485" s="22"/>
    </row>
    <row r="1486" spans="9:12" x14ac:dyDescent="0.25">
      <c r="I1486" s="21"/>
      <c r="J1486" s="21"/>
      <c r="K1486" s="20"/>
      <c r="L1486" s="22"/>
    </row>
    <row r="1487" spans="9:12" x14ac:dyDescent="0.25">
      <c r="I1487" s="21"/>
      <c r="J1487" s="21"/>
      <c r="K1487" s="20"/>
      <c r="L1487" s="22"/>
    </row>
    <row r="1488" spans="9:12" x14ac:dyDescent="0.25">
      <c r="I1488" s="21"/>
      <c r="J1488" s="21"/>
      <c r="K1488" s="20"/>
      <c r="L1488" s="22"/>
    </row>
    <row r="1489" spans="9:12" x14ac:dyDescent="0.25">
      <c r="I1489" s="21"/>
      <c r="J1489" s="21"/>
      <c r="K1489" s="20"/>
      <c r="L1489" s="22"/>
    </row>
    <row r="1490" spans="9:12" x14ac:dyDescent="0.25">
      <c r="I1490" s="21"/>
      <c r="J1490" s="21"/>
      <c r="K1490" s="20"/>
      <c r="L1490" s="22"/>
    </row>
    <row r="1491" spans="9:12" x14ac:dyDescent="0.25">
      <c r="I1491" s="21"/>
      <c r="J1491" s="21"/>
      <c r="K1491" s="20"/>
      <c r="L1491" s="22"/>
    </row>
    <row r="1492" spans="9:12" x14ac:dyDescent="0.25">
      <c r="I1492" s="21"/>
      <c r="J1492" s="21"/>
      <c r="K1492" s="20"/>
      <c r="L1492" s="22"/>
    </row>
    <row r="1493" spans="9:12" x14ac:dyDescent="0.25">
      <c r="I1493" s="21"/>
      <c r="J1493" s="21"/>
      <c r="K1493" s="20"/>
      <c r="L1493" s="22"/>
    </row>
    <row r="1494" spans="9:12" x14ac:dyDescent="0.25">
      <c r="I1494" s="21"/>
      <c r="J1494" s="21"/>
      <c r="K1494" s="20"/>
      <c r="L1494" s="22"/>
    </row>
    <row r="1495" spans="9:12" x14ac:dyDescent="0.25">
      <c r="I1495" s="21"/>
      <c r="J1495" s="21"/>
      <c r="K1495" s="20"/>
      <c r="L1495" s="22"/>
    </row>
    <row r="1496" spans="9:12" x14ac:dyDescent="0.25">
      <c r="I1496" s="21"/>
      <c r="J1496" s="21"/>
      <c r="K1496" s="20"/>
      <c r="L1496" s="22"/>
    </row>
    <row r="1497" spans="9:12" x14ac:dyDescent="0.25">
      <c r="I1497" s="21"/>
      <c r="J1497" s="21"/>
      <c r="K1497" s="20"/>
      <c r="L1497" s="22"/>
    </row>
    <row r="1498" spans="9:12" x14ac:dyDescent="0.25">
      <c r="I1498" s="21"/>
      <c r="J1498" s="21"/>
      <c r="K1498" s="20"/>
      <c r="L1498" s="22"/>
    </row>
    <row r="1499" spans="9:12" x14ac:dyDescent="0.25">
      <c r="I1499" s="21"/>
      <c r="J1499" s="21"/>
      <c r="K1499" s="20"/>
      <c r="L1499" s="22"/>
    </row>
    <row r="1500" spans="9:12" x14ac:dyDescent="0.25">
      <c r="I1500" s="21"/>
      <c r="J1500" s="21"/>
      <c r="K1500" s="20"/>
      <c r="L1500" s="22"/>
    </row>
    <row r="1501" spans="9:12" x14ac:dyDescent="0.25">
      <c r="I1501" s="21"/>
      <c r="J1501" s="21"/>
      <c r="K1501" s="20"/>
      <c r="L1501" s="22"/>
    </row>
    <row r="1502" spans="9:12" x14ac:dyDescent="0.25">
      <c r="I1502" s="21"/>
      <c r="J1502" s="21"/>
      <c r="K1502" s="20"/>
      <c r="L1502" s="22"/>
    </row>
    <row r="1503" spans="9:12" x14ac:dyDescent="0.25">
      <c r="I1503" s="21"/>
      <c r="J1503" s="21"/>
      <c r="K1503" s="20"/>
      <c r="L1503" s="22"/>
    </row>
    <row r="1504" spans="9:12" x14ac:dyDescent="0.25">
      <c r="I1504" s="21"/>
      <c r="J1504" s="21"/>
      <c r="K1504" s="20"/>
      <c r="L1504" s="22"/>
    </row>
    <row r="1505" spans="9:12" x14ac:dyDescent="0.25">
      <c r="I1505" s="21"/>
      <c r="J1505" s="21"/>
      <c r="K1505" s="20"/>
      <c r="L1505" s="22"/>
    </row>
    <row r="1506" spans="9:12" x14ac:dyDescent="0.25">
      <c r="I1506" s="21"/>
      <c r="J1506" s="21"/>
      <c r="K1506" s="20"/>
      <c r="L1506" s="22"/>
    </row>
    <row r="1507" spans="9:12" x14ac:dyDescent="0.25">
      <c r="I1507" s="21"/>
      <c r="J1507" s="21"/>
      <c r="K1507" s="20"/>
      <c r="L1507" s="22"/>
    </row>
    <row r="1508" spans="9:12" x14ac:dyDescent="0.25">
      <c r="I1508" s="21"/>
      <c r="J1508" s="21"/>
      <c r="K1508" s="20"/>
      <c r="L1508" s="22"/>
    </row>
    <row r="1509" spans="9:12" x14ac:dyDescent="0.25">
      <c r="I1509" s="21"/>
      <c r="J1509" s="21"/>
      <c r="K1509" s="20"/>
      <c r="L1509" s="22"/>
    </row>
    <row r="1510" spans="9:12" x14ac:dyDescent="0.25">
      <c r="I1510" s="21"/>
      <c r="J1510" s="21"/>
      <c r="K1510" s="20"/>
      <c r="L1510" s="22"/>
    </row>
    <row r="1511" spans="9:12" x14ac:dyDescent="0.25">
      <c r="I1511" s="21"/>
      <c r="J1511" s="21"/>
      <c r="K1511" s="20"/>
      <c r="L1511" s="22"/>
    </row>
    <row r="1512" spans="9:12" x14ac:dyDescent="0.25">
      <c r="I1512" s="21"/>
      <c r="J1512" s="21"/>
      <c r="K1512" s="20"/>
      <c r="L1512" s="22"/>
    </row>
    <row r="1513" spans="9:12" x14ac:dyDescent="0.25">
      <c r="I1513" s="21"/>
      <c r="J1513" s="21"/>
      <c r="K1513" s="20"/>
      <c r="L1513" s="22"/>
    </row>
    <row r="1514" spans="9:12" x14ac:dyDescent="0.25">
      <c r="I1514" s="21"/>
      <c r="J1514" s="21"/>
      <c r="K1514" s="20"/>
      <c r="L1514" s="22"/>
    </row>
    <row r="1515" spans="9:12" x14ac:dyDescent="0.25">
      <c r="I1515" s="21"/>
      <c r="J1515" s="21"/>
      <c r="K1515" s="20"/>
      <c r="L1515" s="22"/>
    </row>
    <row r="1516" spans="9:12" x14ac:dyDescent="0.25">
      <c r="I1516" s="21"/>
      <c r="J1516" s="21"/>
      <c r="K1516" s="20"/>
      <c r="L1516" s="22"/>
    </row>
    <row r="1517" spans="9:12" x14ac:dyDescent="0.25">
      <c r="I1517" s="21"/>
      <c r="J1517" s="21"/>
      <c r="K1517" s="20"/>
      <c r="L1517" s="22"/>
    </row>
    <row r="1518" spans="9:12" x14ac:dyDescent="0.25">
      <c r="I1518" s="21"/>
      <c r="J1518" s="21"/>
      <c r="K1518" s="20"/>
      <c r="L1518" s="22"/>
    </row>
    <row r="1519" spans="9:12" x14ac:dyDescent="0.25">
      <c r="I1519" s="21"/>
      <c r="J1519" s="21"/>
      <c r="K1519" s="20"/>
      <c r="L1519" s="22"/>
    </row>
    <row r="1520" spans="9:12" x14ac:dyDescent="0.25">
      <c r="I1520" s="21"/>
      <c r="J1520" s="21"/>
      <c r="K1520" s="20"/>
      <c r="L1520" s="22"/>
    </row>
    <row r="1521" spans="9:12" x14ac:dyDescent="0.25">
      <c r="I1521" s="21"/>
      <c r="J1521" s="21"/>
      <c r="K1521" s="20"/>
      <c r="L1521" s="22"/>
    </row>
    <row r="1522" spans="9:12" x14ac:dyDescent="0.25">
      <c r="I1522" s="21"/>
      <c r="J1522" s="21"/>
      <c r="K1522" s="20"/>
      <c r="L1522" s="22"/>
    </row>
    <row r="1523" spans="9:12" x14ac:dyDescent="0.25">
      <c r="I1523" s="21"/>
      <c r="J1523" s="21"/>
      <c r="K1523" s="20"/>
      <c r="L1523" s="22"/>
    </row>
    <row r="1524" spans="9:12" x14ac:dyDescent="0.25">
      <c r="I1524" s="21"/>
      <c r="J1524" s="21"/>
      <c r="K1524" s="20"/>
      <c r="L1524" s="22"/>
    </row>
    <row r="1525" spans="9:12" x14ac:dyDescent="0.25">
      <c r="I1525" s="21"/>
      <c r="J1525" s="21"/>
      <c r="K1525" s="20"/>
      <c r="L1525" s="22"/>
    </row>
    <row r="1526" spans="9:12" x14ac:dyDescent="0.25">
      <c r="I1526" s="21"/>
      <c r="J1526" s="21"/>
      <c r="K1526" s="20"/>
      <c r="L1526" s="22"/>
    </row>
    <row r="1527" spans="9:12" x14ac:dyDescent="0.25">
      <c r="I1527" s="21"/>
      <c r="J1527" s="21"/>
      <c r="K1527" s="20"/>
      <c r="L1527" s="22"/>
    </row>
    <row r="1528" spans="9:12" x14ac:dyDescent="0.25">
      <c r="I1528" s="21"/>
      <c r="J1528" s="21"/>
      <c r="K1528" s="20"/>
      <c r="L1528" s="22"/>
    </row>
    <row r="1529" spans="9:12" x14ac:dyDescent="0.25">
      <c r="I1529" s="21"/>
      <c r="J1529" s="21"/>
      <c r="K1529" s="20"/>
      <c r="L1529" s="22"/>
    </row>
    <row r="1530" spans="9:12" x14ac:dyDescent="0.25">
      <c r="I1530" s="21"/>
      <c r="J1530" s="21"/>
      <c r="K1530" s="20"/>
      <c r="L1530" s="22"/>
    </row>
    <row r="1531" spans="9:12" x14ac:dyDescent="0.25">
      <c r="I1531" s="21"/>
      <c r="J1531" s="21"/>
      <c r="K1531" s="20"/>
      <c r="L1531" s="22"/>
    </row>
    <row r="1532" spans="9:12" x14ac:dyDescent="0.25">
      <c r="I1532" s="21"/>
      <c r="J1532" s="21"/>
      <c r="K1532" s="20"/>
      <c r="L1532" s="22"/>
    </row>
    <row r="1533" spans="9:12" x14ac:dyDescent="0.25">
      <c r="I1533" s="21"/>
      <c r="J1533" s="21"/>
      <c r="K1533" s="20"/>
      <c r="L1533" s="22"/>
    </row>
    <row r="1534" spans="9:12" x14ac:dyDescent="0.25">
      <c r="I1534" s="21"/>
      <c r="J1534" s="21"/>
      <c r="K1534" s="20"/>
      <c r="L1534" s="22"/>
    </row>
    <row r="1535" spans="9:12" x14ac:dyDescent="0.25">
      <c r="I1535" s="21"/>
      <c r="J1535" s="21"/>
      <c r="K1535" s="20"/>
      <c r="L1535" s="22"/>
    </row>
    <row r="1536" spans="9:12" x14ac:dyDescent="0.25">
      <c r="I1536" s="21"/>
      <c r="J1536" s="21"/>
      <c r="K1536" s="20"/>
      <c r="L1536" s="22"/>
    </row>
    <row r="1537" spans="9:12" x14ac:dyDescent="0.25">
      <c r="I1537" s="21"/>
      <c r="J1537" s="21"/>
      <c r="K1537" s="20"/>
      <c r="L1537" s="22"/>
    </row>
    <row r="1538" spans="9:12" x14ac:dyDescent="0.25">
      <c r="I1538" s="21"/>
      <c r="J1538" s="21"/>
      <c r="K1538" s="20"/>
      <c r="L1538" s="22"/>
    </row>
    <row r="1539" spans="9:12" x14ac:dyDescent="0.25">
      <c r="I1539" s="21"/>
      <c r="J1539" s="21"/>
      <c r="K1539" s="20"/>
      <c r="L1539" s="22"/>
    </row>
    <row r="1540" spans="9:12" x14ac:dyDescent="0.25">
      <c r="I1540" s="21"/>
      <c r="J1540" s="21"/>
      <c r="K1540" s="20"/>
      <c r="L1540" s="22"/>
    </row>
    <row r="1541" spans="9:12" x14ac:dyDescent="0.25">
      <c r="I1541" s="21"/>
      <c r="J1541" s="21"/>
      <c r="K1541" s="20"/>
      <c r="L1541" s="22"/>
    </row>
    <row r="1542" spans="9:12" x14ac:dyDescent="0.25">
      <c r="I1542" s="21"/>
      <c r="J1542" s="21"/>
      <c r="K1542" s="20"/>
      <c r="L1542" s="22"/>
    </row>
    <row r="1543" spans="9:12" x14ac:dyDescent="0.25">
      <c r="I1543" s="21"/>
      <c r="J1543" s="21"/>
      <c r="K1543" s="20"/>
      <c r="L1543" s="22"/>
    </row>
    <row r="1544" spans="9:12" x14ac:dyDescent="0.25">
      <c r="I1544" s="21"/>
      <c r="J1544" s="21"/>
      <c r="K1544" s="20"/>
      <c r="L1544" s="22"/>
    </row>
    <row r="1545" spans="9:12" x14ac:dyDescent="0.25">
      <c r="I1545" s="21"/>
      <c r="J1545" s="21"/>
      <c r="K1545" s="20"/>
      <c r="L1545" s="22"/>
    </row>
    <row r="1546" spans="9:12" x14ac:dyDescent="0.25">
      <c r="I1546" s="21"/>
      <c r="J1546" s="21"/>
      <c r="K1546" s="20"/>
      <c r="L1546" s="22"/>
    </row>
    <row r="1547" spans="9:12" x14ac:dyDescent="0.25">
      <c r="I1547" s="21"/>
      <c r="J1547" s="21"/>
      <c r="K1547" s="20"/>
      <c r="L1547" s="22"/>
    </row>
    <row r="1548" spans="9:12" x14ac:dyDescent="0.25">
      <c r="I1548" s="21"/>
      <c r="J1548" s="21"/>
      <c r="K1548" s="20"/>
      <c r="L1548" s="22"/>
    </row>
    <row r="1549" spans="9:12" x14ac:dyDescent="0.25">
      <c r="I1549" s="21"/>
      <c r="J1549" s="21"/>
      <c r="K1549" s="20"/>
      <c r="L1549" s="22"/>
    </row>
    <row r="1550" spans="9:12" x14ac:dyDescent="0.25">
      <c r="I1550" s="21"/>
      <c r="J1550" s="21"/>
      <c r="K1550" s="20"/>
      <c r="L1550" s="22"/>
    </row>
    <row r="1551" spans="9:12" x14ac:dyDescent="0.25">
      <c r="I1551" s="21"/>
      <c r="J1551" s="21"/>
      <c r="K1551" s="20"/>
      <c r="L1551" s="22"/>
    </row>
    <row r="1552" spans="9:12" x14ac:dyDescent="0.25">
      <c r="I1552" s="21"/>
      <c r="J1552" s="21"/>
      <c r="K1552" s="20"/>
      <c r="L1552" s="22"/>
    </row>
    <row r="1553" spans="9:12" x14ac:dyDescent="0.25">
      <c r="I1553" s="21"/>
      <c r="J1553" s="21"/>
      <c r="K1553" s="20"/>
      <c r="L1553" s="22"/>
    </row>
    <row r="1554" spans="9:12" x14ac:dyDescent="0.25">
      <c r="I1554" s="21"/>
      <c r="J1554" s="21"/>
      <c r="K1554" s="20"/>
      <c r="L1554" s="22"/>
    </row>
    <row r="1555" spans="9:12" x14ac:dyDescent="0.25">
      <c r="I1555" s="21"/>
      <c r="J1555" s="21"/>
      <c r="K1555" s="20"/>
      <c r="L1555" s="22"/>
    </row>
    <row r="1556" spans="9:12" x14ac:dyDescent="0.25">
      <c r="I1556" s="21"/>
      <c r="J1556" s="21"/>
      <c r="K1556" s="20"/>
      <c r="L1556" s="22"/>
    </row>
    <row r="1557" spans="9:12" x14ac:dyDescent="0.25">
      <c r="I1557" s="21"/>
      <c r="J1557" s="21"/>
      <c r="K1557" s="20"/>
      <c r="L1557" s="22"/>
    </row>
    <row r="1558" spans="9:12" x14ac:dyDescent="0.25">
      <c r="I1558" s="21"/>
      <c r="J1558" s="21"/>
      <c r="K1558" s="20"/>
      <c r="L1558" s="22"/>
    </row>
    <row r="1559" spans="9:12" x14ac:dyDescent="0.25">
      <c r="I1559" s="21"/>
      <c r="J1559" s="21"/>
      <c r="K1559" s="20"/>
      <c r="L1559" s="22"/>
    </row>
    <row r="1560" spans="9:12" x14ac:dyDescent="0.25">
      <c r="I1560" s="21"/>
      <c r="J1560" s="21"/>
      <c r="K1560" s="20"/>
      <c r="L1560" s="22"/>
    </row>
    <row r="1561" spans="9:12" x14ac:dyDescent="0.25">
      <c r="I1561" s="21"/>
      <c r="J1561" s="21"/>
      <c r="K1561" s="20"/>
      <c r="L1561" s="22"/>
    </row>
    <row r="1562" spans="9:12" x14ac:dyDescent="0.25">
      <c r="I1562" s="21"/>
      <c r="J1562" s="21"/>
      <c r="K1562" s="20"/>
      <c r="L1562" s="22"/>
    </row>
    <row r="1563" spans="9:12" x14ac:dyDescent="0.25">
      <c r="I1563" s="21"/>
      <c r="J1563" s="21"/>
      <c r="K1563" s="20"/>
      <c r="L1563" s="22"/>
    </row>
    <row r="1564" spans="9:12" x14ac:dyDescent="0.25">
      <c r="I1564" s="21"/>
      <c r="J1564" s="21"/>
      <c r="K1564" s="20"/>
      <c r="L1564" s="22"/>
    </row>
    <row r="1565" spans="9:12" x14ac:dyDescent="0.25">
      <c r="I1565" s="21"/>
      <c r="J1565" s="21"/>
      <c r="K1565" s="20"/>
      <c r="L1565" s="22"/>
    </row>
    <row r="1566" spans="9:12" x14ac:dyDescent="0.25">
      <c r="I1566" s="21"/>
      <c r="J1566" s="21"/>
      <c r="K1566" s="20"/>
      <c r="L1566" s="22"/>
    </row>
    <row r="1567" spans="9:12" x14ac:dyDescent="0.25">
      <c r="I1567" s="21"/>
      <c r="J1567" s="21"/>
      <c r="K1567" s="20"/>
      <c r="L1567" s="22"/>
    </row>
    <row r="1568" spans="9:12" x14ac:dyDescent="0.25">
      <c r="I1568" s="21"/>
      <c r="J1568" s="21"/>
      <c r="K1568" s="20"/>
      <c r="L1568" s="22"/>
    </row>
    <row r="1569" spans="9:12" x14ac:dyDescent="0.25">
      <c r="I1569" s="21"/>
      <c r="J1569" s="21"/>
      <c r="K1569" s="20"/>
      <c r="L1569" s="22"/>
    </row>
    <row r="1570" spans="9:12" x14ac:dyDescent="0.25">
      <c r="I1570" s="21"/>
      <c r="J1570" s="21"/>
      <c r="K1570" s="20"/>
      <c r="L1570" s="22"/>
    </row>
    <row r="1571" spans="9:12" x14ac:dyDescent="0.25">
      <c r="I1571" s="21"/>
      <c r="J1571" s="21"/>
      <c r="K1571" s="20"/>
      <c r="L1571" s="22"/>
    </row>
    <row r="1572" spans="9:12" x14ac:dyDescent="0.25">
      <c r="I1572" s="21"/>
      <c r="J1572" s="21"/>
      <c r="K1572" s="20"/>
      <c r="L1572" s="22"/>
    </row>
    <row r="1573" spans="9:12" x14ac:dyDescent="0.25">
      <c r="I1573" s="21"/>
      <c r="J1573" s="21"/>
      <c r="K1573" s="20"/>
      <c r="L1573" s="22"/>
    </row>
    <row r="1574" spans="9:12" x14ac:dyDescent="0.25">
      <c r="I1574" s="21"/>
      <c r="J1574" s="21"/>
      <c r="K1574" s="20"/>
      <c r="L1574" s="22"/>
    </row>
    <row r="1575" spans="9:12" x14ac:dyDescent="0.25">
      <c r="I1575" s="21"/>
      <c r="J1575" s="21"/>
      <c r="K1575" s="20"/>
      <c r="L1575" s="22"/>
    </row>
    <row r="1576" spans="9:12" x14ac:dyDescent="0.25">
      <c r="I1576" s="21"/>
      <c r="J1576" s="21"/>
      <c r="K1576" s="20"/>
      <c r="L1576" s="22"/>
    </row>
    <row r="1577" spans="9:12" x14ac:dyDescent="0.25">
      <c r="I1577" s="21"/>
      <c r="J1577" s="21"/>
      <c r="K1577" s="20"/>
      <c r="L1577" s="22"/>
    </row>
    <row r="1578" spans="9:12" x14ac:dyDescent="0.25">
      <c r="I1578" s="21"/>
      <c r="J1578" s="21"/>
      <c r="K1578" s="20"/>
      <c r="L1578" s="22"/>
    </row>
    <row r="1579" spans="9:12" x14ac:dyDescent="0.25">
      <c r="I1579" s="21"/>
      <c r="J1579" s="21"/>
      <c r="K1579" s="20"/>
      <c r="L1579" s="22"/>
    </row>
    <row r="1580" spans="9:12" x14ac:dyDescent="0.25">
      <c r="I1580" s="21"/>
      <c r="J1580" s="21"/>
      <c r="K1580" s="20"/>
      <c r="L1580" s="22"/>
    </row>
    <row r="1581" spans="9:12" x14ac:dyDescent="0.25">
      <c r="I1581" s="21"/>
      <c r="J1581" s="21"/>
      <c r="K1581" s="20"/>
      <c r="L1581" s="22"/>
    </row>
    <row r="1582" spans="9:12" x14ac:dyDescent="0.25">
      <c r="I1582" s="21"/>
      <c r="J1582" s="21"/>
      <c r="K1582" s="20"/>
      <c r="L1582" s="22"/>
    </row>
    <row r="1583" spans="9:12" x14ac:dyDescent="0.25">
      <c r="I1583" s="21"/>
      <c r="J1583" s="21"/>
      <c r="K1583" s="20"/>
      <c r="L1583" s="22"/>
    </row>
    <row r="1584" spans="9:12" x14ac:dyDescent="0.25">
      <c r="I1584" s="21"/>
      <c r="J1584" s="21"/>
      <c r="K1584" s="20"/>
      <c r="L1584" s="22"/>
    </row>
    <row r="1585" spans="9:12" x14ac:dyDescent="0.25">
      <c r="I1585" s="21"/>
      <c r="J1585" s="21"/>
      <c r="K1585" s="20"/>
      <c r="L1585" s="22"/>
    </row>
    <row r="1586" spans="9:12" x14ac:dyDescent="0.25">
      <c r="I1586" s="21"/>
      <c r="J1586" s="21"/>
      <c r="K1586" s="20"/>
      <c r="L1586" s="22"/>
    </row>
    <row r="1587" spans="9:12" x14ac:dyDescent="0.25">
      <c r="J1587" s="21"/>
      <c r="L1587" s="22"/>
    </row>
    <row r="1588" spans="9:12" x14ac:dyDescent="0.25">
      <c r="I1588" s="21"/>
      <c r="J1588" s="21"/>
      <c r="K1588" s="20"/>
      <c r="L1588" s="22"/>
    </row>
    <row r="1589" spans="9:12" x14ac:dyDescent="0.25">
      <c r="I1589" s="21"/>
      <c r="J1589" s="21"/>
      <c r="K1589" s="20"/>
      <c r="L1589" s="22"/>
    </row>
    <row r="1590" spans="9:12" x14ac:dyDescent="0.25">
      <c r="I1590" s="21"/>
      <c r="J1590" s="21"/>
      <c r="K1590" s="20"/>
      <c r="L1590" s="22"/>
    </row>
    <row r="1591" spans="9:12" x14ac:dyDescent="0.25">
      <c r="I1591" s="21"/>
      <c r="J1591" s="21"/>
      <c r="K1591" s="20"/>
      <c r="L1591" s="22"/>
    </row>
    <row r="1592" spans="9:12" x14ac:dyDescent="0.25">
      <c r="I1592" s="21"/>
      <c r="J1592" s="21"/>
      <c r="K1592" s="20"/>
      <c r="L1592" s="22"/>
    </row>
    <row r="1593" spans="9:12" x14ac:dyDescent="0.25">
      <c r="I1593" s="21"/>
      <c r="J1593" s="21"/>
      <c r="K1593" s="20"/>
      <c r="L1593" s="22"/>
    </row>
    <row r="1594" spans="9:12" x14ac:dyDescent="0.25">
      <c r="I1594" s="21"/>
      <c r="J1594" s="21"/>
      <c r="K1594" s="20"/>
      <c r="L1594" s="22"/>
    </row>
    <row r="1595" spans="9:12" x14ac:dyDescent="0.25">
      <c r="I1595" s="21"/>
      <c r="J1595" s="21"/>
      <c r="K1595" s="20"/>
      <c r="L1595" s="22"/>
    </row>
    <row r="1596" spans="9:12" x14ac:dyDescent="0.25">
      <c r="I1596" s="21"/>
      <c r="J1596" s="21"/>
      <c r="K1596" s="20"/>
      <c r="L1596" s="22"/>
    </row>
    <row r="1597" spans="9:12" x14ac:dyDescent="0.25">
      <c r="I1597" s="21"/>
      <c r="J1597" s="21"/>
      <c r="K1597" s="20"/>
      <c r="L1597" s="22"/>
    </row>
    <row r="1598" spans="9:12" x14ac:dyDescent="0.25">
      <c r="I1598" s="21"/>
      <c r="J1598" s="21"/>
      <c r="K1598" s="20"/>
      <c r="L1598" s="22"/>
    </row>
    <row r="1599" spans="9:12" x14ac:dyDescent="0.25">
      <c r="I1599" s="21"/>
      <c r="J1599" s="21"/>
      <c r="K1599" s="20"/>
      <c r="L1599" s="22"/>
    </row>
    <row r="1600" spans="9:12" x14ac:dyDescent="0.25">
      <c r="I1600" s="21"/>
      <c r="J1600" s="21"/>
      <c r="K1600" s="20"/>
      <c r="L1600" s="22"/>
    </row>
    <row r="1601" spans="9:12" x14ac:dyDescent="0.25">
      <c r="I1601" s="21"/>
      <c r="J1601" s="21"/>
      <c r="K1601" s="20"/>
      <c r="L1601" s="22"/>
    </row>
    <row r="1602" spans="9:12" x14ac:dyDescent="0.25">
      <c r="I1602" s="21"/>
      <c r="J1602" s="21"/>
      <c r="K1602" s="20"/>
      <c r="L1602" s="22"/>
    </row>
    <row r="1603" spans="9:12" x14ac:dyDescent="0.25">
      <c r="I1603" s="21"/>
      <c r="J1603" s="21"/>
      <c r="K1603" s="20"/>
      <c r="L1603" s="22"/>
    </row>
    <row r="1604" spans="9:12" x14ac:dyDescent="0.25">
      <c r="I1604" s="21"/>
      <c r="J1604" s="21"/>
      <c r="K1604" s="20"/>
      <c r="L1604" s="22"/>
    </row>
    <row r="1605" spans="9:12" x14ac:dyDescent="0.25">
      <c r="I1605" s="21"/>
      <c r="J1605" s="21"/>
      <c r="K1605" s="20"/>
      <c r="L1605" s="22"/>
    </row>
    <row r="1606" spans="9:12" x14ac:dyDescent="0.25">
      <c r="I1606" s="21"/>
      <c r="J1606" s="21"/>
      <c r="K1606" s="20"/>
      <c r="L1606" s="22"/>
    </row>
    <row r="1607" spans="9:12" x14ac:dyDescent="0.25">
      <c r="I1607" s="21"/>
      <c r="J1607" s="21"/>
      <c r="K1607" s="20"/>
      <c r="L1607" s="22"/>
    </row>
    <row r="1608" spans="9:12" x14ac:dyDescent="0.25">
      <c r="I1608" s="21"/>
      <c r="J1608" s="21"/>
      <c r="K1608" s="20"/>
    </row>
    <row r="1609" spans="9:12" x14ac:dyDescent="0.25">
      <c r="I1609" s="21"/>
      <c r="J1609" s="21"/>
      <c r="K1609" s="20"/>
      <c r="L1609" s="22"/>
    </row>
    <row r="1610" spans="9:12" x14ac:dyDescent="0.25">
      <c r="I1610" s="21"/>
      <c r="J1610" s="21"/>
      <c r="K1610" s="20"/>
      <c r="L1610" s="22"/>
    </row>
    <row r="1611" spans="9:12" x14ac:dyDescent="0.25">
      <c r="I1611" s="21"/>
      <c r="J1611" s="21"/>
      <c r="K1611" s="20"/>
      <c r="L1611" s="22"/>
    </row>
    <row r="1612" spans="9:12" x14ac:dyDescent="0.25">
      <c r="I1612" s="21"/>
      <c r="J1612" s="21"/>
      <c r="K1612" s="20"/>
      <c r="L1612" s="22"/>
    </row>
    <row r="1613" spans="9:12" x14ac:dyDescent="0.25">
      <c r="I1613" s="21"/>
      <c r="J1613" s="21"/>
      <c r="K1613" s="20"/>
      <c r="L1613" s="22"/>
    </row>
    <row r="1614" spans="9:12" x14ac:dyDescent="0.25">
      <c r="I1614" s="21"/>
      <c r="J1614" s="21"/>
      <c r="K1614" s="20"/>
      <c r="L1614" s="22"/>
    </row>
    <row r="1615" spans="9:12" x14ac:dyDescent="0.25">
      <c r="I1615" s="21"/>
      <c r="J1615" s="21"/>
      <c r="K1615" s="20"/>
      <c r="L1615" s="22"/>
    </row>
    <row r="1616" spans="9:12" x14ac:dyDescent="0.25">
      <c r="I1616" s="21"/>
      <c r="J1616" s="21"/>
      <c r="K1616" s="20"/>
      <c r="L1616" s="22"/>
    </row>
    <row r="1617" spans="9:12" x14ac:dyDescent="0.25">
      <c r="I1617" s="21"/>
      <c r="J1617" s="21"/>
      <c r="K1617" s="20"/>
      <c r="L1617" s="22"/>
    </row>
    <row r="1618" spans="9:12" x14ac:dyDescent="0.25">
      <c r="I1618" s="21"/>
      <c r="J1618" s="21"/>
      <c r="K1618" s="20"/>
      <c r="L1618" s="22"/>
    </row>
    <row r="1619" spans="9:12" x14ac:dyDescent="0.25">
      <c r="I1619" s="21"/>
      <c r="J1619" s="21"/>
      <c r="K1619" s="20"/>
      <c r="L1619" s="22"/>
    </row>
    <row r="1620" spans="9:12" x14ac:dyDescent="0.25">
      <c r="I1620" s="21"/>
      <c r="J1620" s="21"/>
      <c r="K1620" s="20"/>
      <c r="L1620" s="22"/>
    </row>
    <row r="1621" spans="9:12" x14ac:dyDescent="0.25">
      <c r="I1621" s="21"/>
      <c r="J1621" s="21"/>
      <c r="K1621" s="20"/>
      <c r="L1621" s="22"/>
    </row>
    <row r="1622" spans="9:12" x14ac:dyDescent="0.25">
      <c r="I1622" s="21"/>
      <c r="J1622" s="21"/>
      <c r="K1622" s="20"/>
      <c r="L1622" s="22"/>
    </row>
    <row r="1623" spans="9:12" x14ac:dyDescent="0.25">
      <c r="I1623" s="21"/>
      <c r="J1623" s="21"/>
      <c r="K1623" s="20"/>
      <c r="L1623" s="22"/>
    </row>
    <row r="1624" spans="9:12" x14ac:dyDescent="0.25">
      <c r="I1624" s="21"/>
      <c r="J1624" s="21"/>
      <c r="K1624" s="20"/>
      <c r="L1624" s="22"/>
    </row>
    <row r="1625" spans="9:12" x14ac:dyDescent="0.25">
      <c r="I1625" s="21"/>
      <c r="J1625" s="21"/>
      <c r="K1625" s="20"/>
      <c r="L1625" s="22"/>
    </row>
    <row r="1626" spans="9:12" x14ac:dyDescent="0.25">
      <c r="I1626" s="21"/>
      <c r="J1626" s="21"/>
      <c r="K1626" s="20"/>
      <c r="L1626" s="22"/>
    </row>
    <row r="1627" spans="9:12" x14ac:dyDescent="0.25">
      <c r="I1627" s="21"/>
      <c r="J1627" s="21"/>
      <c r="K1627" s="20"/>
      <c r="L1627" s="22"/>
    </row>
    <row r="1628" spans="9:12" x14ac:dyDescent="0.25">
      <c r="I1628"/>
      <c r="J1628"/>
      <c r="K1628" s="55"/>
      <c r="L1628" s="3"/>
    </row>
    <row r="1629" spans="9:12" x14ac:dyDescent="0.25">
      <c r="I1629"/>
      <c r="J1629"/>
      <c r="K1629" s="55"/>
      <c r="L1629" s="3"/>
    </row>
    <row r="1630" spans="9:12" x14ac:dyDescent="0.25">
      <c r="I1630"/>
      <c r="J1630"/>
      <c r="K1630" s="55"/>
      <c r="L1630" s="3"/>
    </row>
    <row r="1631" spans="9:12" x14ac:dyDescent="0.25">
      <c r="I1631"/>
      <c r="J1631"/>
      <c r="K1631" s="55"/>
      <c r="L1631" s="3"/>
    </row>
    <row r="1632" spans="9:12" x14ac:dyDescent="0.25">
      <c r="I1632"/>
      <c r="J1632"/>
      <c r="K1632" s="55"/>
      <c r="L1632" s="3"/>
    </row>
    <row r="1633" spans="9:12" x14ac:dyDescent="0.25">
      <c r="I1633"/>
      <c r="J1633"/>
      <c r="K1633" s="55"/>
      <c r="L1633" s="3"/>
    </row>
    <row r="1634" spans="9:12" x14ac:dyDescent="0.25">
      <c r="I1634"/>
      <c r="J1634"/>
      <c r="K1634" s="55"/>
      <c r="L1634" s="3"/>
    </row>
    <row r="1635" spans="9:12" x14ac:dyDescent="0.25">
      <c r="I1635"/>
      <c r="J1635"/>
      <c r="K1635" s="55"/>
      <c r="L1635" s="3"/>
    </row>
    <row r="1636" spans="9:12" x14ac:dyDescent="0.25">
      <c r="I1636"/>
      <c r="J1636"/>
      <c r="K1636" s="55"/>
      <c r="L1636" s="3"/>
    </row>
    <row r="1637" spans="9:12" x14ac:dyDescent="0.25">
      <c r="I1637"/>
      <c r="J1637"/>
      <c r="K1637" s="55"/>
      <c r="L1637" s="3"/>
    </row>
    <row r="1638" spans="9:12" x14ac:dyDescent="0.25">
      <c r="I1638"/>
      <c r="J1638"/>
      <c r="K1638" s="55"/>
      <c r="L1638" s="3"/>
    </row>
    <row r="1639" spans="9:12" x14ac:dyDescent="0.25">
      <c r="I1639"/>
      <c r="J1639"/>
      <c r="K1639" s="55"/>
      <c r="L1639" s="3"/>
    </row>
    <row r="1640" spans="9:12" x14ac:dyDescent="0.25">
      <c r="I1640"/>
      <c r="J1640"/>
      <c r="K1640" s="55"/>
      <c r="L1640" s="3"/>
    </row>
    <row r="1641" spans="9:12" x14ac:dyDescent="0.25">
      <c r="I1641"/>
      <c r="J1641"/>
      <c r="K1641" s="55"/>
      <c r="L1641" s="3"/>
    </row>
    <row r="1642" spans="9:12" x14ac:dyDescent="0.25">
      <c r="I1642"/>
      <c r="J1642"/>
      <c r="K1642" s="55"/>
      <c r="L1642" s="3"/>
    </row>
    <row r="1643" spans="9:12" x14ac:dyDescent="0.25">
      <c r="I1643"/>
      <c r="J1643"/>
      <c r="K1643" s="55"/>
      <c r="L1643" s="3"/>
    </row>
    <row r="1644" spans="9:12" x14ac:dyDescent="0.25">
      <c r="I1644"/>
      <c r="J1644"/>
      <c r="K1644" s="55"/>
      <c r="L1644" s="3"/>
    </row>
    <row r="1645" spans="9:12" x14ac:dyDescent="0.25">
      <c r="I1645"/>
      <c r="J1645"/>
      <c r="K1645" s="55"/>
      <c r="L1645" s="3"/>
    </row>
    <row r="1646" spans="9:12" x14ac:dyDescent="0.25">
      <c r="I1646"/>
      <c r="J1646"/>
      <c r="K1646" s="55"/>
      <c r="L1646" s="3"/>
    </row>
    <row r="1647" spans="9:12" x14ac:dyDescent="0.25">
      <c r="I1647"/>
      <c r="J1647"/>
      <c r="K1647" s="55"/>
      <c r="L1647" s="3"/>
    </row>
    <row r="1648" spans="9:12" x14ac:dyDescent="0.25">
      <c r="I1648"/>
      <c r="J1648"/>
      <c r="K1648" s="55"/>
      <c r="L1648" s="3"/>
    </row>
    <row r="1649" spans="9:12" x14ac:dyDescent="0.25">
      <c r="I1649"/>
      <c r="J1649"/>
      <c r="K1649" s="55"/>
      <c r="L1649" s="3"/>
    </row>
    <row r="1650" spans="9:12" x14ac:dyDescent="0.25">
      <c r="I1650"/>
      <c r="J1650"/>
      <c r="K1650" s="55"/>
      <c r="L1650" s="3"/>
    </row>
    <row r="1651" spans="9:12" x14ac:dyDescent="0.25">
      <c r="I1651"/>
      <c r="J1651"/>
      <c r="K1651" s="55"/>
      <c r="L1651" s="3"/>
    </row>
    <row r="1652" spans="9:12" x14ac:dyDescent="0.25">
      <c r="I1652"/>
      <c r="J1652"/>
      <c r="K1652" s="55"/>
      <c r="L1652" s="3"/>
    </row>
    <row r="1653" spans="9:12" x14ac:dyDescent="0.25">
      <c r="I1653"/>
      <c r="J1653"/>
      <c r="K1653" s="55"/>
      <c r="L1653" s="3"/>
    </row>
    <row r="1654" spans="9:12" x14ac:dyDescent="0.25">
      <c r="I1654"/>
      <c r="J1654"/>
      <c r="K1654" s="55"/>
      <c r="L1654" s="3"/>
    </row>
    <row r="1655" spans="9:12" x14ac:dyDescent="0.25">
      <c r="I1655" s="21"/>
      <c r="J1655" s="21"/>
      <c r="K1655" s="20"/>
      <c r="L1655" s="22"/>
    </row>
    <row r="1656" spans="9:12" x14ac:dyDescent="0.25">
      <c r="I1656" s="21"/>
      <c r="J1656" s="21"/>
      <c r="K1656" s="20"/>
      <c r="L1656" s="22"/>
    </row>
    <row r="1657" spans="9:12" x14ac:dyDescent="0.25">
      <c r="I1657" s="21"/>
      <c r="J1657" s="21"/>
      <c r="K1657" s="20"/>
      <c r="L1657" s="22"/>
    </row>
    <row r="1658" spans="9:12" x14ac:dyDescent="0.25">
      <c r="I1658" s="21"/>
      <c r="J1658" s="21"/>
      <c r="K1658" s="20"/>
      <c r="L1658" s="22"/>
    </row>
    <row r="1659" spans="9:12" x14ac:dyDescent="0.25">
      <c r="I1659" s="21"/>
      <c r="J1659" s="21"/>
      <c r="K1659" s="20"/>
      <c r="L1659" s="22"/>
    </row>
    <row r="1660" spans="9:12" x14ac:dyDescent="0.25">
      <c r="I1660" s="21"/>
      <c r="J1660" s="21"/>
      <c r="K1660" s="20"/>
      <c r="L1660" s="22"/>
    </row>
    <row r="1661" spans="9:12" x14ac:dyDescent="0.25">
      <c r="I1661" s="21"/>
      <c r="J1661" s="21"/>
      <c r="K1661" s="20"/>
      <c r="L1661" s="22"/>
    </row>
    <row r="1662" spans="9:12" x14ac:dyDescent="0.25">
      <c r="I1662" s="21"/>
      <c r="J1662" s="21"/>
      <c r="K1662" s="20"/>
      <c r="L1662" s="22"/>
    </row>
    <row r="1663" spans="9:12" x14ac:dyDescent="0.25">
      <c r="I1663" s="21"/>
      <c r="J1663" s="21"/>
      <c r="K1663" s="20"/>
      <c r="L1663" s="22"/>
    </row>
    <row r="1664" spans="9:12" x14ac:dyDescent="0.25">
      <c r="I1664" s="21"/>
      <c r="J1664" s="21"/>
      <c r="K1664" s="20"/>
      <c r="L1664" s="22"/>
    </row>
    <row r="1665" spans="9:12" x14ac:dyDescent="0.25">
      <c r="I1665" s="21"/>
      <c r="J1665" s="21"/>
      <c r="K1665" s="20"/>
      <c r="L1665" s="22"/>
    </row>
    <row r="1666" spans="9:12" x14ac:dyDescent="0.25">
      <c r="I1666" s="21"/>
      <c r="J1666" s="21"/>
      <c r="K1666" s="20"/>
      <c r="L1666" s="22"/>
    </row>
    <row r="1667" spans="9:12" x14ac:dyDescent="0.25">
      <c r="I1667" s="21"/>
      <c r="J1667" s="21"/>
      <c r="K1667" s="20"/>
      <c r="L1667" s="22"/>
    </row>
    <row r="1668" spans="9:12" x14ac:dyDescent="0.25">
      <c r="I1668" s="21"/>
      <c r="J1668" s="21"/>
      <c r="K1668" s="20"/>
      <c r="L1668" s="22"/>
    </row>
    <row r="1669" spans="9:12" x14ac:dyDescent="0.25">
      <c r="I1669" s="21"/>
      <c r="J1669" s="21"/>
      <c r="K1669" s="20"/>
      <c r="L1669" s="22"/>
    </row>
    <row r="1670" spans="9:12" x14ac:dyDescent="0.25">
      <c r="I1670" s="21"/>
      <c r="J1670" s="21"/>
      <c r="K1670" s="20"/>
      <c r="L1670" s="22"/>
    </row>
    <row r="1671" spans="9:12" x14ac:dyDescent="0.25">
      <c r="I1671" s="21"/>
      <c r="J1671" s="21"/>
      <c r="K1671" s="20"/>
      <c r="L1671" s="22"/>
    </row>
    <row r="1672" spans="9:12" x14ac:dyDescent="0.25">
      <c r="I1672" s="21"/>
      <c r="J1672" s="21"/>
      <c r="K1672" s="20"/>
      <c r="L1672" s="22"/>
    </row>
    <row r="1673" spans="9:12" x14ac:dyDescent="0.25">
      <c r="I1673" s="21"/>
      <c r="J1673" s="21"/>
      <c r="K1673" s="20"/>
      <c r="L1673" s="22"/>
    </row>
    <row r="1674" spans="9:12" x14ac:dyDescent="0.25">
      <c r="I1674" s="21"/>
      <c r="J1674" s="21"/>
      <c r="K1674" s="20"/>
      <c r="L1674" s="22"/>
    </row>
    <row r="1675" spans="9:12" x14ac:dyDescent="0.25">
      <c r="I1675" s="21"/>
      <c r="J1675" s="21"/>
      <c r="K1675" s="20"/>
      <c r="L1675" s="22"/>
    </row>
    <row r="1676" spans="9:12" x14ac:dyDescent="0.25">
      <c r="I1676" s="21"/>
      <c r="J1676" s="21"/>
      <c r="K1676" s="20"/>
      <c r="L1676" s="22"/>
    </row>
    <row r="1677" spans="9:12" x14ac:dyDescent="0.25">
      <c r="I1677" s="21"/>
      <c r="J1677" s="21"/>
      <c r="K1677" s="20"/>
      <c r="L1677" s="22"/>
    </row>
    <row r="1678" spans="9:12" x14ac:dyDescent="0.25">
      <c r="I1678" s="21"/>
      <c r="J1678" s="21"/>
      <c r="K1678" s="20"/>
      <c r="L1678" s="22"/>
    </row>
    <row r="1679" spans="9:12" x14ac:dyDescent="0.25">
      <c r="I1679" s="21"/>
      <c r="J1679" s="21"/>
      <c r="K1679" s="20"/>
      <c r="L1679" s="22"/>
    </row>
    <row r="1680" spans="9:12" x14ac:dyDescent="0.25">
      <c r="I1680" s="21"/>
      <c r="J1680" s="21"/>
      <c r="K1680" s="20"/>
      <c r="L1680" s="22"/>
    </row>
    <row r="1681" spans="9:12" x14ac:dyDescent="0.25">
      <c r="I1681" s="21"/>
      <c r="J1681" s="21"/>
      <c r="K1681" s="20"/>
      <c r="L1681" s="22"/>
    </row>
    <row r="1682" spans="9:12" x14ac:dyDescent="0.25">
      <c r="I1682" s="21"/>
      <c r="J1682" s="21"/>
      <c r="K1682" s="20"/>
      <c r="L1682" s="22"/>
    </row>
    <row r="1683" spans="9:12" x14ac:dyDescent="0.25">
      <c r="I1683" s="21"/>
      <c r="J1683" s="21"/>
      <c r="K1683" s="20"/>
      <c r="L1683" s="22"/>
    </row>
    <row r="1684" spans="9:12" x14ac:dyDescent="0.25">
      <c r="I1684" s="21"/>
      <c r="J1684" s="21"/>
      <c r="K1684" s="20"/>
      <c r="L1684" s="22"/>
    </row>
    <row r="1685" spans="9:12" x14ac:dyDescent="0.25">
      <c r="I1685" s="21"/>
      <c r="J1685" s="21"/>
      <c r="K1685" s="20"/>
      <c r="L1685" s="22"/>
    </row>
    <row r="1686" spans="9:12" x14ac:dyDescent="0.25">
      <c r="I1686" s="21"/>
      <c r="J1686" s="21"/>
      <c r="K1686" s="20"/>
      <c r="L1686" s="22"/>
    </row>
    <row r="1687" spans="9:12" x14ac:dyDescent="0.25">
      <c r="I1687" s="21"/>
      <c r="J1687" s="21"/>
      <c r="K1687" s="20"/>
      <c r="L1687" s="22"/>
    </row>
    <row r="1688" spans="9:12" x14ac:dyDescent="0.25">
      <c r="I1688" s="21"/>
      <c r="J1688" s="21"/>
      <c r="K1688" s="20"/>
      <c r="L1688" s="22"/>
    </row>
    <row r="1689" spans="9:12" x14ac:dyDescent="0.25">
      <c r="I1689" s="21"/>
      <c r="J1689" s="21"/>
      <c r="K1689" s="20"/>
      <c r="L1689" s="22"/>
    </row>
    <row r="1690" spans="9:12" x14ac:dyDescent="0.25">
      <c r="I1690" s="21"/>
      <c r="J1690" s="21"/>
      <c r="K1690" s="20"/>
      <c r="L1690" s="22"/>
    </row>
    <row r="1691" spans="9:12" x14ac:dyDescent="0.25">
      <c r="I1691"/>
      <c r="J1691"/>
      <c r="K1691" s="55"/>
      <c r="L1691" s="3"/>
    </row>
    <row r="1692" spans="9:12" x14ac:dyDescent="0.25">
      <c r="I1692"/>
      <c r="J1692"/>
      <c r="K1692" s="55"/>
      <c r="L1692" s="3"/>
    </row>
    <row r="1693" spans="9:12" x14ac:dyDescent="0.25">
      <c r="I1693"/>
      <c r="J1693"/>
      <c r="K1693" s="55"/>
      <c r="L1693" s="3"/>
    </row>
    <row r="1694" spans="9:12" x14ac:dyDescent="0.25">
      <c r="I1694"/>
      <c r="J1694"/>
      <c r="K1694" s="55"/>
      <c r="L1694" s="3"/>
    </row>
    <row r="1695" spans="9:12" x14ac:dyDescent="0.25">
      <c r="I1695"/>
      <c r="J1695"/>
      <c r="K1695" s="55"/>
      <c r="L1695" s="3"/>
    </row>
    <row r="1696" spans="9:12" x14ac:dyDescent="0.25">
      <c r="I1696"/>
      <c r="J1696"/>
      <c r="K1696" s="55"/>
      <c r="L1696" s="3"/>
    </row>
    <row r="1697" spans="9:12" x14ac:dyDescent="0.25">
      <c r="I1697"/>
      <c r="J1697"/>
      <c r="K1697" s="55"/>
      <c r="L1697" s="3"/>
    </row>
    <row r="1698" spans="9:12" x14ac:dyDescent="0.25">
      <c r="I1698"/>
      <c r="J1698"/>
      <c r="K1698" s="55"/>
      <c r="L1698" s="3"/>
    </row>
    <row r="1699" spans="9:12" x14ac:dyDescent="0.25">
      <c r="I1699"/>
      <c r="J1699"/>
      <c r="K1699" s="55"/>
      <c r="L1699" s="3"/>
    </row>
    <row r="1700" spans="9:12" x14ac:dyDescent="0.25">
      <c r="I1700"/>
      <c r="J1700"/>
      <c r="K1700" s="55"/>
      <c r="L1700" s="3"/>
    </row>
    <row r="1701" spans="9:12" x14ac:dyDescent="0.25">
      <c r="I1701"/>
      <c r="J1701"/>
      <c r="K1701" s="55"/>
      <c r="L1701" s="3"/>
    </row>
    <row r="1702" spans="9:12" x14ac:dyDescent="0.25">
      <c r="I1702"/>
      <c r="J1702"/>
      <c r="K1702" s="55"/>
      <c r="L1702" s="3"/>
    </row>
    <row r="1703" spans="9:12" x14ac:dyDescent="0.25">
      <c r="I1703"/>
      <c r="J1703"/>
      <c r="K1703" s="55"/>
      <c r="L1703" s="3"/>
    </row>
    <row r="1704" spans="9:12" x14ac:dyDescent="0.25">
      <c r="I1704"/>
      <c r="J1704"/>
      <c r="K1704" s="55"/>
      <c r="L1704" s="3"/>
    </row>
    <row r="1705" spans="9:12" x14ac:dyDescent="0.25">
      <c r="I1705"/>
      <c r="J1705"/>
      <c r="K1705" s="55"/>
      <c r="L1705" s="3"/>
    </row>
    <row r="1706" spans="9:12" x14ac:dyDescent="0.25">
      <c r="I1706"/>
      <c r="J1706"/>
      <c r="K1706" s="55"/>
      <c r="L1706" s="3"/>
    </row>
    <row r="1707" spans="9:12" x14ac:dyDescent="0.25">
      <c r="I1707"/>
      <c r="J1707"/>
      <c r="K1707" s="55"/>
      <c r="L1707" s="3"/>
    </row>
    <row r="1708" spans="9:12" x14ac:dyDescent="0.25">
      <c r="I1708"/>
      <c r="J1708"/>
      <c r="K1708" s="55"/>
      <c r="L1708" s="3"/>
    </row>
    <row r="1709" spans="9:12" x14ac:dyDescent="0.25">
      <c r="I1709"/>
      <c r="J1709"/>
      <c r="K1709" s="55"/>
      <c r="L1709" s="3"/>
    </row>
    <row r="1710" spans="9:12" x14ac:dyDescent="0.25">
      <c r="I1710"/>
      <c r="J1710"/>
      <c r="K1710" s="55"/>
      <c r="L1710" s="3"/>
    </row>
    <row r="1711" spans="9:12" x14ac:dyDescent="0.25">
      <c r="I1711"/>
      <c r="J1711"/>
      <c r="K1711" s="55"/>
      <c r="L1711" s="3"/>
    </row>
    <row r="1712" spans="9:12" x14ac:dyDescent="0.25">
      <c r="I1712"/>
      <c r="J1712"/>
      <c r="K1712" s="55"/>
      <c r="L1712" s="3"/>
    </row>
    <row r="1713" spans="9:12" x14ac:dyDescent="0.25">
      <c r="I1713"/>
      <c r="J1713"/>
      <c r="K1713" s="55"/>
      <c r="L1713" s="3"/>
    </row>
    <row r="1714" spans="9:12" x14ac:dyDescent="0.25">
      <c r="I1714"/>
      <c r="J1714"/>
      <c r="K1714" s="55"/>
      <c r="L1714" s="3"/>
    </row>
    <row r="1715" spans="9:12" x14ac:dyDescent="0.25">
      <c r="I1715"/>
      <c r="J1715"/>
      <c r="K1715" s="55"/>
      <c r="L1715" s="3"/>
    </row>
    <row r="1716" spans="9:12" x14ac:dyDescent="0.25">
      <c r="I1716" s="21"/>
      <c r="J1716" s="21"/>
      <c r="K1716" s="20"/>
      <c r="L1716" s="22"/>
    </row>
    <row r="1717" spans="9:12" x14ac:dyDescent="0.25">
      <c r="I1717" s="21"/>
      <c r="J1717" s="21"/>
      <c r="K1717" s="20"/>
      <c r="L1717" s="22"/>
    </row>
    <row r="1718" spans="9:12" x14ac:dyDescent="0.25">
      <c r="I1718" s="21"/>
      <c r="J1718" s="21"/>
      <c r="K1718" s="20"/>
      <c r="L1718" s="22"/>
    </row>
    <row r="1719" spans="9:12" x14ac:dyDescent="0.25">
      <c r="I1719" s="21"/>
      <c r="J1719" s="21"/>
      <c r="K1719" s="20"/>
      <c r="L1719" s="22"/>
    </row>
    <row r="1720" spans="9:12" x14ac:dyDescent="0.25">
      <c r="I1720" s="21"/>
      <c r="J1720" s="21"/>
      <c r="K1720" s="20"/>
      <c r="L1720" s="22"/>
    </row>
    <row r="1721" spans="9:12" x14ac:dyDescent="0.25">
      <c r="I1721" s="21"/>
      <c r="J1721" s="21"/>
      <c r="K1721" s="20"/>
      <c r="L1721" s="22"/>
    </row>
    <row r="1722" spans="9:12" x14ac:dyDescent="0.25">
      <c r="I1722" s="21"/>
      <c r="J1722" s="21"/>
      <c r="K1722" s="20"/>
      <c r="L1722" s="22"/>
    </row>
    <row r="1723" spans="9:12" x14ac:dyDescent="0.25">
      <c r="I1723" s="21"/>
      <c r="J1723" s="21"/>
      <c r="K1723" s="20"/>
      <c r="L1723" s="22"/>
    </row>
    <row r="1724" spans="9:12" x14ac:dyDescent="0.25">
      <c r="I1724" s="21"/>
      <c r="J1724" s="21"/>
      <c r="K1724" s="20"/>
      <c r="L1724" s="22"/>
    </row>
    <row r="1725" spans="9:12" x14ac:dyDescent="0.25">
      <c r="I1725" s="21"/>
      <c r="J1725" s="21"/>
      <c r="K1725" s="20"/>
      <c r="L1725" s="22"/>
    </row>
    <row r="1726" spans="9:12" x14ac:dyDescent="0.25">
      <c r="I1726" s="21"/>
      <c r="J1726" s="21"/>
      <c r="K1726" s="20"/>
      <c r="L1726" s="22"/>
    </row>
    <row r="1727" spans="9:12" x14ac:dyDescent="0.25">
      <c r="I1727" s="21"/>
      <c r="J1727" s="21"/>
      <c r="K1727" s="20"/>
      <c r="L1727" s="22"/>
    </row>
    <row r="1728" spans="9:12" x14ac:dyDescent="0.25">
      <c r="I1728" s="21"/>
      <c r="J1728" s="21"/>
      <c r="K1728" s="20"/>
      <c r="L1728" s="22"/>
    </row>
    <row r="1729" spans="9:12" x14ac:dyDescent="0.25">
      <c r="I1729" s="21"/>
      <c r="J1729" s="21"/>
      <c r="K1729" s="20"/>
      <c r="L1729" s="22"/>
    </row>
    <row r="1730" spans="9:12" x14ac:dyDescent="0.25">
      <c r="I1730" s="21"/>
      <c r="J1730" s="21"/>
      <c r="K1730" s="20"/>
      <c r="L1730" s="22"/>
    </row>
    <row r="1731" spans="9:12" x14ac:dyDescent="0.25">
      <c r="I1731" s="21"/>
      <c r="J1731" s="21"/>
      <c r="K1731" s="20"/>
      <c r="L1731" s="22"/>
    </row>
    <row r="1732" spans="9:12" x14ac:dyDescent="0.25">
      <c r="I1732" s="21"/>
      <c r="J1732" s="21"/>
      <c r="K1732" s="20"/>
      <c r="L1732" s="22"/>
    </row>
    <row r="1733" spans="9:12" x14ac:dyDescent="0.25">
      <c r="I1733" s="21"/>
      <c r="J1733" s="21"/>
      <c r="K1733" s="20"/>
      <c r="L1733" s="22"/>
    </row>
    <row r="1734" spans="9:12" x14ac:dyDescent="0.25">
      <c r="I1734" s="21"/>
      <c r="J1734" s="21"/>
      <c r="K1734" s="20"/>
      <c r="L1734" s="22"/>
    </row>
    <row r="1735" spans="9:12" x14ac:dyDescent="0.25">
      <c r="I1735" s="21"/>
      <c r="J1735" s="21"/>
      <c r="K1735" s="20"/>
      <c r="L1735" s="22"/>
    </row>
    <row r="1736" spans="9:12" x14ac:dyDescent="0.25">
      <c r="I1736" s="21"/>
      <c r="J1736" s="21"/>
      <c r="K1736" s="20"/>
      <c r="L1736" s="22"/>
    </row>
    <row r="1737" spans="9:12" x14ac:dyDescent="0.25">
      <c r="I1737" s="21"/>
      <c r="J1737" s="21"/>
      <c r="K1737" s="20"/>
      <c r="L1737" s="22"/>
    </row>
    <row r="1738" spans="9:12" x14ac:dyDescent="0.25">
      <c r="I1738" s="21"/>
      <c r="J1738" s="21"/>
      <c r="K1738" s="20"/>
      <c r="L1738" s="22"/>
    </row>
    <row r="1739" spans="9:12" x14ac:dyDescent="0.25">
      <c r="I1739" s="21"/>
      <c r="J1739" s="21"/>
      <c r="K1739" s="20"/>
      <c r="L1739" s="22"/>
    </row>
    <row r="1740" spans="9:12" x14ac:dyDescent="0.25">
      <c r="I1740" s="21"/>
      <c r="J1740" s="21"/>
      <c r="K1740" s="20"/>
      <c r="L1740" s="22"/>
    </row>
    <row r="1741" spans="9:12" x14ac:dyDescent="0.25">
      <c r="I1741" s="21"/>
      <c r="J1741" s="21"/>
      <c r="K1741" s="20"/>
      <c r="L1741" s="22"/>
    </row>
    <row r="1742" spans="9:12" x14ac:dyDescent="0.25">
      <c r="I1742" s="21"/>
      <c r="J1742" s="21"/>
      <c r="K1742" s="20"/>
      <c r="L1742" s="22"/>
    </row>
    <row r="1743" spans="9:12" x14ac:dyDescent="0.25">
      <c r="I1743" s="21"/>
      <c r="J1743" s="21"/>
      <c r="K1743" s="20"/>
      <c r="L1743" s="22"/>
    </row>
    <row r="1744" spans="9:12" x14ac:dyDescent="0.25">
      <c r="I1744" s="21"/>
      <c r="J1744" s="21"/>
      <c r="K1744" s="20"/>
      <c r="L1744" s="22"/>
    </row>
    <row r="1745" spans="9:12" x14ac:dyDescent="0.25">
      <c r="I1745" s="21"/>
      <c r="J1745" s="21"/>
      <c r="K1745" s="20"/>
      <c r="L1745" s="22"/>
    </row>
    <row r="1746" spans="9:12" x14ac:dyDescent="0.25">
      <c r="I1746" s="21"/>
      <c r="J1746" s="21"/>
      <c r="K1746" s="20"/>
      <c r="L1746" s="22"/>
    </row>
    <row r="1747" spans="9:12" x14ac:dyDescent="0.25">
      <c r="I1747" s="21"/>
      <c r="J1747" s="21"/>
      <c r="K1747" s="20"/>
      <c r="L1747" s="22"/>
    </row>
    <row r="1748" spans="9:12" x14ac:dyDescent="0.25">
      <c r="I1748" s="21"/>
      <c r="J1748" s="21"/>
      <c r="K1748" s="20"/>
      <c r="L1748" s="22"/>
    </row>
    <row r="1749" spans="9:12" x14ac:dyDescent="0.25">
      <c r="I1749" s="21"/>
      <c r="J1749" s="21"/>
      <c r="K1749" s="20"/>
      <c r="L1749" s="22"/>
    </row>
    <row r="1750" spans="9:12" x14ac:dyDescent="0.25">
      <c r="I1750" s="21"/>
      <c r="J1750" s="21"/>
      <c r="K1750" s="20"/>
      <c r="L1750" s="22"/>
    </row>
    <row r="1751" spans="9:12" x14ac:dyDescent="0.25">
      <c r="I1751" s="21"/>
      <c r="J1751" s="21"/>
      <c r="K1751" s="20"/>
      <c r="L1751" s="22"/>
    </row>
    <row r="1752" spans="9:12" x14ac:dyDescent="0.25">
      <c r="I1752" s="21"/>
      <c r="J1752" s="21"/>
      <c r="K1752" s="20"/>
      <c r="L1752" s="22"/>
    </row>
    <row r="1753" spans="9:12" x14ac:dyDescent="0.25">
      <c r="I1753" s="21"/>
      <c r="J1753" s="21"/>
      <c r="K1753" s="20"/>
      <c r="L1753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D4D5-3F0C-45D5-B9F5-EB83F740EFF2}">
  <dimension ref="A1:H42"/>
  <sheetViews>
    <sheetView zoomScale="95" workbookViewId="0">
      <pane ySplit="4" topLeftCell="A26" activePane="bottomLeft" state="frozen"/>
      <selection activeCell="F1" sqref="F1:F2"/>
      <selection pane="bottomLeft" activeCell="C31" sqref="C31"/>
    </sheetView>
  </sheetViews>
  <sheetFormatPr baseColWidth="10" defaultColWidth="9.140625" defaultRowHeight="15" x14ac:dyDescent="0.25"/>
  <cols>
    <col min="1" max="1" width="42" customWidth="1"/>
    <col min="2" max="4" width="20" customWidth="1"/>
    <col min="5" max="5" width="6" customWidth="1"/>
    <col min="8" max="8" width="12.5703125" bestFit="1" customWidth="1"/>
  </cols>
  <sheetData>
    <row r="1" spans="1:4" ht="8.1" customHeight="1" x14ac:dyDescent="0.25"/>
    <row r="2" spans="1:4" ht="42" customHeight="1" x14ac:dyDescent="0.25">
      <c r="A2" s="111" t="s">
        <v>351</v>
      </c>
      <c r="B2" s="112"/>
      <c r="C2" s="112"/>
      <c r="D2" s="112"/>
    </row>
    <row r="3" spans="1:4" ht="20.100000000000001" customHeight="1" x14ac:dyDescent="0.25">
      <c r="A3" s="113">
        <f ca="1">TODAY()</f>
        <v>46272</v>
      </c>
      <c r="B3" s="112"/>
      <c r="C3" s="112"/>
      <c r="D3" s="112"/>
    </row>
    <row r="4" spans="1:4" ht="9.9499999999999993" customHeight="1" x14ac:dyDescent="0.25">
      <c r="A4" s="58"/>
      <c r="B4" s="58"/>
      <c r="C4" s="58"/>
      <c r="D4" s="58"/>
    </row>
    <row r="5" spans="1:4" ht="26.1" customHeight="1" x14ac:dyDescent="0.25">
      <c r="A5" s="114" t="s">
        <v>310</v>
      </c>
      <c r="B5" s="112"/>
      <c r="C5" s="112"/>
      <c r="D5" s="112"/>
    </row>
    <row r="6" spans="1:4" ht="21.95" customHeight="1" x14ac:dyDescent="0.25">
      <c r="A6" s="59" t="s">
        <v>311</v>
      </c>
      <c r="B6" s="59" t="s">
        <v>7</v>
      </c>
      <c r="C6" s="59" t="s">
        <v>10</v>
      </c>
      <c r="D6" s="59" t="s">
        <v>18</v>
      </c>
    </row>
    <row r="7" spans="1:4" ht="20.100000000000001" customHeight="1" x14ac:dyDescent="0.25">
      <c r="A7" s="60">
        <f>'cheques a conf'!A2</f>
        <v>91003542</v>
      </c>
      <c r="B7" s="61" t="str">
        <f>'cheques a conf'!B2</f>
        <v>04/09/202</v>
      </c>
      <c r="C7" s="62">
        <f>IF('cheques a conf'!C2&lt;&gt;"",-'cheques a conf'!C2,"")</f>
        <v>27505450.899999999</v>
      </c>
      <c r="D7" s="63" t="str">
        <f>IF('cheques a conf'!C2&lt;&gt;"",'cheques a conf'!E2,"")</f>
        <v>MACRO</v>
      </c>
    </row>
    <row r="8" spans="1:4" ht="20.100000000000001" customHeight="1" x14ac:dyDescent="0.25">
      <c r="A8" s="64">
        <f>'cheques a conf'!A3</f>
        <v>91003545</v>
      </c>
      <c r="B8" s="65" t="str">
        <f>'cheques a conf'!B3</f>
        <v>04/09/202</v>
      </c>
      <c r="C8" s="66">
        <f>IF('cheques a conf'!C3&lt;&gt;"",-'cheques a conf'!C3,"")</f>
        <v>10473653.380000001</v>
      </c>
      <c r="D8" s="63" t="str">
        <f>IF('cheques a conf'!C3&lt;&gt;"",'cheques a conf'!E3,"")</f>
        <v>MACRO</v>
      </c>
    </row>
    <row r="9" spans="1:4" ht="20.100000000000001" customHeight="1" x14ac:dyDescent="0.25">
      <c r="A9" s="60">
        <f>'cheques a conf'!A4</f>
        <v>91003547</v>
      </c>
      <c r="B9" s="61" t="str">
        <f>'cheques a conf'!B4</f>
        <v>04/09/202</v>
      </c>
      <c r="C9" s="62">
        <f>IF('cheques a conf'!C4&lt;&gt;"",-'cheques a conf'!C4,"")</f>
        <v>9474131.5199999996</v>
      </c>
      <c r="D9" s="63" t="str">
        <f>IF('cheques a conf'!C4&lt;&gt;"",'cheques a conf'!E4,"")</f>
        <v>MACRO</v>
      </c>
    </row>
    <row r="10" spans="1:4" ht="20.100000000000001" customHeight="1" x14ac:dyDescent="0.25">
      <c r="A10" s="64">
        <f>'cheques a conf'!A5</f>
        <v>91003549</v>
      </c>
      <c r="B10" s="65" t="str">
        <f>'cheques a conf'!B5</f>
        <v>04/09/202</v>
      </c>
      <c r="C10" s="66">
        <f>IF('cheques a conf'!C5&lt;&gt;"",-'cheques a conf'!C5,"")</f>
        <v>11817540</v>
      </c>
      <c r="D10" s="63" t="str">
        <f>IF('cheques a conf'!C5&lt;&gt;"",'cheques a conf'!E5,"")</f>
        <v>MACRO</v>
      </c>
    </row>
    <row r="11" spans="1:4" ht="20.100000000000001" customHeight="1" x14ac:dyDescent="0.25">
      <c r="A11" s="60">
        <f>'cheques a conf'!A6</f>
        <v>91003550</v>
      </c>
      <c r="B11" s="61" t="str">
        <f>'cheques a conf'!B6</f>
        <v>04/09/202</v>
      </c>
      <c r="C11" s="62">
        <f>IF('cheques a conf'!C6&lt;&gt;"",-'cheques a conf'!C6,"")</f>
        <v>15450713.76</v>
      </c>
      <c r="D11" s="63" t="str">
        <f>IF('cheques a conf'!C6&lt;&gt;"",'cheques a conf'!E6,"")</f>
        <v>MACRO</v>
      </c>
    </row>
    <row r="12" spans="1:4" ht="20.100000000000001" customHeight="1" x14ac:dyDescent="0.25">
      <c r="A12" s="64">
        <f>'cheques a conf'!A7</f>
        <v>91003551</v>
      </c>
      <c r="B12" s="65" t="str">
        <f>'cheques a conf'!B7</f>
        <v>04/09/202</v>
      </c>
      <c r="C12" s="66">
        <f>IF('cheques a conf'!C7&lt;&gt;"",-'cheques a conf'!C7,"")</f>
        <v>11365560</v>
      </c>
      <c r="D12" s="63" t="str">
        <f>IF('cheques a conf'!C7&lt;&gt;"",'cheques a conf'!E7,"")</f>
        <v>MACRO</v>
      </c>
    </row>
    <row r="13" spans="1:4" ht="20.100000000000001" customHeight="1" x14ac:dyDescent="0.25">
      <c r="A13" s="60">
        <f>'cheques a conf'!A8</f>
        <v>91003554</v>
      </c>
      <c r="B13" s="61" t="str">
        <f>'cheques a conf'!B8</f>
        <v>04/09/202</v>
      </c>
      <c r="C13" s="62">
        <f>IF('cheques a conf'!C8&lt;&gt;"",-'cheques a conf'!C8,"")</f>
        <v>12576900.01</v>
      </c>
      <c r="D13" s="63" t="str">
        <f>IF('cheques a conf'!C8&lt;&gt;"",'cheques a conf'!E8,"")</f>
        <v>MACRO</v>
      </c>
    </row>
    <row r="14" spans="1:4" ht="20.100000000000001" customHeight="1" x14ac:dyDescent="0.25">
      <c r="A14" s="60">
        <f>'cheques a conf'!A9</f>
        <v>0</v>
      </c>
      <c r="B14" s="61">
        <f>'cheques a conf'!B9</f>
        <v>0</v>
      </c>
      <c r="C14" s="62" t="str">
        <f>IF('cheques a conf'!C9&lt;&gt;"",-'cheques a conf'!C9,"")</f>
        <v/>
      </c>
      <c r="D14" s="63" t="str">
        <f>IF('cheques a conf'!C9&lt;&gt;"",'cheques a conf'!E9,"")</f>
        <v/>
      </c>
    </row>
    <row r="15" spans="1:4" ht="20.100000000000001" customHeight="1" x14ac:dyDescent="0.25">
      <c r="A15" s="60">
        <f>'cheques a conf'!A10</f>
        <v>0</v>
      </c>
      <c r="B15" s="61">
        <f>'cheques a conf'!B10</f>
        <v>0</v>
      </c>
      <c r="C15" s="62" t="str">
        <f>IF('cheques a conf'!C10&lt;&gt;"",-'cheques a conf'!C10,"")</f>
        <v/>
      </c>
      <c r="D15" s="63" t="str">
        <f>IF('cheques a conf'!C10&lt;&gt;"",'cheques a conf'!E10,"")</f>
        <v/>
      </c>
    </row>
    <row r="16" spans="1:4" ht="20.100000000000001" customHeight="1" x14ac:dyDescent="0.25">
      <c r="A16" s="60">
        <f>'cheques a conf'!A11</f>
        <v>0</v>
      </c>
      <c r="B16" s="61">
        <f>'cheques a conf'!B11</f>
        <v>0</v>
      </c>
      <c r="C16" s="62" t="str">
        <f>IF('cheques a conf'!C11&lt;&gt;"",-'cheques a conf'!C11,"")</f>
        <v/>
      </c>
      <c r="D16" s="63" t="str">
        <f>IF('cheques a conf'!C11&lt;&gt;"",'cheques a conf'!E11,"")</f>
        <v/>
      </c>
    </row>
    <row r="17" spans="1:4" ht="20.100000000000001" customHeight="1" x14ac:dyDescent="0.25">
      <c r="A17" s="60">
        <f>'cheques a conf'!A12</f>
        <v>0</v>
      </c>
      <c r="B17" s="61">
        <f>'cheques a conf'!B12</f>
        <v>0</v>
      </c>
      <c r="C17" s="62" t="str">
        <f>IF('cheques a conf'!C12&lt;&gt;"",-'cheques a conf'!C12,"")</f>
        <v/>
      </c>
      <c r="D17" s="63" t="str">
        <f>IF('cheques a conf'!C12&lt;&gt;"",'cheques a conf'!E12,"")</f>
        <v/>
      </c>
    </row>
    <row r="18" spans="1:4" ht="20.100000000000001" customHeight="1" x14ac:dyDescent="0.25">
      <c r="A18" s="60">
        <f>'cheques a conf'!A13</f>
        <v>0</v>
      </c>
      <c r="B18" s="61">
        <f>'cheques a conf'!B13</f>
        <v>0</v>
      </c>
      <c r="C18" s="62" t="str">
        <f>IF('cheques a conf'!C13&lt;&gt;"",-'cheques a conf'!C13,"")</f>
        <v/>
      </c>
      <c r="D18" s="63" t="str">
        <f>IF('cheques a conf'!C13&lt;&gt;"",'cheques a conf'!E13,"")</f>
        <v/>
      </c>
    </row>
    <row r="19" spans="1:4" ht="20.100000000000001" customHeight="1" x14ac:dyDescent="0.25">
      <c r="A19" s="60">
        <f>'cheques a conf'!A14</f>
        <v>0</v>
      </c>
      <c r="B19" s="61">
        <f>'cheques a conf'!B14</f>
        <v>0</v>
      </c>
      <c r="C19" s="62" t="str">
        <f>IF('cheques a conf'!C14&lt;&gt;"",-'cheques a conf'!C14,"")</f>
        <v/>
      </c>
      <c r="D19" s="63" t="str">
        <f>IF('cheques a conf'!C14&lt;&gt;"",'cheques a conf'!E14,"")</f>
        <v/>
      </c>
    </row>
    <row r="20" spans="1:4" ht="20.100000000000001" customHeight="1" x14ac:dyDescent="0.25">
      <c r="A20" s="60">
        <f>'cheques a conf'!A15</f>
        <v>0</v>
      </c>
      <c r="B20" s="61">
        <f>'cheques a conf'!B15</f>
        <v>0</v>
      </c>
      <c r="C20" s="62" t="str">
        <f>IF('cheques a conf'!C15&lt;&gt;"",-'cheques a conf'!C15,"")</f>
        <v/>
      </c>
      <c r="D20" s="63" t="str">
        <f>IF('cheques a conf'!C15&lt;&gt;"",'cheques a conf'!E15,"")</f>
        <v/>
      </c>
    </row>
    <row r="21" spans="1:4" ht="20.100000000000001" customHeight="1" x14ac:dyDescent="0.25">
      <c r="A21" s="60">
        <f>'cheques a conf'!A16</f>
        <v>0</v>
      </c>
      <c r="B21" s="61">
        <f>'cheques a conf'!B16</f>
        <v>0</v>
      </c>
      <c r="C21" s="62" t="str">
        <f>IF('cheques a conf'!C16&lt;&gt;"",-'cheques a conf'!C16,"")</f>
        <v/>
      </c>
      <c r="D21" s="63" t="str">
        <f>IF('cheques a conf'!C16&lt;&gt;"",'cheques a conf'!E16,"")</f>
        <v/>
      </c>
    </row>
    <row r="22" spans="1:4" ht="20.100000000000001" customHeight="1" x14ac:dyDescent="0.25">
      <c r="A22" s="60">
        <f>'cheques a conf'!A17</f>
        <v>0</v>
      </c>
      <c r="B22" s="61">
        <f>'cheques a conf'!B17</f>
        <v>0</v>
      </c>
      <c r="C22" s="62" t="str">
        <f>IF('cheques a conf'!C17&lt;&gt;"",-'cheques a conf'!C17,"")</f>
        <v/>
      </c>
      <c r="D22" s="63" t="str">
        <f>IF('cheques a conf'!C17&lt;&gt;"",'cheques a conf'!E17,"")</f>
        <v/>
      </c>
    </row>
    <row r="23" spans="1:4" ht="20.100000000000001" customHeight="1" x14ac:dyDescent="0.25">
      <c r="A23" s="60">
        <f>'cheques a conf'!A18</f>
        <v>0</v>
      </c>
      <c r="B23" s="61">
        <f>'cheques a conf'!B18</f>
        <v>0</v>
      </c>
      <c r="C23" s="62" t="str">
        <f>IF('cheques a conf'!C18&lt;&gt;"",-'cheques a conf'!C18,"")</f>
        <v/>
      </c>
      <c r="D23" s="63" t="str">
        <f>IF('cheques a conf'!C18&lt;&gt;"",'cheques a conf'!E18,"")</f>
        <v/>
      </c>
    </row>
    <row r="24" spans="1:4" ht="20.100000000000001" customHeight="1" x14ac:dyDescent="0.25">
      <c r="A24" s="60">
        <f>'cheques a conf'!A19</f>
        <v>0</v>
      </c>
      <c r="B24" s="61">
        <f>'cheques a conf'!B19</f>
        <v>0</v>
      </c>
      <c r="C24" s="62" t="str">
        <f>IF('cheques a conf'!C19&lt;&gt;"",-'cheques a conf'!C19,"")</f>
        <v/>
      </c>
      <c r="D24" s="63" t="str">
        <f>IF('cheques a conf'!C19&lt;&gt;"",'cheques a conf'!E19,"")</f>
        <v/>
      </c>
    </row>
    <row r="25" spans="1:4" ht="20.100000000000001" customHeight="1" x14ac:dyDescent="0.25">
      <c r="A25" s="60">
        <f>'cheques a conf'!A20</f>
        <v>0</v>
      </c>
      <c r="B25" s="61">
        <f>'cheques a conf'!B20</f>
        <v>0</v>
      </c>
      <c r="C25" s="62" t="str">
        <f>IF('cheques a conf'!C20&lt;&gt;"",-'cheques a conf'!C20,"")</f>
        <v/>
      </c>
      <c r="D25" s="63" t="str">
        <f>IF('cheques a conf'!C20&lt;&gt;"",'cheques a conf'!E20,"")</f>
        <v/>
      </c>
    </row>
    <row r="26" spans="1:4" ht="20.100000000000001" customHeight="1" x14ac:dyDescent="0.25">
      <c r="A26" s="60">
        <f>'cheques a conf'!A21</f>
        <v>0</v>
      </c>
      <c r="B26" s="61">
        <f>'cheques a conf'!B21</f>
        <v>0</v>
      </c>
      <c r="C26" s="62" t="str">
        <f>IF('cheques a conf'!C21&lt;&gt;"",-'cheques a conf'!C21,"")</f>
        <v/>
      </c>
      <c r="D26" s="63" t="str">
        <f>IF('cheques a conf'!C21&lt;&gt;"",'cheques a conf'!E21,"")</f>
        <v/>
      </c>
    </row>
    <row r="27" spans="1:4" ht="21.95" customHeight="1" x14ac:dyDescent="0.25">
      <c r="A27" s="67" t="s">
        <v>313</v>
      </c>
      <c r="B27" s="68"/>
      <c r="C27" s="69">
        <f>SUMIF('cheques a conf'!C2:C100,"&lt;0",'cheques a conf'!C2:C100)*-1</f>
        <v>98663949.570000008</v>
      </c>
      <c r="D27" s="68"/>
    </row>
    <row r="28" spans="1:4" ht="9.9499999999999993" customHeight="1" x14ac:dyDescent="0.25">
      <c r="A28" s="58"/>
      <c r="B28" s="58"/>
      <c r="C28" s="58"/>
      <c r="D28" s="58"/>
    </row>
    <row r="29" spans="1:4" ht="26.1" customHeight="1" x14ac:dyDescent="0.25">
      <c r="A29" s="114" t="s">
        <v>346</v>
      </c>
      <c r="B29" s="112"/>
      <c r="C29" s="112"/>
      <c r="D29" s="112"/>
    </row>
    <row r="30" spans="1:4" ht="21.95" customHeight="1" x14ac:dyDescent="0.25">
      <c r="A30" s="59" t="s">
        <v>314</v>
      </c>
      <c r="B30" s="59" t="s">
        <v>32</v>
      </c>
      <c r="C30" s="59" t="s">
        <v>79</v>
      </c>
      <c r="D30" s="59" t="s">
        <v>315</v>
      </c>
    </row>
    <row r="31" spans="1:4" ht="20.100000000000001" customHeight="1" x14ac:dyDescent="0.25">
      <c r="A31" s="70" t="s">
        <v>347</v>
      </c>
      <c r="B31" s="71">
        <f>SUMIF(D7:D26,B30,C7:C26)</f>
        <v>0</v>
      </c>
      <c r="C31" s="71">
        <f>SUMIF(D7:D26,C30,C7:C26)</f>
        <v>98663949.570000008</v>
      </c>
      <c r="D31" s="72">
        <f>B31+C31</f>
        <v>98663949.570000008</v>
      </c>
    </row>
    <row r="32" spans="1:4" ht="20.100000000000001" customHeight="1" x14ac:dyDescent="0.25">
      <c r="A32" s="73" t="s">
        <v>348</v>
      </c>
      <c r="B32" s="74" cm="1">
        <f t="array" aca="1" ref="B32" ca="1">SUMPRODUCT(('sap nuevo'!H$2:H$9987="GALICIA")*('sap nuevo'!J$2:J$9987="en periodo de pago")*('sap nuevo'!G$2:G$9987&lt;=TODAY()-WEEKDAY(TODAY(),2)+5)*('sap nuevo'!F$2:F$9987))-B31</f>
        <v>0</v>
      </c>
      <c r="C32" s="74" cm="1">
        <f t="array" aca="1" ref="C32" ca="1">SUMPRODUCT(('sap nuevo'!H$2:H$9987="MACRO")*('sap nuevo'!J$2:J$9987="en periodo de pago")*('sap nuevo'!G$2:G$9987&lt;=TODAY()-WEEKDAY(TODAY(),2)+5)*('sap nuevo'!F$2:F$9987))-C31</f>
        <v>234078960.30000001</v>
      </c>
      <c r="D32" s="75">
        <f ca="1">B32+C32</f>
        <v>234078960.30000001</v>
      </c>
    </row>
    <row r="33" spans="1:8" ht="20.100000000000001" customHeight="1" x14ac:dyDescent="0.25">
      <c r="A33" s="70" t="s">
        <v>349</v>
      </c>
      <c r="B33" s="71" cm="1">
        <f t="array" aca="1" ref="B33" ca="1">SUMPRODUCT(('sap nuevo'!H$2:H$9987="GALICIA")*('sap nuevo'!J$2:J$9987="en periodo de pago")*('sap nuevo'!G$2:G$9987&gt;=TODAY()-WEEKDAY(TODAY(),2)+8)*('sap nuevo'!G$2:G$9987&lt;=TODAY()-WEEKDAY(TODAY(),2)+14)*('sap nuevo'!F$2:F$9987))</f>
        <v>0</v>
      </c>
      <c r="C33" s="71" cm="1">
        <f t="array" aca="1" ref="C33" ca="1">SUMPRODUCT(('sap nuevo'!H$2:H$9987="MACRO")*('sap nuevo'!J$2:J$9987="en periodo de pago")*('sap nuevo'!G$2:G$9987&gt;=TODAY()-WEEKDAY(TODAY(),2)+6)*('sap nuevo'!G$2:G$9987&lt;=TODAY()-WEEKDAY(TODAY(),2)+14)*('sap nuevo'!F$2:F$9987))</f>
        <v>0</v>
      </c>
      <c r="D33" s="72">
        <f ca="1">B33+C33</f>
        <v>0</v>
      </c>
    </row>
    <row r="34" spans="1:8" ht="20.100000000000001" customHeight="1" x14ac:dyDescent="0.25">
      <c r="A34" s="73" t="s">
        <v>350</v>
      </c>
      <c r="B34" s="74" cm="1">
        <f t="array" aca="1" ref="B34" ca="1">SUMPRODUCT(('sap nuevo'!H$2:H$9987="GALICIA")*('sap nuevo'!J$2:J$9987="en periodo de pago")*('sap nuevo'!G$2:G$9987&gt;TODAY()+15)*('sap nuevo'!F$2:F$9987))</f>
        <v>0</v>
      </c>
      <c r="C34" s="74" cm="1">
        <f t="array" aca="1" ref="C34" ca="1">SUMPRODUCT(('sap nuevo'!H$2:H$9987="MACRO")*('sap nuevo'!J$2:J$9987="en periodo de pago")*('sap nuevo'!G$2:G$9987&gt;=TODAY()-WEEKDAY(TODAY(),2)+15)*('sap nuevo'!F$2:F$9987))</f>
        <v>47536959.630000003</v>
      </c>
      <c r="D34" s="75">
        <f ca="1">B34+C34</f>
        <v>47536959.630000003</v>
      </c>
    </row>
    <row r="35" spans="1:8" ht="21.95" customHeight="1" x14ac:dyDescent="0.25">
      <c r="A35" s="76" t="s">
        <v>316</v>
      </c>
      <c r="B35" s="77">
        <f ca="1">B31+B32+B33+B34</f>
        <v>0</v>
      </c>
      <c r="C35" s="77">
        <f ca="1">C31+C32+C33+C34</f>
        <v>380279869.5</v>
      </c>
      <c r="D35" s="77">
        <f ca="1">D31+D32+D33+D34</f>
        <v>380279869.5</v>
      </c>
      <c r="H35" s="9"/>
    </row>
    <row r="36" spans="1:8" ht="9.9499999999999993" customHeight="1" x14ac:dyDescent="0.25">
      <c r="A36" s="58"/>
      <c r="B36" s="58"/>
      <c r="C36" s="58"/>
      <c r="D36" s="58"/>
    </row>
    <row r="37" spans="1:8" ht="26.1" customHeight="1" x14ac:dyDescent="0.25">
      <c r="A37" s="115" t="s">
        <v>317</v>
      </c>
      <c r="B37" s="112"/>
      <c r="C37" s="112"/>
      <c r="D37" s="112"/>
    </row>
    <row r="38" spans="1:8" ht="21.95" customHeight="1" x14ac:dyDescent="0.25">
      <c r="A38" s="78" t="s">
        <v>18</v>
      </c>
      <c r="B38" s="78" t="s">
        <v>318</v>
      </c>
      <c r="C38" s="78" t="s">
        <v>319</v>
      </c>
      <c r="D38" s="78" t="s">
        <v>312</v>
      </c>
    </row>
    <row r="39" spans="1:8" ht="20.100000000000001" customHeight="1" x14ac:dyDescent="0.25">
      <c r="A39" s="70" t="s">
        <v>32</v>
      </c>
      <c r="B39" s="79">
        <f ca="1">COUNTIFS('sap nuevo'!H$2:H$9987,"GALICIA",'sap nuevo'!J$2:J$9987,"fuera de fecha",'sap nuevo'!F$2:F$9987,"&gt;0")</f>
        <v>6</v>
      </c>
      <c r="C39" s="71" cm="1">
        <f t="array" aca="1" ref="C39" ca="1">SUMPRODUCT(('sap nuevo'!H$2:H$9987="GALICIA")*('sap nuevo'!J$2:J$9987="fuera de fecha")*('sap nuevo'!F$2:F$9987&gt;0)*('sap nuevo'!F$2:F$9987))</f>
        <v>19440860.43</v>
      </c>
      <c r="D39" s="63" t="s">
        <v>312</v>
      </c>
    </row>
    <row r="40" spans="1:8" ht="20.100000000000001" customHeight="1" x14ac:dyDescent="0.25">
      <c r="A40" s="80" t="s">
        <v>79</v>
      </c>
      <c r="B40" s="81">
        <f ca="1">COUNTIFS('sap nuevo'!H$2:H$9987,"MACRO",'sap nuevo'!J$2:J$9987,"fuera de fecha",'sap nuevo'!F$2:F$9987,"&gt;0")</f>
        <v>30</v>
      </c>
      <c r="C40" s="82" cm="1">
        <f t="array" aca="1" ref="C40" ca="1">SUMPRODUCT(('sap nuevo'!H$2:H$9987="MACRO")*('sap nuevo'!J$2:J$9987="fuera de fecha")*('sap nuevo'!F$2:F$9987&gt;0)*('sap nuevo'!F$2:F$9987))</f>
        <v>484249505.25999999</v>
      </c>
      <c r="D40" s="83" t="s">
        <v>312</v>
      </c>
    </row>
    <row r="41" spans="1:8" ht="20.100000000000001" customHeight="1" x14ac:dyDescent="0.25">
      <c r="A41" s="70" t="s">
        <v>13</v>
      </c>
      <c r="B41" s="79">
        <f>COUNTIFS('sap nuevo'!H$2:H$9987,"HSBC",'sap nuevo'!J$2:J$9987,"fuera de fecha",'sap nuevo'!F$2:F$9987,"&gt;0")</f>
        <v>0</v>
      </c>
      <c r="C41" s="71" cm="1">
        <f t="array" aca="1" ref="C41" ca="1">SUMPRODUCT(('sap nuevo'!H$2:H$9987="HSBC")*('sap nuevo'!J$2:J$9987="fuera de fecha")*('sap nuevo'!F$2:F$9987&gt;0)*('sap nuevo'!F$2:F$9987))</f>
        <v>0</v>
      </c>
      <c r="D41" s="63" t="s">
        <v>312</v>
      </c>
    </row>
    <row r="42" spans="1:8" ht="21.95" customHeight="1" x14ac:dyDescent="0.25">
      <c r="A42" s="67" t="s">
        <v>320</v>
      </c>
      <c r="B42" s="68">
        <f ca="1">COUNTIFS('sap nuevo'!J$2:J$9987,"fuera de fecha",'sap nuevo'!F$2:F$9987,"&gt;0")</f>
        <v>36</v>
      </c>
      <c r="C42" s="69" cm="1">
        <f t="array" aca="1" ref="C42" ca="1">SUMPRODUCT(('sap nuevo'!J$2:J$9987="fuera de fecha")*('sap nuevo'!F$2:F$9987&gt;0)*('sap nuevo'!F$2:F$9987))</f>
        <v>503690365.69</v>
      </c>
      <c r="D42" s="68"/>
    </row>
  </sheetData>
  <mergeCells count="5">
    <mergeCell ref="A2:D2"/>
    <mergeCell ref="A3:D3"/>
    <mergeCell ref="A5:D5"/>
    <mergeCell ref="A29:D29"/>
    <mergeCell ref="A37:D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8EAD-6FDC-4466-9272-743D597C6747}">
  <dimension ref="B1:L34"/>
  <sheetViews>
    <sheetView zoomScale="90" workbookViewId="0">
      <pane xSplit="1" ySplit="2" topLeftCell="B3" activePane="bottomRight" state="frozen"/>
      <selection activeCell="F1" sqref="F1:F2"/>
      <selection pane="topRight" activeCell="F1" sqref="F1:F2"/>
      <selection pane="bottomLeft" activeCell="F1" sqref="F1:F2"/>
      <selection pane="bottomRight" activeCell="K6" sqref="K6"/>
    </sheetView>
  </sheetViews>
  <sheetFormatPr baseColWidth="10" defaultColWidth="9.140625" defaultRowHeight="15" x14ac:dyDescent="0.25"/>
  <cols>
    <col min="1" max="1" width="3" customWidth="1"/>
    <col min="2" max="2" width="26" customWidth="1"/>
    <col min="3" max="3" width="16" customWidth="1"/>
    <col min="4" max="4" width="26" customWidth="1"/>
    <col min="5" max="5" width="4" customWidth="1"/>
    <col min="6" max="6" width="26" customWidth="1"/>
    <col min="7" max="7" width="16" customWidth="1"/>
    <col min="8" max="8" width="26" customWidth="1"/>
    <col min="9" max="9" width="4" customWidth="1"/>
    <col min="10" max="10" width="26" customWidth="1"/>
    <col min="11" max="11" width="18" customWidth="1"/>
    <col min="12" max="12" width="24" customWidth="1"/>
  </cols>
  <sheetData>
    <row r="1" spans="2:12" ht="42" customHeight="1" x14ac:dyDescent="0.25">
      <c r="B1" s="111" t="s">
        <v>1732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2:12" ht="20.100000000000001" customHeight="1" x14ac:dyDescent="0.25">
      <c r="B2" s="116">
        <f ca="1">TODAY()</f>
        <v>46272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3" spans="2:12" ht="15" customHeight="1" x14ac:dyDescent="0.25">
      <c r="K3" s="102" t="s">
        <v>537</v>
      </c>
      <c r="L3" s="101">
        <v>2026</v>
      </c>
    </row>
    <row r="4" spans="2:12" ht="26.1" customHeight="1" x14ac:dyDescent="0.25">
      <c r="B4" s="114" t="str">
        <f ca="1">"  EMISIÓN MENSUAL — "&amp;YEAR(TODAY())</f>
        <v xml:space="preserve">  EMISIÓN MENSUAL — 2026</v>
      </c>
      <c r="C4" s="112"/>
      <c r="D4" s="112"/>
      <c r="F4" s="114" t="s">
        <v>321</v>
      </c>
      <c r="G4" s="112"/>
      <c r="H4" s="112"/>
      <c r="J4" s="114" t="str">
        <f>"  PLAZO PROM. COBRO POR MES — "&amp;$L$3&amp;" (días)"</f>
        <v xml:space="preserve">  PLAZO PROM. COBRO POR MES — 2026 (días)</v>
      </c>
      <c r="K4" s="112"/>
      <c r="L4" s="112"/>
    </row>
    <row r="5" spans="2:12" ht="21.95" customHeight="1" x14ac:dyDescent="0.25">
      <c r="B5" s="59" t="s">
        <v>322</v>
      </c>
      <c r="C5" s="59" t="s">
        <v>323</v>
      </c>
      <c r="D5" s="59" t="s">
        <v>324</v>
      </c>
      <c r="F5" s="59" t="s">
        <v>325</v>
      </c>
      <c r="G5" s="59" t="s">
        <v>323</v>
      </c>
      <c r="H5" s="59" t="s">
        <v>324</v>
      </c>
      <c r="J5" s="59" t="s">
        <v>322</v>
      </c>
      <c r="K5" s="59" t="s">
        <v>326</v>
      </c>
      <c r="L5" s="59" t="s">
        <v>327</v>
      </c>
    </row>
    <row r="6" spans="2:12" ht="20.100000000000001" customHeight="1" x14ac:dyDescent="0.25">
      <c r="B6" s="73" t="s">
        <v>328</v>
      </c>
      <c r="C6" s="84" cm="1">
        <f t="array" aca="1" ref="C6" ca="1">SUMPRODUCT(('sap nuevo'!O$2:O$9987=1)*('sap nuevo'!P$2:P$9987=YEAR(TODAY()))*('sap nuevo'!F$2:F$9987&gt;0))</f>
        <v>86</v>
      </c>
      <c r="D6" s="85" cm="1">
        <f t="array" aca="1" ref="D6" ca="1">SUMPRODUCT(('sap nuevo'!O$2:O$9987=1)*('sap nuevo'!P$2:P$9987=YEAR(TODAY()))*('sap nuevo'!F$2:F$9987&gt;0)*('sap nuevo'!F$2:F$9987))</f>
        <v>1721854840.4199996</v>
      </c>
      <c r="F6" s="86">
        <f ca="1">YEAR(TODAY())-2</f>
        <v>2024</v>
      </c>
      <c r="G6" s="84" cm="1">
        <f t="array" aca="1" ref="G6" ca="1">SUMPRODUCT(('sap nuevo'!P$2:P$9987=YEAR(TODAY())-2)*('sap nuevo'!F$2:F$9987&gt;0))</f>
        <v>0</v>
      </c>
      <c r="H6" s="85" cm="1">
        <f t="array" aca="1" ref="H6" ca="1">SUMPRODUCT(('sap nuevo'!P$2:P$9987=YEAR(TODAY())-2)*('sap nuevo'!F$2:F$9987&gt;0)*('sap nuevo'!F$2:F$9987))</f>
        <v>0</v>
      </c>
      <c r="J6" s="73" t="s">
        <v>328</v>
      </c>
      <c r="K6" s="87" cm="1">
        <f t="array" aca="1" ref="K6" ca="1">IFERROR(SUMPRODUCT(('sap nuevo'!O$2:O$9987=1)*('sap nuevo'!P$2:P$9987=$L$3)*('sap nuevo'!J$2:J$9987="pagado")*('sap nuevo'!F$2:F$9987&gt;0)*(IFERROR(DATEVALUE(_xlfn.XLOOKUP('sap nuevo'!E$2:E$9987,extracto!$C$2:$C$9999,extracto!$B$2:$B$9999))-'sap nuevo'!G$2:G$9987,0)))/SUMPRODUCT(('sap nuevo'!O$2:O$9987=1)*('sap nuevo'!P$2:P$9987=$L$3)*('sap nuevo'!J$2:J$9987="pagado")*('sap nuevo'!F$2:F$9987&gt;0)*(ISNUMBER(DATEVALUE(_xlfn.XLOOKUP('sap nuevo'!E$2:E$9987,extracto!$C$2:$C$9999,extracto!$B$2:$B$9999))))),0)</f>
        <v>3.1176470588235294</v>
      </c>
      <c r="L6" s="88" t="str">
        <f t="shared" ref="L6:L17" ca="1" si="0">IF(K6=0,"—",IF(K6&gt;6,"▲ Alto",IF(K6&gt;4,"● Medio","▼ Normal")))</f>
        <v>▼ Normal</v>
      </c>
    </row>
    <row r="7" spans="2:12" ht="20.100000000000001" customHeight="1" x14ac:dyDescent="0.25">
      <c r="B7" s="70" t="s">
        <v>329</v>
      </c>
      <c r="C7" s="79" cm="1">
        <f t="array" aca="1" ref="C7" ca="1">SUMPRODUCT(('sap nuevo'!O$2:O$9987=2)*('sap nuevo'!P$2:P$9987=YEAR(TODAY()))*('sap nuevo'!F$2:F$9987&gt;0))</f>
        <v>57</v>
      </c>
      <c r="D7" s="89" cm="1">
        <f t="array" aca="1" ref="D7" ca="1">SUMPRODUCT(('sap nuevo'!O$2:O$9987=2)*('sap nuevo'!P$2:P$9987=YEAR(TODAY()))*('sap nuevo'!F$2:F$9987&gt;0)*('sap nuevo'!F$2:F$9987))</f>
        <v>1538515415.8100002</v>
      </c>
      <c r="F7" s="90">
        <f ca="1">YEAR(TODAY())-1</f>
        <v>2025</v>
      </c>
      <c r="G7" s="79" cm="1">
        <f t="array" aca="1" ref="G7" ca="1">SUMPRODUCT(('sap nuevo'!P$2:P$9987=YEAR(TODAY())-1)*('sap nuevo'!F$2:F$9987&gt;0))</f>
        <v>1493</v>
      </c>
      <c r="H7" s="89" cm="1">
        <f t="array" aca="1" ref="H7" ca="1">SUMPRODUCT(('sap nuevo'!P$2:P$9987=YEAR(TODAY())-1)*('sap nuevo'!F$2:F$9987&gt;0)*('sap nuevo'!F$2:F$9987))</f>
        <v>25274031249.05006</v>
      </c>
      <c r="J7" s="70" t="s">
        <v>329</v>
      </c>
      <c r="K7" s="91" cm="1">
        <f t="array" aca="1" ref="K7" ca="1">IFERROR(SUMPRODUCT(('sap nuevo'!O$2:O$9987=2)*('sap nuevo'!P$2:P$9987=$L$3)*('sap nuevo'!J$2:J$9987="pagado")*('sap nuevo'!F$2:F$9987&gt;0)*(IFERROR(DATEVALUE(_xlfn.XLOOKUP('sap nuevo'!E$2:E$9987,extracto!$C$2:$C$9999,extracto!$B$2:$B$9999))-'sap nuevo'!G$2:G$9987,0)))/SUMPRODUCT(('sap nuevo'!O$2:O$9987=2)*('sap nuevo'!P$2:P$9987=$L$3)*('sap nuevo'!J$2:J$9987="pagado")*('sap nuevo'!F$2:F$9987&gt;0)*(ISNUMBER(DATEVALUE(_xlfn.XLOOKUP('sap nuevo'!E$2:E$9987,extracto!$C$2:$C$9999,extracto!$B$2:$B$9999))))),0)</f>
        <v>4.125</v>
      </c>
      <c r="L7" s="92" t="str">
        <f t="shared" ca="1" si="0"/>
        <v>● Medio</v>
      </c>
    </row>
    <row r="8" spans="2:12" ht="20.100000000000001" customHeight="1" x14ac:dyDescent="0.25">
      <c r="B8" s="73" t="s">
        <v>330</v>
      </c>
      <c r="C8" s="84" cm="1">
        <f t="array" aca="1" ref="C8" ca="1">SUMPRODUCT(('sap nuevo'!O$2:O$9987=3)*('sap nuevo'!P$2:P$9987=YEAR(TODAY()))*('sap nuevo'!F$2:F$9987&gt;0))</f>
        <v>78</v>
      </c>
      <c r="D8" s="85" cm="1">
        <f t="array" aca="1" ref="D8" ca="1">SUMPRODUCT(('sap nuevo'!O$2:O$9987=3)*('sap nuevo'!P$2:P$9987=YEAR(TODAY()))*('sap nuevo'!F$2:F$9987&gt;0)*('sap nuevo'!F$2:F$9987))</f>
        <v>1831184529.7</v>
      </c>
      <c r="F8" s="86">
        <f ca="1">YEAR(TODAY())</f>
        <v>2026</v>
      </c>
      <c r="G8" s="84" cm="1">
        <f t="array" aca="1" ref="G8" ca="1">SUMPRODUCT(('sap nuevo'!P$2:P$9987=YEAR(TODAY()))*('sap nuevo'!F$2:F$9987&gt;0))</f>
        <v>873</v>
      </c>
      <c r="H8" s="85" cm="1">
        <f t="array" aca="1" ref="H8" ca="1">SUMPRODUCT(('sap nuevo'!P$2:P$9987=YEAR(TODAY()))*('sap nuevo'!F$2:F$9987&gt;0)*('sap nuevo'!F$2:F$9987))</f>
        <v>14548250110.119995</v>
      </c>
      <c r="J8" s="73" t="s">
        <v>330</v>
      </c>
      <c r="K8" s="87" cm="1">
        <f t="array" aca="1" ref="K8" ca="1">IFERROR(SUMPRODUCT(('sap nuevo'!O$2:O$9987=3)*('sap nuevo'!P$2:P$9987=$L$3)*('sap nuevo'!J$2:J$9987="pagado")*('sap nuevo'!F$2:F$9987&gt;0)*(IFERROR(DATEVALUE(_xlfn.XLOOKUP('sap nuevo'!E$2:E$9987,extracto!$C$2:$C$9999,extracto!$B$2:$B$9999))-'sap nuevo'!G$2:G$9987,0)))/SUMPRODUCT(('sap nuevo'!O$2:O$9987=3)*('sap nuevo'!P$2:P$9987=$L$3)*('sap nuevo'!J$2:J$9987="pagado")*('sap nuevo'!F$2:F$9987&gt;0)*(ISNUMBER(DATEVALUE(_xlfn.XLOOKUP('sap nuevo'!E$2:E$9987,extracto!$C$2:$C$9999,extracto!$B$2:$B$9999))))),0)</f>
        <v>4.1081081081081079</v>
      </c>
      <c r="L8" s="88" t="str">
        <f t="shared" ca="1" si="0"/>
        <v>● Medio</v>
      </c>
    </row>
    <row r="9" spans="2:12" ht="20.100000000000001" customHeight="1" x14ac:dyDescent="0.25">
      <c r="B9" s="70" t="s">
        <v>331</v>
      </c>
      <c r="C9" s="79" cm="1">
        <f t="array" aca="1" ref="C9" ca="1">SUMPRODUCT(('sap nuevo'!O$2:O$9987=4)*('sap nuevo'!P$2:P$9987=YEAR(TODAY()))*('sap nuevo'!F$2:F$9987&gt;0))</f>
        <v>95</v>
      </c>
      <c r="D9" s="89" cm="1">
        <f t="array" aca="1" ref="D9" ca="1">SUMPRODUCT(('sap nuevo'!O$2:O$9987=4)*('sap nuevo'!P$2:P$9987=YEAR(TODAY()))*('sap nuevo'!F$2:F$9987&gt;0)*('sap nuevo'!F$2:F$9987))</f>
        <v>1876252633.6600006</v>
      </c>
      <c r="F9" s="76" t="s">
        <v>332</v>
      </c>
      <c r="G9" s="93">
        <f ca="1">SUM(G6:G8)</f>
        <v>2366</v>
      </c>
      <c r="H9" s="94">
        <f ca="1">SUM(H6:H8)</f>
        <v>39822281359.170059</v>
      </c>
      <c r="J9" s="70" t="s">
        <v>331</v>
      </c>
      <c r="K9" s="91" cm="1">
        <f t="array" aca="1" ref="K9" ca="1">IFERROR(SUMPRODUCT(('sap nuevo'!O$2:O$9987=4)*('sap nuevo'!P$2:P$9987=$L$3)*('sap nuevo'!J$2:J$9987="pagado")*('sap nuevo'!F$2:F$9987&gt;0)*(IFERROR(DATEVALUE(_xlfn.XLOOKUP('sap nuevo'!E$2:E$9987,extracto!$C$2:$C$9999,extracto!$B$2:$B$9999))-'sap nuevo'!G$2:G$9987,0)))/SUMPRODUCT(('sap nuevo'!O$2:O$9987=4)*('sap nuevo'!P$2:P$9987=$L$3)*('sap nuevo'!J$2:J$9987="pagado")*('sap nuevo'!F$2:F$9987&gt;0)*(ISNUMBER(DATEVALUE(_xlfn.XLOOKUP('sap nuevo'!E$2:E$9987,extracto!$C$2:$C$9999,extracto!$B$2:$B$9999))))),0)</f>
        <v>3</v>
      </c>
      <c r="L9" s="92" t="str">
        <f t="shared" ca="1" si="0"/>
        <v>▼ Normal</v>
      </c>
    </row>
    <row r="10" spans="2:12" ht="20.100000000000001" customHeight="1" x14ac:dyDescent="0.25">
      <c r="B10" s="73" t="s">
        <v>333</v>
      </c>
      <c r="C10" s="84" cm="1">
        <f t="array" aca="1" ref="C10" ca="1">SUMPRODUCT(('sap nuevo'!O$2:O$9987=5)*('sap nuevo'!P$2:P$9987=YEAR(TODAY()))*('sap nuevo'!F$2:F$9987&gt;0))</f>
        <v>131</v>
      </c>
      <c r="D10" s="85" cm="1">
        <f t="array" aca="1" ref="D10" ca="1">SUMPRODUCT(('sap nuevo'!O$2:O$9987=5)*('sap nuevo'!P$2:P$9987=YEAR(TODAY()))*('sap nuevo'!F$2:F$9987&gt;0)*('sap nuevo'!F$2:F$9987))</f>
        <v>1705859729.1300008</v>
      </c>
      <c r="F10" s="58"/>
      <c r="G10" s="58"/>
      <c r="H10" s="58"/>
      <c r="J10" s="73" t="s">
        <v>333</v>
      </c>
      <c r="K10" s="87" cm="1">
        <f t="array" aca="1" ref="K10" ca="1">IFERROR(SUMPRODUCT(('sap nuevo'!O$2:O$9987=5)*('sap nuevo'!P$2:P$9987=$L$3)*('sap nuevo'!J$2:J$9987="pagado")*('sap nuevo'!F$2:F$9987&gt;0)*(IFERROR(DATEVALUE(_xlfn.XLOOKUP('sap nuevo'!E$2:E$9987,extracto!$C$2:$C$9999,extracto!$B$2:$B$9999))-'sap nuevo'!G$2:G$9987,0)))/SUMPRODUCT(('sap nuevo'!O$2:O$9987=5)*('sap nuevo'!P$2:P$9987=$L$3)*('sap nuevo'!J$2:J$9987="pagado")*('sap nuevo'!F$2:F$9987&gt;0)*(ISNUMBER(DATEVALUE(_xlfn.XLOOKUP('sap nuevo'!E$2:E$9987,extracto!$C$2:$C$9999,extracto!$B$2:$B$9999))))),0)</f>
        <v>11</v>
      </c>
      <c r="L10" s="88" t="str">
        <f t="shared" ca="1" si="0"/>
        <v>▲ Alto</v>
      </c>
    </row>
    <row r="11" spans="2:12" ht="20.100000000000001" customHeight="1" x14ac:dyDescent="0.25">
      <c r="B11" s="70" t="s">
        <v>334</v>
      </c>
      <c r="C11" s="79" cm="1">
        <f t="array" aca="1" ref="C11" ca="1">SUMPRODUCT(('sap nuevo'!O$2:O$9987=6)*('sap nuevo'!P$2:P$9987=YEAR(TODAY()))*('sap nuevo'!F$2:F$9987&gt;0))</f>
        <v>103</v>
      </c>
      <c r="D11" s="89" cm="1">
        <f t="array" aca="1" ref="D11" ca="1">SUMPRODUCT(('sap nuevo'!O$2:O$9987=6)*('sap nuevo'!P$2:P$9987=YEAR(TODAY()))*('sap nuevo'!F$2:F$9987&gt;0)*('sap nuevo'!F$2:F$9987))</f>
        <v>1260485635.5799997</v>
      </c>
      <c r="F11" s="114" t="s">
        <v>335</v>
      </c>
      <c r="G11" s="112"/>
      <c r="H11" s="112"/>
      <c r="J11" s="70" t="s">
        <v>334</v>
      </c>
      <c r="K11" s="91" cm="1">
        <f t="array" aca="1" ref="K11" ca="1">IFERROR(SUMPRODUCT(('sap nuevo'!O$2:O$9987=6)*('sap nuevo'!P$2:P$9987=$L$3)*('sap nuevo'!J$2:J$9987="pagado")*('sap nuevo'!F$2:F$9987&gt;0)*(IFERROR(DATEVALUE(_xlfn.XLOOKUP('sap nuevo'!E$2:E$9987,extracto!$C$2:$C$9999,extracto!$B$2:$B$9999))-'sap nuevo'!G$2:G$9987,0)))/SUMPRODUCT(('sap nuevo'!O$2:O$9987=6)*('sap nuevo'!P$2:P$9987=$L$3)*('sap nuevo'!J$2:J$9987="pagado")*('sap nuevo'!F$2:F$9987&gt;0)*(ISNUMBER(DATEVALUE(_xlfn.XLOOKUP('sap nuevo'!E$2:E$9987,extracto!$C$2:$C$9999,extracto!$B$2:$B$9999))))),0)</f>
        <v>3.8349514563106797</v>
      </c>
      <c r="L11" s="92" t="str">
        <f t="shared" ca="1" si="0"/>
        <v>▼ Normal</v>
      </c>
    </row>
    <row r="12" spans="2:12" ht="20.100000000000001" customHeight="1" x14ac:dyDescent="0.25">
      <c r="B12" s="73" t="s">
        <v>336</v>
      </c>
      <c r="C12" s="84" cm="1">
        <f t="array" aca="1" ref="C12" ca="1">SUMPRODUCT(('sap nuevo'!O$2:O$9987=7)*('sap nuevo'!P$2:P$9987=YEAR(TODAY()))*('sap nuevo'!F$2:F$9987&gt;0))</f>
        <v>142</v>
      </c>
      <c r="D12" s="85" cm="1">
        <f t="array" aca="1" ref="D12" ca="1">SUMPRODUCT(('sap nuevo'!O$2:O$9987=7)*('sap nuevo'!P$2:P$9987=YEAR(TODAY()))*('sap nuevo'!F$2:F$9987&gt;0)*('sap nuevo'!F$2:F$9987))</f>
        <v>1977505933.6400003</v>
      </c>
      <c r="F12" s="59" t="s">
        <v>18</v>
      </c>
      <c r="G12" s="59" t="s">
        <v>323</v>
      </c>
      <c r="H12" s="59" t="s">
        <v>324</v>
      </c>
      <c r="J12" s="73" t="s">
        <v>336</v>
      </c>
      <c r="K12" s="87" cm="1">
        <f t="array" aca="1" ref="K12" ca="1">IFERROR(SUMPRODUCT(('sap nuevo'!O$2:O$9987=7)*('sap nuevo'!P$2:P$9987=$L$3)*('sap nuevo'!J$2:J$9987="pagado")*('sap nuevo'!F$2:F$9987&gt;0)*(IFERROR(DATEVALUE(_xlfn.XLOOKUP('sap nuevo'!E$2:E$9987,extracto!$C$2:$C$9999,extracto!$B$2:$B$9999))-'sap nuevo'!G$2:G$9987,0)))/SUMPRODUCT(('sap nuevo'!O$2:O$9987=7)*('sap nuevo'!P$2:P$9987=$L$3)*('sap nuevo'!J$2:J$9987="pagado")*('sap nuevo'!F$2:F$9987&gt;0)*(ISNUMBER(DATEVALUE(_xlfn.XLOOKUP('sap nuevo'!E$2:E$9987,extracto!$C$2:$C$9999,extracto!$B$2:$B$9999))))),0)</f>
        <v>3.6737588652482271</v>
      </c>
      <c r="L12" s="88" t="str">
        <f t="shared" ca="1" si="0"/>
        <v>▼ Normal</v>
      </c>
    </row>
    <row r="13" spans="2:12" ht="20.100000000000001" customHeight="1" x14ac:dyDescent="0.25">
      <c r="B13" s="70" t="s">
        <v>337</v>
      </c>
      <c r="C13" s="79" cm="1">
        <f t="array" aca="1" ref="C13" ca="1">SUMPRODUCT(('sap nuevo'!O$2:O$9987=8)*('sap nuevo'!P$2:P$9987=YEAR(TODAY()))*('sap nuevo'!F$2:F$9987&gt;0))</f>
        <v>141</v>
      </c>
      <c r="D13" s="89" cm="1">
        <f t="array" aca="1" ref="D13" ca="1">SUMPRODUCT(('sap nuevo'!O$2:O$9987=8)*('sap nuevo'!P$2:P$9987=YEAR(TODAY()))*('sap nuevo'!F$2:F$9987&gt;0)*('sap nuevo'!F$2:F$9987))</f>
        <v>2119671555.5400007</v>
      </c>
      <c r="F13" s="70" t="s">
        <v>32</v>
      </c>
      <c r="G13" s="79">
        <f>COUNTIFS('sap nuevo'!H$2:H$9987,"GALICIA",'sap nuevo'!F$2:F$9987,"&gt;0")</f>
        <v>783</v>
      </c>
      <c r="H13" s="89">
        <f>SUMIF('sap nuevo'!H$2:H$9987,"GALICIA",'sap nuevo'!F$2:F$9987)</f>
        <v>15310033102.410002</v>
      </c>
      <c r="J13" s="70" t="s">
        <v>337</v>
      </c>
      <c r="K13" s="91" cm="1">
        <f t="array" aca="1" ref="K13" ca="1">IFERROR(SUMPRODUCT(('sap nuevo'!O$2:O$9987=8)*('sap nuevo'!P$2:P$9987=$L$3)*('sap nuevo'!J$2:J$9987="pagado")*('sap nuevo'!F$2:F$9987&gt;0)*(IFERROR(DATEVALUE(_xlfn.XLOOKUP('sap nuevo'!E$2:E$9987,extracto!$C$2:$C$9999,extracto!$B$2:$B$9999))-'sap nuevo'!G$2:G$9987,0)))/SUMPRODUCT(('sap nuevo'!O$2:O$9987=8)*('sap nuevo'!P$2:P$9987=$L$3)*('sap nuevo'!J$2:J$9987="pagado")*('sap nuevo'!F$2:F$9987&gt;0)*(ISNUMBER(DATEVALUE(_xlfn.XLOOKUP('sap nuevo'!E$2:E$9987,extracto!$C$2:$C$9999,extracto!$B$2:$B$9999))))),0)</f>
        <v>2.4338235294117645</v>
      </c>
      <c r="L13" s="92" t="str">
        <f t="shared" ca="1" si="0"/>
        <v>▼ Normal</v>
      </c>
    </row>
    <row r="14" spans="2:12" ht="20.100000000000001" customHeight="1" x14ac:dyDescent="0.25">
      <c r="B14" s="73" t="s">
        <v>338</v>
      </c>
      <c r="C14" s="84" cm="1">
        <f t="array" aca="1" ref="C14" ca="1">SUMPRODUCT(('sap nuevo'!O$2:O$9987=9)*('sap nuevo'!P$2:P$9987=YEAR(TODAY()))*('sap nuevo'!F$2:F$9987&gt;0))</f>
        <v>34</v>
      </c>
      <c r="D14" s="85" cm="1">
        <f t="array" aca="1" ref="D14" ca="1">SUMPRODUCT(('sap nuevo'!O$2:O$9987=9)*('sap nuevo'!P$2:P$9987=YEAR(TODAY()))*('sap nuevo'!F$2:F$9987&gt;0)*('sap nuevo'!F$2:F$9987))</f>
        <v>474657877.00999999</v>
      </c>
      <c r="F14" s="95" t="s">
        <v>79</v>
      </c>
      <c r="G14" s="96">
        <f>COUNTIFS('sap nuevo'!H$2:H$9987,"MACRO",'sap nuevo'!F$2:F$9987,"&gt;0")</f>
        <v>1449</v>
      </c>
      <c r="H14" s="97">
        <f>SUMIF('sap nuevo'!H$2:H$9987,"MACRO",'sap nuevo'!F$2:F$9987)</f>
        <v>21831948806.939957</v>
      </c>
      <c r="J14" s="73" t="s">
        <v>338</v>
      </c>
      <c r="K14" s="87" cm="1">
        <f t="array" aca="1" ref="K14" ca="1">IFERROR(SUMPRODUCT(('sap nuevo'!O$2:O$9987=9)*('sap nuevo'!P$2:P$9987=$L$3)*('sap nuevo'!J$2:J$9987="pagado")*('sap nuevo'!F$2:F$9987&gt;0)*(IFERROR(DATEVALUE(_xlfn.XLOOKUP('sap nuevo'!E$2:E$9987,extracto!$C$2:$C$9999,extracto!$B$2:$B$9999))-'sap nuevo'!G$2:G$9987,0)))/SUMPRODUCT(('sap nuevo'!O$2:O$9987=9)*('sap nuevo'!P$2:P$9987=$L$3)*('sap nuevo'!J$2:J$9987="pagado")*('sap nuevo'!F$2:F$9987&gt;0)*(ISNUMBER(DATEVALUE(_xlfn.XLOOKUP('sap nuevo'!E$2:E$9987,extracto!$C$2:$C$9999,extracto!$B$2:$B$9999))))),0)</f>
        <v>0.90909090909090906</v>
      </c>
      <c r="L14" s="88" t="str">
        <f t="shared" ca="1" si="0"/>
        <v>▼ Normal</v>
      </c>
    </row>
    <row r="15" spans="2:12" ht="20.100000000000001" customHeight="1" x14ac:dyDescent="0.25">
      <c r="B15" s="70" t="s">
        <v>339</v>
      </c>
      <c r="C15" s="79" cm="1">
        <f t="array" aca="1" ref="C15" ca="1">SUMPRODUCT(('sap nuevo'!O$2:O$9987=10)*('sap nuevo'!P$2:P$9987=YEAR(TODAY()))*('sap nuevo'!F$2:F$9987&gt;0))</f>
        <v>4</v>
      </c>
      <c r="D15" s="89" cm="1">
        <f t="array" aca="1" ref="D15" ca="1">SUMPRODUCT(('sap nuevo'!O$2:O$9987=10)*('sap nuevo'!P$2:P$9987=YEAR(TODAY()))*('sap nuevo'!F$2:F$9987&gt;0)*('sap nuevo'!F$2:F$9987))</f>
        <v>28903022.140000001</v>
      </c>
      <c r="F15" s="70" t="s">
        <v>13</v>
      </c>
      <c r="G15" s="79">
        <f>COUNTIFS('sap nuevo'!H$2:H$9987,"HSBC",'sap nuevo'!F$2:F$9987,"&gt;0")</f>
        <v>134</v>
      </c>
      <c r="H15" s="89">
        <f>SUMIF('sap nuevo'!H$2:H$9987,"HSBC",'sap nuevo'!F$2:F$9987)</f>
        <v>2680299449.8200002</v>
      </c>
      <c r="J15" s="70" t="s">
        <v>339</v>
      </c>
      <c r="K15" s="91" cm="1">
        <f t="array" aca="1" ref="K15" ca="1">IFERROR(SUMPRODUCT(('sap nuevo'!O$2:O$9987=10)*('sap nuevo'!P$2:P$9987=$L$3)*('sap nuevo'!J$2:J$9987="pagado")*('sap nuevo'!F$2:F$9987&gt;0)*(IFERROR(DATEVALUE(_xlfn.XLOOKUP('sap nuevo'!E$2:E$9987,extracto!$C$2:$C$9999,extracto!$B$2:$B$9999))-'sap nuevo'!G$2:G$9987,0)))/SUMPRODUCT(('sap nuevo'!O$2:O$9987=10)*('sap nuevo'!P$2:P$9987=$L$3)*('sap nuevo'!J$2:J$9987="pagado")*('sap nuevo'!F$2:F$9987&gt;0)*(ISNUMBER(DATEVALUE(_xlfn.XLOOKUP('sap nuevo'!E$2:E$9987,extracto!$C$2:$C$9999,extracto!$B$2:$B$9999))))),0)</f>
        <v>0</v>
      </c>
      <c r="L15" s="92" t="str">
        <f t="shared" ca="1" si="0"/>
        <v>—</v>
      </c>
    </row>
    <row r="16" spans="2:12" ht="20.100000000000001" customHeight="1" x14ac:dyDescent="0.25">
      <c r="B16" s="73" t="s">
        <v>340</v>
      </c>
      <c r="C16" s="84" cm="1">
        <f t="array" aca="1" ref="C16" ca="1">SUMPRODUCT(('sap nuevo'!O$2:O$9987=11)*('sap nuevo'!P$2:P$9987=YEAR(TODAY()))*('sap nuevo'!F$2:F$9987&gt;0))</f>
        <v>2</v>
      </c>
      <c r="D16" s="85" cm="1">
        <f t="array" aca="1" ref="D16" ca="1">SUMPRODUCT(('sap nuevo'!O$2:O$9987=11)*('sap nuevo'!P$2:P$9987=YEAR(TODAY()))*('sap nuevo'!F$2:F$9987&gt;0)*('sap nuevo'!F$2:F$9987))</f>
        <v>13358937.49</v>
      </c>
      <c r="F16" s="76" t="s">
        <v>332</v>
      </c>
      <c r="G16" s="93">
        <f>COUNTIF('sap nuevo'!F$2:F$9987,"&gt;0")</f>
        <v>2366</v>
      </c>
      <c r="H16" s="94">
        <f>SUMIF('sap nuevo'!F$2:F$9987,"&gt;0",'sap nuevo'!F$2:F$9987)</f>
        <v>39822281359.170143</v>
      </c>
      <c r="J16" s="73" t="s">
        <v>340</v>
      </c>
      <c r="K16" s="87" cm="1">
        <f t="array" aca="1" ref="K16" ca="1">IFERROR(SUMPRODUCT(('sap nuevo'!O$2:O$9987=11)*('sap nuevo'!P$2:P$9987=$L$3)*('sap nuevo'!J$2:J$9987="pagado")*('sap nuevo'!F$2:F$9987&gt;0)*(IFERROR(DATEVALUE(_xlfn.XLOOKUP('sap nuevo'!E$2:E$9987,extracto!$C$2:$C$9999,extracto!$B$2:$B$9999))-'sap nuevo'!G$2:G$9987,0)))/SUMPRODUCT(('sap nuevo'!O$2:O$9987=11)*('sap nuevo'!P$2:P$9987=$L$3)*('sap nuevo'!J$2:J$9987="pagado")*('sap nuevo'!F$2:F$9987&gt;0)*(ISNUMBER(DATEVALUE(_xlfn.XLOOKUP('sap nuevo'!E$2:E$9987,extracto!$C$2:$C$9999,extracto!$B$2:$B$9999))))),0)</f>
        <v>0</v>
      </c>
      <c r="L16" s="88" t="str">
        <f t="shared" ca="1" si="0"/>
        <v>—</v>
      </c>
    </row>
    <row r="17" spans="2:12" ht="20.100000000000001" customHeight="1" x14ac:dyDescent="0.25">
      <c r="B17" s="70" t="s">
        <v>341</v>
      </c>
      <c r="C17" s="79" cm="1">
        <f t="array" aca="1" ref="C17" ca="1">SUMPRODUCT(('sap nuevo'!O$2:O$9987=12)*('sap nuevo'!P$2:P$9987=YEAR(TODAY()))*('sap nuevo'!F$2:F$9987&gt;0))</f>
        <v>0</v>
      </c>
      <c r="D17" s="89" cm="1">
        <f t="array" aca="1" ref="D17" ca="1">SUMPRODUCT(('sap nuevo'!O$2:O$9987=12)*('sap nuevo'!P$2:P$9987=YEAR(TODAY()))*('sap nuevo'!F$2:F$9987&gt;0)*('sap nuevo'!F$2:F$9987))</f>
        <v>0</v>
      </c>
      <c r="F17" s="58"/>
      <c r="G17" s="58"/>
      <c r="H17" s="58"/>
      <c r="J17" s="70" t="s">
        <v>341</v>
      </c>
      <c r="K17" s="91" cm="1">
        <f t="array" aca="1" ref="K17" ca="1">IFERROR(SUMPRODUCT(('sap nuevo'!O$2:O$9987=12)*('sap nuevo'!P$2:P$9987=$L$3)*('sap nuevo'!J$2:J$9987="pagado")*('sap nuevo'!F$2:F$9987&gt;0)*(IFERROR(DATEVALUE(_xlfn.XLOOKUP('sap nuevo'!E$2:E$9987,extracto!$C$2:$C$9999,extracto!$B$2:$B$9999))-'sap nuevo'!G$2:G$9987,0)))/SUMPRODUCT(('sap nuevo'!O$2:O$9987=12)*('sap nuevo'!P$2:P$9987=$L$3)*('sap nuevo'!J$2:J$9987="pagado")*('sap nuevo'!F$2:F$9987&gt;0)*(ISNUMBER(DATEVALUE(_xlfn.XLOOKUP('sap nuevo'!E$2:E$9987,extracto!$C$2:$C$9999,extracto!$B$2:$B$9999))))),0)</f>
        <v>0</v>
      </c>
      <c r="L17" s="92" t="str">
        <f t="shared" ca="1" si="0"/>
        <v>—</v>
      </c>
    </row>
    <row r="18" spans="2:12" ht="26.1" customHeight="1" x14ac:dyDescent="0.25">
      <c r="B18" s="76" t="str">
        <f ca="1">"TOTAL "&amp;YEAR(TODAY())</f>
        <v>TOTAL 2026</v>
      </c>
      <c r="C18" s="93">
        <f ca="1">SUM(C6:C17)</f>
        <v>873</v>
      </c>
      <c r="D18" s="94">
        <f ca="1">SUM(D6:D17)</f>
        <v>14548250110.120003</v>
      </c>
      <c r="F18" s="114" t="s">
        <v>342</v>
      </c>
      <c r="G18" s="112"/>
      <c r="H18" s="112"/>
    </row>
    <row r="19" spans="2:12" ht="26.1" customHeight="1" x14ac:dyDescent="0.25">
      <c r="B19" s="58"/>
      <c r="C19" s="58"/>
      <c r="D19" s="58"/>
      <c r="F19" s="59" t="s">
        <v>18</v>
      </c>
      <c r="G19" s="59" t="s">
        <v>343</v>
      </c>
      <c r="H19" s="59" t="s">
        <v>326</v>
      </c>
      <c r="J19" s="115" t="s">
        <v>344</v>
      </c>
      <c r="K19" s="112"/>
      <c r="L19" s="112"/>
    </row>
    <row r="20" spans="2:12" ht="21.95" customHeight="1" x14ac:dyDescent="0.25">
      <c r="B20" s="114" t="str">
        <f ca="1">"  EMISIÓN MENSUAL — "&amp;(YEAR(TODAY())-1)</f>
        <v xml:space="preserve">  EMISIÓN MENSUAL — 2025</v>
      </c>
      <c r="C20" s="112"/>
      <c r="D20" s="112"/>
      <c r="F20" s="73" t="s">
        <v>32</v>
      </c>
      <c r="G20" s="84">
        <f ca="1">COUNTIFS('sap nuevo'!H$2:H$9987,"GALICIA",'sap nuevo'!J$2:J$9987,"pagado",'sap nuevo'!F$2:F$9987,"&gt;0")</f>
        <v>777</v>
      </c>
      <c r="H20" s="98" cm="1">
        <f t="array" aca="1" ref="H20" ca="1">IFERROR(SUMPRODUCT(('sap nuevo'!H$2:H$9987="GALICIA")*('sap nuevo'!J$2:J$9987="pagado")*('sap nuevo'!F$2:F$9987&gt;0)*('sap nuevo'!G$2:G$9987-'sap nuevo'!B$2:B$9987))/G20,"-")</f>
        <v>4.5070785070785071</v>
      </c>
      <c r="J20" s="78" t="s">
        <v>18</v>
      </c>
      <c r="K20" s="78" t="s">
        <v>318</v>
      </c>
      <c r="L20" s="78" t="s">
        <v>324</v>
      </c>
    </row>
    <row r="21" spans="2:12" ht="20.100000000000001" customHeight="1" x14ac:dyDescent="0.25">
      <c r="B21" s="59" t="s">
        <v>322</v>
      </c>
      <c r="C21" s="59" t="s">
        <v>323</v>
      </c>
      <c r="D21" s="59" t="s">
        <v>324</v>
      </c>
      <c r="F21" s="70" t="s">
        <v>79</v>
      </c>
      <c r="G21" s="79">
        <f ca="1">COUNTIFS('sap nuevo'!H$2:H$9987,"MACRO",'sap nuevo'!J$2:J$9987,"pagado",'sap nuevo'!F$2:F$9987,"&gt;0")</f>
        <v>1385</v>
      </c>
      <c r="H21" s="99" cm="1">
        <f t="array" aca="1" ref="H21" ca="1">IFERROR(SUMPRODUCT(('sap nuevo'!H$2:H$9987="MACRO")*('sap nuevo'!J$2:J$9987="pagado")*('sap nuevo'!F$2:F$9987&gt;0)*('sap nuevo'!G$2:G$9987-'sap nuevo'!B$2:B$9987))/G21,"-")</f>
        <v>4.8671480144404331</v>
      </c>
      <c r="J21" s="70" t="s">
        <v>32</v>
      </c>
      <c r="K21" s="79">
        <f ca="1">COUNTIFS('sap nuevo'!H$2:H$9987,"GALICIA",'sap nuevo'!J$2:J$9987,"fuera de fecha",'sap nuevo'!F$2:F$9987,"&gt;0")</f>
        <v>6</v>
      </c>
      <c r="L21" s="71" cm="1">
        <f t="array" aca="1" ref="L21" ca="1">SUMPRODUCT(('sap nuevo'!H$2:H$9987="GALICIA")*('sap nuevo'!J$2:J$9987="fuera de fecha")*('sap nuevo'!F$2:F$9987&gt;0)*('sap nuevo'!F$2:F$9987))</f>
        <v>19440860.43</v>
      </c>
    </row>
    <row r="22" spans="2:12" ht="20.100000000000001" customHeight="1" x14ac:dyDescent="0.25">
      <c r="B22" s="73" t="s">
        <v>328</v>
      </c>
      <c r="C22" s="84" cm="1">
        <f t="array" aca="1" ref="C22" ca="1">SUMPRODUCT(('sap nuevo'!O$2:O$9987=1)*('sap nuevo'!P$2:P$9987=YEAR(TODAY())-1)*('sap nuevo'!F$2:F$9987&gt;0))</f>
        <v>57</v>
      </c>
      <c r="D22" s="85" cm="1">
        <f t="array" aca="1" ref="D22" ca="1">SUMPRODUCT(('sap nuevo'!O$2:O$9987=1)*('sap nuevo'!P$2:P$9987=YEAR(TODAY())-1)*('sap nuevo'!F$2:F$9987&gt;0)*('sap nuevo'!F$2:F$9987))</f>
        <v>999539555.37000012</v>
      </c>
      <c r="F22" s="73" t="s">
        <v>13</v>
      </c>
      <c r="G22" s="84">
        <f>COUNTIFS('sap nuevo'!H$2:H$9987,"HSBC",'sap nuevo'!J$2:J$9987,"pagado",'sap nuevo'!F$2:F$9987,"&gt;0")</f>
        <v>134</v>
      </c>
      <c r="H22" s="98" cm="1">
        <f t="array" aca="1" ref="H22" ca="1">IFERROR(SUMPRODUCT(('sap nuevo'!H$2:H$9987="HSBC")*('sap nuevo'!J$2:J$9987="pagado")*('sap nuevo'!F$2:F$9987&gt;0)*('sap nuevo'!G$2:G$9987-'sap nuevo'!B$2:B$9987))/G22,"-")</f>
        <v>2.3805970149253732</v>
      </c>
      <c r="J22" s="80" t="s">
        <v>79</v>
      </c>
      <c r="K22" s="81">
        <f ca="1">COUNTIFS('sap nuevo'!H$2:H$9987,"MACRO",'sap nuevo'!J$2:J$9987,"fuera de fecha",'sap nuevo'!F$2:F$9987,"&gt;0")</f>
        <v>30</v>
      </c>
      <c r="L22" s="82" cm="1">
        <f t="array" aca="1" ref="L22" ca="1">SUMPRODUCT(('sap nuevo'!H$2:H$9987="MACRO")*('sap nuevo'!J$2:J$9987="fuera de fecha")*('sap nuevo'!F$2:F$9987&gt;0)*('sap nuevo'!F$2:F$9987))</f>
        <v>484249505.25999999</v>
      </c>
    </row>
    <row r="23" spans="2:12" ht="20.100000000000001" customHeight="1" x14ac:dyDescent="0.25">
      <c r="B23" s="70" t="s">
        <v>329</v>
      </c>
      <c r="C23" s="79" cm="1">
        <f t="array" aca="1" ref="C23" ca="1">SUMPRODUCT(('sap nuevo'!O$2:O$9987=2)*('sap nuevo'!P$2:P$9987=YEAR(TODAY())-1)*('sap nuevo'!F$2:F$9987&gt;0))</f>
        <v>52</v>
      </c>
      <c r="D23" s="89" cm="1">
        <f t="array" aca="1" ref="D23" ca="1">SUMPRODUCT(('sap nuevo'!O$2:O$9987=2)*('sap nuevo'!P$2:P$9987=YEAR(TODAY())-1)*('sap nuevo'!F$2:F$9987&gt;0)*('sap nuevo'!F$2:F$9987))</f>
        <v>811159810.2299999</v>
      </c>
      <c r="F23" s="76" t="s">
        <v>345</v>
      </c>
      <c r="G23" s="93">
        <f ca="1">COUNTIFS('sap nuevo'!J$2:J$9987,"pagado",'sap nuevo'!F$2:F$9987,"&gt;0")</f>
        <v>2296</v>
      </c>
      <c r="H23" s="100" cm="1">
        <f t="array" aca="1" ref="H23" ca="1">IFERROR(SUMPRODUCT(('sap nuevo'!J$2:J$9987="pagado")*('sap nuevo'!F$2:F$9987&gt;0)*('sap nuevo'!G$2:G$9987-'sap nuevo'!B$2:B$9987))/G23,"-")</f>
        <v>4.6001742160278747</v>
      </c>
      <c r="J23" s="70" t="s">
        <v>13</v>
      </c>
      <c r="K23" s="79">
        <f>COUNTIFS('sap nuevo'!H$2:H$9987,"HSBC",'sap nuevo'!J$2:J$9987,"fuera de fecha",'sap nuevo'!F$2:F$9987,"&gt;0")</f>
        <v>0</v>
      </c>
      <c r="L23" s="71" cm="1">
        <f t="array" aca="1" ref="L23" ca="1">SUMPRODUCT(('sap nuevo'!H$2:H$9987="HSBC")*('sap nuevo'!J$2:J$9987="fuera de fecha")*('sap nuevo'!F$2:F$9987&gt;0)*('sap nuevo'!F$2:F$9987))</f>
        <v>0</v>
      </c>
    </row>
    <row r="24" spans="2:12" ht="21.95" customHeight="1" x14ac:dyDescent="0.25">
      <c r="B24" s="73" t="s">
        <v>330</v>
      </c>
      <c r="C24" s="84" cm="1">
        <f t="array" aca="1" ref="C24" ca="1">SUMPRODUCT(('sap nuevo'!O$2:O$9987=3)*('sap nuevo'!P$2:P$9987=YEAR(TODAY())-1)*('sap nuevo'!F$2:F$9987&gt;0))</f>
        <v>71</v>
      </c>
      <c r="D24" s="85" cm="1">
        <f t="array" aca="1" ref="D24" ca="1">SUMPRODUCT(('sap nuevo'!O$2:O$9987=3)*('sap nuevo'!P$2:P$9987=YEAR(TODAY())-1)*('sap nuevo'!F$2:F$9987&gt;0)*('sap nuevo'!F$2:F$9987))</f>
        <v>991172675.48000002</v>
      </c>
      <c r="J24" s="67" t="s">
        <v>320</v>
      </c>
      <c r="K24" s="68">
        <f ca="1">SUM(K21:K23)</f>
        <v>36</v>
      </c>
      <c r="L24" s="69">
        <f ca="1">SUM(L21:L23)</f>
        <v>503690365.69</v>
      </c>
    </row>
    <row r="25" spans="2:12" ht="20.100000000000001" customHeight="1" x14ac:dyDescent="0.25">
      <c r="B25" s="70" t="s">
        <v>331</v>
      </c>
      <c r="C25" s="79" cm="1">
        <f t="array" aca="1" ref="C25" ca="1">SUMPRODUCT(('sap nuevo'!O$2:O$9987=4)*('sap nuevo'!P$2:P$9987=YEAR(TODAY())-1)*('sap nuevo'!F$2:F$9987&gt;0))</f>
        <v>102</v>
      </c>
      <c r="D25" s="89" cm="1">
        <f t="array" aca="1" ref="D25" ca="1">SUMPRODUCT(('sap nuevo'!O$2:O$9987=4)*('sap nuevo'!P$2:P$9987=YEAR(TODAY())-1)*('sap nuevo'!F$2:F$9987&gt;0)*('sap nuevo'!F$2:F$9987))</f>
        <v>1233805013.7099998</v>
      </c>
    </row>
    <row r="26" spans="2:12" ht="20.100000000000001" customHeight="1" x14ac:dyDescent="0.25">
      <c r="B26" s="73" t="s">
        <v>333</v>
      </c>
      <c r="C26" s="84" cm="1">
        <f t="array" aca="1" ref="C26" ca="1">SUMPRODUCT(('sap nuevo'!O$2:O$9987=5)*('sap nuevo'!P$2:P$9987=YEAR(TODAY())-1)*('sap nuevo'!F$2:F$9987&gt;0))</f>
        <v>144</v>
      </c>
      <c r="D26" s="85" cm="1">
        <f t="array" aca="1" ref="D26" ca="1">SUMPRODUCT(('sap nuevo'!O$2:O$9987=5)*('sap nuevo'!P$2:P$9987=YEAR(TODAY())-1)*('sap nuevo'!F$2:F$9987&gt;0)*('sap nuevo'!F$2:F$9987))</f>
        <v>2059389916.6000001</v>
      </c>
    </row>
    <row r="27" spans="2:12" ht="20.100000000000001" customHeight="1" x14ac:dyDescent="0.25">
      <c r="B27" s="70" t="s">
        <v>334</v>
      </c>
      <c r="C27" s="79" cm="1">
        <f t="array" aca="1" ref="C27" ca="1">SUMPRODUCT(('sap nuevo'!O$2:O$9987=6)*('sap nuevo'!P$2:P$9987=YEAR(TODAY())-1)*('sap nuevo'!F$2:F$9987&gt;0))</f>
        <v>155</v>
      </c>
      <c r="D27" s="89" cm="1">
        <f t="array" aca="1" ref="D27" ca="1">SUMPRODUCT(('sap nuevo'!O$2:O$9987=6)*('sap nuevo'!P$2:P$9987=YEAR(TODAY())-1)*('sap nuevo'!F$2:F$9987&gt;0)*('sap nuevo'!F$2:F$9987))</f>
        <v>1780462082.9300001</v>
      </c>
    </row>
    <row r="28" spans="2:12" ht="20.100000000000001" customHeight="1" x14ac:dyDescent="0.25">
      <c r="B28" s="73" t="s">
        <v>336</v>
      </c>
      <c r="C28" s="84" cm="1">
        <f t="array" aca="1" ref="C28" ca="1">SUMPRODUCT(('sap nuevo'!O$2:O$9987=7)*('sap nuevo'!P$2:P$9987=YEAR(TODAY())-1)*('sap nuevo'!F$2:F$9987&gt;0))</f>
        <v>243</v>
      </c>
      <c r="D28" s="85" cm="1">
        <f t="array" aca="1" ref="D28" ca="1">SUMPRODUCT(('sap nuevo'!O$2:O$9987=7)*('sap nuevo'!P$2:P$9987=YEAR(TODAY())-1)*('sap nuevo'!F$2:F$9987&gt;0)*('sap nuevo'!F$2:F$9987))</f>
        <v>3892491379.9999986</v>
      </c>
    </row>
    <row r="29" spans="2:12" ht="20.100000000000001" customHeight="1" x14ac:dyDescent="0.25">
      <c r="B29" s="70" t="s">
        <v>337</v>
      </c>
      <c r="C29" s="79" cm="1">
        <f t="array" aca="1" ref="C29" ca="1">SUMPRODUCT(('sap nuevo'!O$2:O$9987=8)*('sap nuevo'!P$2:P$9987=YEAR(TODAY())-1)*('sap nuevo'!F$2:F$9987&gt;0))</f>
        <v>174</v>
      </c>
      <c r="D29" s="89" cm="1">
        <f t="array" aca="1" ref="D29" ca="1">SUMPRODUCT(('sap nuevo'!O$2:O$9987=8)*('sap nuevo'!P$2:P$9987=YEAR(TODAY())-1)*('sap nuevo'!F$2:F$9987&gt;0)*('sap nuevo'!F$2:F$9987))</f>
        <v>2172028522.900001</v>
      </c>
    </row>
    <row r="30" spans="2:12" ht="20.100000000000001" customHeight="1" x14ac:dyDescent="0.25">
      <c r="B30" s="73" t="s">
        <v>338</v>
      </c>
      <c r="C30" s="84" cm="1">
        <f t="array" aca="1" ref="C30" ca="1">SUMPRODUCT(('sap nuevo'!O$2:O$9987=9)*('sap nuevo'!P$2:P$9987=YEAR(TODAY())-1)*('sap nuevo'!F$2:F$9987&gt;0))</f>
        <v>179</v>
      </c>
      <c r="D30" s="85" cm="1">
        <f t="array" aca="1" ref="D30" ca="1">SUMPRODUCT(('sap nuevo'!O$2:O$9987=9)*('sap nuevo'!P$2:P$9987=YEAR(TODAY())-1)*('sap nuevo'!F$2:F$9987&gt;0)*('sap nuevo'!F$2:F$9987))</f>
        <v>3281223740.9700012</v>
      </c>
    </row>
    <row r="31" spans="2:12" ht="20.100000000000001" customHeight="1" x14ac:dyDescent="0.25">
      <c r="B31" s="70" t="s">
        <v>339</v>
      </c>
      <c r="C31" s="79" cm="1">
        <f t="array" aca="1" ref="C31" ca="1">SUMPRODUCT(('sap nuevo'!O$2:O$9987=10)*('sap nuevo'!P$2:P$9987=YEAR(TODAY())-1)*('sap nuevo'!F$2:F$9987&gt;0))</f>
        <v>140</v>
      </c>
      <c r="D31" s="89" cm="1">
        <f t="array" aca="1" ref="D31" ca="1">SUMPRODUCT(('sap nuevo'!O$2:O$9987=10)*('sap nuevo'!P$2:P$9987=YEAR(TODAY())-1)*('sap nuevo'!F$2:F$9987&gt;0)*('sap nuevo'!F$2:F$9987))</f>
        <v>3444758854.5999994</v>
      </c>
    </row>
    <row r="32" spans="2:12" ht="20.100000000000001" customHeight="1" x14ac:dyDescent="0.25">
      <c r="B32" s="73" t="s">
        <v>340</v>
      </c>
      <c r="C32" s="84" cm="1">
        <f t="array" aca="1" ref="C32" ca="1">SUMPRODUCT(('sap nuevo'!O$2:O$9987=11)*('sap nuevo'!P$2:P$9987=YEAR(TODAY())-1)*('sap nuevo'!F$2:F$9987&gt;0))</f>
        <v>83</v>
      </c>
      <c r="D32" s="85" cm="1">
        <f t="array" aca="1" ref="D32" ca="1">SUMPRODUCT(('sap nuevo'!O$2:O$9987=11)*('sap nuevo'!P$2:P$9987=YEAR(TODAY())-1)*('sap nuevo'!F$2:F$9987&gt;0)*('sap nuevo'!F$2:F$9987))</f>
        <v>2233879592.0499997</v>
      </c>
    </row>
    <row r="33" spans="2:4" ht="20.100000000000001" customHeight="1" x14ac:dyDescent="0.25">
      <c r="B33" s="70" t="s">
        <v>341</v>
      </c>
      <c r="C33" s="79" cm="1">
        <f t="array" aca="1" ref="C33" ca="1">SUMPRODUCT(('sap nuevo'!O$2:O$9987=12)*('sap nuevo'!P$2:P$9987=YEAR(TODAY())-1)*('sap nuevo'!F$2:F$9987&gt;0))</f>
        <v>93</v>
      </c>
      <c r="D33" s="89" cm="1">
        <f t="array" aca="1" ref="D33" ca="1">SUMPRODUCT(('sap nuevo'!O$2:O$9987=12)*('sap nuevo'!P$2:P$9987=YEAR(TODAY())-1)*('sap nuevo'!F$2:F$9987&gt;0)*('sap nuevo'!F$2:F$9987))</f>
        <v>2374120104.2099996</v>
      </c>
    </row>
    <row r="34" spans="2:4" ht="21.95" customHeight="1" x14ac:dyDescent="0.25">
      <c r="B34" s="76" t="str">
        <f ca="1">"TOTAL "&amp;(YEAR(TODAY())-1)</f>
        <v>TOTAL 2025</v>
      </c>
      <c r="C34" s="93">
        <f ca="1">SUM(C22:C33)</f>
        <v>1493</v>
      </c>
      <c r="D34" s="94">
        <f ca="1">SUM(D22:D33)</f>
        <v>25274031249.049999</v>
      </c>
    </row>
  </sheetData>
  <mergeCells count="9">
    <mergeCell ref="F18:H18"/>
    <mergeCell ref="J19:L19"/>
    <mergeCell ref="B20:D20"/>
    <mergeCell ref="B1:L1"/>
    <mergeCell ref="B2:L2"/>
    <mergeCell ref="B4:D4"/>
    <mergeCell ref="F4:H4"/>
    <mergeCell ref="J4:L4"/>
    <mergeCell ref="F11:H11"/>
  </mergeCells>
  <dataValidations count="1">
    <dataValidation type="list" allowBlank="1" showInputMessage="1" showErrorMessage="1" promptTitle="Selección de año" prompt="Elija el año para visualizar el plazo promedio de cobro" sqref="L3" xr:uid="{88BFBED4-0DAB-4B7F-B9FA-21EA1F66264D}">
      <formula1>"2024,2025,2026,2027,2028"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sap nuevo</vt:lpstr>
      <vt:lpstr>extracto</vt:lpstr>
      <vt:lpstr>cheques a conf</vt:lpstr>
      <vt:lpstr>resumen viejo</vt:lpstr>
      <vt:lpstr>Hoja1</vt:lpstr>
      <vt:lpstr>RESUMEN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Jimenez Quiroga</dc:creator>
  <cp:lastModifiedBy>Alicia Maribel Diaz</cp:lastModifiedBy>
  <dcterms:created xsi:type="dcterms:W3CDTF">2022-01-31T14:57:47Z</dcterms:created>
  <dcterms:modified xsi:type="dcterms:W3CDTF">2026-09-07T15:55:27Z</dcterms:modified>
</cp:coreProperties>
</file>